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codeName="ThisWorkbook"/>
  <xr:revisionPtr revIDLastSave="0" documentId="8_{970B7C45-581A-4832-9065-E947142621B4}" xr6:coauthVersionLast="43" xr6:coauthVersionMax="43" xr10:uidLastSave="{00000000-0000-0000-0000-000000000000}"/>
  <bookViews>
    <workbookView xWindow="5445" yWindow="-16320" windowWidth="29040" windowHeight="15840" tabRatio="909" xr2:uid="{00000000-000D-0000-FFFF-FFFF00000000}"/>
  </bookViews>
  <sheets>
    <sheet name="Cover Sheet" sheetId="9" r:id="rId1"/>
    <sheet name="Description" sheetId="10" r:id="rId2"/>
    <sheet name="Inputs" sheetId="84" r:id="rId3"/>
    <sheet name="DCF (Vanilla)" sheetId="149" r:id="rId4"/>
  </sheets>
  <externalReferences>
    <externalReference r:id="rId5"/>
  </externalReferences>
  <definedNames>
    <definedName name="_xlnm.Print_Area" localSheetId="0">'Cover Sheet'!$A$1:$D$22</definedName>
    <definedName name="_xlnm.Print_Area" localSheetId="3">'DCF (Vanilla)'!$A$1:$P$342</definedName>
    <definedName name="_xlnm.Print_Area" localSheetId="1">Description!$A$1:$F$11</definedName>
    <definedName name="_xlnm.Print_Area" localSheetId="2">Inputs!$A$1:$O$149</definedName>
    <definedName name="WACC">'[1]EDB data'!$B$9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5" i="149" l="1"/>
  <c r="E140" i="84" l="1"/>
  <c r="D43" i="84" l="1"/>
  <c r="E43" i="84"/>
  <c r="F43" i="84"/>
  <c r="G43" i="84"/>
  <c r="H43" i="84"/>
  <c r="I43" i="84"/>
  <c r="J43" i="84"/>
  <c r="K43" i="84"/>
  <c r="L43" i="84"/>
  <c r="M43" i="84"/>
  <c r="N43" i="84"/>
  <c r="C43" i="84"/>
  <c r="N72" i="84" l="1"/>
  <c r="E70" i="84"/>
  <c r="N70" i="84"/>
  <c r="D70" i="84"/>
  <c r="I26" i="149"/>
  <c r="J26" i="149"/>
  <c r="K26" i="149"/>
  <c r="L26" i="149"/>
  <c r="M26" i="149"/>
  <c r="N26" i="149"/>
  <c r="I28" i="149"/>
  <c r="J28" i="149"/>
  <c r="K28" i="149"/>
  <c r="L28" i="149"/>
  <c r="M28" i="149"/>
  <c r="N28" i="149"/>
  <c r="F55" i="84"/>
  <c r="G55" i="84" s="1"/>
  <c r="H55" i="84" s="1"/>
  <c r="I55" i="84" s="1"/>
  <c r="J55" i="84" s="1"/>
  <c r="K55" i="84" s="1"/>
  <c r="L55" i="84" s="1"/>
  <c r="M55" i="84" s="1"/>
  <c r="M70" i="84" s="1"/>
  <c r="C36" i="84"/>
  <c r="F70" i="84" l="1"/>
  <c r="I70" i="84"/>
  <c r="H70" i="84"/>
  <c r="G70" i="84"/>
  <c r="L70" i="84"/>
  <c r="K70" i="84"/>
  <c r="N56" i="84"/>
  <c r="N62" i="84" s="1"/>
  <c r="N63" i="84" s="1"/>
  <c r="N64" i="84" s="1"/>
  <c r="M56" i="84"/>
  <c r="J70" i="84"/>
  <c r="M131" i="84"/>
  <c r="D134" i="84"/>
  <c r="D132" i="84" s="1"/>
  <c r="E134" i="84"/>
  <c r="E131" i="84" s="1"/>
  <c r="F134" i="84"/>
  <c r="F131" i="84" s="1"/>
  <c r="G134" i="84"/>
  <c r="G131" i="84" s="1"/>
  <c r="H134" i="84"/>
  <c r="H130" i="84" s="1"/>
  <c r="I134" i="84"/>
  <c r="I130" i="84" s="1"/>
  <c r="J134" i="84"/>
  <c r="J130" i="84" s="1"/>
  <c r="K134" i="84"/>
  <c r="K132" i="84" s="1"/>
  <c r="L134" i="84"/>
  <c r="L131" i="84" s="1"/>
  <c r="M134" i="84"/>
  <c r="M132" i="84" s="1"/>
  <c r="M133" i="84" s="1"/>
  <c r="N134" i="84"/>
  <c r="N131" i="84" s="1"/>
  <c r="H132" i="84" l="1"/>
  <c r="H133" i="84" s="1"/>
  <c r="N130" i="84"/>
  <c r="F132" i="84"/>
  <c r="F133" i="84" s="1"/>
  <c r="F130" i="84"/>
  <c r="E130" i="84"/>
  <c r="E132" i="84"/>
  <c r="E133" i="84" s="1"/>
  <c r="I132" i="84"/>
  <c r="I133" i="84" s="1"/>
  <c r="D131" i="84"/>
  <c r="G132" i="84"/>
  <c r="G133" i="84" s="1"/>
  <c r="N132" i="84"/>
  <c r="N133" i="84" s="1"/>
  <c r="J132" i="84"/>
  <c r="J133" i="84" s="1"/>
  <c r="G130" i="84"/>
  <c r="J131" i="84"/>
  <c r="L130" i="84"/>
  <c r="D130" i="84"/>
  <c r="K131" i="84"/>
  <c r="K133" i="84"/>
  <c r="I131" i="84"/>
  <c r="K130" i="84"/>
  <c r="H131" i="84"/>
  <c r="D133" i="84"/>
  <c r="L132" i="84"/>
  <c r="L133" i="84" s="1"/>
  <c r="D53" i="149" l="1"/>
  <c r="D263" i="149" s="1"/>
  <c r="E53" i="149"/>
  <c r="F53" i="149"/>
  <c r="F263" i="149" s="1"/>
  <c r="G53" i="149"/>
  <c r="H53" i="149"/>
  <c r="I53" i="149"/>
  <c r="J53" i="149"/>
  <c r="K53" i="149"/>
  <c r="L53" i="149"/>
  <c r="M53" i="149"/>
  <c r="N116" i="149"/>
  <c r="N131" i="149" s="1"/>
  <c r="M116" i="149"/>
  <c r="M131" i="149" s="1"/>
  <c r="L116" i="149"/>
  <c r="L131" i="149" s="1"/>
  <c r="K116" i="149"/>
  <c r="K131" i="149" s="1"/>
  <c r="J116" i="149"/>
  <c r="J131" i="149" s="1"/>
  <c r="I116" i="149"/>
  <c r="I131" i="149" s="1"/>
  <c r="H116" i="149"/>
  <c r="H131" i="149" s="1"/>
  <c r="G116" i="149"/>
  <c r="G131" i="149" s="1"/>
  <c r="F116" i="149"/>
  <c r="F131" i="149" s="1"/>
  <c r="E116" i="149"/>
  <c r="E131" i="149" s="1"/>
  <c r="D116" i="149"/>
  <c r="D131" i="149" s="1"/>
  <c r="N115" i="149"/>
  <c r="N130" i="149" s="1"/>
  <c r="M115" i="149"/>
  <c r="M130" i="149" s="1"/>
  <c r="L115" i="149"/>
  <c r="L130" i="149" s="1"/>
  <c r="K115" i="149"/>
  <c r="K130" i="149" s="1"/>
  <c r="J115" i="149"/>
  <c r="J130" i="149" s="1"/>
  <c r="I115" i="149"/>
  <c r="I130" i="149" s="1"/>
  <c r="H115" i="149"/>
  <c r="H130" i="149" s="1"/>
  <c r="G115" i="149"/>
  <c r="G130" i="149" s="1"/>
  <c r="F115" i="149"/>
  <c r="F130" i="149" s="1"/>
  <c r="E115" i="149"/>
  <c r="E130" i="149" s="1"/>
  <c r="D115" i="149"/>
  <c r="D130" i="149" s="1"/>
  <c r="N113" i="149"/>
  <c r="N140" i="149" s="1"/>
  <c r="E113" i="149"/>
  <c r="E140" i="149" s="1"/>
  <c r="D113" i="149"/>
  <c r="D140" i="149" s="1"/>
  <c r="N109" i="149"/>
  <c r="M109" i="149"/>
  <c r="L109" i="149"/>
  <c r="K109" i="149"/>
  <c r="J109" i="149"/>
  <c r="I109" i="149"/>
  <c r="H109" i="149"/>
  <c r="G109" i="149"/>
  <c r="F109" i="149"/>
  <c r="E109" i="149"/>
  <c r="D109" i="149"/>
  <c r="N108" i="149"/>
  <c r="N118" i="149" s="1"/>
  <c r="N133" i="149" s="1"/>
  <c r="M108" i="149"/>
  <c r="M118" i="149" s="1"/>
  <c r="M133" i="149" s="1"/>
  <c r="L108" i="149"/>
  <c r="L118" i="149" s="1"/>
  <c r="L133" i="149" s="1"/>
  <c r="K108" i="149"/>
  <c r="K118" i="149" s="1"/>
  <c r="K133" i="149" s="1"/>
  <c r="J108" i="149"/>
  <c r="J118" i="149" s="1"/>
  <c r="J133" i="149" s="1"/>
  <c r="I108" i="149"/>
  <c r="I118" i="149" s="1"/>
  <c r="I133" i="149" s="1"/>
  <c r="H108" i="149"/>
  <c r="H118" i="149" s="1"/>
  <c r="H133" i="149" s="1"/>
  <c r="G108" i="149"/>
  <c r="G118" i="149" s="1"/>
  <c r="G133" i="149" s="1"/>
  <c r="F108" i="149"/>
  <c r="F118" i="149" s="1"/>
  <c r="F133" i="149" s="1"/>
  <c r="E108" i="149"/>
  <c r="E118" i="149" s="1"/>
  <c r="E133" i="149" s="1"/>
  <c r="D108" i="149"/>
  <c r="D118" i="149" s="1"/>
  <c r="D133" i="149" s="1"/>
  <c r="N107" i="149"/>
  <c r="M107" i="149"/>
  <c r="L107" i="149"/>
  <c r="K107" i="149"/>
  <c r="J107" i="149"/>
  <c r="I107" i="149"/>
  <c r="H107" i="149"/>
  <c r="G107" i="149"/>
  <c r="F107" i="149"/>
  <c r="E107" i="149"/>
  <c r="D107" i="149"/>
  <c r="D106" i="149"/>
  <c r="N102" i="149"/>
  <c r="M102" i="149"/>
  <c r="L102" i="149"/>
  <c r="K102" i="149"/>
  <c r="J102" i="149"/>
  <c r="I102" i="149"/>
  <c r="H102" i="149"/>
  <c r="G102" i="149"/>
  <c r="F102" i="149"/>
  <c r="E102" i="149"/>
  <c r="D102" i="149"/>
  <c r="N101" i="149"/>
  <c r="M101" i="149"/>
  <c r="L101" i="149"/>
  <c r="K101" i="149"/>
  <c r="J101" i="149"/>
  <c r="I101" i="149"/>
  <c r="H101" i="149"/>
  <c r="G101" i="149"/>
  <c r="F101" i="149"/>
  <c r="E101" i="149"/>
  <c r="D101" i="149"/>
  <c r="D100" i="149"/>
  <c r="M91" i="149"/>
  <c r="N60" i="149"/>
  <c r="M60" i="149"/>
  <c r="L60" i="149"/>
  <c r="K60" i="149"/>
  <c r="J60" i="149"/>
  <c r="I60" i="149"/>
  <c r="H60" i="149"/>
  <c r="G60" i="149"/>
  <c r="F60" i="149"/>
  <c r="E60" i="149"/>
  <c r="D60" i="149"/>
  <c r="C60" i="149"/>
  <c r="N59" i="149"/>
  <c r="M59" i="149"/>
  <c r="L59" i="149"/>
  <c r="K59" i="149"/>
  <c r="J59" i="149"/>
  <c r="I59" i="149"/>
  <c r="H59" i="149"/>
  <c r="G59" i="149"/>
  <c r="F59" i="149"/>
  <c r="E59" i="149"/>
  <c r="D59" i="149"/>
  <c r="C59" i="149"/>
  <c r="N54" i="149"/>
  <c r="M54" i="149"/>
  <c r="L54" i="149"/>
  <c r="K54" i="149"/>
  <c r="J54" i="149"/>
  <c r="I54" i="149"/>
  <c r="H54" i="149"/>
  <c r="H27" i="149" s="1"/>
  <c r="H323" i="149" s="1"/>
  <c r="G54" i="149"/>
  <c r="G27" i="149" s="1"/>
  <c r="G323" i="149" s="1"/>
  <c r="F54" i="149"/>
  <c r="F27" i="149" s="1"/>
  <c r="F323" i="149" s="1"/>
  <c r="E54" i="149"/>
  <c r="E27" i="149" s="1"/>
  <c r="E323" i="149" s="1"/>
  <c r="D54" i="149"/>
  <c r="D27" i="149" s="1"/>
  <c r="D323" i="149" s="1"/>
  <c r="N53" i="149"/>
  <c r="N263" i="149" s="1"/>
  <c r="N52" i="149"/>
  <c r="N321" i="149" s="1"/>
  <c r="M52" i="149"/>
  <c r="M321" i="149" s="1"/>
  <c r="L52" i="149"/>
  <c r="L321" i="149" s="1"/>
  <c r="K52" i="149"/>
  <c r="K321" i="149" s="1"/>
  <c r="J52" i="149"/>
  <c r="J321" i="149" s="1"/>
  <c r="I52" i="149"/>
  <c r="I321" i="149" s="1"/>
  <c r="H52" i="149"/>
  <c r="H321" i="149" s="1"/>
  <c r="G52" i="149"/>
  <c r="G321" i="149" s="1"/>
  <c r="F52" i="149"/>
  <c r="F321" i="149" s="1"/>
  <c r="E52" i="149"/>
  <c r="E321" i="149" s="1"/>
  <c r="D52" i="149"/>
  <c r="D321" i="149" s="1"/>
  <c r="C50" i="149"/>
  <c r="C55" i="149" s="1"/>
  <c r="D51" i="149" s="1"/>
  <c r="N46" i="149"/>
  <c r="M46" i="149"/>
  <c r="L46" i="149"/>
  <c r="K46" i="149"/>
  <c r="J46" i="149"/>
  <c r="I46" i="149"/>
  <c r="H46" i="149"/>
  <c r="G46" i="149"/>
  <c r="F46" i="149"/>
  <c r="E46" i="149"/>
  <c r="D46" i="149"/>
  <c r="N45" i="149"/>
  <c r="M45" i="149"/>
  <c r="L45" i="149"/>
  <c r="K45" i="149"/>
  <c r="J45" i="149"/>
  <c r="I45" i="149"/>
  <c r="H45" i="149"/>
  <c r="G45" i="149"/>
  <c r="F45" i="149"/>
  <c r="E45" i="149"/>
  <c r="D45" i="149"/>
  <c r="C43" i="149"/>
  <c r="C47" i="149" s="1"/>
  <c r="D44" i="149" s="1"/>
  <c r="N40" i="149"/>
  <c r="N270" i="149" s="1"/>
  <c r="E40" i="149"/>
  <c r="E270" i="149" s="1"/>
  <c r="D40" i="149"/>
  <c r="D270" i="149" s="1"/>
  <c r="C40" i="149"/>
  <c r="H28" i="149"/>
  <c r="G28" i="149"/>
  <c r="F28" i="149"/>
  <c r="E28" i="149"/>
  <c r="D28" i="149"/>
  <c r="H26" i="149"/>
  <c r="G26" i="149"/>
  <c r="F26" i="149"/>
  <c r="E26" i="149"/>
  <c r="D26" i="149"/>
  <c r="N17" i="149"/>
  <c r="M17" i="149"/>
  <c r="L17" i="149"/>
  <c r="K17" i="149"/>
  <c r="J17" i="149"/>
  <c r="I17" i="149"/>
  <c r="H17" i="149"/>
  <c r="G17" i="149"/>
  <c r="F17" i="149"/>
  <c r="E17" i="149"/>
  <c r="D17" i="149"/>
  <c r="N15" i="149"/>
  <c r="E15" i="149"/>
  <c r="D15" i="149"/>
  <c r="C15" i="149"/>
  <c r="D47" i="149" l="1"/>
  <c r="E44" i="149" s="1"/>
  <c r="L27" i="149"/>
  <c r="L323" i="149" s="1"/>
  <c r="I27" i="149"/>
  <c r="I271" i="149" s="1"/>
  <c r="M27" i="149"/>
  <c r="M323" i="149" s="1"/>
  <c r="J27" i="149"/>
  <c r="J271" i="149" s="1"/>
  <c r="N27" i="149"/>
  <c r="N323" i="149" s="1"/>
  <c r="D55" i="149"/>
  <c r="E51" i="149" s="1"/>
  <c r="K27" i="149"/>
  <c r="K271" i="149" s="1"/>
  <c r="H271" i="149"/>
  <c r="D271" i="149"/>
  <c r="E271" i="149"/>
  <c r="G271" i="149"/>
  <c r="F271" i="149"/>
  <c r="C290" i="149" a="1"/>
  <c r="C22" i="149"/>
  <c r="C325" i="149" s="1"/>
  <c r="D320" i="149" s="1"/>
  <c r="C61" i="149"/>
  <c r="D58" i="149" s="1"/>
  <c r="D61" i="149" s="1"/>
  <c r="E58" i="149" s="1"/>
  <c r="E61" i="149" s="1"/>
  <c r="F58" i="149" s="1"/>
  <c r="F61" i="149" s="1"/>
  <c r="G58" i="149" s="1"/>
  <c r="G61" i="149" s="1"/>
  <c r="H58" i="149" s="1"/>
  <c r="H61" i="149" s="1"/>
  <c r="I58" i="149" s="1"/>
  <c r="I61" i="149" s="1"/>
  <c r="J58" i="149" s="1"/>
  <c r="J61" i="149" s="1"/>
  <c r="K58" i="149" s="1"/>
  <c r="K61" i="149" s="1"/>
  <c r="L58" i="149" s="1"/>
  <c r="L61" i="149" s="1"/>
  <c r="M58" i="149" s="1"/>
  <c r="M61" i="149" s="1"/>
  <c r="N58" i="149" s="1"/>
  <c r="N61" i="149" s="1"/>
  <c r="K64" i="149"/>
  <c r="J219" i="149"/>
  <c r="G64" i="149"/>
  <c r="E174" i="149"/>
  <c r="M246" i="149"/>
  <c r="F64" i="149"/>
  <c r="N64" i="149"/>
  <c r="H201" i="149"/>
  <c r="H64" i="149"/>
  <c r="J64" i="149"/>
  <c r="D110" i="149"/>
  <c r="E106" i="149" s="1"/>
  <c r="E110" i="149" s="1"/>
  <c r="F106" i="149" s="1"/>
  <c r="F110" i="149" s="1"/>
  <c r="G106" i="149" s="1"/>
  <c r="G110" i="149" s="1"/>
  <c r="H106" i="149" s="1"/>
  <c r="H110" i="149" s="1"/>
  <c r="I106" i="149" s="1"/>
  <c r="I110" i="149" s="1"/>
  <c r="J106" i="149" s="1"/>
  <c r="J110" i="149" s="1"/>
  <c r="K106" i="149" s="1"/>
  <c r="K110" i="149" s="1"/>
  <c r="L106" i="149" s="1"/>
  <c r="L110" i="149" s="1"/>
  <c r="M106" i="149" s="1"/>
  <c r="M110" i="149" s="1"/>
  <c r="N106" i="149" s="1"/>
  <c r="N110" i="149" s="1"/>
  <c r="G192" i="149"/>
  <c r="L64" i="149"/>
  <c r="D165" i="149"/>
  <c r="L237" i="149"/>
  <c r="E64" i="149"/>
  <c r="M64" i="149"/>
  <c r="I64" i="149"/>
  <c r="D103" i="149"/>
  <c r="E100" i="149" s="1"/>
  <c r="E103" i="149" s="1"/>
  <c r="F100" i="149" s="1"/>
  <c r="F103" i="149" s="1"/>
  <c r="G100" i="149" s="1"/>
  <c r="G103" i="149" s="1"/>
  <c r="H100" i="149" s="1"/>
  <c r="H103" i="149" s="1"/>
  <c r="I100" i="149" s="1"/>
  <c r="I103" i="149" s="1"/>
  <c r="J100" i="149" s="1"/>
  <c r="J103" i="149" s="1"/>
  <c r="K100" i="149" s="1"/>
  <c r="K103" i="149" s="1"/>
  <c r="L100" i="149" s="1"/>
  <c r="L103" i="149" s="1"/>
  <c r="M100" i="149" s="1"/>
  <c r="M103" i="149" s="1"/>
  <c r="N100" i="149" s="1"/>
  <c r="N103" i="149" s="1"/>
  <c r="I210" i="149"/>
  <c r="G263" i="149"/>
  <c r="F183" i="149"/>
  <c r="N255" i="149"/>
  <c r="K228" i="149"/>
  <c r="H263" i="149"/>
  <c r="I263" i="149"/>
  <c r="K263" i="149"/>
  <c r="J263" i="149"/>
  <c r="L263" i="149"/>
  <c r="E263" i="149"/>
  <c r="M263" i="149"/>
  <c r="N271" i="149" l="1"/>
  <c r="C156" i="149"/>
  <c r="C158" i="149" s="1"/>
  <c r="D155" i="149" s="1"/>
  <c r="L239" i="149"/>
  <c r="M236" i="149" s="1"/>
  <c r="I212" i="149"/>
  <c r="J209" i="149" s="1"/>
  <c r="J221" i="149"/>
  <c r="K218" i="149" s="1"/>
  <c r="M248" i="149"/>
  <c r="N245" i="149" s="1"/>
  <c r="G194" i="149"/>
  <c r="H191" i="149" s="1"/>
  <c r="M271" i="149"/>
  <c r="D167" i="149"/>
  <c r="E164" i="149" s="1"/>
  <c r="E176" i="149"/>
  <c r="F173" i="149" s="1"/>
  <c r="H203" i="149"/>
  <c r="I200" i="149" s="1"/>
  <c r="K323" i="149"/>
  <c r="J323" i="149"/>
  <c r="I323" i="149"/>
  <c r="L271" i="149"/>
  <c r="E47" i="149"/>
  <c r="F44" i="149" s="1"/>
  <c r="C273" i="149"/>
  <c r="C290" i="149"/>
  <c r="D64" i="149"/>
  <c r="D150" i="149"/>
  <c r="D157" i="149" s="1"/>
  <c r="D262" i="149" s="1"/>
  <c r="D322" i="149" s="1"/>
  <c r="F185" i="149"/>
  <c r="G182" i="149" s="1"/>
  <c r="N257" i="149"/>
  <c r="K230" i="149"/>
  <c r="L227" i="149" s="1"/>
  <c r="C274" i="149" l="1" a="1"/>
  <c r="C274" i="149" s="1"/>
  <c r="C285" i="149" s="1"/>
  <c r="C305" i="149"/>
  <c r="C317" i="149" s="1"/>
  <c r="E55" i="149"/>
  <c r="F51" i="149" s="1"/>
  <c r="F47" i="149"/>
  <c r="G44" i="149" s="1"/>
  <c r="D158" i="149"/>
  <c r="E155" i="149" s="1"/>
  <c r="F55" i="149" l="1"/>
  <c r="G51" i="149" s="1"/>
  <c r="G47" i="149"/>
  <c r="H44" i="149" s="1"/>
  <c r="G55" i="149" l="1"/>
  <c r="H51" i="149" s="1"/>
  <c r="H47" i="149"/>
  <c r="I44" i="149" s="1"/>
  <c r="H55" i="149" l="1"/>
  <c r="I51" i="149" s="1"/>
  <c r="I47" i="149"/>
  <c r="J44" i="149" s="1"/>
  <c r="I55" i="149" l="1"/>
  <c r="J51" i="149" s="1"/>
  <c r="J47" i="149"/>
  <c r="K44" i="149" s="1"/>
  <c r="J55" i="149" l="1"/>
  <c r="K51" i="149" s="1"/>
  <c r="K47" i="149"/>
  <c r="L44" i="149" s="1"/>
  <c r="K55" i="149" l="1"/>
  <c r="L51" i="149" s="1"/>
  <c r="L47" i="149"/>
  <c r="M44" i="149" s="1"/>
  <c r="L55" i="149" l="1"/>
  <c r="M51" i="149" s="1"/>
  <c r="M47" i="149"/>
  <c r="M55" i="149" l="1"/>
  <c r="N51" i="149" s="1"/>
  <c r="N44" i="149"/>
  <c r="N47" i="149" s="1"/>
  <c r="N55" i="149" l="1"/>
  <c r="N8" i="149" s="1"/>
  <c r="D56" i="84" l="1"/>
  <c r="N128" i="84" l="1"/>
  <c r="D128" i="84"/>
  <c r="M82" i="149" l="1"/>
  <c r="M73" i="149"/>
  <c r="C46" i="84"/>
  <c r="C49" i="84" s="1"/>
  <c r="C59" i="84" l="1"/>
  <c r="C94" i="84"/>
  <c r="D82" i="149"/>
  <c r="D62" i="84" l="1"/>
  <c r="D143" i="149" s="1"/>
  <c r="D146" i="149" l="1"/>
  <c r="D73" i="149"/>
  <c r="D91" i="149"/>
  <c r="D63" i="84"/>
  <c r="D64" i="84" s="1"/>
  <c r="G82" i="149" l="1"/>
  <c r="L82" i="149"/>
  <c r="H82" i="149"/>
  <c r="F82" i="149"/>
  <c r="J82" i="149"/>
  <c r="K82" i="149"/>
  <c r="E82" i="149"/>
  <c r="N82" i="149"/>
  <c r="I82" i="149"/>
  <c r="G73" i="149"/>
  <c r="G91" i="149"/>
  <c r="L91" i="149"/>
  <c r="L73" i="149"/>
  <c r="E73" i="149"/>
  <c r="E91" i="149"/>
  <c r="H73" i="149"/>
  <c r="H91" i="149"/>
  <c r="F73" i="149"/>
  <c r="F91" i="149"/>
  <c r="I73" i="149"/>
  <c r="I91" i="149"/>
  <c r="N73" i="149"/>
  <c r="N91" i="149"/>
  <c r="K91" i="149"/>
  <c r="K73" i="149"/>
  <c r="J73" i="149"/>
  <c r="J91" i="149"/>
  <c r="C91" i="84" l="1"/>
  <c r="N120" i="84" l="1"/>
  <c r="E120" i="84"/>
  <c r="D120" i="84"/>
  <c r="C120" i="84"/>
  <c r="G46" i="84" l="1"/>
  <c r="G49" i="84" s="1"/>
  <c r="H46" i="84"/>
  <c r="H49" i="84" s="1"/>
  <c r="I46" i="84"/>
  <c r="I49" i="84" s="1"/>
  <c r="J46" i="84"/>
  <c r="J49" i="84" s="1"/>
  <c r="K46" i="84"/>
  <c r="K49" i="84" s="1"/>
  <c r="L46" i="84"/>
  <c r="L49" i="84" s="1"/>
  <c r="M46" i="84"/>
  <c r="M49" i="84" s="1"/>
  <c r="N46" i="84"/>
  <c r="N49" i="84" s="1"/>
  <c r="J59" i="84" l="1"/>
  <c r="I72" i="84" s="1"/>
  <c r="J94" i="84"/>
  <c r="N59" i="84"/>
  <c r="M72" i="84" s="1"/>
  <c r="N94" i="84"/>
  <c r="M59" i="84"/>
  <c r="L72" i="84" s="1"/>
  <c r="M94" i="84"/>
  <c r="L59" i="84"/>
  <c r="K72" i="84" s="1"/>
  <c r="L94" i="84"/>
  <c r="K59" i="84"/>
  <c r="J72" i="84" s="1"/>
  <c r="K94" i="84"/>
  <c r="I59" i="84"/>
  <c r="H72" i="84" s="1"/>
  <c r="I94" i="84"/>
  <c r="H59" i="84"/>
  <c r="G72" i="84" s="1"/>
  <c r="H94" i="84"/>
  <c r="G59" i="84"/>
  <c r="F72" i="84" s="1"/>
  <c r="G94" i="84"/>
  <c r="K128" i="84"/>
  <c r="J128" i="84"/>
  <c r="M128" i="84"/>
  <c r="I128" i="84"/>
  <c r="G128" i="84"/>
  <c r="L128" i="84"/>
  <c r="H128" i="84"/>
  <c r="C5" i="84" l="1"/>
  <c r="C76" i="84"/>
  <c r="C77" i="84" s="1"/>
  <c r="C95" i="84" l="1"/>
  <c r="C105" i="84"/>
  <c r="C108" i="84"/>
  <c r="C79" i="84"/>
  <c r="C78" i="84" l="1"/>
  <c r="C107" i="84" s="1"/>
  <c r="C109" i="84" s="1"/>
  <c r="C106" i="84"/>
  <c r="C23" i="149" l="1"/>
  <c r="C24" i="149" s="1"/>
  <c r="C35" i="149" s="1"/>
  <c r="E56" i="84"/>
  <c r="E62" i="84" s="1"/>
  <c r="E143" i="149" s="1"/>
  <c r="N126" i="84"/>
  <c r="M126" i="84"/>
  <c r="L126" i="84"/>
  <c r="K126" i="84"/>
  <c r="J126" i="84"/>
  <c r="I126" i="84"/>
  <c r="H126" i="84"/>
  <c r="G126" i="84"/>
  <c r="F46" i="84"/>
  <c r="E46" i="84"/>
  <c r="D46" i="84"/>
  <c r="D49" i="84" s="1"/>
  <c r="N5" i="84"/>
  <c r="E5" i="84"/>
  <c r="E84" i="84" s="1"/>
  <c r="E85" i="84" s="1"/>
  <c r="D5" i="84"/>
  <c r="D84" i="84" s="1"/>
  <c r="D85" i="84" s="1"/>
  <c r="H138" i="84" l="1"/>
  <c r="H140" i="84"/>
  <c r="I138" i="84"/>
  <c r="I140" i="84"/>
  <c r="J138" i="84"/>
  <c r="J140" i="84"/>
  <c r="L138" i="84"/>
  <c r="L140" i="84"/>
  <c r="M138" i="84"/>
  <c r="M140" i="84"/>
  <c r="N138" i="84"/>
  <c r="N140" i="84"/>
  <c r="K138" i="84"/>
  <c r="K140" i="84"/>
  <c r="G138" i="84"/>
  <c r="G140" i="84"/>
  <c r="C96" i="84"/>
  <c r="C97" i="84" s="1"/>
  <c r="N84" i="84"/>
  <c r="N85" i="84" s="1"/>
  <c r="D59" i="84"/>
  <c r="D94" i="84"/>
  <c r="E49" i="84"/>
  <c r="B328" i="149" s="1" a="1"/>
  <c r="B328" i="149" s="1"/>
  <c r="M144" i="84"/>
  <c r="M145" i="84"/>
  <c r="F49" i="84"/>
  <c r="D126" i="84"/>
  <c r="E86" i="84"/>
  <c r="E83" i="84"/>
  <c r="E144" i="149" s="1"/>
  <c r="E147" i="149" s="1"/>
  <c r="E113" i="84"/>
  <c r="D86" i="84"/>
  <c r="D83" i="84"/>
  <c r="D113" i="84"/>
  <c r="E146" i="149"/>
  <c r="D142" i="149"/>
  <c r="D145" i="149" s="1"/>
  <c r="K148" i="149"/>
  <c r="D148" i="149"/>
  <c r="D168" i="149" s="1"/>
  <c r="G148" i="149"/>
  <c r="H148" i="149"/>
  <c r="E148" i="149"/>
  <c r="N148" i="149"/>
  <c r="F40" i="149"/>
  <c r="F270" i="149" s="1"/>
  <c r="F113" i="149"/>
  <c r="F140" i="149" s="1"/>
  <c r="F15" i="149"/>
  <c r="L148" i="149"/>
  <c r="M148" i="149"/>
  <c r="I148" i="149"/>
  <c r="E142" i="149"/>
  <c r="E145" i="149" s="1"/>
  <c r="J148" i="149"/>
  <c r="E63" i="84"/>
  <c r="E64" i="84" s="1"/>
  <c r="D127" i="84"/>
  <c r="N127" i="84"/>
  <c r="H127" i="84"/>
  <c r="L127" i="84"/>
  <c r="E127" i="84"/>
  <c r="I127" i="84"/>
  <c r="M127" i="84"/>
  <c r="M137" i="84" s="1"/>
  <c r="F127" i="84"/>
  <c r="J127" i="84"/>
  <c r="G127" i="84"/>
  <c r="K127" i="84"/>
  <c r="E128" i="84"/>
  <c r="F128" i="84"/>
  <c r="F120" i="84"/>
  <c r="E114" i="84"/>
  <c r="F5" i="84"/>
  <c r="F56" i="84"/>
  <c r="F62" i="84" s="1"/>
  <c r="F143" i="149" s="1"/>
  <c r="F137" i="84" l="1"/>
  <c r="J141" i="84"/>
  <c r="I139" i="84"/>
  <c r="I137" i="84"/>
  <c r="I141" i="84" s="1"/>
  <c r="G141" i="84"/>
  <c r="K139" i="84"/>
  <c r="K137" i="84"/>
  <c r="K141" i="84" s="1"/>
  <c r="L139" i="84"/>
  <c r="L137" i="84"/>
  <c r="L141" i="84" s="1"/>
  <c r="N141" i="84"/>
  <c r="G139" i="84"/>
  <c r="G137" i="84"/>
  <c r="N137" i="84"/>
  <c r="N139" i="84"/>
  <c r="E137" i="84"/>
  <c r="E139" i="84"/>
  <c r="H139" i="84"/>
  <c r="H137" i="84"/>
  <c r="J139" i="84"/>
  <c r="J137" i="84"/>
  <c r="D139" i="84"/>
  <c r="D137" i="84"/>
  <c r="D138" i="84"/>
  <c r="D140" i="84"/>
  <c r="M141" i="84"/>
  <c r="H141" i="84"/>
  <c r="E126" i="84"/>
  <c r="E138" i="84" s="1"/>
  <c r="E59" i="84"/>
  <c r="D72" i="84" s="1"/>
  <c r="E94" i="84"/>
  <c r="E85" i="149" s="1"/>
  <c r="F59" i="84"/>
  <c r="E72" i="84" s="1"/>
  <c r="F94" i="84"/>
  <c r="F76" i="149" s="1"/>
  <c r="F148" i="149"/>
  <c r="F126" i="84"/>
  <c r="D114" i="84"/>
  <c r="E177" i="149"/>
  <c r="D144" i="149"/>
  <c r="D147" i="149" s="1"/>
  <c r="D159" i="149"/>
  <c r="D161" i="149" s="1"/>
  <c r="B289" i="149" a="1"/>
  <c r="B273" i="149" a="1"/>
  <c r="B273" i="149" s="1"/>
  <c r="D273" i="149" s="1"/>
  <c r="F84" i="84"/>
  <c r="E157" i="149"/>
  <c r="E151" i="149" s="1"/>
  <c r="E150" i="149" s="1"/>
  <c r="E166" i="149" s="1"/>
  <c r="E167" i="149" s="1"/>
  <c r="F164" i="149" s="1"/>
  <c r="D112" i="84"/>
  <c r="E112" i="84"/>
  <c r="N76" i="149"/>
  <c r="I76" i="149"/>
  <c r="H145" i="84"/>
  <c r="H144" i="84"/>
  <c r="D145" i="84"/>
  <c r="J145" i="84"/>
  <c r="J144" i="84"/>
  <c r="L76" i="149"/>
  <c r="H76" i="149"/>
  <c r="E144" i="84"/>
  <c r="E145" i="84"/>
  <c r="F146" i="149"/>
  <c r="K144" i="84"/>
  <c r="K145" i="84"/>
  <c r="G76" i="149"/>
  <c r="M76" i="149"/>
  <c r="F142" i="149"/>
  <c r="F145" i="149" s="1"/>
  <c r="J76" i="149"/>
  <c r="G144" i="84"/>
  <c r="G145" i="84"/>
  <c r="K76" i="149"/>
  <c r="L144" i="84"/>
  <c r="L145" i="84"/>
  <c r="I145" i="84"/>
  <c r="I144" i="84"/>
  <c r="N144" i="84"/>
  <c r="N145" i="84"/>
  <c r="D144" i="84"/>
  <c r="I94" i="149"/>
  <c r="I67" i="149"/>
  <c r="I85" i="149"/>
  <c r="E168" i="149"/>
  <c r="E159" i="149"/>
  <c r="E161" i="149" s="1"/>
  <c r="E94" i="149"/>
  <c r="E67" i="149"/>
  <c r="L67" i="149"/>
  <c r="L85" i="149"/>
  <c r="L94" i="149"/>
  <c r="K67" i="149"/>
  <c r="K85" i="149"/>
  <c r="K94" i="149"/>
  <c r="J94" i="149"/>
  <c r="J67" i="149"/>
  <c r="J85" i="149"/>
  <c r="M85" i="149"/>
  <c r="M67" i="149"/>
  <c r="M94" i="149"/>
  <c r="N85" i="149"/>
  <c r="N94" i="149"/>
  <c r="N67" i="149"/>
  <c r="H94" i="149"/>
  <c r="H67" i="149"/>
  <c r="H85" i="149"/>
  <c r="G113" i="149"/>
  <c r="G140" i="149" s="1"/>
  <c r="G15" i="149"/>
  <c r="G40" i="149"/>
  <c r="G270" i="149" s="1"/>
  <c r="G94" i="149"/>
  <c r="G67" i="149"/>
  <c r="G85" i="149"/>
  <c r="D67" i="149"/>
  <c r="D85" i="149"/>
  <c r="D76" i="149"/>
  <c r="D94" i="149"/>
  <c r="E36" i="84"/>
  <c r="E91" i="84" s="1"/>
  <c r="E96" i="84" s="1"/>
  <c r="J95" i="84"/>
  <c r="M95" i="84"/>
  <c r="I95" i="84"/>
  <c r="F95" i="84"/>
  <c r="E95" i="84"/>
  <c r="D95" i="84"/>
  <c r="K95" i="84"/>
  <c r="L95" i="84"/>
  <c r="N95" i="84"/>
  <c r="F63" i="84"/>
  <c r="F64" i="84" s="1"/>
  <c r="G95" i="84"/>
  <c r="H95" i="84"/>
  <c r="N66" i="84"/>
  <c r="E87" i="84"/>
  <c r="E88" i="84" s="1"/>
  <c r="F66" i="84"/>
  <c r="E147" i="84"/>
  <c r="G120" i="84"/>
  <c r="G147" i="84"/>
  <c r="M147" i="84"/>
  <c r="M148" i="84" s="1"/>
  <c r="M65" i="149" s="1"/>
  <c r="L147" i="84"/>
  <c r="K147" i="84"/>
  <c r="J147" i="84"/>
  <c r="I147" i="84"/>
  <c r="H147" i="84"/>
  <c r="G5" i="84"/>
  <c r="D115" i="84"/>
  <c r="E115" i="84"/>
  <c r="D101" i="84"/>
  <c r="D116" i="84"/>
  <c r="E101" i="84"/>
  <c r="E116" i="84"/>
  <c r="F101" i="84"/>
  <c r="G66" i="84"/>
  <c r="K101" i="84"/>
  <c r="K116" i="84"/>
  <c r="I87" i="84"/>
  <c r="K66" i="84"/>
  <c r="J101" i="84"/>
  <c r="J116" i="84"/>
  <c r="G101" i="84"/>
  <c r="G116" i="84"/>
  <c r="M101" i="84"/>
  <c r="M116" i="84"/>
  <c r="L87" i="84"/>
  <c r="L116" i="84"/>
  <c r="L101" i="84"/>
  <c r="J66" i="84"/>
  <c r="M87" i="84"/>
  <c r="H116" i="84"/>
  <c r="H101" i="84"/>
  <c r="N116" i="84"/>
  <c r="N101" i="84"/>
  <c r="I116" i="84"/>
  <c r="I101" i="84"/>
  <c r="G56" i="84"/>
  <c r="G62" i="84" s="1"/>
  <c r="G143" i="149" s="1"/>
  <c r="D66" i="84"/>
  <c r="C80" i="84"/>
  <c r="M66" i="84"/>
  <c r="G87" i="84"/>
  <c r="D87" i="84"/>
  <c r="D88" i="84" s="1"/>
  <c r="N87" i="84"/>
  <c r="L66" i="84"/>
  <c r="K87" i="84"/>
  <c r="J87" i="84"/>
  <c r="I66" i="84"/>
  <c r="F87" i="84"/>
  <c r="E66" i="84"/>
  <c r="H66" i="84"/>
  <c r="H87" i="84"/>
  <c r="F144" i="84" l="1"/>
  <c r="F138" i="84"/>
  <c r="D141" i="84"/>
  <c r="E76" i="149"/>
  <c r="F139" i="84"/>
  <c r="E141" i="84"/>
  <c r="F140" i="84"/>
  <c r="F147" i="84" s="1"/>
  <c r="F67" i="149"/>
  <c r="F85" i="149"/>
  <c r="F116" i="84"/>
  <c r="F94" i="149"/>
  <c r="K148" i="84"/>
  <c r="L148" i="84"/>
  <c r="F83" i="84"/>
  <c r="F144" i="149" s="1"/>
  <c r="F147" i="149" s="1"/>
  <c r="F292" i="149" s="1"/>
  <c r="F85" i="84"/>
  <c r="F86" i="84" s="1"/>
  <c r="F115" i="84" s="1"/>
  <c r="F117" i="84" s="1"/>
  <c r="H148" i="84"/>
  <c r="F186" i="149"/>
  <c r="J148" i="84"/>
  <c r="I148" i="84"/>
  <c r="F145" i="84"/>
  <c r="E148" i="84"/>
  <c r="G148" i="84"/>
  <c r="D146" i="84"/>
  <c r="E71" i="84"/>
  <c r="D305" i="149"/>
  <c r="H146" i="84"/>
  <c r="N146" i="84"/>
  <c r="K146" i="84"/>
  <c r="J146" i="84"/>
  <c r="I146" i="84"/>
  <c r="E146" i="84"/>
  <c r="L146" i="84"/>
  <c r="G146" i="84"/>
  <c r="E262" i="149"/>
  <c r="F151" i="149" s="1"/>
  <c r="F150" i="149" s="1"/>
  <c r="F175" i="149" s="1"/>
  <c r="F176" i="149" s="1"/>
  <c r="G173" i="149" s="1"/>
  <c r="F113" i="84"/>
  <c r="B289" i="149"/>
  <c r="E291" i="149"/>
  <c r="F291" i="149" s="1"/>
  <c r="D290" i="149"/>
  <c r="E290" i="149" s="1"/>
  <c r="G84" i="84"/>
  <c r="G85" i="84" s="1"/>
  <c r="E158" i="149"/>
  <c r="F155" i="149" s="1"/>
  <c r="F157" i="149" s="1"/>
  <c r="E273" i="149"/>
  <c r="F273" i="149" s="1"/>
  <c r="E65" i="84"/>
  <c r="E100" i="84" s="1"/>
  <c r="E102" i="84" s="1"/>
  <c r="F177" i="149"/>
  <c r="G146" i="149"/>
  <c r="G195" i="149" s="1"/>
  <c r="E92" i="149"/>
  <c r="E93" i="149" s="1"/>
  <c r="D83" i="149"/>
  <c r="D84" i="149" s="1"/>
  <c r="M92" i="149"/>
  <c r="M93" i="149" s="1"/>
  <c r="G142" i="149"/>
  <c r="G145" i="149" s="1"/>
  <c r="G186" i="149" s="1"/>
  <c r="L83" i="149"/>
  <c r="L84" i="149" s="1"/>
  <c r="G83" i="149"/>
  <c r="G84" i="149" s="1"/>
  <c r="K83" i="149"/>
  <c r="K84" i="149" s="1"/>
  <c r="L92" i="149"/>
  <c r="L93" i="149" s="1"/>
  <c r="K92" i="149"/>
  <c r="K93" i="149" s="1"/>
  <c r="H92" i="149"/>
  <c r="H93" i="149" s="1"/>
  <c r="I83" i="149"/>
  <c r="I84" i="149" s="1"/>
  <c r="N83" i="149"/>
  <c r="N84" i="149" s="1"/>
  <c r="G92" i="149"/>
  <c r="G93" i="149" s="1"/>
  <c r="F92" i="149"/>
  <c r="F93" i="149" s="1"/>
  <c r="J92" i="149"/>
  <c r="J93" i="149" s="1"/>
  <c r="H83" i="149"/>
  <c r="H84" i="149" s="1"/>
  <c r="E83" i="149"/>
  <c r="E84" i="149" s="1"/>
  <c r="D92" i="149"/>
  <c r="D93" i="149" s="1"/>
  <c r="N92" i="149"/>
  <c r="N93" i="149" s="1"/>
  <c r="I92" i="149"/>
  <c r="I93" i="149" s="1"/>
  <c r="J83" i="149"/>
  <c r="J84" i="149" s="1"/>
  <c r="M83" i="149"/>
  <c r="M84" i="149" s="1"/>
  <c r="H15" i="149"/>
  <c r="H113" i="149"/>
  <c r="H140" i="149" s="1"/>
  <c r="H40" i="149"/>
  <c r="H270" i="149" s="1"/>
  <c r="F166" i="149"/>
  <c r="F168" i="149"/>
  <c r="E97" i="84"/>
  <c r="G63" i="84"/>
  <c r="G64" i="84" s="1"/>
  <c r="F36" i="84"/>
  <c r="H56" i="84"/>
  <c r="H62" i="84" s="1"/>
  <c r="H143" i="149" s="1"/>
  <c r="H5" i="84"/>
  <c r="H120" i="84"/>
  <c r="E117" i="84"/>
  <c r="D117" i="84"/>
  <c r="F112" i="84" l="1"/>
  <c r="F148" i="84"/>
  <c r="F141" i="84"/>
  <c r="F83" i="149"/>
  <c r="F84" i="149" s="1"/>
  <c r="F146" i="84"/>
  <c r="F74" i="149" s="1"/>
  <c r="F75" i="149" s="1"/>
  <c r="F158" i="149"/>
  <c r="G155" i="149" s="1"/>
  <c r="F71" i="84"/>
  <c r="F305" i="149"/>
  <c r="E305" i="149"/>
  <c r="F114" i="84"/>
  <c r="E68" i="149"/>
  <c r="E322" i="149"/>
  <c r="E67" i="84"/>
  <c r="H84" i="84"/>
  <c r="H85" i="84" s="1"/>
  <c r="E31" i="149"/>
  <c r="G113" i="84"/>
  <c r="G83" i="84"/>
  <c r="F290" i="149"/>
  <c r="G290" i="149" s="1"/>
  <c r="F159" i="149"/>
  <c r="F161" i="149" s="1"/>
  <c r="G292" i="149"/>
  <c r="G291" i="149"/>
  <c r="G273" i="149"/>
  <c r="F88" i="84"/>
  <c r="G86" i="84"/>
  <c r="G114" i="84"/>
  <c r="F262" i="149"/>
  <c r="F322" i="149" s="1"/>
  <c r="F65" i="84"/>
  <c r="F67" i="84" s="1"/>
  <c r="F167" i="149"/>
  <c r="G164" i="149" s="1"/>
  <c r="G166" i="149" s="1"/>
  <c r="G167" i="149" s="1"/>
  <c r="H164" i="149" s="1"/>
  <c r="H142" i="149"/>
  <c r="H145" i="149" s="1"/>
  <c r="I74" i="149"/>
  <c r="I75" i="149" s="1"/>
  <c r="I149" i="149"/>
  <c r="N149" i="149"/>
  <c r="N74" i="149"/>
  <c r="H74" i="149"/>
  <c r="H75" i="149" s="1"/>
  <c r="H149" i="149"/>
  <c r="H146" i="149"/>
  <c r="H204" i="149" s="1"/>
  <c r="M149" i="149"/>
  <c r="M74" i="149"/>
  <c r="D74" i="149"/>
  <c r="D75" i="149" s="1"/>
  <c r="D149" i="149"/>
  <c r="E149" i="149"/>
  <c r="E178" i="149" s="1"/>
  <c r="E74" i="149"/>
  <c r="E75" i="149" s="1"/>
  <c r="G74" i="149"/>
  <c r="G75" i="149" s="1"/>
  <c r="G149" i="149"/>
  <c r="L149" i="149"/>
  <c r="L74" i="149"/>
  <c r="L75" i="149" s="1"/>
  <c r="J149" i="149"/>
  <c r="J74" i="149"/>
  <c r="J75" i="149" s="1"/>
  <c r="K149" i="149"/>
  <c r="K74" i="149"/>
  <c r="K75" i="149" s="1"/>
  <c r="E77" i="149"/>
  <c r="G159" i="149"/>
  <c r="G161" i="149" s="1"/>
  <c r="G157" i="149"/>
  <c r="G158" i="149" s="1"/>
  <c r="H155" i="149" s="1"/>
  <c r="E95" i="149"/>
  <c r="E96" i="149" s="1"/>
  <c r="I40" i="149"/>
  <c r="I270" i="149" s="1"/>
  <c r="I113" i="149"/>
  <c r="I140" i="149" s="1"/>
  <c r="I15" i="149"/>
  <c r="F18" i="149"/>
  <c r="F19" i="149" s="1"/>
  <c r="D18" i="149"/>
  <c r="D19" i="149" s="1"/>
  <c r="E18" i="149"/>
  <c r="E19" i="149" s="1"/>
  <c r="E86" i="149"/>
  <c r="E87" i="149" s="1"/>
  <c r="G175" i="149"/>
  <c r="G176" i="149" s="1"/>
  <c r="H173" i="149" s="1"/>
  <c r="G177" i="149"/>
  <c r="G36" i="84"/>
  <c r="G91" i="84" s="1"/>
  <c r="G96" i="84" s="1"/>
  <c r="H63" i="84"/>
  <c r="H64" i="84" s="1"/>
  <c r="F91" i="84"/>
  <c r="F96" i="84" s="1"/>
  <c r="I56" i="84"/>
  <c r="I62" i="84" s="1"/>
  <c r="I143" i="149" s="1"/>
  <c r="I120" i="84"/>
  <c r="I5" i="84"/>
  <c r="F149" i="149" l="1"/>
  <c r="G152" i="149"/>
  <c r="F73" i="84"/>
  <c r="G71" i="84"/>
  <c r="E73" i="84"/>
  <c r="G305" i="149"/>
  <c r="F187" i="149"/>
  <c r="G196" i="149"/>
  <c r="H205" i="149"/>
  <c r="G169" i="149"/>
  <c r="D169" i="149"/>
  <c r="D265" i="149" s="1"/>
  <c r="G187" i="149"/>
  <c r="G188" i="149" s="1"/>
  <c r="H187" i="149"/>
  <c r="I84" i="84"/>
  <c r="I85" i="84" s="1"/>
  <c r="F100" i="84"/>
  <c r="F102" i="84" s="1"/>
  <c r="G144" i="149"/>
  <c r="G147" i="149" s="1"/>
  <c r="G293" i="149" s="1"/>
  <c r="H293" i="149" s="1"/>
  <c r="G112" i="84"/>
  <c r="H195" i="149"/>
  <c r="H290" i="149"/>
  <c r="H292" i="149"/>
  <c r="H291" i="149"/>
  <c r="H273" i="149"/>
  <c r="G168" i="149"/>
  <c r="H113" i="84"/>
  <c r="H83" i="84"/>
  <c r="H144" i="149" s="1"/>
  <c r="H147" i="149" s="1"/>
  <c r="H294" i="149" s="1"/>
  <c r="G115" i="84"/>
  <c r="G117" i="84" s="1"/>
  <c r="G88" i="84"/>
  <c r="G65" i="84"/>
  <c r="E169" i="149"/>
  <c r="E265" i="149" s="1"/>
  <c r="F169" i="149"/>
  <c r="E78" i="149"/>
  <c r="H196" i="149"/>
  <c r="H169" i="149"/>
  <c r="F178" i="149"/>
  <c r="F179" i="149" s="1"/>
  <c r="E65" i="149"/>
  <c r="E66" i="149" s="1"/>
  <c r="E69" i="149" s="1"/>
  <c r="G178" i="149"/>
  <c r="G179" i="149" s="1"/>
  <c r="H178" i="149"/>
  <c r="M66" i="149"/>
  <c r="H65" i="149"/>
  <c r="H66" i="149" s="1"/>
  <c r="G65" i="149"/>
  <c r="G66" i="149" s="1"/>
  <c r="J65" i="149"/>
  <c r="J66" i="149" s="1"/>
  <c r="K65" i="149"/>
  <c r="K66" i="149" s="1"/>
  <c r="I146" i="149"/>
  <c r="I213" i="149" s="1"/>
  <c r="F65" i="149"/>
  <c r="F66" i="149" s="1"/>
  <c r="I65" i="149"/>
  <c r="I66" i="149" s="1"/>
  <c r="I142" i="149"/>
  <c r="I145" i="149" s="1"/>
  <c r="I187" i="149" s="1"/>
  <c r="L65" i="149"/>
  <c r="L66" i="149" s="1"/>
  <c r="H157" i="149"/>
  <c r="H158" i="149" s="1"/>
  <c r="I155" i="149" s="1"/>
  <c r="H159" i="149"/>
  <c r="H161" i="149" s="1"/>
  <c r="H166" i="149"/>
  <c r="H167" i="149" s="1"/>
  <c r="I164" i="149" s="1"/>
  <c r="H168" i="149"/>
  <c r="G151" i="149"/>
  <c r="G150" i="149" s="1"/>
  <c r="G184" i="149" s="1"/>
  <c r="G185" i="149" s="1"/>
  <c r="J40" i="149"/>
  <c r="J270" i="149" s="1"/>
  <c r="J113" i="149"/>
  <c r="J140" i="149" s="1"/>
  <c r="J15" i="149"/>
  <c r="H177" i="149"/>
  <c r="H175" i="149"/>
  <c r="H176" i="149" s="1"/>
  <c r="I173" i="149" s="1"/>
  <c r="E179" i="149"/>
  <c r="F97" i="84"/>
  <c r="I63" i="84"/>
  <c r="I64" i="84" s="1"/>
  <c r="H36" i="84"/>
  <c r="J120" i="84"/>
  <c r="J56" i="84"/>
  <c r="J62" i="84" s="1"/>
  <c r="J143" i="149" s="1"/>
  <c r="J5" i="84"/>
  <c r="G97" i="84"/>
  <c r="G197" i="149" l="1"/>
  <c r="G265" i="149"/>
  <c r="F188" i="149"/>
  <c r="F265" i="149"/>
  <c r="H265" i="149"/>
  <c r="H71" i="84"/>
  <c r="H305" i="149"/>
  <c r="G170" i="149"/>
  <c r="I214" i="149"/>
  <c r="F68" i="149"/>
  <c r="F69" i="149" s="1"/>
  <c r="G68" i="149"/>
  <c r="G69" i="149" s="1"/>
  <c r="G67" i="84"/>
  <c r="F31" i="149"/>
  <c r="J84" i="84"/>
  <c r="H197" i="149"/>
  <c r="I178" i="149"/>
  <c r="I294" i="149"/>
  <c r="I292" i="149"/>
  <c r="I291" i="149"/>
  <c r="I290" i="149"/>
  <c r="I293" i="149"/>
  <c r="I273" i="149"/>
  <c r="G18" i="149"/>
  <c r="G19" i="149" s="1"/>
  <c r="I113" i="84"/>
  <c r="I83" i="84"/>
  <c r="I144" i="149" s="1"/>
  <c r="I147" i="149" s="1"/>
  <c r="I295" i="149" s="1"/>
  <c r="H112" i="84"/>
  <c r="H86" i="84"/>
  <c r="H114" i="84"/>
  <c r="H65" i="84"/>
  <c r="G100" i="84"/>
  <c r="G102" i="84" s="1"/>
  <c r="F170" i="149"/>
  <c r="E170" i="149"/>
  <c r="E267" i="149" s="1"/>
  <c r="D170" i="149"/>
  <c r="D267" i="149" s="1"/>
  <c r="H170" i="149"/>
  <c r="I196" i="149"/>
  <c r="H206" i="149"/>
  <c r="H152" i="149"/>
  <c r="I169" i="149"/>
  <c r="I204" i="149"/>
  <c r="I205" i="149"/>
  <c r="J142" i="149"/>
  <c r="J145" i="149" s="1"/>
  <c r="J187" i="149" s="1"/>
  <c r="J146" i="149"/>
  <c r="H179" i="149"/>
  <c r="G262" i="149"/>
  <c r="G322" i="149" s="1"/>
  <c r="H182" i="149"/>
  <c r="I168" i="149"/>
  <c r="I166" i="149"/>
  <c r="I167" i="149" s="1"/>
  <c r="J164" i="149" s="1"/>
  <c r="I157" i="149"/>
  <c r="I152" i="149" s="1"/>
  <c r="I159" i="149"/>
  <c r="I161" i="149" s="1"/>
  <c r="K40" i="149"/>
  <c r="K270" i="149" s="1"/>
  <c r="K113" i="149"/>
  <c r="K140" i="149" s="1"/>
  <c r="K15" i="149"/>
  <c r="I175" i="149"/>
  <c r="I176" i="149" s="1"/>
  <c r="J173" i="149" s="1"/>
  <c r="I177" i="149"/>
  <c r="G77" i="149"/>
  <c r="G78" i="149" s="1"/>
  <c r="G95" i="149"/>
  <c r="G96" i="149" s="1"/>
  <c r="G86" i="149"/>
  <c r="G87" i="149" s="1"/>
  <c r="F95" i="149"/>
  <c r="F96" i="149" s="1"/>
  <c r="F77" i="149"/>
  <c r="F78" i="149" s="1"/>
  <c r="F86" i="149"/>
  <c r="F87" i="149" s="1"/>
  <c r="I36" i="84"/>
  <c r="I91" i="84" s="1"/>
  <c r="I96" i="84" s="1"/>
  <c r="J63" i="84"/>
  <c r="J64" i="84" s="1"/>
  <c r="H91" i="84"/>
  <c r="H96" i="84" s="1"/>
  <c r="K5" i="84"/>
  <c r="K56" i="84"/>
  <c r="K62" i="84" s="1"/>
  <c r="K143" i="149" s="1"/>
  <c r="K120" i="84"/>
  <c r="J83" i="84" l="1"/>
  <c r="J144" i="149" s="1"/>
  <c r="J147" i="149" s="1"/>
  <c r="J296" i="149" s="1"/>
  <c r="J85" i="84"/>
  <c r="J86" i="84" s="1"/>
  <c r="G267" i="149"/>
  <c r="F267" i="149"/>
  <c r="I265" i="149"/>
  <c r="I71" i="84"/>
  <c r="G73" i="84"/>
  <c r="I305" i="149"/>
  <c r="J222" i="149"/>
  <c r="J223" i="149"/>
  <c r="H186" i="149"/>
  <c r="H188" i="149" s="1"/>
  <c r="J112" i="84"/>
  <c r="J113" i="84"/>
  <c r="H100" i="84"/>
  <c r="H102" i="84" s="1"/>
  <c r="H67" i="84"/>
  <c r="K84" i="84"/>
  <c r="K85" i="84" s="1"/>
  <c r="I179" i="149"/>
  <c r="G31" i="149"/>
  <c r="J290" i="149"/>
  <c r="J291" i="149"/>
  <c r="J292" i="149"/>
  <c r="J294" i="149"/>
  <c r="J295" i="149"/>
  <c r="J293" i="149"/>
  <c r="J273" i="149"/>
  <c r="J305" i="149" s="1"/>
  <c r="I112" i="84"/>
  <c r="I86" i="84"/>
  <c r="I114" i="84"/>
  <c r="H115" i="84"/>
  <c r="H117" i="84" s="1"/>
  <c r="H88" i="84"/>
  <c r="I65" i="84"/>
  <c r="I67" i="84" s="1"/>
  <c r="H151" i="149"/>
  <c r="H150" i="149" s="1"/>
  <c r="H193" i="149" s="1"/>
  <c r="H194" i="149" s="1"/>
  <c r="I191" i="149" s="1"/>
  <c r="I170" i="149"/>
  <c r="I215" i="149"/>
  <c r="J178" i="149"/>
  <c r="I206" i="149"/>
  <c r="J214" i="149"/>
  <c r="J169" i="149"/>
  <c r="J196" i="149"/>
  <c r="I158" i="149"/>
  <c r="J155" i="149" s="1"/>
  <c r="J159" i="149" s="1"/>
  <c r="J161" i="149" s="1"/>
  <c r="J205" i="149"/>
  <c r="J213" i="149"/>
  <c r="K146" i="149"/>
  <c r="K142" i="149"/>
  <c r="K145" i="149" s="1"/>
  <c r="K187" i="149" s="1"/>
  <c r="H184" i="149"/>
  <c r="H185" i="149" s="1"/>
  <c r="L40" i="149"/>
  <c r="L270" i="149" s="1"/>
  <c r="L113" i="149"/>
  <c r="L140" i="149" s="1"/>
  <c r="L15" i="149"/>
  <c r="J177" i="149"/>
  <c r="J175" i="149"/>
  <c r="J176" i="149" s="1"/>
  <c r="K173" i="149" s="1"/>
  <c r="J168" i="149"/>
  <c r="J166" i="149"/>
  <c r="J167" i="149" s="1"/>
  <c r="K164" i="149" s="1"/>
  <c r="I97" i="84"/>
  <c r="H97" i="84"/>
  <c r="J36" i="84"/>
  <c r="K63" i="84"/>
  <c r="K64" i="84" s="1"/>
  <c r="L120" i="84"/>
  <c r="L5" i="84"/>
  <c r="L56" i="84"/>
  <c r="L62" i="84" s="1"/>
  <c r="L143" i="149" s="1"/>
  <c r="J265" i="149" l="1"/>
  <c r="I73" i="84"/>
  <c r="J71" i="84"/>
  <c r="H73" i="84"/>
  <c r="J114" i="84"/>
  <c r="H68" i="149"/>
  <c r="H69" i="149" s="1"/>
  <c r="I68" i="149"/>
  <c r="I69" i="149" s="1"/>
  <c r="K231" i="149"/>
  <c r="K232" i="149"/>
  <c r="H31" i="149"/>
  <c r="I100" i="84"/>
  <c r="I102" i="84" s="1"/>
  <c r="K290" i="149"/>
  <c r="L84" i="84"/>
  <c r="K295" i="149"/>
  <c r="K294" i="149"/>
  <c r="K292" i="149"/>
  <c r="J224" i="149"/>
  <c r="K293" i="149"/>
  <c r="K205" i="149"/>
  <c r="K296" i="149"/>
  <c r="K291" i="149"/>
  <c r="K273" i="149"/>
  <c r="K305" i="149" s="1"/>
  <c r="K113" i="84"/>
  <c r="K83" i="84"/>
  <c r="K144" i="149" s="1"/>
  <c r="K147" i="149" s="1"/>
  <c r="K297" i="149" s="1"/>
  <c r="J115" i="84"/>
  <c r="J117" i="84" s="1"/>
  <c r="J88" i="84"/>
  <c r="H18" i="149"/>
  <c r="H19" i="149" s="1"/>
  <c r="I115" i="84"/>
  <c r="I117" i="84" s="1"/>
  <c r="I88" i="84"/>
  <c r="J65" i="84"/>
  <c r="H262" i="149"/>
  <c r="J179" i="149"/>
  <c r="J215" i="149"/>
  <c r="J170" i="149"/>
  <c r="K178" i="149"/>
  <c r="K214" i="149"/>
  <c r="K196" i="149"/>
  <c r="J157" i="149"/>
  <c r="J158" i="149" s="1"/>
  <c r="K155" i="149" s="1"/>
  <c r="K157" i="149" s="1"/>
  <c r="K158" i="149" s="1"/>
  <c r="L155" i="149" s="1"/>
  <c r="K222" i="149"/>
  <c r="K223" i="149"/>
  <c r="K169" i="149"/>
  <c r="L146" i="149"/>
  <c r="L142" i="149"/>
  <c r="L145" i="149" s="1"/>
  <c r="L187" i="149" s="1"/>
  <c r="I182" i="149"/>
  <c r="M40" i="149"/>
  <c r="M270" i="149" s="1"/>
  <c r="M113" i="149"/>
  <c r="M140" i="149" s="1"/>
  <c r="M15" i="149"/>
  <c r="H267" i="149"/>
  <c r="I193" i="149"/>
  <c r="I194" i="149" s="1"/>
  <c r="J191" i="149" s="1"/>
  <c r="I195" i="149"/>
  <c r="K168" i="149"/>
  <c r="K166" i="149"/>
  <c r="K167" i="149" s="1"/>
  <c r="L164" i="149" s="1"/>
  <c r="K175" i="149"/>
  <c r="K176" i="149" s="1"/>
  <c r="L173" i="149" s="1"/>
  <c r="K177" i="149"/>
  <c r="I86" i="149"/>
  <c r="I87" i="149" s="1"/>
  <c r="I77" i="149"/>
  <c r="I78" i="149" s="1"/>
  <c r="I95" i="149"/>
  <c r="I96" i="149" s="1"/>
  <c r="H77" i="149"/>
  <c r="H78" i="149" s="1"/>
  <c r="H86" i="149"/>
  <c r="H87" i="149" s="1"/>
  <c r="H95" i="149"/>
  <c r="H96" i="149" s="1"/>
  <c r="J91" i="84"/>
  <c r="J96" i="84" s="1"/>
  <c r="L63" i="84"/>
  <c r="L64" i="84" s="1"/>
  <c r="M120" i="84"/>
  <c r="M5" i="84"/>
  <c r="M62" i="84"/>
  <c r="K36" i="84"/>
  <c r="L113" i="84" l="1"/>
  <c r="L85" i="84"/>
  <c r="M143" i="149"/>
  <c r="M146" i="149" s="1"/>
  <c r="I31" i="149"/>
  <c r="K265" i="149"/>
  <c r="K71" i="84"/>
  <c r="L240" i="149"/>
  <c r="L241" i="149"/>
  <c r="I186" i="149"/>
  <c r="I188" i="149" s="1"/>
  <c r="J67" i="84"/>
  <c r="L114" i="84"/>
  <c r="J100" i="84"/>
  <c r="J102" i="84" s="1"/>
  <c r="M84" i="84"/>
  <c r="M85" i="84" s="1"/>
  <c r="L295" i="149"/>
  <c r="L83" i="84"/>
  <c r="L296" i="149"/>
  <c r="L292" i="149"/>
  <c r="L294" i="149"/>
  <c r="L223" i="149"/>
  <c r="L297" i="149"/>
  <c r="L293" i="149"/>
  <c r="L291" i="149"/>
  <c r="L290" i="149"/>
  <c r="L273" i="149"/>
  <c r="L305" i="149" s="1"/>
  <c r="J18" i="149"/>
  <c r="J19" i="149" s="1"/>
  <c r="I18" i="149"/>
  <c r="I19" i="149" s="1"/>
  <c r="K112" i="84"/>
  <c r="K179" i="149"/>
  <c r="N113" i="84"/>
  <c r="N83" i="84"/>
  <c r="K86" i="84"/>
  <c r="K114" i="84"/>
  <c r="I151" i="149"/>
  <c r="I150" i="149" s="1"/>
  <c r="I202" i="149" s="1"/>
  <c r="I203" i="149" s="1"/>
  <c r="J200" i="149" s="1"/>
  <c r="J202" i="149" s="1"/>
  <c r="J203" i="149" s="1"/>
  <c r="K200" i="149" s="1"/>
  <c r="K204" i="149" s="1"/>
  <c r="K206" i="149" s="1"/>
  <c r="H322" i="149"/>
  <c r="K65" i="84"/>
  <c r="K67" i="84" s="1"/>
  <c r="K170" i="149"/>
  <c r="K224" i="149"/>
  <c r="K233" i="149"/>
  <c r="L232" i="149"/>
  <c r="K159" i="149"/>
  <c r="K161" i="149" s="1"/>
  <c r="L178" i="149"/>
  <c r="L214" i="149"/>
  <c r="L196" i="149"/>
  <c r="L231" i="149"/>
  <c r="I184" i="149"/>
  <c r="L205" i="149"/>
  <c r="L169" i="149"/>
  <c r="L168" i="149"/>
  <c r="L166" i="149"/>
  <c r="M142" i="149"/>
  <c r="M145" i="149" s="1"/>
  <c r="M187" i="149" s="1"/>
  <c r="N142" i="149"/>
  <c r="N145" i="149" s="1"/>
  <c r="N187" i="149" s="1"/>
  <c r="J195" i="149"/>
  <c r="J197" i="149" s="1"/>
  <c r="J193" i="149"/>
  <c r="J194" i="149" s="1"/>
  <c r="K191" i="149" s="1"/>
  <c r="L157" i="149"/>
  <c r="L158" i="149" s="1"/>
  <c r="M155" i="149" s="1"/>
  <c r="L159" i="149"/>
  <c r="L161" i="149" s="1"/>
  <c r="I197" i="149"/>
  <c r="L175" i="149"/>
  <c r="L176" i="149" s="1"/>
  <c r="M173" i="149" s="1"/>
  <c r="L177" i="149"/>
  <c r="J97" i="84"/>
  <c r="L36" i="84"/>
  <c r="N143" i="149"/>
  <c r="M63" i="84"/>
  <c r="M64" i="84" s="1"/>
  <c r="K91" i="84"/>
  <c r="K96" i="84" s="1"/>
  <c r="N144" i="149" l="1"/>
  <c r="N147" i="149" s="1"/>
  <c r="N300" i="149" s="1"/>
  <c r="L265" i="149"/>
  <c r="K73" i="84"/>
  <c r="L71" i="84"/>
  <c r="J73" i="84"/>
  <c r="I267" i="149"/>
  <c r="L86" i="84"/>
  <c r="L88" i="84" s="1"/>
  <c r="M249" i="149"/>
  <c r="M250" i="149"/>
  <c r="J68" i="149"/>
  <c r="J69" i="149" s="1"/>
  <c r="J31" i="149"/>
  <c r="I185" i="149"/>
  <c r="J182" i="149" s="1"/>
  <c r="L167" i="149"/>
  <c r="M164" i="149" s="1"/>
  <c r="M166" i="149" s="1"/>
  <c r="L144" i="149"/>
  <c r="L147" i="149" s="1"/>
  <c r="L298" i="149" s="1"/>
  <c r="M298" i="149" s="1"/>
  <c r="N298" i="149" s="1"/>
  <c r="L112" i="84"/>
  <c r="K100" i="84"/>
  <c r="K102" i="84" s="1"/>
  <c r="M293" i="149"/>
  <c r="N293" i="149" s="1"/>
  <c r="J204" i="149"/>
  <c r="J206" i="149" s="1"/>
  <c r="M291" i="149"/>
  <c r="N291" i="149" s="1"/>
  <c r="M297" i="149"/>
  <c r="N297" i="149" s="1"/>
  <c r="N250" i="149"/>
  <c r="M294" i="149"/>
  <c r="N294" i="149" s="1"/>
  <c r="M292" i="149"/>
  <c r="N292" i="149" s="1"/>
  <c r="M296" i="149"/>
  <c r="N296" i="149" s="1"/>
  <c r="M290" i="149"/>
  <c r="N290" i="149" s="1"/>
  <c r="M295" i="149"/>
  <c r="N295" i="149" s="1"/>
  <c r="K202" i="149"/>
  <c r="K203" i="149" s="1"/>
  <c r="L200" i="149" s="1"/>
  <c r="L204" i="149" s="1"/>
  <c r="L206" i="149" s="1"/>
  <c r="M273" i="149"/>
  <c r="K115" i="84"/>
  <c r="K117" i="84" s="1"/>
  <c r="K88" i="84"/>
  <c r="N86" i="84"/>
  <c r="N114" i="84"/>
  <c r="M113" i="84"/>
  <c r="M83" i="84"/>
  <c r="N112" i="84"/>
  <c r="L65" i="84"/>
  <c r="L100" i="84" s="1"/>
  <c r="L102" i="84" s="1"/>
  <c r="L233" i="149"/>
  <c r="I262" i="149"/>
  <c r="L242" i="149"/>
  <c r="L179" i="149"/>
  <c r="N146" i="149"/>
  <c r="L170" i="149"/>
  <c r="K195" i="149"/>
  <c r="K197" i="149" s="1"/>
  <c r="K193" i="149"/>
  <c r="K194" i="149" s="1"/>
  <c r="L191" i="149" s="1"/>
  <c r="M157" i="149"/>
  <c r="M158" i="149" s="1"/>
  <c r="N155" i="149" s="1"/>
  <c r="M159" i="149"/>
  <c r="M161" i="149" s="1"/>
  <c r="N249" i="149"/>
  <c r="N214" i="149"/>
  <c r="N169" i="149"/>
  <c r="N178" i="149"/>
  <c r="N205" i="149"/>
  <c r="N241" i="149"/>
  <c r="N223" i="149"/>
  <c r="N232" i="149"/>
  <c r="N196" i="149"/>
  <c r="M177" i="149"/>
  <c r="M175" i="149"/>
  <c r="M176" i="149" s="1"/>
  <c r="N173" i="149" s="1"/>
  <c r="M240" i="149"/>
  <c r="M169" i="149"/>
  <c r="M196" i="149"/>
  <c r="M178" i="149"/>
  <c r="M223" i="149"/>
  <c r="M241" i="149"/>
  <c r="M232" i="149"/>
  <c r="M214" i="149"/>
  <c r="M205" i="149"/>
  <c r="J86" i="149"/>
  <c r="J87" i="149" s="1"/>
  <c r="J77" i="149"/>
  <c r="J78" i="149" s="1"/>
  <c r="J95" i="149"/>
  <c r="J96" i="149" s="1"/>
  <c r="L91" i="84"/>
  <c r="L96" i="84" s="1"/>
  <c r="M36" i="84"/>
  <c r="K97" i="84"/>
  <c r="M144" i="149" l="1"/>
  <c r="M147" i="149" s="1"/>
  <c r="M299" i="149" s="1"/>
  <c r="N299" i="149" s="1"/>
  <c r="K31" i="149"/>
  <c r="M265" i="149"/>
  <c r="M71" i="84"/>
  <c r="L115" i="84"/>
  <c r="L117" i="84" s="1"/>
  <c r="L18" i="149" s="1"/>
  <c r="L19" i="149" s="1"/>
  <c r="N273" i="149"/>
  <c r="N305" i="149" s="1"/>
  <c r="M305" i="149"/>
  <c r="N258" i="149"/>
  <c r="N259" i="149"/>
  <c r="N265" i="149" s="1"/>
  <c r="K68" i="149"/>
  <c r="K69" i="149" s="1"/>
  <c r="M242" i="149"/>
  <c r="L31" i="149"/>
  <c r="J186" i="149"/>
  <c r="J188" i="149" s="1"/>
  <c r="J267" i="149" s="1"/>
  <c r="J184" i="149"/>
  <c r="M168" i="149"/>
  <c r="M170" i="149" s="1"/>
  <c r="L67" i="84"/>
  <c r="L202" i="149"/>
  <c r="L203" i="149" s="1"/>
  <c r="M200" i="149" s="1"/>
  <c r="M202" i="149" s="1"/>
  <c r="M203" i="149" s="1"/>
  <c r="N200" i="149" s="1"/>
  <c r="M86" i="84"/>
  <c r="M114" i="84"/>
  <c r="N115" i="84"/>
  <c r="N117" i="84" s="1"/>
  <c r="N88" i="84"/>
  <c r="M112" i="84"/>
  <c r="K18" i="149"/>
  <c r="K19" i="149" s="1"/>
  <c r="J151" i="149"/>
  <c r="J150" i="149" s="1"/>
  <c r="J211" i="149" s="1"/>
  <c r="J212" i="149" s="1"/>
  <c r="K209" i="149" s="1"/>
  <c r="K211" i="149" s="1"/>
  <c r="K212" i="149" s="1"/>
  <c r="L209" i="149" s="1"/>
  <c r="L213" i="149" s="1"/>
  <c r="L215" i="149" s="1"/>
  <c r="I322" i="149"/>
  <c r="M65" i="84"/>
  <c r="M67" i="84" s="1"/>
  <c r="N251" i="149"/>
  <c r="N157" i="149"/>
  <c r="N158" i="149" s="1"/>
  <c r="N159" i="149"/>
  <c r="N161" i="149" s="1"/>
  <c r="M179" i="149"/>
  <c r="M167" i="149"/>
  <c r="N164" i="149" s="1"/>
  <c r="M251" i="149"/>
  <c r="L195" i="149"/>
  <c r="L197" i="149" s="1"/>
  <c r="L193" i="149"/>
  <c r="L194" i="149" s="1"/>
  <c r="M191" i="149" s="1"/>
  <c r="K86" i="149"/>
  <c r="K87" i="149" s="1"/>
  <c r="K95" i="149"/>
  <c r="K96" i="149" s="1"/>
  <c r="K77" i="149"/>
  <c r="K78" i="149" s="1"/>
  <c r="N177" i="149"/>
  <c r="N179" i="149" s="1"/>
  <c r="N175" i="149"/>
  <c r="N176" i="149" s="1"/>
  <c r="L97" i="84"/>
  <c r="N36" i="84"/>
  <c r="M91" i="84"/>
  <c r="M96" i="84" s="1"/>
  <c r="M73" i="84" l="1"/>
  <c r="N71" i="84"/>
  <c r="L73" i="84"/>
  <c r="L68" i="149"/>
  <c r="L69" i="149" s="1"/>
  <c r="J185" i="149"/>
  <c r="K182" i="149" s="1"/>
  <c r="M204" i="149"/>
  <c r="M206" i="149" s="1"/>
  <c r="M100" i="84"/>
  <c r="M102" i="84" s="1"/>
  <c r="L211" i="149"/>
  <c r="L212" i="149" s="1"/>
  <c r="M209" i="149" s="1"/>
  <c r="M211" i="149" s="1"/>
  <c r="M212" i="149" s="1"/>
  <c r="N209" i="149" s="1"/>
  <c r="K213" i="149"/>
  <c r="N18" i="149"/>
  <c r="N19" i="149" s="1"/>
  <c r="M115" i="84"/>
  <c r="M117" i="84" s="1"/>
  <c r="M88" i="84"/>
  <c r="J262" i="149"/>
  <c r="K151" i="149" s="1"/>
  <c r="K150" i="149" s="1"/>
  <c r="K220" i="149" s="1"/>
  <c r="N65" i="84"/>
  <c r="N202" i="149"/>
  <c r="N203" i="149" s="1"/>
  <c r="N204" i="149"/>
  <c r="N206" i="149" s="1"/>
  <c r="M195" i="149"/>
  <c r="M197" i="149" s="1"/>
  <c r="M193" i="149"/>
  <c r="M194" i="149" s="1"/>
  <c r="N191" i="149" s="1"/>
  <c r="L86" i="149"/>
  <c r="L87" i="149" s="1"/>
  <c r="L95" i="149"/>
  <c r="L96" i="149" s="1"/>
  <c r="L77" i="149"/>
  <c r="L78" i="149" s="1"/>
  <c r="N166" i="149"/>
  <c r="N167" i="149" s="1"/>
  <c r="N168" i="149"/>
  <c r="N170" i="149" s="1"/>
  <c r="N91" i="84"/>
  <c r="N96" i="84" s="1"/>
  <c r="M97" i="84"/>
  <c r="M68" i="149" l="1"/>
  <c r="M69" i="149" s="1"/>
  <c r="M31" i="149"/>
  <c r="K186" i="149"/>
  <c r="K188" i="149" s="1"/>
  <c r="K184" i="149"/>
  <c r="K262" i="149" s="1"/>
  <c r="L151" i="149" s="1"/>
  <c r="L150" i="149" s="1"/>
  <c r="L229" i="149" s="1"/>
  <c r="L230" i="149" s="1"/>
  <c r="M227" i="149" s="1"/>
  <c r="M213" i="149"/>
  <c r="M215" i="149" s="1"/>
  <c r="J322" i="149"/>
  <c r="K221" i="149"/>
  <c r="L218" i="149" s="1"/>
  <c r="L220" i="149" s="1"/>
  <c r="L221" i="149" s="1"/>
  <c r="M218" i="149" s="1"/>
  <c r="M18" i="149"/>
  <c r="M19" i="149" s="1"/>
  <c r="K215" i="149"/>
  <c r="N67" i="84"/>
  <c r="N100" i="84"/>
  <c r="N102" i="84" s="1"/>
  <c r="N213" i="149"/>
  <c r="N215" i="149" s="1"/>
  <c r="N211" i="149"/>
  <c r="N212" i="149" s="1"/>
  <c r="N195" i="149"/>
  <c r="N197" i="149" s="1"/>
  <c r="N193" i="149"/>
  <c r="N194" i="149" s="1"/>
  <c r="N75" i="149"/>
  <c r="M77" i="149"/>
  <c r="M78" i="149" s="1"/>
  <c r="M86" i="149"/>
  <c r="M87" i="149" s="1"/>
  <c r="M95" i="149"/>
  <c r="M96" i="149" s="1"/>
  <c r="N97" i="84"/>
  <c r="N73" i="84" l="1"/>
  <c r="N68" i="149"/>
  <c r="N31" i="149"/>
  <c r="K267" i="149"/>
  <c r="K185" i="149"/>
  <c r="L182" i="149" s="1"/>
  <c r="L222" i="149"/>
  <c r="L224" i="149" s="1"/>
  <c r="K322" i="149"/>
  <c r="M220" i="149"/>
  <c r="M221" i="149" s="1"/>
  <c r="N218" i="149" s="1"/>
  <c r="M222" i="149"/>
  <c r="M224" i="149" s="1"/>
  <c r="M229" i="149"/>
  <c r="M230" i="149" s="1"/>
  <c r="N227" i="149" s="1"/>
  <c r="M231" i="149"/>
  <c r="N86" i="149"/>
  <c r="N87" i="149" s="1"/>
  <c r="N77" i="149"/>
  <c r="N78" i="149" s="1"/>
  <c r="N95" i="149"/>
  <c r="N96" i="149" s="1"/>
  <c r="N260" i="149"/>
  <c r="L186" i="149" l="1"/>
  <c r="L188" i="149" s="1"/>
  <c r="L267" i="149" s="1"/>
  <c r="L184" i="149"/>
  <c r="N147" i="84"/>
  <c r="N148" i="84" s="1"/>
  <c r="N222" i="149"/>
  <c r="N224" i="149" s="1"/>
  <c r="N220" i="149"/>
  <c r="N221" i="149" s="1"/>
  <c r="N231" i="149"/>
  <c r="N233" i="149" s="1"/>
  <c r="N229" i="149"/>
  <c r="M233" i="149"/>
  <c r="L262" i="149" l="1"/>
  <c r="L185" i="149"/>
  <c r="M182" i="149" s="1"/>
  <c r="N230" i="149"/>
  <c r="N65" i="149"/>
  <c r="N66" i="149" s="1"/>
  <c r="N69" i="149" s="1"/>
  <c r="M186" i="149" l="1"/>
  <c r="M188" i="149" s="1"/>
  <c r="M267" i="149" s="1"/>
  <c r="M184" i="149"/>
  <c r="L322" i="149"/>
  <c r="M151" i="149"/>
  <c r="M150" i="149" s="1"/>
  <c r="M238" i="149" s="1"/>
  <c r="M262" i="149" l="1"/>
  <c r="M322" i="149" s="1"/>
  <c r="M239" i="149"/>
  <c r="N236" i="149" s="1"/>
  <c r="M185" i="149"/>
  <c r="N182" i="149" s="1"/>
  <c r="N186" i="149" l="1"/>
  <c r="N188" i="149" s="1"/>
  <c r="N184" i="149"/>
  <c r="N238" i="149"/>
  <c r="N239" i="149" s="1"/>
  <c r="N240" i="149"/>
  <c r="N242" i="149" l="1"/>
  <c r="N267" i="149" s="1"/>
  <c r="N151" i="149"/>
  <c r="N150" i="149" s="1"/>
  <c r="N247" i="149" s="1"/>
  <c r="N262" i="149" s="1"/>
  <c r="N322" i="149" s="1"/>
  <c r="N185" i="149"/>
  <c r="N248" i="149" l="1"/>
  <c r="D71" i="84" l="1"/>
  <c r="D65" i="84"/>
  <c r="D36" i="84"/>
  <c r="D100" i="84" l="1"/>
  <c r="D102" i="84" s="1"/>
  <c r="D67" i="84"/>
  <c r="D91" i="84"/>
  <c r="D96" i="84" s="1"/>
  <c r="D73" i="84" l="1"/>
  <c r="D31" i="149"/>
  <c r="C301" i="149"/>
  <c r="D97" i="84"/>
  <c r="D86" i="149" l="1"/>
  <c r="D87" i="149" s="1"/>
  <c r="N88" i="149" s="1"/>
  <c r="D95" i="149"/>
  <c r="D96" i="149" s="1"/>
  <c r="N97" i="149" s="1"/>
  <c r="D77" i="149"/>
  <c r="D78" i="149" s="1"/>
  <c r="N79" i="149" s="1"/>
  <c r="D68" i="149"/>
  <c r="D301" i="149" l="1"/>
  <c r="D147" i="84"/>
  <c r="D148" i="84" s="1"/>
  <c r="D65" i="149" l="1"/>
  <c r="D66" i="149" s="1"/>
  <c r="D69" i="149" s="1"/>
  <c r="N70" i="149" s="1"/>
  <c r="N9" i="149" s="1"/>
  <c r="E301" i="149" l="1"/>
  <c r="F301" i="149" l="1"/>
  <c r="G301" i="149"/>
  <c r="H301" i="149" l="1"/>
  <c r="I301" i="149"/>
  <c r="J301" i="149" l="1"/>
  <c r="K301" i="149" l="1"/>
  <c r="L301" i="149"/>
  <c r="M301" i="149" l="1"/>
  <c r="N301" i="149"/>
  <c r="D274" i="149" l="1"/>
  <c r="N284" i="149"/>
  <c r="N316" i="149" s="1"/>
  <c r="K281" i="149"/>
  <c r="L282" i="149"/>
  <c r="E275" i="149"/>
  <c r="F276" i="149"/>
  <c r="J280" i="149"/>
  <c r="H278" i="149"/>
  <c r="G277" i="149"/>
  <c r="I279" i="149"/>
  <c r="M283" i="149"/>
  <c r="I278" i="149" l="1"/>
  <c r="I310" i="149" s="1"/>
  <c r="H310" i="149"/>
  <c r="J312" i="149"/>
  <c r="L314" i="149"/>
  <c r="I311" i="149"/>
  <c r="F308" i="149"/>
  <c r="F275" i="149"/>
  <c r="E307" i="149"/>
  <c r="N283" i="149"/>
  <c r="N315" i="149" s="1"/>
  <c r="M315" i="149"/>
  <c r="K313" i="149"/>
  <c r="G309" i="149"/>
  <c r="E274" i="149"/>
  <c r="E306" i="149" s="1"/>
  <c r="D306" i="149"/>
  <c r="D317" i="149" s="1"/>
  <c r="D324" i="149" s="1"/>
  <c r="D325" i="149" s="1"/>
  <c r="E320" i="149" s="1"/>
  <c r="M282" i="149"/>
  <c r="N282" i="149" s="1"/>
  <c r="J279" i="149"/>
  <c r="J311" i="149" s="1"/>
  <c r="K280" i="149"/>
  <c r="K312" i="149" s="1"/>
  <c r="L281" i="149"/>
  <c r="L313" i="149" s="1"/>
  <c r="J278" i="149"/>
  <c r="J310" i="149" s="1"/>
  <c r="H277" i="149"/>
  <c r="H309" i="149" s="1"/>
  <c r="D285" i="149"/>
  <c r="G276" i="149"/>
  <c r="F274" i="149" l="1"/>
  <c r="G274" i="149" s="1"/>
  <c r="G306" i="149" s="1"/>
  <c r="E285" i="149"/>
  <c r="M314" i="149"/>
  <c r="F307" i="149"/>
  <c r="N314" i="149"/>
  <c r="G275" i="149"/>
  <c r="G307" i="149" s="1"/>
  <c r="G308" i="149"/>
  <c r="E317" i="149"/>
  <c r="E324" i="149" s="1"/>
  <c r="K279" i="149"/>
  <c r="M281" i="149"/>
  <c r="L280" i="149"/>
  <c r="K278" i="149"/>
  <c r="I277" i="149"/>
  <c r="I309" i="149" s="1"/>
  <c r="H276" i="149"/>
  <c r="F306" i="149" l="1"/>
  <c r="F285" i="149"/>
  <c r="F317" i="149"/>
  <c r="H274" i="149"/>
  <c r="H306" i="149" s="1"/>
  <c r="K311" i="149"/>
  <c r="I276" i="149"/>
  <c r="H308" i="149"/>
  <c r="L278" i="149"/>
  <c r="K310" i="149"/>
  <c r="M313" i="149"/>
  <c r="G285" i="149"/>
  <c r="H275" i="149"/>
  <c r="M280" i="149"/>
  <c r="N280" i="149" s="1"/>
  <c r="L312" i="149"/>
  <c r="L279" i="149"/>
  <c r="L311" i="149" s="1"/>
  <c r="N281" i="149"/>
  <c r="N313" i="149" s="1"/>
  <c r="E325" i="149"/>
  <c r="F320" i="149" s="1"/>
  <c r="G317" i="149"/>
  <c r="J277" i="149"/>
  <c r="J309" i="149" s="1"/>
  <c r="F324" i="149" l="1"/>
  <c r="H285" i="149"/>
  <c r="I274" i="149"/>
  <c r="J274" i="149" s="1"/>
  <c r="J306" i="149" s="1"/>
  <c r="L310" i="149"/>
  <c r="I275" i="149"/>
  <c r="J275" i="149" s="1"/>
  <c r="H307" i="149"/>
  <c r="H317" i="149" s="1"/>
  <c r="J276" i="149"/>
  <c r="J308" i="149" s="1"/>
  <c r="M278" i="149"/>
  <c r="N278" i="149" s="1"/>
  <c r="N310" i="149" s="1"/>
  <c r="I308" i="149"/>
  <c r="N312" i="149"/>
  <c r="M312" i="149"/>
  <c r="M279" i="149"/>
  <c r="M311" i="149" s="1"/>
  <c r="F325" i="149"/>
  <c r="G320" i="149" s="1"/>
  <c r="G324" i="149" s="1"/>
  <c r="K277" i="149"/>
  <c r="L277" i="149" s="1"/>
  <c r="L309" i="149" s="1"/>
  <c r="I306" i="149" l="1"/>
  <c r="K274" i="149"/>
  <c r="K306" i="149" s="1"/>
  <c r="K276" i="149"/>
  <c r="K308" i="149" s="1"/>
  <c r="I307" i="149"/>
  <c r="M310" i="149"/>
  <c r="I285" i="149"/>
  <c r="K309" i="149"/>
  <c r="J307" i="149"/>
  <c r="J317" i="149" s="1"/>
  <c r="J285" i="149"/>
  <c r="K275" i="149"/>
  <c r="N279" i="149"/>
  <c r="N311" i="149" s="1"/>
  <c r="G325" i="149"/>
  <c r="H320" i="149" s="1"/>
  <c r="H324" i="149" s="1"/>
  <c r="M277" i="149"/>
  <c r="I317" i="149" l="1"/>
  <c r="L276" i="149"/>
  <c r="M276" i="149" s="1"/>
  <c r="L274" i="149"/>
  <c r="L306" i="149" s="1"/>
  <c r="K285" i="149"/>
  <c r="K307" i="149"/>
  <c r="K317" i="149" s="1"/>
  <c r="L275" i="149"/>
  <c r="L307" i="149" s="1"/>
  <c r="N277" i="149"/>
  <c r="N309" i="149" s="1"/>
  <c r="M309" i="149"/>
  <c r="H325" i="149"/>
  <c r="I320" i="149" s="1"/>
  <c r="I324" i="149" s="1"/>
  <c r="N276" i="149" l="1"/>
  <c r="N308" i="149" s="1"/>
  <c r="M274" i="149"/>
  <c r="M306" i="149" s="1"/>
  <c r="M308" i="149"/>
  <c r="L308" i="149"/>
  <c r="L317" i="149" s="1"/>
  <c r="L285" i="149"/>
  <c r="M275" i="149"/>
  <c r="M307" i="149" s="1"/>
  <c r="I325" i="149"/>
  <c r="J320" i="149" s="1"/>
  <c r="J324" i="149" s="1"/>
  <c r="N274" i="149" l="1"/>
  <c r="M317" i="149"/>
  <c r="M285" i="149"/>
  <c r="N275" i="149"/>
  <c r="N307" i="149" s="1"/>
  <c r="N306" i="149"/>
  <c r="J325" i="149"/>
  <c r="K320" i="149" s="1"/>
  <c r="K324" i="149" s="1"/>
  <c r="N317" i="149" l="1"/>
  <c r="N285" i="149"/>
  <c r="K325" i="149"/>
  <c r="L320" i="149" s="1"/>
  <c r="L324" i="149" s="1"/>
  <c r="L325" i="149" l="1"/>
  <c r="M320" i="149" s="1"/>
  <c r="M324" i="149" s="1"/>
  <c r="M325" i="149" l="1"/>
  <c r="N320" i="149" s="1"/>
  <c r="N324" i="149" s="1"/>
  <c r="C328" i="149" l="1" a="1"/>
  <c r="I333" i="149" l="1"/>
  <c r="M336" i="149"/>
  <c r="H332" i="149"/>
  <c r="L335" i="149"/>
  <c r="G331" i="149"/>
  <c r="K334" i="149"/>
  <c r="F329" i="149"/>
  <c r="N338" i="149"/>
  <c r="F330" i="149"/>
  <c r="J333" i="149"/>
  <c r="G330" i="149"/>
  <c r="M337" i="149"/>
  <c r="E329" i="149"/>
  <c r="I332" i="149"/>
  <c r="J334" i="149"/>
  <c r="L336" i="149"/>
  <c r="H331" i="149"/>
  <c r="N337" i="149"/>
  <c r="K335" i="149"/>
  <c r="N325" i="149"/>
  <c r="I331" i="149"/>
  <c r="K333" i="149"/>
  <c r="G329" i="149"/>
  <c r="L334" i="149"/>
  <c r="N331" i="149"/>
  <c r="K329" i="149"/>
  <c r="L329" i="149"/>
  <c r="N336" i="149"/>
  <c r="N333" i="149"/>
  <c r="N332" i="149"/>
  <c r="J331" i="149"/>
  <c r="I329" i="149"/>
  <c r="M332" i="149"/>
  <c r="M335" i="149"/>
  <c r="L330" i="149"/>
  <c r="N329" i="149"/>
  <c r="L331" i="149"/>
  <c r="K332" i="149"/>
  <c r="L332" i="149"/>
  <c r="N334" i="149"/>
  <c r="M329" i="149"/>
  <c r="M333" i="149"/>
  <c r="M330" i="149"/>
  <c r="K330" i="149"/>
  <c r="H329" i="149"/>
  <c r="M334" i="149"/>
  <c r="H330" i="149"/>
  <c r="K331" i="149"/>
  <c r="J332" i="149"/>
  <c r="I330" i="149"/>
  <c r="N330" i="149"/>
  <c r="J330" i="149"/>
  <c r="J329" i="149"/>
  <c r="M331" i="149"/>
  <c r="L333" i="149"/>
  <c r="N335" i="149"/>
  <c r="C328" i="149"/>
  <c r="D328" i="149" l="1"/>
  <c r="E328" i="149"/>
  <c r="E339" i="149" s="1"/>
  <c r="E341" i="149" s="1"/>
  <c r="F328" i="149"/>
  <c r="F339" i="149" s="1"/>
  <c r="F341" i="149" s="1"/>
  <c r="I328" i="149"/>
  <c r="I339" i="149" s="1"/>
  <c r="I341" i="149" s="1"/>
  <c r="L328" i="149"/>
  <c r="L339" i="149" s="1"/>
  <c r="L341" i="149" s="1"/>
  <c r="M328" i="149"/>
  <c r="M339" i="149" s="1"/>
  <c r="M341" i="149" s="1"/>
  <c r="G328" i="149"/>
  <c r="G339" i="149" s="1"/>
  <c r="G341" i="149" s="1"/>
  <c r="N328" i="149"/>
  <c r="N339" i="149" s="1"/>
  <c r="N341" i="149" s="1"/>
  <c r="D339" i="149"/>
  <c r="D341" i="149" s="1"/>
  <c r="K328" i="149"/>
  <c r="K339" i="149" s="1"/>
  <c r="K341" i="149" s="1"/>
  <c r="H328" i="149"/>
  <c r="H339" i="149" s="1"/>
  <c r="H341" i="149" s="1"/>
  <c r="J328" i="149"/>
  <c r="J339" i="149" s="1"/>
  <c r="J341" i="149" s="1"/>
  <c r="M117" i="149" l="1"/>
  <c r="M132" i="149" s="1"/>
  <c r="K117" i="149"/>
  <c r="K132" i="149" s="1"/>
  <c r="G117" i="149"/>
  <c r="G132" i="149" s="1"/>
  <c r="L117" i="149"/>
  <c r="L132" i="149" s="1"/>
  <c r="I117" i="149"/>
  <c r="I132" i="149" s="1"/>
  <c r="D117" i="149"/>
  <c r="D132" i="149" s="1"/>
  <c r="D135" i="149" s="1"/>
  <c r="N117" i="149"/>
  <c r="N132" i="149" s="1"/>
  <c r="E117" i="149"/>
  <c r="E132" i="149" s="1"/>
  <c r="J117" i="149"/>
  <c r="J132" i="149" s="1"/>
  <c r="H117" i="149"/>
  <c r="H132" i="149" s="1"/>
  <c r="F117" i="149"/>
  <c r="F132" i="149" s="1"/>
  <c r="J119" i="149" l="1"/>
  <c r="J120" i="149" s="1"/>
  <c r="J121" i="149" s="1"/>
  <c r="M119" i="149"/>
  <c r="M120" i="149" s="1"/>
  <c r="M125" i="149" s="1"/>
  <c r="I119" i="149"/>
  <c r="I120" i="149" s="1"/>
  <c r="I121" i="149" s="1"/>
  <c r="N119" i="149"/>
  <c r="N120" i="149" s="1"/>
  <c r="N125" i="149" s="1"/>
  <c r="H119" i="149"/>
  <c r="H120" i="149" s="1"/>
  <c r="H125" i="149" s="1"/>
  <c r="H126" i="149" s="1"/>
  <c r="G119" i="149"/>
  <c r="G120" i="149" s="1"/>
  <c r="G125" i="149" s="1"/>
  <c r="G126" i="149" s="1"/>
  <c r="E119" i="149"/>
  <c r="E120" i="149" s="1"/>
  <c r="E125" i="149" s="1"/>
  <c r="E126" i="149" s="1"/>
  <c r="L119" i="149"/>
  <c r="L120" i="149" s="1"/>
  <c r="L121" i="149" s="1"/>
  <c r="F119" i="149"/>
  <c r="F120" i="149" s="1"/>
  <c r="F125" i="149" s="1"/>
  <c r="F126" i="149" s="1"/>
  <c r="K119" i="149"/>
  <c r="K120" i="149" s="1"/>
  <c r="K125" i="149" s="1"/>
  <c r="K126" i="149" s="1"/>
  <c r="D119" i="149"/>
  <c r="D120" i="149" s="1"/>
  <c r="D121" i="149" s="1"/>
  <c r="D29" i="149" s="1"/>
  <c r="D30" i="149" s="1"/>
  <c r="D32" i="149" s="1"/>
  <c r="E134" i="149"/>
  <c r="E135" i="149" s="1"/>
  <c r="D136" i="149"/>
  <c r="D35" i="149" l="1"/>
  <c r="I125" i="149"/>
  <c r="I126" i="149" s="1"/>
  <c r="J125" i="149"/>
  <c r="J126" i="149" s="1"/>
  <c r="L29" i="149"/>
  <c r="L30" i="149" s="1"/>
  <c r="L32" i="149" s="1"/>
  <c r="L35" i="149" s="1"/>
  <c r="I29" i="149"/>
  <c r="I30" i="149" s="1"/>
  <c r="I32" i="149" s="1"/>
  <c r="I35" i="149" s="1"/>
  <c r="J29" i="149"/>
  <c r="J30" i="149" s="1"/>
  <c r="J32" i="149" s="1"/>
  <c r="J35" i="149" s="1"/>
  <c r="H121" i="149"/>
  <c r="H29" i="149" s="1"/>
  <c r="H30" i="149" s="1"/>
  <c r="H32" i="149" s="1"/>
  <c r="H35" i="149" s="1"/>
  <c r="D125" i="149"/>
  <c r="D126" i="149" s="1"/>
  <c r="D127" i="149" s="1"/>
  <c r="E124" i="149" s="1"/>
  <c r="E127" i="149" s="1"/>
  <c r="F124" i="149" s="1"/>
  <c r="F127" i="149" s="1"/>
  <c r="G124" i="149" s="1"/>
  <c r="G127" i="149" s="1"/>
  <c r="H124" i="149" s="1"/>
  <c r="H127" i="149" s="1"/>
  <c r="I124" i="149" s="1"/>
  <c r="G121" i="149"/>
  <c r="G29" i="149" s="1"/>
  <c r="G30" i="149" s="1"/>
  <c r="G32" i="149" s="1"/>
  <c r="G35" i="149" s="1"/>
  <c r="E121" i="149"/>
  <c r="E29" i="149" s="1"/>
  <c r="E30" i="149" s="1"/>
  <c r="E32" i="149" s="1"/>
  <c r="E35" i="149" s="1"/>
  <c r="K121" i="149"/>
  <c r="L125" i="149"/>
  <c r="L126" i="149" s="1"/>
  <c r="F121" i="149"/>
  <c r="F29" i="149" s="1"/>
  <c r="F30" i="149" s="1"/>
  <c r="F32" i="149" s="1"/>
  <c r="F35" i="149" s="1"/>
  <c r="F134" i="149"/>
  <c r="F135" i="149" s="1"/>
  <c r="E136" i="149"/>
  <c r="I127" i="149" l="1"/>
  <c r="J124" i="149" s="1"/>
  <c r="J127" i="149" s="1"/>
  <c r="K124" i="149" s="1"/>
  <c r="K127" i="149" s="1"/>
  <c r="L124" i="149" s="1"/>
  <c r="L127" i="149" s="1"/>
  <c r="M124" i="149" s="1"/>
  <c r="M126" i="149" s="1"/>
  <c r="M121" i="149" s="1"/>
  <c r="K29" i="149"/>
  <c r="K30" i="149" s="1"/>
  <c r="K32" i="149" s="1"/>
  <c r="K35" i="149" s="1"/>
  <c r="G134" i="149"/>
  <c r="G135" i="149" s="1"/>
  <c r="F136" i="149"/>
  <c r="M29" i="149" l="1"/>
  <c r="M30" i="149" s="1"/>
  <c r="M32" i="149" s="1"/>
  <c r="M35" i="149" s="1"/>
  <c r="H134" i="149"/>
  <c r="H135" i="149" s="1"/>
  <c r="G136" i="149"/>
  <c r="M127" i="149"/>
  <c r="N124" i="149" s="1"/>
  <c r="H136" i="149" l="1"/>
  <c r="I134" i="149"/>
  <c r="I135" i="149" s="1"/>
  <c r="N126" i="149"/>
  <c r="N121" i="149" s="1"/>
  <c r="N29" i="149" l="1"/>
  <c r="N30" i="149" s="1"/>
  <c r="N32" i="149" s="1"/>
  <c r="N127" i="149"/>
  <c r="N11" i="149" s="1"/>
  <c r="I136" i="149"/>
  <c r="J134" i="149"/>
  <c r="J135" i="149" s="1"/>
  <c r="N35" i="149" l="1"/>
  <c r="N36" i="149" s="1"/>
  <c r="N7" i="149" s="1"/>
  <c r="N10" i="149" s="1"/>
  <c r="K134" i="149"/>
  <c r="K135" i="149" s="1"/>
  <c r="J136" i="149"/>
  <c r="L134" i="149" l="1"/>
  <c r="L135" i="149" s="1"/>
  <c r="K136" i="149"/>
  <c r="L136" i="149" l="1"/>
  <c r="M134" i="149"/>
  <c r="M135" i="149" s="1"/>
  <c r="N134" i="149" l="1"/>
  <c r="N135" i="149" s="1"/>
  <c r="M136" i="149"/>
  <c r="N137" i="149" l="1"/>
  <c r="N136" i="149"/>
  <c r="C338" i="149"/>
  <c r="C337" i="149"/>
  <c r="C336" i="149"/>
  <c r="C335" i="149"/>
  <c r="C334" i="149"/>
  <c r="C333" i="149"/>
  <c r="C332" i="149"/>
  <c r="C331" i="149"/>
  <c r="C330" i="149"/>
  <c r="C329" i="149"/>
  <c r="B338" i="149"/>
  <c r="B337" i="149"/>
  <c r="B336" i="149"/>
  <c r="B335" i="149"/>
  <c r="B334" i="149"/>
  <c r="B333" i="149"/>
  <c r="B332" i="149"/>
  <c r="B331" i="149"/>
  <c r="B330" i="149"/>
  <c r="B329" i="149"/>
  <c r="C300" i="149"/>
  <c r="C299" i="149"/>
  <c r="C298" i="149"/>
  <c r="C297" i="149"/>
  <c r="C296" i="149"/>
  <c r="C295" i="149"/>
  <c r="C294" i="149"/>
  <c r="C293" i="149"/>
  <c r="C292" i="149"/>
  <c r="C291" i="149"/>
  <c r="B300" i="149"/>
  <c r="B299" i="149"/>
  <c r="B298" i="149"/>
  <c r="B297" i="149"/>
  <c r="B296" i="149"/>
  <c r="B295" i="149"/>
  <c r="B294" i="149"/>
  <c r="B293" i="149"/>
  <c r="B292" i="149"/>
  <c r="B291" i="149"/>
  <c r="B290" i="149"/>
  <c r="C284" i="149"/>
  <c r="C283" i="149"/>
  <c r="C282" i="149"/>
  <c r="C281" i="149"/>
  <c r="C280" i="149"/>
  <c r="C279" i="149"/>
  <c r="C278" i="149"/>
  <c r="C277" i="149"/>
  <c r="C276" i="149"/>
  <c r="C275" i="149"/>
  <c r="B284" i="149"/>
  <c r="B283" i="149"/>
  <c r="B282" i="149"/>
  <c r="B281" i="149"/>
  <c r="B280" i="149"/>
  <c r="B279" i="149"/>
  <c r="B278" i="149"/>
  <c r="B277" i="149"/>
  <c r="B276" i="149"/>
  <c r="B275" i="149"/>
  <c r="B274" i="149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<sst xmlns="http://schemas.openxmlformats.org/spreadsheetml/2006/main" count="773" uniqueCount="249">
  <si>
    <t>Description</t>
  </si>
  <si>
    <t>Inputs</t>
  </si>
  <si>
    <t>Notes</t>
  </si>
  <si>
    <t>Depreciation</t>
  </si>
  <si>
    <t>Tax depreciation</t>
  </si>
  <si>
    <t>Risk free rate</t>
  </si>
  <si>
    <t>Asset beta</t>
  </si>
  <si>
    <t>Equity beta</t>
  </si>
  <si>
    <t>TAMRP</t>
  </si>
  <si>
    <t>Average investor tax rate</t>
  </si>
  <si>
    <t>Debt risk premium</t>
  </si>
  <si>
    <t>Debt issuance costs</t>
  </si>
  <si>
    <t>Leverage</t>
  </si>
  <si>
    <t>Debt from all sources as a proportion of total financing</t>
  </si>
  <si>
    <t>Days from mid-year to year-end</t>
  </si>
  <si>
    <t>Days from revenue date to year-end</t>
  </si>
  <si>
    <t>Mid-year date</t>
  </si>
  <si>
    <t>Revenue date</t>
  </si>
  <si>
    <t>Telecommunications</t>
  </si>
  <si>
    <t>$000</t>
  </si>
  <si>
    <t>Financial loss asset</t>
  </si>
  <si>
    <t>%</t>
  </si>
  <si>
    <t>Crown financing</t>
  </si>
  <si>
    <t>Crown financing (opening value)</t>
  </si>
  <si>
    <t>UFB costs</t>
  </si>
  <si>
    <t>Crown financing (closing value)</t>
  </si>
  <si>
    <t>Cost of debt</t>
  </si>
  <si>
    <t>Index</t>
  </si>
  <si>
    <t>Cost of equity</t>
  </si>
  <si>
    <t>Corporate tax rate</t>
  </si>
  <si>
    <t xml:space="preserve">Tax </t>
  </si>
  <si>
    <t>Regulated provider data</t>
  </si>
  <si>
    <t>Count</t>
  </si>
  <si>
    <t>General description</t>
  </si>
  <si>
    <t>UFB revenues</t>
  </si>
  <si>
    <t>Tax costs</t>
  </si>
  <si>
    <t>Years</t>
  </si>
  <si>
    <t>Intermediate calculations</t>
  </si>
  <si>
    <t>Roll forward of unallocated UFB fibre assets</t>
  </si>
  <si>
    <t>Roll forward of Crown financing</t>
  </si>
  <si>
    <t>Asset-related information</t>
  </si>
  <si>
    <t>Compounding factor step 1</t>
  </si>
  <si>
    <t>Cost of capital (post-tax WACC)</t>
  </si>
  <si>
    <t>Index factor</t>
  </si>
  <si>
    <t>Opening tax asset base value</t>
  </si>
  <si>
    <t xml:space="preserve">Tax depreciation </t>
  </si>
  <si>
    <t>Closing tax asset base value</t>
  </si>
  <si>
    <t>Roll forward of allocated tax assets</t>
  </si>
  <si>
    <t>Roll forward of unallocated tax assets</t>
  </si>
  <si>
    <t>Tax calculations</t>
  </si>
  <si>
    <t>Cash flow inputs</t>
  </si>
  <si>
    <t>Net cash flows</t>
  </si>
  <si>
    <t>Cash flows</t>
  </si>
  <si>
    <t>Add present value benefit of Crown financing</t>
  </si>
  <si>
    <t>Start date</t>
  </si>
  <si>
    <t>Full year to</t>
  </si>
  <si>
    <t>Date</t>
  </si>
  <si>
    <t>Days from mid-year to implementation date</t>
  </si>
  <si>
    <t>Compounding factor from mid-year</t>
  </si>
  <si>
    <t>Days from revenue date to implementation date</t>
  </si>
  <si>
    <t>Compounding factor from revenue date</t>
  </si>
  <si>
    <t>Revenue date compounding</t>
  </si>
  <si>
    <t>Mid-year date compounding</t>
  </si>
  <si>
    <t>As at</t>
  </si>
  <si>
    <t>Present value benefit of Crown financing</t>
  </si>
  <si>
    <t>Years prior to 31 Dec 2021 for compounding index</t>
  </si>
  <si>
    <t>Tax costs (at corporate tax rate)</t>
  </si>
  <si>
    <t>This model has been prepared and published for consultation purposes only</t>
  </si>
  <si>
    <t>Present value of total net cash flows</t>
  </si>
  <si>
    <t>Present value of annual net cash flows</t>
  </si>
  <si>
    <t>UFB revenues cash flows</t>
  </si>
  <si>
    <t>Present value of UFB revenues cash flows</t>
  </si>
  <si>
    <t>Present value of UFB costs cash flows</t>
  </si>
  <si>
    <t>Sum of UFB costs cash flows</t>
  </si>
  <si>
    <t>UFB cost allocation adjustment cash flow</t>
  </si>
  <si>
    <t>UFB operating expenditure cash flow</t>
  </si>
  <si>
    <t>UFB tax costs cash flow</t>
  </si>
  <si>
    <t>UFB revenues cash flow</t>
  </si>
  <si>
    <t>Crown financing advanced</t>
  </si>
  <si>
    <t>Crown financing repaid</t>
  </si>
  <si>
    <t>UFB taxable income</t>
  </si>
  <si>
    <t>Add UFB asset base closing value at implementation date</t>
  </si>
  <si>
    <t>UFB unallocated opening asset values</t>
  </si>
  <si>
    <t>UFB value of net commissioned assets (allocated)</t>
  </si>
  <si>
    <t>UFB unallocated closing asset values</t>
  </si>
  <si>
    <t>UFB opening asset values</t>
  </si>
  <si>
    <t>UFB value of net commissioned assets (unallocated)</t>
  </si>
  <si>
    <t>UFB closing asset values</t>
  </si>
  <si>
    <t>Adjustment for cost allocation to allow tax allocated roll forward</t>
  </si>
  <si>
    <t>Tax (before tax losses)</t>
  </si>
  <si>
    <t>7 months to</t>
  </si>
  <si>
    <t>6 months to</t>
  </si>
  <si>
    <t>Start date compounding</t>
  </si>
  <si>
    <t>Days from start date to implementation date</t>
  </si>
  <si>
    <t>Compounding factor from start date</t>
  </si>
  <si>
    <t>Number of days in part or full year</t>
  </si>
  <si>
    <t>UFB unallocated asset base opening value at start date</t>
  </si>
  <si>
    <t>UFB asset base opening value at start date</t>
  </si>
  <si>
    <t>Present value of UFB asset base opening value</t>
  </si>
  <si>
    <t>Depreciation (allocated)</t>
  </si>
  <si>
    <t>Roll forward of allocated UFB fibre assets</t>
  </si>
  <si>
    <t>Vanilla WACC</t>
  </si>
  <si>
    <t>Compounding factor</t>
  </si>
  <si>
    <t>UFB interest cash flow</t>
  </si>
  <si>
    <t>Total</t>
  </si>
  <si>
    <t>Benefit of Crown financing</t>
  </si>
  <si>
    <t>Crown finance rate</t>
  </si>
  <si>
    <t>Senior debt as proportion of total debt</t>
  </si>
  <si>
    <t>Subordinated debt premium</t>
  </si>
  <si>
    <t>Debt as a proportion of total finance</t>
  </si>
  <si>
    <t>Benchmark equity finance rate</t>
  </si>
  <si>
    <t>Debt finance rate</t>
  </si>
  <si>
    <t>Equity finance rate</t>
  </si>
  <si>
    <t>Crown financing (nominal values)</t>
  </si>
  <si>
    <t>Crown financing rate</t>
  </si>
  <si>
    <t>Future value of benefit of Crown financing</t>
  </si>
  <si>
    <t>Benchmark debt finance rate</t>
  </si>
  <si>
    <t>Benchmark debt finance rate (post tax)</t>
  </si>
  <si>
    <t>Days to implementation date</t>
  </si>
  <si>
    <t>WACC</t>
  </si>
  <si>
    <t>Total drawdown</t>
  </si>
  <si>
    <t>Senior debt drawdown</t>
  </si>
  <si>
    <t>Subordinated debt drawdown</t>
  </si>
  <si>
    <t>Debt like equity drawdown</t>
  </si>
  <si>
    <t>Equity drawdown</t>
  </si>
  <si>
    <t>Debt like equity as proportion of total equity</t>
  </si>
  <si>
    <t>Compounding factors (post tax)</t>
  </si>
  <si>
    <t>Tax revenue</t>
  </si>
  <si>
    <t>Tax operating expenditure</t>
  </si>
  <si>
    <t>Opening allocated tax asset base value</t>
  </si>
  <si>
    <t>Tax net commissioned assets (allocated)</t>
  </si>
  <si>
    <t>Tax net commissioned assets (unallocated)</t>
  </si>
  <si>
    <t>Tax depreciation (unallocated)</t>
  </si>
  <si>
    <t>Tax depreciation (allocated)</t>
  </si>
  <si>
    <t>Opening unallocated tax asset base value</t>
  </si>
  <si>
    <t>UFB operating expenditure cash flow (allocated)</t>
  </si>
  <si>
    <t>UFB asset base opening value at start date (allocated)</t>
  </si>
  <si>
    <t>UFB asset base opening value at start date (unallocated)</t>
  </si>
  <si>
    <t>UFB allocation of capex cashflow</t>
  </si>
  <si>
    <t>Depreciation (unallocated)</t>
  </si>
  <si>
    <t>Tax losses carried forward</t>
  </si>
  <si>
    <t>Tax after considering losses</t>
  </si>
  <si>
    <t>Effect of tax losses</t>
  </si>
  <si>
    <t>Alternative tax costs presentation</t>
  </si>
  <si>
    <t xml:space="preserve">Tax effect of losses calculation </t>
  </si>
  <si>
    <t>Opening tax effect of losses</t>
  </si>
  <si>
    <t>Current period tax effect of losses</t>
  </si>
  <si>
    <t>Utilised tax effect of losses</t>
  </si>
  <si>
    <t>Closing tax effect of losses</t>
  </si>
  <si>
    <t>Matrix of accumulating costs</t>
  </si>
  <si>
    <t>check</t>
  </si>
  <si>
    <t>Matrix of accumulating revenue</t>
  </si>
  <si>
    <t>Net accumulating costs</t>
  </si>
  <si>
    <t>Days in year</t>
  </si>
  <si>
    <t>Days from mid year to end of year</t>
  </si>
  <si>
    <t>Proportion of year for mid year calcs</t>
  </si>
  <si>
    <t>Days from revenue year to end of year</t>
  </si>
  <si>
    <t>Proportion of year for revenue year calcs</t>
  </si>
  <si>
    <t>Present value benefit of Crown debt financing</t>
  </si>
  <si>
    <t>Crown debt financing rate</t>
  </si>
  <si>
    <t>Benefit of Crown debt financing</t>
  </si>
  <si>
    <t>Future value of benefit of Crown debt financing</t>
  </si>
  <si>
    <t>Present value benefit of Crown senior debt financing</t>
  </si>
  <si>
    <t>Crown subordinated debt financing rate</t>
  </si>
  <si>
    <t>Present value benefit of Crown subordinated debt financing</t>
  </si>
  <si>
    <t>Depreciation rate</t>
  </si>
  <si>
    <t>Historic depreciation</t>
  </si>
  <si>
    <t>Adjustment for partial depreciation</t>
  </si>
  <si>
    <t>Opening balance</t>
  </si>
  <si>
    <t>Total depreciation</t>
  </si>
  <si>
    <t>Closing balance</t>
  </si>
  <si>
    <t>Cost of debt for full year</t>
  </si>
  <si>
    <t xml:space="preserve">This model summarises the calculation of the financial loss asset.
</t>
  </si>
  <si>
    <t>Financial loss asset at implementation</t>
  </si>
  <si>
    <t>Tax effect of losses at implementation</t>
  </si>
  <si>
    <t>$002</t>
  </si>
  <si>
    <t>Avoided interest on Crown debt drawdown</t>
  </si>
  <si>
    <t>Cost of Crown debt for full year</t>
  </si>
  <si>
    <t>Crown debt financing (nominal values)</t>
  </si>
  <si>
    <t>Crown subordinated debt financing (nominal values)</t>
  </si>
  <si>
    <t>Benefit of Crown subordinated debt financing</t>
  </si>
  <si>
    <t>Future value of benefit of Crown subordinated debt financing</t>
  </si>
  <si>
    <t>Subordinated debt finance rate</t>
  </si>
  <si>
    <t>Senior debt finance rate</t>
  </si>
  <si>
    <t>Crown senior debt financing (nominal values)</t>
  </si>
  <si>
    <t>Crown senior debt financing rate</t>
  </si>
  <si>
    <t>Benefit of Crown senior debt financing</t>
  </si>
  <si>
    <t>Future value of benefit of Crown senior debt financing</t>
  </si>
  <si>
    <t>Crown financing (vanilla)</t>
  </si>
  <si>
    <t>Proportion of year</t>
  </si>
  <si>
    <t>Accumulated total RAB</t>
  </si>
  <si>
    <t>Roll forward of allocated UFB fibre assets - adjusted for losses</t>
  </si>
  <si>
    <t>Loss adjustment</t>
  </si>
  <si>
    <t>Notional deductible interest calculations</t>
  </si>
  <si>
    <t>Matrix of interest on losses</t>
  </si>
  <si>
    <t>Annual costs</t>
  </si>
  <si>
    <t>Annual revenue</t>
  </si>
  <si>
    <t>Discounted cash flow calculation of financial loss asset using a vanilla WACC</t>
  </si>
  <si>
    <t>Step 1: Calculate debt financing cost of commissioned assets</t>
  </si>
  <si>
    <t>Commissioned assets (including cost allocation adjustment cashflow)</t>
  </si>
  <si>
    <t>Initial asset value</t>
  </si>
  <si>
    <t>Commissioned assets (including cost allocation adjustment cashflow) for financial loss year 2022</t>
  </si>
  <si>
    <t>Commissioned assets (including cost allocation adjustment cashflow) for financial loss year 2013</t>
  </si>
  <si>
    <t>Commissioned assets (including cost allocation adjustment cashflow) for financial loss year 2014</t>
  </si>
  <si>
    <t>Commissioned assets (including cost allocation adjustment cashflow) for financial loss year 2015</t>
  </si>
  <si>
    <t>Commissioned assets (including cost allocation adjustment cashflow) for financial loss year 2016</t>
  </si>
  <si>
    <t>Commissioned assets (including cost allocation adjustment cashflow) for financial loss year 2017</t>
  </si>
  <si>
    <t>Commissioned assets (including cost allocation adjustment cashflow) for financial loss year 2018</t>
  </si>
  <si>
    <t>Commissioned assets (including cost allocation adjustment cashflow) for financial loss year 2019</t>
  </si>
  <si>
    <t>Commissioned assets (including cost allocation adjustment cashflow) for financial loss year 2020</t>
  </si>
  <si>
    <t>Commissioned assets (including cost allocation adjustment cashflow) for financial loss year 2021</t>
  </si>
  <si>
    <t>Debt financing costs for initial asset value</t>
  </si>
  <si>
    <t>Debt financing costs for assets commissioned in financial loss year 2012</t>
  </si>
  <si>
    <t>Debt financing costs for assets commissioned in financial loss year 2013</t>
  </si>
  <si>
    <t>Debt financing costs for assets commissioned in financial loss year 2014</t>
  </si>
  <si>
    <t>Debt financing costs for assets commissioned in financial loss year 2015</t>
  </si>
  <si>
    <t>Debt financing costs for assets commissioned in financial loss year 2016</t>
  </si>
  <si>
    <t>Debt financing costs for assets commissioned in financial loss year 2017</t>
  </si>
  <si>
    <t>Debt financing costs for assets commissioned in financial loss year 2018</t>
  </si>
  <si>
    <t>Debt financing costs for assets commissioned in financial loss year 2019</t>
  </si>
  <si>
    <t>Debt financing costs for assets commissioned in financial loss year 2020</t>
  </si>
  <si>
    <t>Debt financing costs for assets commissioned in financial loss year 2021</t>
  </si>
  <si>
    <t>Debt financing costs for assets commissioned in financial loss year 2022</t>
  </si>
  <si>
    <t>Calculation of accumulating RAB</t>
  </si>
  <si>
    <t>Total net cost of debt financing assets</t>
  </si>
  <si>
    <t>Net cost of debt financing assets</t>
  </si>
  <si>
    <t>Gross cost of debt financing assets</t>
  </si>
  <si>
    <t>Step 2: Add cost of debt financing losses</t>
  </si>
  <si>
    <t>Total cost of debt financing losses</t>
  </si>
  <si>
    <t>Loss</t>
  </si>
  <si>
    <t>Notional deductible interest</t>
  </si>
  <si>
    <t>Post-tax WACC</t>
  </si>
  <si>
    <t>Crown financing inputs</t>
  </si>
  <si>
    <t>Crown financing (post-tax)</t>
  </si>
  <si>
    <t>Compounding factors (vanilla)</t>
  </si>
  <si>
    <t>Cost of capital (vanilla WACC)</t>
  </si>
  <si>
    <t>Cost of capital</t>
  </si>
  <si>
    <t>UFB value of net commissioned assets cash flow (allocated)</t>
  </si>
  <si>
    <t>UFB value of net commissioned assets cash flow (unallocated)</t>
  </si>
  <si>
    <t>UFB value of net commissioned assets cash flow (opening value at start date)</t>
  </si>
  <si>
    <t>UFB value of net commissioned assets cash flow</t>
  </si>
  <si>
    <t>Days</t>
  </si>
  <si>
    <t>End-year date compounding</t>
  </si>
  <si>
    <t>Days from end-year to implementation date</t>
  </si>
  <si>
    <t>Compounding factor from end-year</t>
  </si>
  <si>
    <t>Total avoided cost of Crown debt financing</t>
  </si>
  <si>
    <t>Published 19 August 2021</t>
  </si>
  <si>
    <t>Fibre regulation - initial regulatory asset base as at 1 January 2022</t>
  </si>
  <si>
    <t>Illustration of financial loss asset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</si>
</sst>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@_)"/>
    <numFmt numFmtId="170" formatCode="_(* #,##0.0_);_(* \(#,##0.0\);_(* &quot;–&quot;???_);_(* @_)"/>
    <numFmt numFmtId="171" formatCode="_(* #,##0.00_);_(* \(#,##0.0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#,##0.0%_);_(* \(#,##0.0%\);_(* &quot;–&quot;??_);_(* @_)"/>
    <numFmt numFmtId="176" formatCode="_(* #,##0.00%_);_(* \(#,##0.00%\);_(* &quot;–&quot;???_);_(* @_)"/>
    <numFmt numFmtId="177" formatCode="_(* #,##0.000%_);_(* \(#,##0.000%\);_(* &quot;–&quot;???_);_(* @_)"/>
    <numFmt numFmtId="178" formatCode="_(* #,##0%_);_(* \(#,##0%\);_(* &quot;–&quot;??_);_(* @_)"/>
    <numFmt numFmtId="179" formatCode="_(* 0_);_(* \(0\);_(* &quot;–&quot;??_);_(@_)"/>
    <numFmt numFmtId="180" formatCode="_(* #,##0_);_(* \(#,##0\);_(* &quot;–&quot;???_);_(* @_)"/>
    <numFmt numFmtId="181" formatCode="_(* #,##0.0000%_);_(* \(#,##0.0000%\);_(* &quot;–&quot;???_);_(* @_)"/>
    <numFmt numFmtId="182" formatCode="_(* #,##0.000_);_(* \(#,##0.000\);_(* &quot;–&quot;???_);_(* @_)"/>
    <numFmt numFmtId="183" formatCode="0_ ;\-0\ "/>
    <numFmt numFmtId="184" formatCode="_(* #,##0_);_(* \(#,##0\);_(* &quot;-&quot;??_);_(@_)"/>
    <numFmt numFmtId="185" formatCode="_-* #,##0_-;\-* #,##0_-;_-* &quot;-&quot;??_-;_-@_-"/>
    <numFmt numFmtId="186" formatCode="_(* #,##0_);_(* \(#,##0\);_(* &quot;–&quot;??_);_(* @_)"/>
    <numFmt numFmtId="187" formatCode="0.0000%"/>
    <numFmt numFmtId="188" formatCode="0.0000"/>
    <numFmt numFmtId="189" formatCode="#,##0.000"/>
    <numFmt numFmtId="190" formatCode="#,##0_);[Red]\-#,##0_);&quot;-&quot;?_);@_)"/>
    <numFmt numFmtId="191" formatCode="_(* #,##0.0_);_(* \(#,##0.0\);_(* &quot;-&quot;??_);_(@_)"/>
    <numFmt numFmtId="192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4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645F3A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4"/>
      <scheme val="minor"/>
    </font>
    <font>
      <b/>
      <sz val="10"/>
      <name val="Calibri"/>
      <family val="2"/>
      <scheme val="minor"/>
    </font>
    <font>
      <b/>
      <sz val="11"/>
      <color rgb="FF645F3A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3"/>
      <color theme="1"/>
      <name val="Calibri"/>
      <family val="2"/>
      <scheme val="minor"/>
    </font>
    <font>
      <b/>
      <sz val="12"/>
      <name val="Calibri"/>
      <family val="4"/>
      <scheme val="minor"/>
    </font>
    <font>
      <sz val="11"/>
      <color theme="1" tint="0.34998626667073579"/>
      <name val="Calibri"/>
      <family val="2"/>
      <scheme val="minor"/>
    </font>
    <font>
      <sz val="11"/>
      <color theme="4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B4FF3C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rgb="FFB0A978"/>
      </top>
      <bottom style="thin">
        <color rgb="FFB0A978"/>
      </bottom>
      <diagonal/>
    </border>
    <border>
      <left/>
      <right style="thin">
        <color rgb="FFB0A978"/>
      </right>
      <top style="thin">
        <color rgb="FFB0A978"/>
      </top>
      <bottom style="thin">
        <color rgb="FFB0A978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B0A978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/>
      <right/>
      <top style="thin">
        <color rgb="FFB0A978"/>
      </top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1"/>
      </top>
      <bottom style="thin">
        <color rgb="FFB0A978"/>
      </bottom>
      <diagonal/>
    </border>
    <border>
      <left/>
      <right/>
      <top style="thin">
        <color theme="1"/>
      </top>
      <bottom style="thin">
        <color theme="8"/>
      </bottom>
      <diagonal/>
    </border>
    <border>
      <left/>
      <right/>
      <top style="thin">
        <color rgb="FFB0A978"/>
      </top>
      <bottom style="thin">
        <color indexed="64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82">
    <xf numFmtId="0" fontId="0" fillId="0" borderId="0"/>
    <xf numFmtId="168" fontId="1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26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25" fillId="0" borderId="17" applyNumberFormat="0" applyAlignment="0">
      <protection locked="0"/>
    </xf>
    <xf numFmtId="0" fontId="1" fillId="0" borderId="17" applyNumberFormat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0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9" fontId="18" fillId="0" borderId="0" applyFont="0" applyFill="0" applyBorder="0" applyAlignment="0" applyProtection="0">
      <alignment horizontal="left"/>
      <protection locked="0"/>
    </xf>
    <xf numFmtId="166" fontId="1" fillId="34" borderId="18" applyNumberFormat="0" applyFont="0" applyFill="0" applyAlignment="0" applyProtection="0"/>
    <xf numFmtId="177" fontId="13" fillId="32" borderId="0" applyFont="0" applyBorder="0"/>
    <xf numFmtId="176" fontId="18" fillId="0" borderId="0" applyFont="0" applyFill="0" applyBorder="0" applyAlignment="0" applyProtection="0">
      <protection locked="0"/>
    </xf>
    <xf numFmtId="175" fontId="13" fillId="0" borderId="0" applyFont="0" applyFill="0" applyBorder="0" applyAlignment="0" applyProtection="0">
      <alignment horizontal="center" vertical="top" wrapText="1"/>
    </xf>
    <xf numFmtId="174" fontId="27" fillId="0" borderId="17" applyNumberFormat="0" applyAlignment="0"/>
    <xf numFmtId="0" fontId="17" fillId="0" borderId="17" applyNumberFormat="0">
      <alignment horizontal="centerContinuous" wrapText="1"/>
    </xf>
    <xf numFmtId="173" fontId="18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>
      <protection locked="0"/>
    </xf>
    <xf numFmtId="169" fontId="19" fillId="0" borderId="0" applyFont="0" applyFill="0" applyBorder="0" applyAlignment="0" applyProtection="0">
      <alignment horizontal="left"/>
      <protection locked="0"/>
    </xf>
    <xf numFmtId="170" fontId="18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81" fontId="1" fillId="32" borderId="0" applyFont="0" applyBorder="0"/>
    <xf numFmtId="182" fontId="1" fillId="0" borderId="0" applyFont="0" applyFill="0" applyBorder="0" applyAlignment="0" applyProtection="0"/>
    <xf numFmtId="0" fontId="13" fillId="35" borderId="17" applyNumberFormat="0" applyAlignment="0" applyProtection="0"/>
    <xf numFmtId="49" fontId="20" fillId="0" borderId="0" applyFill="0" applyProtection="0">
      <alignment horizontal="left" indent="1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17" fillId="36" borderId="14" applyNumberFormat="0" applyFill="0">
      <alignment horizontal="centerContinuous" wrapText="1"/>
    </xf>
    <xf numFmtId="0" fontId="31" fillId="5" borderId="20" applyNumberFormat="0" applyAlignment="0" applyProtection="0"/>
    <xf numFmtId="174" fontId="32" fillId="37" borderId="14" applyNumberFormat="0" applyFill="0" applyAlignment="0"/>
    <xf numFmtId="166" fontId="1" fillId="0" borderId="0" applyFont="0" applyFill="0" applyBorder="0" applyAlignment="0" applyProtection="0"/>
    <xf numFmtId="169" fontId="18" fillId="0" borderId="0" applyFont="0" applyFill="0" applyBorder="0" applyAlignment="0" applyProtection="0">
      <alignment horizontal="left"/>
      <protection locked="0"/>
    </xf>
    <xf numFmtId="0" fontId="33" fillId="0" borderId="22" applyNumberFormat="0" applyFill="0" applyAlignment="0" applyProtection="0"/>
    <xf numFmtId="170" fontId="1" fillId="34" borderId="23" applyNumberFormat="0" applyFont="0" applyFill="0" applyAlignment="0" applyProtection="0"/>
    <xf numFmtId="0" fontId="34" fillId="38" borderId="1" applyNumberFormat="0" applyAlignment="0" applyProtection="0"/>
    <xf numFmtId="0" fontId="51" fillId="0" borderId="30" applyNumberFormat="0" applyAlignment="0">
      <alignment vertical="center"/>
      <protection locked="0"/>
    </xf>
    <xf numFmtId="0" fontId="51" fillId="0" borderId="31" applyNumberFormat="0" applyAlignment="0">
      <alignment vertical="center"/>
    </xf>
    <xf numFmtId="0" fontId="51" fillId="43" borderId="0" applyNumberFormat="0" applyAlignment="0">
      <alignment vertical="center"/>
    </xf>
  </cellStyleXfs>
  <cellXfs count="229">
    <xf numFmtId="0" fontId="0" fillId="0" borderId="0" xfId="0"/>
    <xf numFmtId="0" fontId="0" fillId="0" borderId="0" xfId="0"/>
    <xf numFmtId="0" fontId="12" fillId="32" borderId="6" xfId="0" applyFont="1" applyFill="1" applyBorder="1"/>
    <xf numFmtId="0" fontId="12" fillId="32" borderId="7" xfId="0" applyFont="1" applyFill="1" applyBorder="1"/>
    <xf numFmtId="0" fontId="12" fillId="32" borderId="8" xfId="0" applyFont="1" applyFill="1" applyBorder="1"/>
    <xf numFmtId="0" fontId="12" fillId="32" borderId="9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2" fillId="32" borderId="9" xfId="0" applyFont="1" applyFill="1" applyBorder="1"/>
    <xf numFmtId="0" fontId="0" fillId="0" borderId="0" xfId="0" applyBorder="1"/>
    <xf numFmtId="0" fontId="12" fillId="32" borderId="10" xfId="0" applyFont="1" applyFill="1" applyBorder="1"/>
    <xf numFmtId="0" fontId="12" fillId="32" borderId="9" xfId="0" applyFont="1" applyFill="1" applyBorder="1" applyAlignment="1"/>
    <xf numFmtId="0" fontId="12" fillId="32" borderId="0" xfId="0" applyFont="1" applyFill="1" applyBorder="1"/>
    <xf numFmtId="49" fontId="26" fillId="0" borderId="0" xfId="5"/>
    <xf numFmtId="169" fontId="0" fillId="0" borderId="0" xfId="56" applyFont="1" applyBorder="1" applyAlignment="1" applyProtection="1"/>
    <xf numFmtId="0" fontId="0" fillId="0" borderId="0" xfId="0" applyFill="1" applyBorder="1"/>
    <xf numFmtId="0" fontId="0" fillId="0" borderId="13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Border="1"/>
    <xf numFmtId="49" fontId="20" fillId="0" borderId="0" xfId="65" applyAlignment="1">
      <alignment vertical="top"/>
    </xf>
    <xf numFmtId="169" fontId="1" fillId="0" borderId="16" xfId="14" applyNumberFormat="1" applyFill="1" applyBorder="1" applyAlignment="1"/>
    <xf numFmtId="179" fontId="1" fillId="0" borderId="16" xfId="14" applyNumberFormat="1" applyFill="1" applyBorder="1" applyAlignment="1"/>
    <xf numFmtId="0" fontId="24" fillId="0" borderId="16" xfId="58" applyFill="1" applyBorder="1" applyAlignment="1" applyProtection="1"/>
    <xf numFmtId="169" fontId="0" fillId="0" borderId="15" xfId="14" applyNumberFormat="1" applyFont="1" applyFill="1" applyBorder="1" applyAlignment="1"/>
    <xf numFmtId="0" fontId="23" fillId="32" borderId="10" xfId="0" applyFont="1" applyFill="1" applyBorder="1"/>
    <xf numFmtId="49" fontId="26" fillId="0" borderId="0" xfId="5" applyFill="1" applyAlignment="1">
      <alignment horizontal="centerContinuous"/>
    </xf>
    <xf numFmtId="169" fontId="1" fillId="0" borderId="16" xfId="14" applyNumberFormat="1" applyFill="1" applyBorder="1" applyAlignment="1">
      <alignment vertical="top"/>
    </xf>
    <xf numFmtId="169" fontId="1" fillId="0" borderId="0" xfId="14" applyNumberFormat="1" applyFill="1" applyBorder="1" applyAlignment="1">
      <alignment vertical="top"/>
    </xf>
    <xf numFmtId="0" fontId="2" fillId="0" borderId="0" xfId="0" applyFont="1"/>
    <xf numFmtId="3" fontId="0" fillId="0" borderId="0" xfId="66" applyNumberFormat="1" applyFont="1"/>
    <xf numFmtId="3" fontId="0" fillId="0" borderId="0" xfId="0" applyNumberFormat="1"/>
    <xf numFmtId="0" fontId="0" fillId="0" borderId="0" xfId="0" applyAlignment="1">
      <alignment wrapText="1"/>
    </xf>
    <xf numFmtId="184" fontId="25" fillId="0" borderId="17" xfId="13" applyNumberFormat="1">
      <protection locked="0"/>
    </xf>
    <xf numFmtId="0" fontId="17" fillId="0" borderId="17" xfId="52" applyAlignment="1">
      <alignment horizontal="left" wrapText="1"/>
    </xf>
    <xf numFmtId="0" fontId="1" fillId="0" borderId="17" xfId="14"/>
    <xf numFmtId="3" fontId="1" fillId="0" borderId="17" xfId="14" applyNumberFormat="1"/>
    <xf numFmtId="0" fontId="1" fillId="0" borderId="24" xfId="14" applyBorder="1"/>
    <xf numFmtId="3" fontId="1" fillId="0" borderId="24" xfId="14" applyNumberFormat="1" applyBorder="1"/>
    <xf numFmtId="184" fontId="0" fillId="0" borderId="0" xfId="0" applyNumberFormat="1"/>
    <xf numFmtId="164" fontId="35" fillId="0" borderId="17" xfId="52" quotePrefix="1" applyNumberFormat="1" applyFont="1" applyAlignment="1">
      <alignment horizontal="left" wrapText="1"/>
    </xf>
    <xf numFmtId="49" fontId="16" fillId="0" borderId="0" xfId="8" applyFill="1">
      <alignment horizontal="left"/>
    </xf>
    <xf numFmtId="0" fontId="17" fillId="0" borderId="24" xfId="52" applyBorder="1" applyAlignment="1">
      <alignment horizontal="left" wrapText="1"/>
    </xf>
    <xf numFmtId="0" fontId="17" fillId="0" borderId="0" xfId="52" applyBorder="1" applyAlignment="1">
      <alignment horizontal="left" wrapText="1"/>
    </xf>
    <xf numFmtId="3" fontId="1" fillId="0" borderId="0" xfId="14" applyNumberFormat="1" applyBorder="1"/>
    <xf numFmtId="3" fontId="0" fillId="0" borderId="24" xfId="0" applyNumberFormat="1" applyBorder="1"/>
    <xf numFmtId="0" fontId="1" fillId="0" borderId="0" xfId="14" applyBorder="1"/>
    <xf numFmtId="3" fontId="1" fillId="0" borderId="17" xfId="14" applyNumberFormat="1" applyBorder="1"/>
    <xf numFmtId="49" fontId="36" fillId="0" borderId="21" xfId="8" applyFont="1" applyFill="1" applyBorder="1">
      <alignment horizontal="left"/>
    </xf>
    <xf numFmtId="9" fontId="25" fillId="0" borderId="0" xfId="67" applyFont="1" applyBorder="1" applyProtection="1">
      <protection locked="0"/>
    </xf>
    <xf numFmtId="0" fontId="17" fillId="0" borderId="26" xfId="52" applyBorder="1" applyAlignment="1">
      <alignment horizontal="left" wrapText="1"/>
    </xf>
    <xf numFmtId="3" fontId="0" fillId="0" borderId="27" xfId="0" applyNumberFormat="1" applyBorder="1"/>
    <xf numFmtId="3" fontId="0" fillId="0" borderId="28" xfId="0" applyNumberFormat="1" applyBorder="1"/>
    <xf numFmtId="2" fontId="17" fillId="0" borderId="17" xfId="52" applyNumberFormat="1" applyAlignment="1">
      <alignment horizontal="left" wrapText="1"/>
    </xf>
    <xf numFmtId="49" fontId="36" fillId="0" borderId="0" xfId="8" applyFont="1" applyFill="1" applyBorder="1">
      <alignment horizontal="left"/>
    </xf>
    <xf numFmtId="9" fontId="1" fillId="0" borderId="17" xfId="67" applyBorder="1"/>
    <xf numFmtId="0" fontId="35" fillId="0" borderId="17" xfId="52" applyFont="1" applyAlignment="1">
      <alignment horizontal="left" wrapText="1"/>
    </xf>
    <xf numFmtId="0" fontId="37" fillId="32" borderId="0" xfId="0" applyFont="1" applyFill="1" applyBorder="1" applyAlignment="1">
      <alignment horizontal="centerContinuous"/>
    </xf>
    <xf numFmtId="0" fontId="38" fillId="0" borderId="0" xfId="0" applyFont="1"/>
    <xf numFmtId="0" fontId="37" fillId="32" borderId="0" xfId="0" applyFont="1" applyFill="1" applyBorder="1"/>
    <xf numFmtId="0" fontId="35" fillId="0" borderId="0" xfId="0" applyFont="1"/>
    <xf numFmtId="184" fontId="25" fillId="0" borderId="0" xfId="13" applyNumberFormat="1" applyBorder="1">
      <protection locked="0"/>
    </xf>
    <xf numFmtId="185" fontId="25" fillId="0" borderId="0" xfId="13" applyNumberFormat="1" applyBorder="1">
      <protection locked="0"/>
    </xf>
    <xf numFmtId="0" fontId="0" fillId="0" borderId="17" xfId="14" applyFont="1"/>
    <xf numFmtId="49" fontId="15" fillId="0" borderId="0" xfId="7" applyFill="1" applyAlignment="1">
      <alignment horizontal="left"/>
    </xf>
    <xf numFmtId="0" fontId="0" fillId="0" borderId="0" xfId="0" applyBorder="1" applyAlignment="1">
      <alignment wrapText="1"/>
    </xf>
    <xf numFmtId="164" fontId="35" fillId="0" borderId="21" xfId="52" quotePrefix="1" applyNumberFormat="1" applyFont="1" applyBorder="1" applyAlignment="1">
      <alignment horizontal="left" wrapText="1"/>
    </xf>
    <xf numFmtId="186" fontId="25" fillId="0" borderId="24" xfId="13" applyNumberFormat="1" applyBorder="1">
      <protection locked="0"/>
    </xf>
    <xf numFmtId="0" fontId="17" fillId="0" borderId="0" xfId="52" applyFill="1" applyBorder="1" applyAlignment="1">
      <alignment horizontal="left" wrapText="1"/>
    </xf>
    <xf numFmtId="9" fontId="25" fillId="0" borderId="17" xfId="67" applyNumberFormat="1" applyFont="1" applyBorder="1" applyProtection="1">
      <protection locked="0"/>
    </xf>
    <xf numFmtId="0" fontId="21" fillId="32" borderId="0" xfId="0" applyFont="1" applyFill="1" applyBorder="1" applyAlignment="1">
      <alignment horizontal="centerContinuous"/>
    </xf>
    <xf numFmtId="49" fontId="26" fillId="0" borderId="0" xfId="5" applyFont="1" applyFill="1" applyAlignment="1">
      <alignment horizontal="centerContinuous"/>
    </xf>
    <xf numFmtId="169" fontId="0" fillId="0" borderId="15" xfId="14" applyNumberFormat="1" applyFont="1" applyFill="1" applyBorder="1" applyAlignment="1">
      <alignment wrapText="1"/>
    </xf>
    <xf numFmtId="49" fontId="14" fillId="0" borderId="16" xfId="6" applyFill="1" applyBorder="1" applyAlignment="1">
      <alignment horizontal="left"/>
    </xf>
    <xf numFmtId="0" fontId="39" fillId="0" borderId="0" xfId="69" applyFont="1" applyAlignment="1">
      <alignment horizontal="left" indent="1"/>
    </xf>
    <xf numFmtId="3" fontId="1" fillId="0" borderId="21" xfId="14" applyNumberFormat="1" applyBorder="1"/>
    <xf numFmtId="49" fontId="14" fillId="0" borderId="0" xfId="6" applyFill="1" applyBorder="1" applyAlignment="1"/>
    <xf numFmtId="10" fontId="25" fillId="0" borderId="17" xfId="67" applyNumberFormat="1" applyFont="1" applyBorder="1" applyProtection="1">
      <protection locked="0"/>
    </xf>
    <xf numFmtId="10" fontId="27" fillId="0" borderId="17" xfId="67" applyNumberFormat="1" applyFont="1" applyBorder="1"/>
    <xf numFmtId="49" fontId="16" fillId="0" borderId="0" xfId="8" applyFill="1" applyBorder="1">
      <alignment horizontal="left"/>
    </xf>
    <xf numFmtId="173" fontId="40" fillId="0" borderId="17" xfId="13" applyNumberFormat="1" applyFont="1" applyAlignment="1">
      <protection locked="0"/>
    </xf>
    <xf numFmtId="49" fontId="15" fillId="0" borderId="0" xfId="6" applyFont="1"/>
    <xf numFmtId="0" fontId="41" fillId="0" borderId="0" xfId="0" applyFont="1"/>
    <xf numFmtId="184" fontId="41" fillId="0" borderId="0" xfId="0" applyNumberFormat="1" applyFont="1"/>
    <xf numFmtId="187" fontId="0" fillId="0" borderId="0" xfId="67" applyNumberFormat="1" applyFont="1"/>
    <xf numFmtId="10" fontId="1" fillId="0" borderId="0" xfId="67" applyNumberFormat="1" applyFont="1"/>
    <xf numFmtId="2" fontId="17" fillId="0" borderId="21" xfId="52" applyNumberFormat="1" applyBorder="1" applyAlignment="1">
      <alignment horizontal="left" wrapText="1"/>
    </xf>
    <xf numFmtId="2" fontId="17" fillId="0" borderId="29" xfId="52" applyNumberFormat="1" applyBorder="1" applyAlignment="1">
      <alignment horizontal="left" wrapText="1"/>
    </xf>
    <xf numFmtId="0" fontId="1" fillId="0" borderId="21" xfId="14" applyBorder="1"/>
    <xf numFmtId="10" fontId="27" fillId="0" borderId="21" xfId="67" applyNumberFormat="1" applyFont="1" applyBorder="1"/>
    <xf numFmtId="0" fontId="0" fillId="0" borderId="29" xfId="14" applyFont="1" applyBorder="1"/>
    <xf numFmtId="9" fontId="25" fillId="0" borderId="29" xfId="67" applyFont="1" applyBorder="1" applyProtection="1">
      <protection locked="0"/>
    </xf>
    <xf numFmtId="10" fontId="25" fillId="0" borderId="29" xfId="67" applyNumberFormat="1" applyFont="1" applyBorder="1" applyProtection="1">
      <protection locked="0"/>
    </xf>
    <xf numFmtId="0" fontId="25" fillId="0" borderId="17" xfId="51" applyNumberFormat="1" applyFont="1"/>
    <xf numFmtId="49" fontId="15" fillId="0" borderId="0" xfId="6" applyFont="1" applyFill="1"/>
    <xf numFmtId="0" fontId="0" fillId="0" borderId="0" xfId="0" applyFill="1"/>
    <xf numFmtId="169" fontId="35" fillId="0" borderId="17" xfId="52" applyNumberFormat="1" applyFont="1" applyAlignment="1">
      <alignment horizontal="left" wrapText="1"/>
    </xf>
    <xf numFmtId="1" fontId="27" fillId="0" borderId="17" xfId="67" applyNumberFormat="1" applyFont="1" applyBorder="1"/>
    <xf numFmtId="2" fontId="27" fillId="0" borderId="17" xfId="67" applyNumberFormat="1" applyFont="1" applyBorder="1"/>
    <xf numFmtId="183" fontId="43" fillId="39" borderId="0" xfId="52" quotePrefix="1" applyNumberFormat="1" applyFont="1" applyFill="1" applyBorder="1" applyAlignment="1">
      <alignment horizontal="center" wrapText="1"/>
    </xf>
    <xf numFmtId="173" fontId="42" fillId="39" borderId="0" xfId="52" applyNumberFormat="1" applyFont="1" applyFill="1" applyBorder="1" applyAlignment="1">
      <alignment horizontal="center" vertical="center" wrapText="1"/>
    </xf>
    <xf numFmtId="0" fontId="39" fillId="0" borderId="0" xfId="69" applyFont="1" applyAlignment="1">
      <alignment horizontal="left"/>
    </xf>
    <xf numFmtId="2" fontId="44" fillId="0" borderId="17" xfId="67" applyNumberFormat="1" applyFont="1" applyBorder="1"/>
    <xf numFmtId="3" fontId="45" fillId="0" borderId="17" xfId="14" applyNumberFormat="1" applyFont="1"/>
    <xf numFmtId="9" fontId="0" fillId="0" borderId="0" xfId="67" applyFont="1"/>
    <xf numFmtId="2" fontId="25" fillId="0" borderId="17" xfId="13" applyNumberFormat="1">
      <protection locked="0"/>
    </xf>
    <xf numFmtId="3" fontId="46" fillId="0" borderId="17" xfId="14" applyNumberFormat="1" applyFont="1"/>
    <xf numFmtId="2" fontId="46" fillId="0" borderId="0" xfId="0" applyNumberFormat="1" applyFont="1"/>
    <xf numFmtId="3" fontId="46" fillId="0" borderId="29" xfId="14" applyNumberFormat="1" applyFont="1" applyBorder="1"/>
    <xf numFmtId="0" fontId="43" fillId="0" borderId="17" xfId="52" applyFont="1" applyAlignment="1">
      <alignment horizontal="left" wrapText="1"/>
    </xf>
    <xf numFmtId="3" fontId="1" fillId="0" borderId="27" xfId="14" applyNumberFormat="1" applyBorder="1"/>
    <xf numFmtId="188" fontId="27" fillId="0" borderId="17" xfId="67" applyNumberFormat="1" applyFont="1" applyBorder="1"/>
    <xf numFmtId="2" fontId="13" fillId="0" borderId="17" xfId="67" applyNumberFormat="1" applyFont="1" applyBorder="1"/>
    <xf numFmtId="184" fontId="47" fillId="0" borderId="0" xfId="0" applyNumberFormat="1" applyFont="1"/>
    <xf numFmtId="0" fontId="47" fillId="0" borderId="0" xfId="0" applyFont="1"/>
    <xf numFmtId="0" fontId="48" fillId="0" borderId="17" xfId="52" applyFont="1" applyAlignment="1">
      <alignment horizontal="left" wrapText="1"/>
    </xf>
    <xf numFmtId="164" fontId="49" fillId="0" borderId="17" xfId="52" quotePrefix="1" applyNumberFormat="1" applyFont="1" applyAlignment="1">
      <alignment horizontal="left" wrapText="1"/>
    </xf>
    <xf numFmtId="3" fontId="49" fillId="0" borderId="17" xfId="14" applyNumberFormat="1" applyFont="1" applyAlignment="1">
      <alignment horizontal="right"/>
    </xf>
    <xf numFmtId="3" fontId="1" fillId="0" borderId="17" xfId="14" applyNumberFormat="1" applyFill="1"/>
    <xf numFmtId="3" fontId="46" fillId="0" borderId="17" xfId="14" applyNumberFormat="1" applyFont="1" applyFill="1"/>
    <xf numFmtId="3" fontId="0" fillId="0" borderId="24" xfId="0" applyNumberFormat="1" applyFill="1" applyBorder="1"/>
    <xf numFmtId="3" fontId="0" fillId="0" borderId="28" xfId="0" applyNumberFormat="1" applyFill="1" applyBorder="1"/>
    <xf numFmtId="2" fontId="46" fillId="0" borderId="0" xfId="0" applyNumberFormat="1" applyFont="1" applyFill="1"/>
    <xf numFmtId="10" fontId="27" fillId="0" borderId="17" xfId="66" applyNumberFormat="1" applyFont="1" applyBorder="1"/>
    <xf numFmtId="10" fontId="27" fillId="0" borderId="17" xfId="67" applyNumberFormat="1" applyFont="1" applyFill="1" applyBorder="1"/>
    <xf numFmtId="10" fontId="25" fillId="0" borderId="17" xfId="66" applyNumberFormat="1" applyFont="1" applyBorder="1"/>
    <xf numFmtId="2" fontId="17" fillId="0" borderId="17" xfId="52" applyNumberFormat="1" applyFill="1" applyAlignment="1">
      <alignment horizontal="left" wrapText="1"/>
    </xf>
    <xf numFmtId="164" fontId="35" fillId="0" borderId="17" xfId="52" quotePrefix="1" applyNumberFormat="1" applyFont="1" applyFill="1" applyAlignment="1">
      <alignment horizontal="left" wrapText="1"/>
    </xf>
    <xf numFmtId="0" fontId="17" fillId="0" borderId="25" xfId="52" applyFill="1" applyBorder="1" applyAlignment="1">
      <alignment horizontal="left" wrapText="1"/>
    </xf>
    <xf numFmtId="3" fontId="1" fillId="0" borderId="21" xfId="14" applyNumberFormat="1" applyFill="1" applyBorder="1"/>
    <xf numFmtId="3" fontId="45" fillId="0" borderId="21" xfId="14" applyNumberFormat="1" applyFont="1" applyFill="1" applyBorder="1"/>
    <xf numFmtId="3" fontId="1" fillId="0" borderId="29" xfId="14" applyNumberFormat="1" applyFill="1" applyBorder="1"/>
    <xf numFmtId="189" fontId="1" fillId="0" borderId="21" xfId="14" applyNumberFormat="1" applyBorder="1"/>
    <xf numFmtId="10" fontId="25" fillId="0" borderId="17" xfId="67" applyNumberFormat="1" applyFont="1" applyFill="1" applyBorder="1" applyProtection="1">
      <protection locked="0"/>
    </xf>
    <xf numFmtId="0" fontId="0" fillId="0" borderId="17" xfId="14" applyFont="1" applyFill="1"/>
    <xf numFmtId="1" fontId="27" fillId="0" borderId="17" xfId="67" applyNumberFormat="1" applyFont="1" applyFill="1" applyBorder="1"/>
    <xf numFmtId="2" fontId="27" fillId="0" borderId="17" xfId="67" applyNumberFormat="1" applyFont="1" applyFill="1" applyBorder="1"/>
    <xf numFmtId="168" fontId="27" fillId="0" borderId="17" xfId="66" applyNumberFormat="1" applyFont="1" applyFill="1" applyBorder="1"/>
    <xf numFmtId="169" fontId="35" fillId="0" borderId="17" xfId="52" applyNumberFormat="1" applyFont="1" applyFill="1" applyAlignment="1">
      <alignment horizontal="left" wrapText="1"/>
    </xf>
    <xf numFmtId="3" fontId="1" fillId="0" borderId="0" xfId="14" applyNumberFormat="1" applyFill="1" applyBorder="1"/>
    <xf numFmtId="3" fontId="1" fillId="0" borderId="24" xfId="14" applyNumberFormat="1" applyFill="1" applyBorder="1"/>
    <xf numFmtId="2" fontId="25" fillId="0" borderId="17" xfId="13" applyNumberFormat="1" applyFill="1">
      <protection locked="0"/>
    </xf>
    <xf numFmtId="9" fontId="25" fillId="0" borderId="29" xfId="67" applyFont="1" applyFill="1" applyBorder="1" applyProtection="1">
      <protection locked="0"/>
    </xf>
    <xf numFmtId="10" fontId="0" fillId="0" borderId="0" xfId="0" applyNumberFormat="1"/>
    <xf numFmtId="190" fontId="51" fillId="0" borderId="31" xfId="80" applyNumberFormat="1">
      <alignment vertical="center"/>
    </xf>
    <xf numFmtId="184" fontId="25" fillId="0" borderId="17" xfId="13" applyNumberFormat="1" applyFill="1">
      <protection locked="0"/>
    </xf>
    <xf numFmtId="3" fontId="2" fillId="0" borderId="21" xfId="14" applyNumberFormat="1" applyFont="1" applyFill="1" applyBorder="1"/>
    <xf numFmtId="3" fontId="1" fillId="0" borderId="29" xfId="14" applyNumberFormat="1" applyBorder="1"/>
    <xf numFmtId="9" fontId="25" fillId="0" borderId="17" xfId="67" applyNumberFormat="1" applyFont="1" applyFill="1" applyBorder="1" applyProtection="1">
      <protection locked="0"/>
    </xf>
    <xf numFmtId="2" fontId="44" fillId="0" borderId="0" xfId="67" applyNumberFormat="1" applyFont="1" applyBorder="1"/>
    <xf numFmtId="0" fontId="0" fillId="0" borderId="0" xfId="0" applyAlignment="1">
      <alignment horizontal="right"/>
    </xf>
    <xf numFmtId="189" fontId="1" fillId="0" borderId="17" xfId="14" applyNumberFormat="1" applyFill="1"/>
    <xf numFmtId="10" fontId="35" fillId="0" borderId="17" xfId="67" quotePrefix="1" applyNumberFormat="1" applyFont="1" applyBorder="1" applyAlignment="1">
      <alignment horizontal="left" wrapText="1"/>
    </xf>
    <xf numFmtId="3" fontId="0" fillId="0" borderId="7" xfId="0" applyNumberFormat="1" applyBorder="1"/>
    <xf numFmtId="191" fontId="25" fillId="0" borderId="17" xfId="13" applyNumberFormat="1" applyFill="1">
      <protection locked="0"/>
    </xf>
    <xf numFmtId="186" fontId="25" fillId="0" borderId="0" xfId="13" applyNumberFormat="1" applyFill="1" applyBorder="1">
      <protection locked="0"/>
    </xf>
    <xf numFmtId="0" fontId="35" fillId="0" borderId="0" xfId="0" applyFont="1" applyFill="1"/>
    <xf numFmtId="0" fontId="35" fillId="0" borderId="17" xfId="52" applyFont="1" applyFill="1" applyAlignment="1">
      <alignment horizontal="left" wrapText="1"/>
    </xf>
    <xf numFmtId="10" fontId="1" fillId="0" borderId="17" xfId="51" applyNumberFormat="1" applyFont="1" applyFill="1"/>
    <xf numFmtId="10" fontId="1" fillId="0" borderId="17" xfId="51" applyNumberFormat="1" applyFont="1"/>
    <xf numFmtId="3" fontId="46" fillId="0" borderId="29" xfId="14" applyNumberFormat="1" applyFont="1" applyFill="1" applyBorder="1"/>
    <xf numFmtId="10" fontId="46" fillId="0" borderId="17" xfId="14" applyNumberFormat="1" applyFont="1" applyFill="1"/>
    <xf numFmtId="10" fontId="46" fillId="0" borderId="17" xfId="67" applyNumberFormat="1" applyFont="1" applyFill="1" applyBorder="1"/>
    <xf numFmtId="168" fontId="46" fillId="0" borderId="17" xfId="66" applyFont="1" applyFill="1" applyBorder="1"/>
    <xf numFmtId="9" fontId="25" fillId="0" borderId="17" xfId="51" applyNumberFormat="1" applyFont="1" applyFill="1"/>
    <xf numFmtId="168" fontId="25" fillId="0" borderId="17" xfId="66" applyFont="1" applyFill="1" applyBorder="1"/>
    <xf numFmtId="184" fontId="10" fillId="0" borderId="17" xfId="51" applyNumberFormat="1" applyFont="1" applyFill="1"/>
    <xf numFmtId="184" fontId="13" fillId="0" borderId="17" xfId="51" applyNumberFormat="1" applyFont="1" applyFill="1"/>
    <xf numFmtId="3" fontId="13" fillId="0" borderId="17" xfId="14" applyNumberFormat="1" applyFont="1" applyFill="1"/>
    <xf numFmtId="0" fontId="46" fillId="0" borderId="0" xfId="0" applyFont="1"/>
    <xf numFmtId="192" fontId="46" fillId="0" borderId="17" xfId="67" applyNumberFormat="1" applyFont="1" applyFill="1" applyBorder="1"/>
    <xf numFmtId="3" fontId="10" fillId="0" borderId="0" xfId="0" applyNumberFormat="1" applyFont="1"/>
    <xf numFmtId="0" fontId="10" fillId="0" borderId="0" xfId="0" applyFont="1"/>
    <xf numFmtId="3" fontId="46" fillId="0" borderId="0" xfId="0" applyNumberFormat="1" applyFont="1"/>
    <xf numFmtId="0" fontId="0" fillId="0" borderId="7" xfId="0" applyBorder="1"/>
    <xf numFmtId="3" fontId="46" fillId="0" borderId="7" xfId="0" applyNumberFormat="1" applyFont="1" applyBorder="1"/>
    <xf numFmtId="3" fontId="2" fillId="0" borderId="17" xfId="14" applyNumberFormat="1" applyFont="1"/>
    <xf numFmtId="3" fontId="0" fillId="0" borderId="0" xfId="0" applyNumberFormat="1" applyFont="1"/>
    <xf numFmtId="3" fontId="45" fillId="0" borderId="0" xfId="14" applyNumberFormat="1" applyFont="1" applyFill="1" applyBorder="1"/>
    <xf numFmtId="2" fontId="35" fillId="0" borderId="17" xfId="52" applyNumberFormat="1" applyFont="1" applyAlignment="1">
      <alignment horizontal="left" wrapText="1"/>
    </xf>
    <xf numFmtId="168" fontId="46" fillId="0" borderId="0" xfId="66" applyFont="1" applyFill="1" applyBorder="1"/>
    <xf numFmtId="10" fontId="0" fillId="0" borderId="17" xfId="51" applyNumberFormat="1" applyFont="1"/>
    <xf numFmtId="0" fontId="35" fillId="0" borderId="0" xfId="52" applyFont="1" applyFill="1" applyBorder="1" applyAlignment="1">
      <alignment horizontal="left" wrapText="1"/>
    </xf>
    <xf numFmtId="49" fontId="20" fillId="0" borderId="0" xfId="20">
      <alignment horizontal="left" indent="1"/>
    </xf>
    <xf numFmtId="189" fontId="1" fillId="0" borderId="17" xfId="14" applyNumberFormat="1" applyFont="1" applyFill="1"/>
    <xf numFmtId="3" fontId="1" fillId="40" borderId="17" xfId="14" applyNumberFormat="1" applyFill="1"/>
    <xf numFmtId="3" fontId="52" fillId="0" borderId="17" xfId="14" applyNumberFormat="1" applyFont="1"/>
    <xf numFmtId="3" fontId="52" fillId="0" borderId="17" xfId="14" applyNumberFormat="1" applyFont="1" applyFill="1"/>
    <xf numFmtId="0" fontId="35" fillId="0" borderId="17" xfId="52" applyFont="1" applyAlignment="1">
      <alignment horizontal="left" wrapText="1" indent="1"/>
    </xf>
    <xf numFmtId="0" fontId="35" fillId="0" borderId="25" xfId="52" applyFont="1" applyBorder="1" applyAlignment="1">
      <alignment horizontal="left" wrapText="1" indent="1"/>
    </xf>
    <xf numFmtId="0" fontId="35" fillId="0" borderId="25" xfId="52" applyFont="1" applyBorder="1" applyAlignment="1">
      <alignment horizontal="left" wrapText="1"/>
    </xf>
    <xf numFmtId="0" fontId="35" fillId="0" borderId="26" xfId="52" applyFont="1" applyBorder="1" applyAlignment="1">
      <alignment horizontal="left" wrapText="1"/>
    </xf>
    <xf numFmtId="0" fontId="0" fillId="0" borderId="0" xfId="0" applyFont="1"/>
    <xf numFmtId="3" fontId="10" fillId="0" borderId="17" xfId="14" applyNumberFormat="1" applyFont="1" applyFill="1"/>
    <xf numFmtId="0" fontId="43" fillId="0" borderId="0" xfId="52" applyFont="1" applyFill="1" applyBorder="1" applyAlignment="1">
      <alignment horizontal="left" wrapText="1"/>
    </xf>
    <xf numFmtId="0" fontId="53" fillId="0" borderId="17" xfId="52" applyFont="1" applyAlignment="1">
      <alignment horizontal="left" wrapText="1"/>
    </xf>
    <xf numFmtId="3" fontId="0" fillId="41" borderId="0" xfId="0" applyNumberFormat="1" applyFill="1"/>
    <xf numFmtId="2" fontId="35" fillId="0" borderId="17" xfId="52" applyNumberFormat="1" applyFont="1" applyFill="1" applyAlignment="1">
      <alignment horizontal="left" wrapText="1"/>
    </xf>
    <xf numFmtId="184" fontId="13" fillId="40" borderId="17" xfId="51" applyNumberFormat="1" applyFont="1" applyFill="1"/>
    <xf numFmtId="2" fontId="44" fillId="0" borderId="17" xfId="67" applyNumberFormat="1" applyFont="1" applyFill="1" applyBorder="1"/>
    <xf numFmtId="173" fontId="27" fillId="0" borderId="17" xfId="53" applyFont="1" applyFill="1" applyBorder="1" applyAlignment="1"/>
    <xf numFmtId="173" fontId="54" fillId="0" borderId="17" xfId="13" applyNumberFormat="1" applyFont="1" applyAlignment="1">
      <protection locked="0"/>
    </xf>
    <xf numFmtId="4" fontId="1" fillId="0" borderId="17" xfId="14" applyNumberFormat="1" applyFill="1"/>
    <xf numFmtId="164" fontId="35" fillId="0" borderId="24" xfId="52" quotePrefix="1" applyNumberFormat="1" applyFont="1" applyFill="1" applyBorder="1" applyAlignment="1">
      <alignment horizontal="left" wrapText="1"/>
    </xf>
    <xf numFmtId="164" fontId="35" fillId="0" borderId="24" xfId="52" quotePrefix="1" applyNumberFormat="1" applyFont="1" applyBorder="1" applyAlignment="1">
      <alignment horizontal="left" wrapText="1"/>
    </xf>
    <xf numFmtId="3" fontId="1" fillId="0" borderId="7" xfId="14" applyNumberFormat="1" applyBorder="1"/>
    <xf numFmtId="3" fontId="13" fillId="0" borderId="0" xfId="0" applyNumberFormat="1" applyFont="1"/>
    <xf numFmtId="3" fontId="10" fillId="0" borderId="29" xfId="0" applyNumberFormat="1" applyFont="1" applyBorder="1"/>
    <xf numFmtId="0" fontId="0" fillId="0" borderId="24" xfId="0" applyBorder="1"/>
    <xf numFmtId="10" fontId="13" fillId="0" borderId="17" xfId="67" quotePrefix="1" applyNumberFormat="1" applyFont="1" applyBorder="1" applyAlignment="1">
      <alignment horizontal="left" wrapText="1"/>
    </xf>
    <xf numFmtId="3" fontId="1" fillId="0" borderId="17" xfId="14" applyNumberFormat="1" applyFont="1"/>
    <xf numFmtId="164" fontId="13" fillId="0" borderId="17" xfId="52" quotePrefix="1" applyNumberFormat="1" applyFont="1" applyAlignment="1">
      <alignment horizontal="left" wrapText="1"/>
    </xf>
    <xf numFmtId="3" fontId="1" fillId="0" borderId="0" xfId="0" applyNumberFormat="1" applyFont="1"/>
    <xf numFmtId="3" fontId="1" fillId="42" borderId="17" xfId="14" applyNumberFormat="1" applyFill="1"/>
    <xf numFmtId="4" fontId="1" fillId="0" borderId="17" xfId="14" applyNumberFormat="1"/>
    <xf numFmtId="1" fontId="27" fillId="40" borderId="17" xfId="67" applyNumberFormat="1" applyFont="1" applyFill="1" applyBorder="1"/>
    <xf numFmtId="0" fontId="21" fillId="0" borderId="1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9" xfId="0" applyFont="1" applyFill="1" applyBorder="1" applyAlignment="1">
      <alignment horizontal="centerContinuous"/>
    </xf>
    <xf numFmtId="10" fontId="0" fillId="0" borderId="0" xfId="67" applyNumberFormat="1" applyFont="1" applyFill="1"/>
    <xf numFmtId="10" fontId="0" fillId="40" borderId="17" xfId="51" applyNumberFormat="1" applyFont="1" applyFill="1"/>
    <xf numFmtId="10" fontId="0" fillId="40" borderId="0" xfId="67" applyNumberFormat="1" applyFont="1" applyFill="1"/>
    <xf numFmtId="184" fontId="1" fillId="40" borderId="17" xfId="51" applyNumberFormat="1" applyFont="1" applyFill="1"/>
    <xf numFmtId="184" fontId="55" fillId="40" borderId="17" xfId="51" applyNumberFormat="1" applyFont="1" applyFill="1"/>
    <xf numFmtId="3" fontId="0" fillId="40" borderId="0" xfId="0" applyNumberFormat="1" applyFill="1"/>
    <xf numFmtId="3" fontId="55" fillId="40" borderId="0" xfId="0" applyNumberFormat="1" applyFont="1" applyFill="1"/>
    <xf numFmtId="3" fontId="55" fillId="0" borderId="0" xfId="0" applyNumberFormat="1" applyFont="1" applyFill="1"/>
    <xf numFmtId="9" fontId="1" fillId="42" borderId="17" xfId="14" applyNumberFormat="1" applyFill="1"/>
    <xf numFmtId="0" fontId="0" fillId="0" borderId="21" xfId="14" applyFont="1" applyFill="1" applyBorder="1" applyAlignment="1">
      <alignment vertical="top" wrapText="1"/>
    </xf>
    <xf numFmtId="0" fontId="1" fillId="0" borderId="21" xfId="14" applyFill="1" applyBorder="1" applyAlignment="1">
      <alignment wrapText="1"/>
    </xf>
  </cellXfs>
  <cellStyles count="82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" xfId="66" builtinId="3"/>
    <cellStyle name="Comma [0]" xfId="2" builtinId="6" customBuiltin="1"/>
    <cellStyle name="Comma [0] 2" xfId="74" xr:uid="{9324336E-8C92-4F03-BCF4-4488D715A1A1}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Explanatory Text 2" xfId="69" xr:uid="{B1307C26-DC44-4BBD-A897-0BF294B252FA}"/>
    <cellStyle name="Explanatory Text 3" xfId="65" xr:uid="{9EA0B1FA-BB76-4B50-A9D9-96E13C099AF5}"/>
    <cellStyle name="Followed Hyperlink" xfId="61" builtinId="9" customBuiltin="1"/>
    <cellStyle name="Good" xfId="10" builtinId="26" hidden="1"/>
    <cellStyle name="Heading 1" xfId="6" builtinId="16" customBuiltin="1"/>
    <cellStyle name="Heading 1 2" xfId="70" xr:uid="{371243F4-6F5B-4791-A7CC-37EF24296CAA}"/>
    <cellStyle name="Heading 2" xfId="7" builtinId="17" customBuiltin="1"/>
    <cellStyle name="Heading 2 2" xfId="76" xr:uid="{9E3E1A61-0780-477F-A53B-386870D4E83C}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" xfId="78" xr:uid="{B185D805-4E3A-4A87-A521-ABB7441B2DC0}"/>
    <cellStyle name="Input calculation" xfId="80" xr:uid="{DB2908ED-785F-42CE-A578-8B5782D93E74}"/>
    <cellStyle name="Input data" xfId="79" xr:uid="{7BBE55CD-BE25-42BB-BE61-BD2468D20FF7}"/>
    <cellStyle name="Input Link (different Worksheet)" xfId="81" xr:uid="{42363EB2-1432-43F9-ACD3-059F8B1D7794}"/>
    <cellStyle name="Label" xfId="52" xr:uid="{00000000-0005-0000-0000-00002B000000}"/>
    <cellStyle name="Label 2" xfId="71" xr:uid="{ADEBDDD1-1B20-4AAB-9A0B-1C7D8EF8F4DC}"/>
    <cellStyle name="Link" xfId="51" xr:uid="{00000000-0005-0000-0000-00002C000000}"/>
    <cellStyle name="Link 2" xfId="73" xr:uid="{4B1CE514-28A7-4423-A2FE-5831364C9CC9}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Output 2" xfId="72" xr:uid="{D18A827E-FCDF-4EF5-9393-F014F632DBFB}"/>
    <cellStyle name="Percent" xfId="59" builtinId="5" hidden="1" customBuiltin="1"/>
    <cellStyle name="Percent" xfId="67" builtinId="5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Rt border" xfId="47" xr:uid="{00000000-0005-0000-0000-000037000000}"/>
    <cellStyle name="Rt margin 2" xfId="77" xr:uid="{D02FDD80-45B1-452F-BCBB-66B6DBEC4E1B}"/>
    <cellStyle name="Text" xfId="56" xr:uid="{00000000-0005-0000-0000-000038000000}"/>
    <cellStyle name="Text 2" xfId="75" xr:uid="{E66BF284-AB94-4790-832B-E784C51AD4E5}"/>
    <cellStyle name="Title" xfId="5" builtinId="15" customBuiltin="1"/>
    <cellStyle name="Title 2" xfId="68" xr:uid="{CCD881BE-777C-459B-960A-BD698B1C6BD1}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colors>
    <mruColors>
      <color rgb="FFC00000"/>
      <color rgb="FFC9C4A3"/>
      <color rgb="FFEAE8DA"/>
      <color rgb="FFB9FB25"/>
      <color rgb="FFB0A978"/>
      <color rgb="FF0000FF"/>
      <color rgb="FF645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820718</xdr:colOff>
      <xdr:row>1</xdr:row>
      <xdr:rowOff>772731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A5812-3E3B-4333-AC41-3E7F165A9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7650"/>
          <a:ext cx="2339956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6</xdr:row>
      <xdr:rowOff>19050</xdr:rowOff>
    </xdr:from>
    <xdr:to>
      <xdr:col>4</xdr:col>
      <xdr:colOff>238125</xdr:colOff>
      <xdr:row>21</xdr:row>
      <xdr:rowOff>0</xdr:rowOff>
    </xdr:to>
    <xdr:pic>
      <xdr:nvPicPr>
        <xdr:cNvPr id="7" name="Picture 6" descr="Fibre Summary Document-cover template">
          <a:extLst>
            <a:ext uri="{FF2B5EF4-FFF2-40B4-BE49-F238E27FC236}">
              <a16:creationId xmlns:a16="http://schemas.microsoft.com/office/drawing/2014/main" id="{382D9398-4058-4A3A-B400-A461A6236EB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8150" y="2581275"/>
          <a:ext cx="8782050" cy="3276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44822</xdr:colOff>
      <xdr:row>7</xdr:row>
      <xdr:rowOff>133908</xdr:rowOff>
    </xdr:from>
    <xdr:to>
      <xdr:col>4</xdr:col>
      <xdr:colOff>694765</xdr:colOff>
      <xdr:row>8</xdr:row>
      <xdr:rowOff>156883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CD2215-4F88-492A-BDC6-0346984D2074}"/>
            </a:ext>
          </a:extLst>
        </xdr:cNvPr>
        <xdr:cNvSpPr txBox="1"/>
      </xdr:nvSpPr>
      <xdr:spPr>
        <a:xfrm>
          <a:off x="224116" y="2195790"/>
          <a:ext cx="10668002" cy="3250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1.   Financial quantities in this model are expressed in NZD000</a:t>
          </a: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2.   The modelling assumes a 'financial loss year' of 30 June, with part years in 2011/12 and 2021/22</a:t>
          </a: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3.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  All data used by the model is entered in the Inputs worksheet.</a:t>
          </a:r>
          <a:b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4.  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en-NZ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red font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applied to cells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containing input values (which can be altered by users) on the Inputs worksheet.</a:t>
          </a:r>
          <a:endParaRPr lang="en-N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A </a:t>
          </a:r>
          <a:r>
            <a:rPr lang="en-NZ" sz="1100" b="1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beige</a:t>
          </a:r>
          <a:r>
            <a:rPr lang="en-NZ" sz="1100" b="1" baseline="0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 b="1">
              <a:solidFill>
                <a:schemeClr val="accent5">
                  <a:lumMod val="7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font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is applied to cells on the worksheet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containing a formula linking to the Inputs worksheet.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A </a:t>
          </a:r>
          <a:r>
            <a:rPr lang="en-N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font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applied to all numerical cells on the worksheet containing a formula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NZ">
            <a:effectLst/>
          </a:endParaRPr>
        </a:p>
        <a:p>
          <a:r>
            <a:rPr lang="en-NZ" sz="1100">
              <a:latin typeface="Calibri" panose="020F0502020204030204" pitchFamily="34" charset="0"/>
              <a:cs typeface="Calibri" panose="020F0502020204030204" pitchFamily="34" charset="0"/>
            </a:rPr>
            <a:t>      A</a:t>
          </a:r>
          <a:r>
            <a:rPr lang="en-NZ" sz="1100" baseline="0">
              <a:latin typeface="Calibri" panose="020F0502020204030204" pitchFamily="34" charset="0"/>
              <a:cs typeface="Calibri" panose="020F0502020204030204" pitchFamily="34" charset="0"/>
            </a:rPr>
            <a:t> shaded cell indicates the cell has a different formula to the adjacent cell.</a:t>
          </a:r>
        </a:p>
        <a:p>
          <a:endParaRPr lang="en-NZ" sz="1100" b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r\Documents\Steve\Workplan\Cashflow%20timing\Financial-model-EDB-DPP3-updated-draft-25-Septembe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EDB data"/>
      <sheetName val="TIMING"/>
      <sheetName val="RAB"/>
      <sheetName val="TAX"/>
      <sheetName val="BBAR"/>
      <sheetName val="MAR"/>
      <sheetName val="IRR"/>
      <sheetName val="Outputs"/>
      <sheetName val="Chartbook outputs"/>
    </sheetNames>
    <sheetDataSet>
      <sheetData sheetId="0"/>
      <sheetData sheetId="1"/>
      <sheetData sheetId="2"/>
      <sheetData sheetId="3"/>
      <sheetData sheetId="4">
        <row r="9">
          <cell r="B9">
            <v>4.5699999999999998E-2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JM">
  <a:themeElements>
    <a:clrScheme name="comcom">
      <a:dk1>
        <a:sysClr val="windowText" lastClr="000000"/>
      </a:dk1>
      <a:lt1>
        <a:srgbClr val="FFFFFF"/>
      </a:lt1>
      <a:dk2>
        <a:srgbClr val="639B9F"/>
      </a:dk2>
      <a:lt2>
        <a:srgbClr val="D29C2E"/>
      </a:lt2>
      <a:accent1>
        <a:srgbClr val="BA0F2C"/>
      </a:accent1>
      <a:accent2>
        <a:srgbClr val="7EA0AE"/>
      </a:accent2>
      <a:accent3>
        <a:srgbClr val="E89466"/>
      </a:accent3>
      <a:accent4>
        <a:srgbClr val="3F5E58"/>
      </a:accent4>
      <a:accent5>
        <a:srgbClr val="B6AB86"/>
      </a:accent5>
      <a:accent6>
        <a:srgbClr val="654B45"/>
      </a:accent6>
      <a:hlink>
        <a:srgbClr val="7EA0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D22"/>
  <sheetViews>
    <sheetView showGridLines="0" tabSelected="1" view="pageBreakPreview" zoomScaleNormal="100" zoomScaleSheetLayoutView="100" workbookViewId="0">
      <selection activeCell="B3" sqref="B3"/>
    </sheetView>
  </sheetViews>
  <sheetFormatPr defaultColWidth="9.1328125" defaultRowHeight="14.25" x14ac:dyDescent="0.45"/>
  <cols>
    <col min="1" max="1" width="26.59765625" style="1" customWidth="1"/>
    <col min="2" max="2" width="43.1328125" style="1" customWidth="1"/>
    <col min="3" max="3" width="32.73046875" style="1" customWidth="1"/>
    <col min="4" max="4" width="32.265625" style="1" customWidth="1"/>
    <col min="5" max="16384" width="9.1328125" style="1"/>
  </cols>
  <sheetData>
    <row r="1" spans="1:4" ht="15" customHeight="1" x14ac:dyDescent="0.45">
      <c r="A1" s="15"/>
      <c r="B1" s="16"/>
      <c r="C1" s="16"/>
      <c r="D1" s="17"/>
    </row>
    <row r="2" spans="1:4" ht="96.75" customHeight="1" x14ac:dyDescent="0.45">
      <c r="A2" s="24"/>
      <c r="B2" s="11"/>
      <c r="C2" s="11"/>
      <c r="D2" s="7"/>
    </row>
    <row r="3" spans="1:4" ht="22.5" customHeight="1" x14ac:dyDescent="0.75">
      <c r="A3" s="70" t="s">
        <v>18</v>
      </c>
      <c r="B3" s="69"/>
      <c r="C3" s="6"/>
      <c r="D3" s="5"/>
    </row>
    <row r="4" spans="1:4" ht="22.5" customHeight="1" x14ac:dyDescent="0.75">
      <c r="A4" s="25" t="s">
        <v>247</v>
      </c>
      <c r="B4" s="6"/>
      <c r="C4" s="6"/>
      <c r="D4" s="5"/>
    </row>
    <row r="5" spans="1:4" ht="22.5" customHeight="1" x14ac:dyDescent="0.75">
      <c r="A5" s="25" t="s">
        <v>248</v>
      </c>
      <c r="B5" s="6"/>
      <c r="C5" s="6"/>
      <c r="D5" s="5"/>
    </row>
    <row r="6" spans="1:4" ht="22.5" customHeight="1" x14ac:dyDescent="0.75">
      <c r="A6" s="25"/>
      <c r="B6" s="6"/>
      <c r="C6" s="6"/>
      <c r="D6" s="5"/>
    </row>
    <row r="7" spans="1:4" ht="22.5" customHeight="1" x14ac:dyDescent="0.75">
      <c r="A7" s="25"/>
      <c r="B7" s="56"/>
      <c r="C7" s="56"/>
      <c r="D7" s="6"/>
    </row>
    <row r="8" spans="1:4" x14ac:dyDescent="0.45">
      <c r="B8" s="57"/>
      <c r="C8" s="57"/>
    </row>
    <row r="9" spans="1:4" x14ac:dyDescent="0.45">
      <c r="B9" s="57"/>
      <c r="C9" s="57"/>
    </row>
    <row r="10" spans="1:4" x14ac:dyDescent="0.45">
      <c r="B10" s="57"/>
      <c r="C10" s="57"/>
    </row>
    <row r="11" spans="1:4" ht="42" customHeight="1" x14ac:dyDescent="0.45">
      <c r="A11" s="24"/>
      <c r="B11" s="58"/>
      <c r="C11" s="58"/>
      <c r="D11" s="7"/>
    </row>
    <row r="12" spans="1:4" ht="15" customHeight="1" x14ac:dyDescent="0.45">
      <c r="A12" s="24"/>
      <c r="B12" s="18"/>
      <c r="C12" s="18"/>
      <c r="D12" s="10"/>
    </row>
    <row r="13" spans="1:4" ht="15" customHeight="1" x14ac:dyDescent="0.45">
      <c r="A13" s="9"/>
      <c r="B13" s="18"/>
      <c r="C13" s="18"/>
      <c r="D13" s="7"/>
    </row>
    <row r="14" spans="1:4" ht="15" customHeight="1" x14ac:dyDescent="0.45">
      <c r="A14" s="9"/>
      <c r="B14" s="18"/>
      <c r="C14" s="18"/>
      <c r="D14" s="7"/>
    </row>
    <row r="15" spans="1:4" ht="15" customHeight="1" x14ac:dyDescent="0.45">
      <c r="A15" s="9"/>
      <c r="B15" s="18"/>
      <c r="C15" s="18"/>
      <c r="D15" s="7"/>
    </row>
    <row r="16" spans="1:4" ht="15" customHeight="1" x14ac:dyDescent="0.45">
      <c r="A16" s="9"/>
      <c r="B16" s="18"/>
      <c r="C16" s="18"/>
      <c r="D16" s="10"/>
    </row>
    <row r="17" spans="1:4" ht="15" customHeight="1" x14ac:dyDescent="0.45">
      <c r="A17" s="9"/>
      <c r="B17" s="18"/>
      <c r="C17" s="18"/>
      <c r="D17" s="10"/>
    </row>
    <row r="18" spans="1:4" ht="15" customHeight="1" x14ac:dyDescent="0.45">
      <c r="A18" s="9"/>
      <c r="B18" s="18"/>
      <c r="C18" s="18"/>
      <c r="D18" s="7"/>
    </row>
    <row r="19" spans="1:4" ht="15" customHeight="1" x14ac:dyDescent="0.45">
      <c r="A19" s="9"/>
      <c r="B19" s="18"/>
      <c r="C19" s="18"/>
      <c r="D19" s="7"/>
    </row>
    <row r="20" spans="1:4" ht="15" customHeight="1" x14ac:dyDescent="0.45">
      <c r="A20" s="9"/>
      <c r="B20" s="18"/>
      <c r="C20" s="18"/>
      <c r="D20" s="7"/>
    </row>
    <row r="21" spans="1:4" ht="15" customHeight="1" x14ac:dyDescent="0.45">
      <c r="A21" s="215" t="s">
        <v>246</v>
      </c>
      <c r="B21" s="216"/>
      <c r="C21" s="216"/>
      <c r="D21" s="217"/>
    </row>
    <row r="22" spans="1:4" ht="15" customHeight="1" x14ac:dyDescent="0.45">
      <c r="A22" s="4"/>
      <c r="B22" s="3"/>
      <c r="C22" s="3"/>
      <c r="D22" s="2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F21"/>
  <sheetViews>
    <sheetView showGridLines="0" view="pageBreakPreview" zoomScaleNormal="100" zoomScaleSheetLayoutView="100" workbookViewId="0">
      <selection activeCell="B8" sqref="B8"/>
    </sheetView>
  </sheetViews>
  <sheetFormatPr defaultColWidth="9.1328125" defaultRowHeight="14.25" x14ac:dyDescent="0.45"/>
  <cols>
    <col min="1" max="1" width="2.73046875" style="1" customWidth="1"/>
    <col min="2" max="2" width="34.73046875" style="1" customWidth="1"/>
    <col min="3" max="3" width="100.73046875" style="1" customWidth="1"/>
    <col min="4" max="5" width="14.73046875" style="1" customWidth="1"/>
    <col min="6" max="6" width="2.73046875" style="1" customWidth="1"/>
    <col min="7" max="16384" width="9.1328125" style="1"/>
  </cols>
  <sheetData>
    <row r="1" spans="1:6" ht="25.5" x14ac:dyDescent="0.75">
      <c r="A1" s="12" t="s">
        <v>0</v>
      </c>
      <c r="B1" s="8"/>
      <c r="C1" s="8"/>
      <c r="D1" s="8"/>
      <c r="E1" s="8"/>
      <c r="F1" s="8"/>
    </row>
    <row r="2" spans="1:6" x14ac:dyDescent="0.45">
      <c r="A2" s="19" t="s">
        <v>67</v>
      </c>
      <c r="C2" s="8"/>
      <c r="D2" s="8"/>
      <c r="E2" s="8"/>
      <c r="F2" s="8"/>
    </row>
    <row r="3" spans="1:6" x14ac:dyDescent="0.45">
      <c r="A3" s="8"/>
      <c r="B3" s="8"/>
      <c r="C3" s="8"/>
      <c r="D3" s="8"/>
      <c r="E3" s="8"/>
      <c r="F3" s="8"/>
    </row>
    <row r="4" spans="1:6" ht="23.25" x14ac:dyDescent="0.7">
      <c r="A4" s="8"/>
      <c r="B4" s="75" t="s">
        <v>33</v>
      </c>
      <c r="C4" s="8"/>
      <c r="D4" s="8"/>
      <c r="E4" s="8"/>
      <c r="F4" s="8"/>
    </row>
    <row r="5" spans="1:6" ht="34.5" customHeight="1" x14ac:dyDescent="0.45">
      <c r="A5" s="8"/>
      <c r="B5" s="227" t="s">
        <v>172</v>
      </c>
      <c r="C5" s="228"/>
      <c r="D5" s="228"/>
      <c r="E5" s="228"/>
      <c r="F5" s="8"/>
    </row>
    <row r="6" spans="1:6" ht="9" customHeight="1" x14ac:dyDescent="0.45">
      <c r="A6" s="8"/>
      <c r="B6" s="14"/>
      <c r="C6" s="14"/>
      <c r="D6" s="14"/>
      <c r="E6" s="14"/>
      <c r="F6" s="8"/>
    </row>
    <row r="7" spans="1:6" ht="23.25" x14ac:dyDescent="0.7">
      <c r="A7" s="8"/>
      <c r="B7" s="72" t="s">
        <v>2</v>
      </c>
      <c r="C7" s="20"/>
      <c r="D7" s="21"/>
      <c r="E7" s="22"/>
      <c r="F7" s="8"/>
    </row>
    <row r="8" spans="1:6" ht="216" customHeight="1" x14ac:dyDescent="0.45">
      <c r="A8" s="8"/>
      <c r="B8" s="71"/>
      <c r="C8" s="23"/>
      <c r="D8" s="23"/>
      <c r="E8" s="23"/>
      <c r="F8" s="8"/>
    </row>
    <row r="9" spans="1:6" x14ac:dyDescent="0.45">
      <c r="A9" s="8"/>
      <c r="B9" s="27"/>
      <c r="C9" s="27"/>
      <c r="D9" s="27"/>
      <c r="E9" s="27"/>
      <c r="F9" s="8"/>
    </row>
    <row r="10" spans="1:6" x14ac:dyDescent="0.45">
      <c r="A10" s="8"/>
      <c r="B10" s="26"/>
      <c r="C10" s="26"/>
      <c r="D10" s="26"/>
      <c r="E10" s="26"/>
      <c r="F10" s="8"/>
    </row>
    <row r="11" spans="1:6" x14ac:dyDescent="0.45">
      <c r="A11" s="8"/>
      <c r="B11" s="13"/>
      <c r="C11" s="13"/>
      <c r="D11" s="13"/>
      <c r="E11" s="13"/>
      <c r="F11" s="8"/>
    </row>
    <row r="12" spans="1:6" x14ac:dyDescent="0.45">
      <c r="A12" s="8"/>
      <c r="B12" s="8"/>
      <c r="C12" s="8"/>
      <c r="D12" s="8"/>
      <c r="E12" s="8"/>
      <c r="F12" s="8"/>
    </row>
    <row r="13" spans="1:6" x14ac:dyDescent="0.45">
      <c r="A13" s="8"/>
      <c r="B13" s="8"/>
      <c r="C13" s="8"/>
      <c r="D13" s="8"/>
      <c r="E13" s="8"/>
      <c r="F13" s="8"/>
    </row>
    <row r="14" spans="1:6" x14ac:dyDescent="0.45">
      <c r="A14" s="8"/>
      <c r="B14" s="8"/>
      <c r="C14" s="8"/>
      <c r="D14" s="8"/>
      <c r="E14" s="8"/>
      <c r="F14" s="8"/>
    </row>
    <row r="15" spans="1:6" x14ac:dyDescent="0.45">
      <c r="A15" s="8"/>
      <c r="B15" s="8"/>
      <c r="C15" s="8"/>
      <c r="D15" s="8"/>
      <c r="E15" s="8"/>
      <c r="F15" s="8"/>
    </row>
    <row r="16" spans="1:6" x14ac:dyDescent="0.45">
      <c r="A16" s="8"/>
      <c r="B16" s="8"/>
      <c r="C16" s="8"/>
      <c r="D16" s="8"/>
      <c r="E16" s="8"/>
      <c r="F16" s="8"/>
    </row>
    <row r="17" spans="1:6" x14ac:dyDescent="0.45">
      <c r="A17" s="8"/>
      <c r="B17" s="8"/>
      <c r="C17" s="8"/>
      <c r="D17" s="8"/>
      <c r="E17" s="8"/>
      <c r="F17" s="8"/>
    </row>
    <row r="18" spans="1:6" x14ac:dyDescent="0.45">
      <c r="A18" s="8"/>
      <c r="B18" s="8"/>
      <c r="C18" s="8"/>
      <c r="D18" s="8"/>
      <c r="E18" s="8"/>
      <c r="F18" s="8"/>
    </row>
    <row r="19" spans="1:6" x14ac:dyDescent="0.45">
      <c r="A19" s="8"/>
      <c r="B19" s="8"/>
      <c r="C19" s="8"/>
      <c r="D19" s="8"/>
      <c r="E19" s="8"/>
      <c r="F19" s="8"/>
    </row>
    <row r="20" spans="1:6" x14ac:dyDescent="0.45">
      <c r="A20" s="8"/>
      <c r="B20" s="8"/>
      <c r="C20" s="8"/>
      <c r="D20" s="8"/>
      <c r="E20" s="8"/>
      <c r="F20" s="8"/>
    </row>
    <row r="21" spans="1:6" x14ac:dyDescent="0.45">
      <c r="A21" s="8"/>
      <c r="B21" s="8"/>
      <c r="C21" s="8"/>
      <c r="D21" s="8"/>
      <c r="E21" s="8"/>
      <c r="F21" s="8"/>
    </row>
  </sheetData>
  <sheetProtection formatColumns="0" formatRows="0"/>
  <mergeCells count="1">
    <mergeCell ref="B5:E5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33C6-ACA5-4222-88F1-9B353F7AD99F}">
  <sheetPr>
    <tabColor theme="3" tint="-0.249977111117893"/>
    <pageSetUpPr fitToPage="1"/>
  </sheetPr>
  <dimension ref="A1:AD149"/>
  <sheetViews>
    <sheetView showGridLines="0" view="pageBreakPreview" zoomScale="80" zoomScaleNormal="85" zoomScaleSheetLayoutView="80" workbookViewId="0">
      <pane xSplit="1" ySplit="6" topLeftCell="B115" activePane="bottomRight" state="frozen"/>
      <selection pane="topRight" activeCell="B1" sqref="B1"/>
      <selection pane="bottomLeft" activeCell="A7" sqref="A7"/>
      <selection pane="bottomRight" activeCell="L131" sqref="L131"/>
    </sheetView>
  </sheetViews>
  <sheetFormatPr defaultColWidth="9.1328125" defaultRowHeight="14.25" x14ac:dyDescent="0.45"/>
  <cols>
    <col min="1" max="1" width="60.1328125" style="31" customWidth="1"/>
    <col min="2" max="3" width="12" style="1" customWidth="1"/>
    <col min="4" max="4" width="13" style="1" customWidth="1"/>
    <col min="5" max="12" width="13.3984375" style="1" customWidth="1"/>
    <col min="13" max="13" width="15.265625" style="1" customWidth="1"/>
    <col min="14" max="15" width="13.3984375" style="1" customWidth="1"/>
    <col min="16" max="16384" width="9.1328125" style="1"/>
  </cols>
  <sheetData>
    <row r="1" spans="1:30" ht="25.5" x14ac:dyDescent="0.75">
      <c r="A1" s="12" t="s">
        <v>1</v>
      </c>
      <c r="D1" s="60"/>
      <c r="E1" s="60"/>
      <c r="F1" s="60"/>
      <c r="G1" s="60"/>
      <c r="H1" s="60"/>
      <c r="I1" s="60"/>
      <c r="J1" s="60"/>
      <c r="K1" s="60"/>
      <c r="L1" s="61"/>
      <c r="M1" s="61"/>
      <c r="N1" s="61"/>
      <c r="O1" s="61"/>
    </row>
    <row r="2" spans="1:30" x14ac:dyDescent="0.45">
      <c r="A2" s="10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30" x14ac:dyDescent="0.45">
      <c r="A3" s="73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30" ht="21" x14ac:dyDescent="0.65">
      <c r="A4" s="63" t="s">
        <v>31</v>
      </c>
      <c r="C4" s="98" t="s">
        <v>54</v>
      </c>
      <c r="D4" s="98" t="s">
        <v>90</v>
      </c>
      <c r="E4" s="98" t="s">
        <v>55</v>
      </c>
      <c r="F4" s="98" t="s">
        <v>55</v>
      </c>
      <c r="G4" s="98" t="s">
        <v>55</v>
      </c>
      <c r="H4" s="98" t="s">
        <v>55</v>
      </c>
      <c r="I4" s="98" t="s">
        <v>55</v>
      </c>
      <c r="J4" s="98" t="s">
        <v>55</v>
      </c>
      <c r="K4" s="98" t="s">
        <v>55</v>
      </c>
      <c r="L4" s="98" t="s">
        <v>55</v>
      </c>
      <c r="M4" s="98" t="s">
        <v>55</v>
      </c>
      <c r="N4" s="98" t="s">
        <v>91</v>
      </c>
      <c r="O4" s="60"/>
    </row>
    <row r="5" spans="1:30" ht="18" x14ac:dyDescent="0.55000000000000004">
      <c r="A5" s="78"/>
      <c r="B5" s="78"/>
      <c r="C5" s="99">
        <f>$C$55</f>
        <v>40878</v>
      </c>
      <c r="D5" s="99">
        <f>$D$55</f>
        <v>41090</v>
      </c>
      <c r="E5" s="99">
        <f>$E$55</f>
        <v>41455</v>
      </c>
      <c r="F5" s="99">
        <f>$F$55</f>
        <v>41820</v>
      </c>
      <c r="G5" s="99">
        <f>$G$55</f>
        <v>42185</v>
      </c>
      <c r="H5" s="99">
        <f>$H$55</f>
        <v>42551</v>
      </c>
      <c r="I5" s="99">
        <f>$I$55</f>
        <v>42916</v>
      </c>
      <c r="J5" s="99">
        <f>$J$55</f>
        <v>43281</v>
      </c>
      <c r="K5" s="99">
        <f>$K$55</f>
        <v>43646</v>
      </c>
      <c r="L5" s="99">
        <f>$L$55</f>
        <v>44012</v>
      </c>
      <c r="M5" s="99">
        <f>$M$55</f>
        <v>44377</v>
      </c>
      <c r="N5" s="99">
        <f>N$55</f>
        <v>44561</v>
      </c>
      <c r="O5" s="60"/>
    </row>
    <row r="6" spans="1:30" s="31" customFormat="1" ht="18" x14ac:dyDescent="0.55000000000000004">
      <c r="A6" s="53" t="s">
        <v>50</v>
      </c>
      <c r="K6" s="143"/>
      <c r="L6" s="143"/>
      <c r="M6" s="143"/>
      <c r="N6" s="143"/>
      <c r="O6" s="6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64"/>
    </row>
    <row r="7" spans="1:30" x14ac:dyDescent="0.45">
      <c r="A7" s="33" t="s">
        <v>77</v>
      </c>
      <c r="B7" s="55" t="s">
        <v>19</v>
      </c>
      <c r="C7" s="144"/>
      <c r="D7" s="144">
        <v>16497.531873</v>
      </c>
      <c r="E7" s="144">
        <v>34411.330964000001</v>
      </c>
      <c r="F7" s="144">
        <v>41232.312978000002</v>
      </c>
      <c r="G7" s="144">
        <v>66777.41462299999</v>
      </c>
      <c r="H7" s="144">
        <v>100606.975593</v>
      </c>
      <c r="I7" s="144">
        <v>165552.05482699999</v>
      </c>
      <c r="J7" s="144">
        <v>238309.77238400001</v>
      </c>
      <c r="K7" s="144">
        <v>333431.90610600001</v>
      </c>
      <c r="L7" s="144">
        <v>433902.34761800006</v>
      </c>
      <c r="M7" s="144">
        <v>527183.446291</v>
      </c>
      <c r="N7" s="144">
        <v>307047.77975149994</v>
      </c>
      <c r="O7" s="60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45">
      <c r="A8" s="33" t="s">
        <v>137</v>
      </c>
      <c r="B8" s="55" t="s">
        <v>19</v>
      </c>
      <c r="C8" s="144">
        <v>2269034.65178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60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45">
      <c r="A9" s="33" t="s">
        <v>238</v>
      </c>
      <c r="B9" s="55" t="s">
        <v>19</v>
      </c>
      <c r="C9" s="144"/>
      <c r="D9" s="144">
        <v>388627.79915999965</v>
      </c>
      <c r="E9" s="144">
        <v>687809.3561300002</v>
      </c>
      <c r="F9" s="144">
        <v>625084.94761999999</v>
      </c>
      <c r="G9" s="144">
        <v>621286.62351999839</v>
      </c>
      <c r="H9" s="144">
        <v>527399.04963000538</v>
      </c>
      <c r="I9" s="144">
        <v>586942.74169999419</v>
      </c>
      <c r="J9" s="144">
        <v>802471.72977997537</v>
      </c>
      <c r="K9" s="144">
        <v>763218.04416004382</v>
      </c>
      <c r="L9" s="144">
        <v>668539.72453997971</v>
      </c>
      <c r="M9" s="144">
        <v>660006.34038350685</v>
      </c>
      <c r="N9" s="144">
        <v>521415.95825892402</v>
      </c>
      <c r="O9" s="60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45">
      <c r="A10" s="33" t="s">
        <v>136</v>
      </c>
      <c r="B10" s="55" t="s">
        <v>19</v>
      </c>
      <c r="C10" s="153">
        <v>34027.787870607026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6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45">
      <c r="A11" s="33" t="s">
        <v>237</v>
      </c>
      <c r="B11" s="55" t="s">
        <v>19</v>
      </c>
      <c r="C11" s="144"/>
      <c r="D11" s="144">
        <v>140318.31490045742</v>
      </c>
      <c r="E11" s="144">
        <v>417410.0147257311</v>
      </c>
      <c r="F11" s="144">
        <v>412323.8358944385</v>
      </c>
      <c r="G11" s="144">
        <v>462167.24185082398</v>
      </c>
      <c r="H11" s="144">
        <v>375098.35098993796</v>
      </c>
      <c r="I11" s="144">
        <v>451340.86356430815</v>
      </c>
      <c r="J11" s="144">
        <v>525889.44816033379</v>
      </c>
      <c r="K11" s="144">
        <v>636049.85632940207</v>
      </c>
      <c r="L11" s="144">
        <v>523883.31633498438</v>
      </c>
      <c r="M11" s="144">
        <v>580120.69630382326</v>
      </c>
      <c r="N11" s="144">
        <v>224664.47123346184</v>
      </c>
      <c r="O11" s="6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45">
      <c r="A12" s="33" t="s">
        <v>138</v>
      </c>
      <c r="B12" s="55" t="s">
        <v>19</v>
      </c>
      <c r="C12" s="144"/>
      <c r="D12" s="144">
        <v>4488.8489620344635</v>
      </c>
      <c r="E12" s="144">
        <v>7750.8813122695683</v>
      </c>
      <c r="F12" s="144">
        <v>18127.739302077651</v>
      </c>
      <c r="G12" s="144">
        <v>28814.136938694955</v>
      </c>
      <c r="H12" s="144">
        <v>38763.149101366995</v>
      </c>
      <c r="I12" s="144">
        <v>44552.777809179068</v>
      </c>
      <c r="J12" s="144">
        <v>58601.837972381116</v>
      </c>
      <c r="K12" s="144">
        <v>49544.142372241971</v>
      </c>
      <c r="L12" s="144">
        <v>32008.668097130299</v>
      </c>
      <c r="M12" s="144">
        <v>19816.488379610539</v>
      </c>
      <c r="N12" s="144">
        <v>0</v>
      </c>
      <c r="O12" s="6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45">
      <c r="A13" s="33" t="s">
        <v>135</v>
      </c>
      <c r="B13" s="55" t="s">
        <v>19</v>
      </c>
      <c r="C13" s="144"/>
      <c r="D13" s="144">
        <v>18534.152603972139</v>
      </c>
      <c r="E13" s="144">
        <v>42349.8002740425</v>
      </c>
      <c r="F13" s="144">
        <v>49340.000931484275</v>
      </c>
      <c r="G13" s="144">
        <v>80771.8471419899</v>
      </c>
      <c r="H13" s="144">
        <v>105746.53262890107</v>
      </c>
      <c r="I13" s="144">
        <v>119899.21987041811</v>
      </c>
      <c r="J13" s="144">
        <v>115236.05140899813</v>
      </c>
      <c r="K13" s="144">
        <v>134542.74446416102</v>
      </c>
      <c r="L13" s="144">
        <v>142045.70348894724</v>
      </c>
      <c r="M13" s="144">
        <v>153346.89103364034</v>
      </c>
      <c r="N13" s="144">
        <v>80891.416903435558</v>
      </c>
      <c r="O13" s="6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45">
      <c r="A14" s="41"/>
      <c r="B14" s="66"/>
      <c r="C14" s="15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60"/>
    </row>
    <row r="15" spans="1:30" ht="18" x14ac:dyDescent="0.55000000000000004">
      <c r="A15" s="47" t="s">
        <v>40</v>
      </c>
      <c r="B15" s="59"/>
      <c r="C15" s="155"/>
      <c r="D15" s="155"/>
      <c r="E15" s="155"/>
      <c r="F15" s="155"/>
      <c r="G15" s="155"/>
      <c r="H15" s="155"/>
      <c r="I15" s="155"/>
      <c r="J15" s="155"/>
      <c r="K15" s="155"/>
      <c r="L15" s="94"/>
      <c r="M15" s="94"/>
      <c r="N15" s="94"/>
      <c r="O15" s="60"/>
    </row>
    <row r="16" spans="1:30" x14ac:dyDescent="0.45">
      <c r="A16" s="33" t="s">
        <v>139</v>
      </c>
      <c r="B16" s="55" t="s">
        <v>19</v>
      </c>
      <c r="C16" s="144"/>
      <c r="D16" s="144">
        <v>203305.86018671046</v>
      </c>
      <c r="E16" s="144">
        <v>332723.4450913333</v>
      </c>
      <c r="F16" s="144">
        <v>332122.06299333321</v>
      </c>
      <c r="G16" s="144">
        <v>341840.98166166659</v>
      </c>
      <c r="H16" s="144">
        <v>334554.66231266689</v>
      </c>
      <c r="I16" s="144">
        <v>350392.55055565614</v>
      </c>
      <c r="J16" s="144">
        <v>394455.85863866733</v>
      </c>
      <c r="K16" s="144">
        <v>403115.65758966858</v>
      </c>
      <c r="L16" s="144">
        <v>410677.5441900029</v>
      </c>
      <c r="M16" s="144">
        <v>424239.82727997232</v>
      </c>
      <c r="N16" s="144">
        <v>229409.05209805927</v>
      </c>
      <c r="O16" s="60"/>
    </row>
    <row r="17" spans="1:15" x14ac:dyDescent="0.45">
      <c r="A17" s="33" t="s">
        <v>99</v>
      </c>
      <c r="B17" s="55" t="s">
        <v>19</v>
      </c>
      <c r="C17" s="144"/>
      <c r="D17" s="144">
        <v>5493.7614946476369</v>
      </c>
      <c r="E17" s="144">
        <v>25063.033354212905</v>
      </c>
      <c r="F17" s="144">
        <v>49501.852134052548</v>
      </c>
      <c r="G17" s="144">
        <v>84948.212001012434</v>
      </c>
      <c r="H17" s="144">
        <v>116313.54663733</v>
      </c>
      <c r="I17" s="144">
        <v>143213.42066902859</v>
      </c>
      <c r="J17" s="144">
        <v>155953.60802821885</v>
      </c>
      <c r="K17" s="144">
        <v>179526.20902405158</v>
      </c>
      <c r="L17" s="144">
        <v>210092.62110097101</v>
      </c>
      <c r="M17" s="144">
        <v>235289.51957373414</v>
      </c>
      <c r="N17" s="144">
        <v>133356.12736880264</v>
      </c>
      <c r="O17" s="60"/>
    </row>
    <row r="18" spans="1:15" x14ac:dyDescent="0.45">
      <c r="A18" s="33"/>
      <c r="B18" s="55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60"/>
    </row>
    <row r="19" spans="1:15" ht="18" x14ac:dyDescent="0.55000000000000004">
      <c r="A19" s="47" t="s">
        <v>22</v>
      </c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45">
      <c r="A20" s="33" t="s">
        <v>78</v>
      </c>
      <c r="B20" s="55" t="s">
        <v>19</v>
      </c>
      <c r="C20" s="144">
        <v>6365.8919999999998</v>
      </c>
      <c r="D20" s="144">
        <v>6365.8919999999998</v>
      </c>
      <c r="E20" s="144">
        <v>105417.338</v>
      </c>
      <c r="F20" s="144">
        <v>143007.416</v>
      </c>
      <c r="G20" s="144">
        <v>139155.75399999999</v>
      </c>
      <c r="H20" s="144">
        <v>130097.09399999998</v>
      </c>
      <c r="I20" s="144">
        <v>109257.66800000001</v>
      </c>
      <c r="J20" s="144">
        <v>111314.788</v>
      </c>
      <c r="K20" s="144">
        <v>160043.19</v>
      </c>
      <c r="L20" s="144">
        <v>155710.15499999997</v>
      </c>
      <c r="M20" s="144">
        <v>124368.06900000003</v>
      </c>
      <c r="N20" s="144">
        <v>65619.84500000054</v>
      </c>
      <c r="O20" s="60"/>
    </row>
    <row r="21" spans="1:15" x14ac:dyDescent="0.45">
      <c r="A21" s="49" t="s">
        <v>79</v>
      </c>
      <c r="B21" s="55" t="s">
        <v>19</v>
      </c>
      <c r="C21" s="156"/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60"/>
    </row>
    <row r="22" spans="1:15" x14ac:dyDescent="0.45">
      <c r="O22" s="60"/>
    </row>
    <row r="23" spans="1:15" ht="18" x14ac:dyDescent="0.55000000000000004">
      <c r="A23" s="47" t="s">
        <v>30</v>
      </c>
      <c r="O23" s="60"/>
    </row>
    <row r="24" spans="1:15" x14ac:dyDescent="0.45">
      <c r="A24" s="33" t="s">
        <v>134</v>
      </c>
      <c r="B24" s="55" t="s">
        <v>19</v>
      </c>
      <c r="C24" s="144">
        <v>1720874.0362200001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60"/>
    </row>
    <row r="25" spans="1:15" x14ac:dyDescent="0.45">
      <c r="A25" s="33" t="s">
        <v>129</v>
      </c>
      <c r="B25" s="55" t="s">
        <v>19</v>
      </c>
      <c r="C25" s="144">
        <v>27781.774907852228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60"/>
    </row>
    <row r="26" spans="1:15" x14ac:dyDescent="0.45">
      <c r="A26" s="33" t="s">
        <v>131</v>
      </c>
      <c r="B26" s="55" t="s">
        <v>19</v>
      </c>
      <c r="C26" s="144"/>
      <c r="D26" s="144">
        <v>257494.88628000001</v>
      </c>
      <c r="E26" s="144">
        <v>689794.65891000035</v>
      </c>
      <c r="F26" s="144">
        <v>637080.12047999969</v>
      </c>
      <c r="G26" s="144">
        <v>649066.95363999449</v>
      </c>
      <c r="H26" s="144">
        <v>549858.35795999807</v>
      </c>
      <c r="I26" s="144">
        <v>603368.46125000448</v>
      </c>
      <c r="J26" s="144">
        <v>719544.44072001299</v>
      </c>
      <c r="K26" s="144">
        <v>778303.67083000438</v>
      </c>
      <c r="L26" s="144">
        <v>682668.16201997537</v>
      </c>
      <c r="M26" s="144">
        <v>660006.34038350685</v>
      </c>
      <c r="N26" s="144">
        <v>521415.95825892402</v>
      </c>
      <c r="O26" s="60"/>
    </row>
    <row r="27" spans="1:15" x14ac:dyDescent="0.45">
      <c r="A27" s="33" t="s">
        <v>130</v>
      </c>
      <c r="B27" s="55" t="s">
        <v>19</v>
      </c>
      <c r="C27" s="32"/>
      <c r="D27" s="144">
        <v>137403.32030160259</v>
      </c>
      <c r="E27" s="144">
        <v>418445.75608813763</v>
      </c>
      <c r="F27" s="144">
        <v>418204.00519816898</v>
      </c>
      <c r="G27" s="144">
        <v>483418.19127099292</v>
      </c>
      <c r="H27" s="144">
        <v>386388.54658560909</v>
      </c>
      <c r="I27" s="144">
        <v>466417.01174512121</v>
      </c>
      <c r="J27" s="144">
        <v>504031.09455382742</v>
      </c>
      <c r="K27" s="144">
        <v>645702.79743938672</v>
      </c>
      <c r="L27" s="144">
        <v>535982.85324586672</v>
      </c>
      <c r="M27" s="144">
        <v>580120.69630382326</v>
      </c>
      <c r="N27" s="144">
        <v>224664.47123346184</v>
      </c>
      <c r="O27" s="60"/>
    </row>
    <row r="28" spans="1:15" x14ac:dyDescent="0.45">
      <c r="A28" s="33" t="s">
        <v>127</v>
      </c>
      <c r="B28" s="55" t="s">
        <v>175</v>
      </c>
      <c r="C28" s="32"/>
      <c r="D28" s="144">
        <v>17116.446689967615</v>
      </c>
      <c r="E28" s="144">
        <v>38775.516098672451</v>
      </c>
      <c r="F28" s="144">
        <v>50443.199881392167</v>
      </c>
      <c r="G28" s="144">
        <v>86774.934718839533</v>
      </c>
      <c r="H28" s="144">
        <v>107511.70291674967</v>
      </c>
      <c r="I28" s="144">
        <v>172388.28472725282</v>
      </c>
      <c r="J28" s="144">
        <v>245169.1505022702</v>
      </c>
      <c r="K28" s="144">
        <v>342165.4907870263</v>
      </c>
      <c r="L28" s="144">
        <v>445309.65151830873</v>
      </c>
      <c r="M28" s="144">
        <v>536053.02980895794</v>
      </c>
      <c r="N28" s="144">
        <v>311559.13508736086</v>
      </c>
      <c r="O28" s="60"/>
    </row>
    <row r="29" spans="1:15" x14ac:dyDescent="0.45">
      <c r="A29" s="33" t="s">
        <v>128</v>
      </c>
      <c r="B29" s="55" t="s">
        <v>19</v>
      </c>
      <c r="C29" s="32"/>
      <c r="D29" s="144">
        <v>18626.082889777044</v>
      </c>
      <c r="E29" s="144">
        <v>42443.043970947052</v>
      </c>
      <c r="F29" s="144">
        <v>49748.923819245509</v>
      </c>
      <c r="G29" s="144">
        <v>81066.426613914489</v>
      </c>
      <c r="H29" s="144">
        <v>105524.89070587675</v>
      </c>
      <c r="I29" s="144">
        <v>118170.3290889151</v>
      </c>
      <c r="J29" s="144">
        <v>128082.41322549486</v>
      </c>
      <c r="K29" s="144">
        <v>147610.92701476743</v>
      </c>
      <c r="L29" s="144">
        <v>165715.60585813451</v>
      </c>
      <c r="M29" s="144">
        <v>171172.90625620793</v>
      </c>
      <c r="N29" s="144">
        <v>90813.945642536462</v>
      </c>
      <c r="O29" s="60"/>
    </row>
    <row r="30" spans="1:15" x14ac:dyDescent="0.45">
      <c r="A30" s="33" t="s">
        <v>132</v>
      </c>
      <c r="B30" s="55" t="s">
        <v>19</v>
      </c>
      <c r="C30" s="32"/>
      <c r="D30" s="144">
        <v>213976.48271131158</v>
      </c>
      <c r="E30" s="144">
        <v>328727.94149098347</v>
      </c>
      <c r="F30" s="144">
        <v>324089.68540475424</v>
      </c>
      <c r="G30" s="144">
        <v>351042.96870549495</v>
      </c>
      <c r="H30" s="144">
        <v>363340.17474655603</v>
      </c>
      <c r="I30" s="144">
        <v>386423.40836034965</v>
      </c>
      <c r="J30" s="144">
        <v>457690.73467684753</v>
      </c>
      <c r="K30" s="144">
        <v>463500.03561285255</v>
      </c>
      <c r="L30" s="144">
        <v>465290.48264989129</v>
      </c>
      <c r="M30" s="144">
        <v>424340.83496559033</v>
      </c>
      <c r="N30" s="144">
        <v>213152.35333732318</v>
      </c>
      <c r="O30" s="60"/>
    </row>
    <row r="31" spans="1:15" x14ac:dyDescent="0.45">
      <c r="A31" s="33" t="s">
        <v>133</v>
      </c>
      <c r="B31" s="55" t="s">
        <v>19</v>
      </c>
      <c r="C31" s="32"/>
      <c r="D31" s="144">
        <v>7726.6289525020675</v>
      </c>
      <c r="E31" s="144">
        <v>44647.373680668527</v>
      </c>
      <c r="F31" s="144">
        <v>88047.612336315593</v>
      </c>
      <c r="G31" s="144">
        <v>142482.86816840945</v>
      </c>
      <c r="H31" s="144">
        <v>182443.67205005314</v>
      </c>
      <c r="I31" s="144">
        <v>216171.73276130843</v>
      </c>
      <c r="J31" s="144">
        <v>245813.03614217381</v>
      </c>
      <c r="K31" s="144">
        <v>287180.18946740124</v>
      </c>
      <c r="L31" s="144">
        <v>314739.9880748713</v>
      </c>
      <c r="M31" s="144">
        <v>302127.2270398665</v>
      </c>
      <c r="N31" s="144">
        <v>156780.72584807355</v>
      </c>
      <c r="O31" s="60"/>
    </row>
    <row r="32" spans="1:15" x14ac:dyDescent="0.45">
      <c r="A32" s="33" t="s">
        <v>88</v>
      </c>
      <c r="B32" s="55" t="s">
        <v>19</v>
      </c>
      <c r="D32" s="144">
        <v>3733.7338803434372</v>
      </c>
      <c r="E32" s="144">
        <v>5460.5566273103359</v>
      </c>
      <c r="F32" s="144">
        <v>13929.511936043382</v>
      </c>
      <c r="G32" s="144">
        <v>21943.786377509117</v>
      </c>
      <c r="H32" s="144">
        <v>30048.829238441944</v>
      </c>
      <c r="I32" s="144">
        <v>36070.579022641898</v>
      </c>
      <c r="J32" s="144">
        <v>46048.096103711126</v>
      </c>
      <c r="K32" s="144">
        <v>38880.877609128474</v>
      </c>
      <c r="L32" s="144">
        <v>27910.834173632145</v>
      </c>
      <c r="M32" s="144">
        <v>18480.693678282736</v>
      </c>
      <c r="N32" s="144">
        <v>-3082906.9629992517</v>
      </c>
      <c r="O32" s="60"/>
    </row>
    <row r="33" spans="1:15" x14ac:dyDescent="0.45">
      <c r="A33" s="33" t="s">
        <v>29</v>
      </c>
      <c r="B33" s="33" t="s">
        <v>21</v>
      </c>
      <c r="C33" s="68">
        <v>0.28000000000000003</v>
      </c>
      <c r="D33" s="147">
        <v>0.28000000000000003</v>
      </c>
      <c r="E33" s="147">
        <v>0.28000000000000003</v>
      </c>
      <c r="F33" s="147">
        <v>0.28000000000000003</v>
      </c>
      <c r="G33" s="147">
        <v>0.28000000000000003</v>
      </c>
      <c r="H33" s="147">
        <v>0.28000000000000003</v>
      </c>
      <c r="I33" s="147">
        <v>0.28000000000000003</v>
      </c>
      <c r="J33" s="147">
        <v>0.28000000000000003</v>
      </c>
      <c r="K33" s="147">
        <v>0.28000000000000003</v>
      </c>
      <c r="L33" s="147">
        <v>0.28000000000000003</v>
      </c>
      <c r="M33" s="147">
        <v>0.28000000000000003</v>
      </c>
      <c r="N33" s="147">
        <v>0.28000000000000003</v>
      </c>
      <c r="O33" s="60"/>
    </row>
    <row r="34" spans="1:15" x14ac:dyDescent="0.45">
      <c r="O34" s="60"/>
    </row>
    <row r="35" spans="1:15" ht="21" x14ac:dyDescent="0.65">
      <c r="A35" s="63" t="s">
        <v>236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60"/>
    </row>
    <row r="36" spans="1:15" ht="18" x14ac:dyDescent="0.55000000000000004">
      <c r="A36" s="53"/>
      <c r="C36" s="99">
        <f>$C$55</f>
        <v>40878</v>
      </c>
      <c r="D36" s="99">
        <f t="shared" ref="D36:M36" si="0">D63</f>
        <v>40985</v>
      </c>
      <c r="E36" s="99">
        <f t="shared" si="0"/>
        <v>41274</v>
      </c>
      <c r="F36" s="99">
        <f t="shared" si="0"/>
        <v>41639</v>
      </c>
      <c r="G36" s="99">
        <f t="shared" si="0"/>
        <v>42004</v>
      </c>
      <c r="H36" s="99">
        <f t="shared" si="0"/>
        <v>42369</v>
      </c>
      <c r="I36" s="99">
        <f t="shared" si="0"/>
        <v>42735</v>
      </c>
      <c r="J36" s="99">
        <f t="shared" si="0"/>
        <v>43100</v>
      </c>
      <c r="K36" s="99">
        <f t="shared" si="0"/>
        <v>43465</v>
      </c>
      <c r="L36" s="99">
        <f t="shared" si="0"/>
        <v>43830</v>
      </c>
      <c r="M36" s="99">
        <f t="shared" si="0"/>
        <v>44196</v>
      </c>
      <c r="N36" s="99">
        <f>N63</f>
        <v>44470</v>
      </c>
      <c r="O36" s="60"/>
    </row>
    <row r="37" spans="1:15" ht="18" x14ac:dyDescent="0.55000000000000004">
      <c r="A37" s="53" t="s">
        <v>28</v>
      </c>
      <c r="O37" s="60"/>
    </row>
    <row r="38" spans="1:15" s="94" customFormat="1" x14ac:dyDescent="0.45">
      <c r="A38" s="125" t="s">
        <v>5</v>
      </c>
      <c r="B38" s="133" t="s">
        <v>21</v>
      </c>
      <c r="C38" s="132">
        <v>3.3341027039315956E-2</v>
      </c>
      <c r="D38" s="132">
        <v>3.5926867547209723E-2</v>
      </c>
      <c r="E38" s="132">
        <v>2.9491233427637539E-2</v>
      </c>
      <c r="F38" s="132">
        <v>4.2810564262641598E-2</v>
      </c>
      <c r="G38" s="132">
        <v>3.7107340817272856E-2</v>
      </c>
      <c r="H38" s="132">
        <v>2.9666588558104414E-2</v>
      </c>
      <c r="I38" s="132">
        <v>2.7463493132139596E-2</v>
      </c>
      <c r="J38" s="132">
        <v>2.3080720370542783E-2</v>
      </c>
      <c r="K38" s="132">
        <v>2.0192888091034443E-2</v>
      </c>
      <c r="L38" s="132">
        <v>1.269775575319749E-2</v>
      </c>
      <c r="M38" s="132">
        <v>4.1481536760010857E-3</v>
      </c>
      <c r="N38" s="132">
        <v>7.5526315789473698E-3</v>
      </c>
      <c r="O38" s="60"/>
    </row>
    <row r="39" spans="1:15" x14ac:dyDescent="0.45">
      <c r="A39" s="52" t="s">
        <v>6</v>
      </c>
      <c r="B39" s="62"/>
      <c r="C39" s="104">
        <v>0.5</v>
      </c>
      <c r="D39" s="104">
        <v>0.5</v>
      </c>
      <c r="E39" s="104">
        <v>0.5</v>
      </c>
      <c r="F39" s="104">
        <v>0.5</v>
      </c>
      <c r="G39" s="140">
        <v>0.5</v>
      </c>
      <c r="H39" s="140">
        <v>0.5</v>
      </c>
      <c r="I39" s="140">
        <v>0.5</v>
      </c>
      <c r="J39" s="140">
        <v>0.5</v>
      </c>
      <c r="K39" s="140">
        <v>0.5</v>
      </c>
      <c r="L39" s="140">
        <v>0.5</v>
      </c>
      <c r="M39" s="140">
        <v>0.5</v>
      </c>
      <c r="N39" s="104">
        <v>0.5</v>
      </c>
      <c r="O39" s="60"/>
    </row>
    <row r="40" spans="1:15" x14ac:dyDescent="0.45">
      <c r="A40" s="52" t="s">
        <v>7</v>
      </c>
      <c r="B40" s="34"/>
      <c r="C40" s="104">
        <v>0.7</v>
      </c>
      <c r="D40" s="104">
        <v>0.7</v>
      </c>
      <c r="E40" s="104">
        <v>0.7</v>
      </c>
      <c r="F40" s="104">
        <v>0.7</v>
      </c>
      <c r="G40" s="140">
        <v>0.7</v>
      </c>
      <c r="H40" s="140">
        <v>0.7</v>
      </c>
      <c r="I40" s="140">
        <v>0.7</v>
      </c>
      <c r="J40" s="140">
        <v>0.7</v>
      </c>
      <c r="K40" s="140">
        <v>0.7</v>
      </c>
      <c r="L40" s="140">
        <v>0.7</v>
      </c>
      <c r="M40" s="140">
        <v>0.7</v>
      </c>
      <c r="N40" s="104">
        <v>0.7</v>
      </c>
      <c r="O40" s="60"/>
    </row>
    <row r="41" spans="1:15" x14ac:dyDescent="0.45">
      <c r="A41" s="52" t="s">
        <v>8</v>
      </c>
      <c r="B41" s="62" t="s">
        <v>21</v>
      </c>
      <c r="C41" s="76">
        <v>7.0000000000000007E-2</v>
      </c>
      <c r="D41" s="76">
        <v>7.0000000000000007E-2</v>
      </c>
      <c r="E41" s="76">
        <v>7.0000000000000007E-2</v>
      </c>
      <c r="F41" s="76">
        <v>7.0000000000000007E-2</v>
      </c>
      <c r="G41" s="132">
        <v>7.0000000000000007E-2</v>
      </c>
      <c r="H41" s="132">
        <v>7.0000000000000007E-2</v>
      </c>
      <c r="I41" s="132">
        <v>7.0000000000000007E-2</v>
      </c>
      <c r="J41" s="132">
        <v>7.0000000000000007E-2</v>
      </c>
      <c r="K41" s="132">
        <v>7.0000000000000007E-2</v>
      </c>
      <c r="L41" s="132">
        <v>7.0000000000000007E-2</v>
      </c>
      <c r="M41" s="132">
        <v>7.3561643835616405E-2</v>
      </c>
      <c r="N41" s="132">
        <v>7.4999999999999997E-2</v>
      </c>
      <c r="O41" s="60"/>
    </row>
    <row r="42" spans="1:15" x14ac:dyDescent="0.45">
      <c r="A42" s="86" t="s">
        <v>9</v>
      </c>
      <c r="B42" s="89" t="s">
        <v>21</v>
      </c>
      <c r="C42" s="90">
        <v>0.28000000000000003</v>
      </c>
      <c r="D42" s="90">
        <v>0.28000000000000003</v>
      </c>
      <c r="E42" s="90">
        <v>0.28000000000000003</v>
      </c>
      <c r="F42" s="90">
        <v>0.28000000000000003</v>
      </c>
      <c r="G42" s="141">
        <v>0.28000000000000003</v>
      </c>
      <c r="H42" s="141">
        <v>0.28000000000000003</v>
      </c>
      <c r="I42" s="141">
        <v>0.28000000000000003</v>
      </c>
      <c r="J42" s="141">
        <v>0.28000000000000003</v>
      </c>
      <c r="K42" s="141">
        <v>0.28000000000000003</v>
      </c>
      <c r="L42" s="141">
        <v>0.28000000000000003</v>
      </c>
      <c r="M42" s="141">
        <v>0.28000000000000003</v>
      </c>
      <c r="N42" s="90">
        <v>0.28000000000000003</v>
      </c>
      <c r="O42" s="60"/>
    </row>
    <row r="43" spans="1:15" x14ac:dyDescent="0.45">
      <c r="A43" s="85" t="s">
        <v>28</v>
      </c>
      <c r="B43" s="87" t="s">
        <v>21</v>
      </c>
      <c r="C43" s="88">
        <f>C38*(1-C42)+C40*C41</f>
        <v>7.3005539468307484E-2</v>
      </c>
      <c r="D43" s="88">
        <f t="shared" ref="D43:N43" si="1">D38*(1-D42)+D40*D41</f>
        <v>7.4867344633991001E-2</v>
      </c>
      <c r="E43" s="88">
        <f t="shared" si="1"/>
        <v>7.0233688067899036E-2</v>
      </c>
      <c r="F43" s="88">
        <f t="shared" si="1"/>
        <v>7.9823606269101954E-2</v>
      </c>
      <c r="G43" s="88">
        <f t="shared" si="1"/>
        <v>7.5717285388436459E-2</v>
      </c>
      <c r="H43" s="88">
        <f t="shared" si="1"/>
        <v>7.0359943761835186E-2</v>
      </c>
      <c r="I43" s="88">
        <f t="shared" si="1"/>
        <v>6.8773715055140516E-2</v>
      </c>
      <c r="J43" s="88">
        <f t="shared" si="1"/>
        <v>6.5618118666790806E-2</v>
      </c>
      <c r="K43" s="88">
        <f t="shared" si="1"/>
        <v>6.35388794255448E-2</v>
      </c>
      <c r="L43" s="88">
        <f t="shared" si="1"/>
        <v>5.8142384142302196E-2</v>
      </c>
      <c r="M43" s="88">
        <f t="shared" si="1"/>
        <v>5.4479821331652266E-2</v>
      </c>
      <c r="N43" s="88">
        <f t="shared" si="1"/>
        <v>5.7937894736842105E-2</v>
      </c>
      <c r="O43" s="60"/>
    </row>
    <row r="44" spans="1:15" ht="18" x14ac:dyDescent="0.55000000000000004">
      <c r="A44" s="53"/>
      <c r="O44" s="60"/>
    </row>
    <row r="45" spans="1:15" ht="18" x14ac:dyDescent="0.55000000000000004">
      <c r="A45" s="53" t="s">
        <v>26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60"/>
    </row>
    <row r="46" spans="1:15" x14ac:dyDescent="0.45">
      <c r="A46" s="52" t="s">
        <v>5</v>
      </c>
      <c r="B46" s="62" t="s">
        <v>21</v>
      </c>
      <c r="C46" s="77">
        <f t="shared" ref="C46" si="2">C38</f>
        <v>3.3341027039315956E-2</v>
      </c>
      <c r="D46" s="77">
        <f t="shared" ref="D46:N46" si="3">D38</f>
        <v>3.5926867547209723E-2</v>
      </c>
      <c r="E46" s="77">
        <f t="shared" si="3"/>
        <v>2.9491233427637539E-2</v>
      </c>
      <c r="F46" s="77">
        <f t="shared" si="3"/>
        <v>4.2810564262641598E-2</v>
      </c>
      <c r="G46" s="123">
        <f t="shared" si="3"/>
        <v>3.7107340817272856E-2</v>
      </c>
      <c r="H46" s="123">
        <f t="shared" si="3"/>
        <v>2.9666588558104414E-2</v>
      </c>
      <c r="I46" s="123">
        <f t="shared" si="3"/>
        <v>2.7463493132139596E-2</v>
      </c>
      <c r="J46" s="123">
        <f t="shared" si="3"/>
        <v>2.3080720370542783E-2</v>
      </c>
      <c r="K46" s="123">
        <f t="shared" si="3"/>
        <v>2.0192888091034443E-2</v>
      </c>
      <c r="L46" s="123">
        <f t="shared" si="3"/>
        <v>1.269775575319749E-2</v>
      </c>
      <c r="M46" s="123">
        <f t="shared" si="3"/>
        <v>4.1481536760010857E-3</v>
      </c>
      <c r="N46" s="77">
        <f t="shared" si="3"/>
        <v>7.5526315789473698E-3</v>
      </c>
      <c r="O46" s="60"/>
    </row>
    <row r="47" spans="1:15" x14ac:dyDescent="0.45">
      <c r="A47" s="52" t="s">
        <v>10</v>
      </c>
      <c r="B47" s="62" t="s">
        <v>21</v>
      </c>
      <c r="C47" s="132">
        <v>2.5000000000000001E-2</v>
      </c>
      <c r="D47" s="132">
        <v>2.7E-2</v>
      </c>
      <c r="E47" s="132">
        <v>2.1500000000000019E-2</v>
      </c>
      <c r="F47" s="132">
        <v>2.1000000000000001E-2</v>
      </c>
      <c r="G47" s="132">
        <v>1.7500000000000002E-2</v>
      </c>
      <c r="H47" s="132">
        <v>1.7500000000000002E-2</v>
      </c>
      <c r="I47" s="132">
        <v>1.8499999999999999E-2</v>
      </c>
      <c r="J47" s="132">
        <v>1.7999999999999999E-2</v>
      </c>
      <c r="K47" s="132">
        <v>1.9E-2</v>
      </c>
      <c r="L47" s="132">
        <v>1.55E-2</v>
      </c>
      <c r="M47" s="132">
        <v>1.4500000000000001E-2</v>
      </c>
      <c r="N47" s="132">
        <v>1.4299999999999995E-2</v>
      </c>
      <c r="O47" s="60"/>
    </row>
    <row r="48" spans="1:15" x14ac:dyDescent="0.45">
      <c r="A48" s="86" t="s">
        <v>11</v>
      </c>
      <c r="B48" s="89" t="s">
        <v>21</v>
      </c>
      <c r="C48" s="91">
        <v>1.4E-3</v>
      </c>
      <c r="D48" s="91">
        <v>1.4E-3</v>
      </c>
      <c r="E48" s="91">
        <v>1.4E-3</v>
      </c>
      <c r="F48" s="91">
        <v>1.4E-3</v>
      </c>
      <c r="G48" s="91">
        <v>1.4E-3</v>
      </c>
      <c r="H48" s="91">
        <v>1.4E-3</v>
      </c>
      <c r="I48" s="91">
        <v>1.4E-3</v>
      </c>
      <c r="J48" s="91">
        <v>1.4E-3</v>
      </c>
      <c r="K48" s="91">
        <v>1.4E-3</v>
      </c>
      <c r="L48" s="91">
        <v>1.4E-3</v>
      </c>
      <c r="M48" s="91">
        <v>1.4E-3</v>
      </c>
      <c r="N48" s="91">
        <v>2E-3</v>
      </c>
      <c r="O48" s="60"/>
    </row>
    <row r="49" spans="1:15" x14ac:dyDescent="0.45">
      <c r="A49" s="85" t="s">
        <v>26</v>
      </c>
      <c r="B49" s="87" t="s">
        <v>21</v>
      </c>
      <c r="C49" s="88">
        <f>C46+C47+C48</f>
        <v>5.9741027039315955E-2</v>
      </c>
      <c r="D49" s="88">
        <f t="shared" ref="D49:N49" si="4">D46+D47+D48</f>
        <v>6.4326867547209718E-2</v>
      </c>
      <c r="E49" s="88">
        <f t="shared" si="4"/>
        <v>5.239123342763756E-2</v>
      </c>
      <c r="F49" s="88">
        <f t="shared" si="4"/>
        <v>6.5210564262641602E-2</v>
      </c>
      <c r="G49" s="88">
        <f t="shared" si="4"/>
        <v>5.6007340817272856E-2</v>
      </c>
      <c r="H49" s="88">
        <f t="shared" si="4"/>
        <v>4.8566588558104418E-2</v>
      </c>
      <c r="I49" s="88">
        <f t="shared" si="4"/>
        <v>4.7363493132139597E-2</v>
      </c>
      <c r="J49" s="88">
        <f t="shared" si="4"/>
        <v>4.2480720370542777E-2</v>
      </c>
      <c r="K49" s="88">
        <f t="shared" si="4"/>
        <v>4.0592888091034438E-2</v>
      </c>
      <c r="L49" s="88">
        <f t="shared" si="4"/>
        <v>2.9597755753197487E-2</v>
      </c>
      <c r="M49" s="88">
        <f t="shared" si="4"/>
        <v>2.0048153676001084E-2</v>
      </c>
      <c r="N49" s="88">
        <f t="shared" si="4"/>
        <v>2.3852631578947368E-2</v>
      </c>
      <c r="O49" s="60"/>
    </row>
    <row r="50" spans="1:15" ht="18" x14ac:dyDescent="0.55000000000000004">
      <c r="A50" s="53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60"/>
    </row>
    <row r="51" spans="1:15" ht="18" x14ac:dyDescent="0.55000000000000004">
      <c r="A51" s="53" t="s">
        <v>12</v>
      </c>
      <c r="O51" s="60"/>
    </row>
    <row r="52" spans="1:15" x14ac:dyDescent="0.45">
      <c r="A52" s="52" t="s">
        <v>13</v>
      </c>
      <c r="B52" s="54" t="s">
        <v>21</v>
      </c>
      <c r="C52" s="147">
        <v>0.28999999999999998</v>
      </c>
      <c r="D52" s="147">
        <v>0.28999999999999998</v>
      </c>
      <c r="E52" s="147">
        <v>0.28999999999999998</v>
      </c>
      <c r="F52" s="147">
        <v>0.28999999999999998</v>
      </c>
      <c r="G52" s="147">
        <v>0.28999999999999998</v>
      </c>
      <c r="H52" s="147">
        <v>0.28999999999999998</v>
      </c>
      <c r="I52" s="147">
        <v>0.28999999999999998</v>
      </c>
      <c r="J52" s="147">
        <v>0.28999999999999998</v>
      </c>
      <c r="K52" s="147">
        <v>0.28999999999999998</v>
      </c>
      <c r="L52" s="147">
        <v>0.28999999999999998</v>
      </c>
      <c r="M52" s="147">
        <v>0.28999999999999998</v>
      </c>
      <c r="N52" s="147">
        <v>0.28999999999999998</v>
      </c>
      <c r="O52" s="60"/>
    </row>
    <row r="53" spans="1:15" x14ac:dyDescent="0.45">
      <c r="A53" s="1"/>
      <c r="O53" s="60"/>
    </row>
    <row r="54" spans="1:15" ht="21" x14ac:dyDescent="0.65">
      <c r="A54" s="63" t="s">
        <v>126</v>
      </c>
      <c r="C54" s="98" t="s">
        <v>54</v>
      </c>
      <c r="D54" s="98" t="s">
        <v>90</v>
      </c>
      <c r="E54" s="98" t="s">
        <v>55</v>
      </c>
      <c r="F54" s="98" t="s">
        <v>55</v>
      </c>
      <c r="G54" s="98" t="s">
        <v>55</v>
      </c>
      <c r="H54" s="98" t="s">
        <v>55</v>
      </c>
      <c r="I54" s="98" t="s">
        <v>55</v>
      </c>
      <c r="J54" s="98" t="s">
        <v>55</v>
      </c>
      <c r="K54" s="98" t="s">
        <v>55</v>
      </c>
      <c r="L54" s="98" t="s">
        <v>55</v>
      </c>
      <c r="M54" s="98" t="s">
        <v>55</v>
      </c>
      <c r="N54" s="98" t="s">
        <v>91</v>
      </c>
      <c r="O54" s="60"/>
    </row>
    <row r="55" spans="1:15" ht="15.75" customHeight="1" x14ac:dyDescent="0.45">
      <c r="A55" s="73"/>
      <c r="C55" s="99">
        <v>40878</v>
      </c>
      <c r="D55" s="99">
        <v>41090</v>
      </c>
      <c r="E55" s="99">
        <v>41455</v>
      </c>
      <c r="F55" s="99">
        <f>+E55+365</f>
        <v>41820</v>
      </c>
      <c r="G55" s="99">
        <f t="shared" ref="G55:M55" si="5">+F55+365</f>
        <v>42185</v>
      </c>
      <c r="H55" s="99">
        <f>+G55+366</f>
        <v>42551</v>
      </c>
      <c r="I55" s="99">
        <f t="shared" si="5"/>
        <v>42916</v>
      </c>
      <c r="J55" s="99">
        <f t="shared" si="5"/>
        <v>43281</v>
      </c>
      <c r="K55" s="99">
        <f t="shared" si="5"/>
        <v>43646</v>
      </c>
      <c r="L55" s="99">
        <f>+K55+366</f>
        <v>44012</v>
      </c>
      <c r="M55" s="99">
        <f t="shared" si="5"/>
        <v>44377</v>
      </c>
      <c r="N55" s="99">
        <v>44561</v>
      </c>
      <c r="O55" s="60"/>
    </row>
    <row r="56" spans="1:15" x14ac:dyDescent="0.45">
      <c r="A56" s="52" t="s">
        <v>95</v>
      </c>
      <c r="B56" s="95" t="s">
        <v>32</v>
      </c>
      <c r="C56" s="95"/>
      <c r="D56" s="134">
        <f>D55-C55+1</f>
        <v>213</v>
      </c>
      <c r="E56" s="96">
        <f t="shared" ref="E56:N56" si="6">E55-D55</f>
        <v>365</v>
      </c>
      <c r="F56" s="96">
        <f t="shared" si="6"/>
        <v>365</v>
      </c>
      <c r="G56" s="96">
        <f t="shared" si="6"/>
        <v>365</v>
      </c>
      <c r="H56" s="96">
        <f t="shared" si="6"/>
        <v>366</v>
      </c>
      <c r="I56" s="96">
        <f t="shared" si="6"/>
        <v>365</v>
      </c>
      <c r="J56" s="96">
        <f t="shared" si="6"/>
        <v>365</v>
      </c>
      <c r="K56" s="96">
        <f t="shared" si="6"/>
        <v>365</v>
      </c>
      <c r="L56" s="96">
        <f t="shared" si="6"/>
        <v>366</v>
      </c>
      <c r="M56" s="96">
        <f t="shared" si="6"/>
        <v>365</v>
      </c>
      <c r="N56" s="96">
        <f t="shared" si="6"/>
        <v>184</v>
      </c>
      <c r="O56" s="60"/>
    </row>
    <row r="57" spans="1:15" ht="11.25" customHeight="1" x14ac:dyDescent="0.55000000000000004">
      <c r="A57" s="53"/>
      <c r="E57" s="48"/>
      <c r="F57" s="48"/>
      <c r="G57" s="48"/>
      <c r="H57" s="48"/>
      <c r="I57" s="48"/>
      <c r="J57" s="48"/>
      <c r="K57" s="48"/>
      <c r="L57" s="48"/>
      <c r="M57" s="48"/>
      <c r="O57" s="60"/>
    </row>
    <row r="58" spans="1:15" ht="18" x14ac:dyDescent="0.55000000000000004">
      <c r="A58" s="53" t="s">
        <v>231</v>
      </c>
      <c r="C58" s="94"/>
      <c r="D58" s="94"/>
      <c r="O58" s="60"/>
    </row>
    <row r="59" spans="1:15" ht="21.75" customHeight="1" x14ac:dyDescent="0.45">
      <c r="A59" s="52" t="s">
        <v>42</v>
      </c>
      <c r="B59" s="62" t="s">
        <v>21</v>
      </c>
      <c r="C59" s="123">
        <f t="shared" ref="C59:N59" si="7">ROUND(C$49*C$52*(1-C$33)+C$43*(1-C$52),4)</f>
        <v>6.4299999999999996E-2</v>
      </c>
      <c r="D59" s="123">
        <f t="shared" si="7"/>
        <v>6.6600000000000006E-2</v>
      </c>
      <c r="E59" s="123">
        <f t="shared" si="7"/>
        <v>6.08E-2</v>
      </c>
      <c r="F59" s="123">
        <f t="shared" si="7"/>
        <v>7.0300000000000001E-2</v>
      </c>
      <c r="G59" s="123">
        <f t="shared" si="7"/>
        <v>6.5500000000000003E-2</v>
      </c>
      <c r="H59" s="123">
        <f t="shared" si="7"/>
        <v>6.0100000000000001E-2</v>
      </c>
      <c r="I59" s="123">
        <f t="shared" si="7"/>
        <v>5.8700000000000002E-2</v>
      </c>
      <c r="J59" s="123">
        <f t="shared" si="7"/>
        <v>5.5500000000000001E-2</v>
      </c>
      <c r="K59" s="123">
        <f t="shared" si="7"/>
        <v>5.3600000000000002E-2</v>
      </c>
      <c r="L59" s="123">
        <f t="shared" si="7"/>
        <v>4.7500000000000001E-2</v>
      </c>
      <c r="M59" s="123">
        <f t="shared" si="7"/>
        <v>4.2900000000000001E-2</v>
      </c>
      <c r="N59" s="123">
        <f t="shared" si="7"/>
        <v>4.6100000000000002E-2</v>
      </c>
      <c r="O59" s="60"/>
    </row>
    <row r="60" spans="1:15" ht="21.75" customHeight="1" x14ac:dyDescent="0.45">
      <c r="A60" s="52"/>
      <c r="B60" s="62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60"/>
    </row>
    <row r="61" spans="1:15" ht="18" x14ac:dyDescent="0.55000000000000004">
      <c r="A61" s="53" t="s">
        <v>62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60"/>
    </row>
    <row r="62" spans="1:15" x14ac:dyDescent="0.45">
      <c r="A62" s="52" t="s">
        <v>14</v>
      </c>
      <c r="B62" s="95" t="s">
        <v>32</v>
      </c>
      <c r="C62" s="95"/>
      <c r="D62" s="96">
        <f t="shared" ref="D62:N62" si="8">ROUNDDOWN((D56/2),0)</f>
        <v>106</v>
      </c>
      <c r="E62" s="96">
        <f t="shared" si="8"/>
        <v>182</v>
      </c>
      <c r="F62" s="96">
        <f t="shared" si="8"/>
        <v>182</v>
      </c>
      <c r="G62" s="96">
        <f t="shared" si="8"/>
        <v>182</v>
      </c>
      <c r="H62" s="96">
        <f t="shared" si="8"/>
        <v>183</v>
      </c>
      <c r="I62" s="96">
        <f t="shared" si="8"/>
        <v>182</v>
      </c>
      <c r="J62" s="96">
        <f t="shared" si="8"/>
        <v>182</v>
      </c>
      <c r="K62" s="96">
        <f t="shared" si="8"/>
        <v>182</v>
      </c>
      <c r="L62" s="96">
        <f t="shared" si="8"/>
        <v>183</v>
      </c>
      <c r="M62" s="96">
        <f t="shared" si="8"/>
        <v>182</v>
      </c>
      <c r="N62" s="96">
        <f t="shared" si="8"/>
        <v>92</v>
      </c>
      <c r="O62" s="60"/>
    </row>
    <row r="63" spans="1:15" s="94" customFormat="1" x14ac:dyDescent="0.45">
      <c r="A63" s="125" t="s">
        <v>16</v>
      </c>
      <c r="B63" s="137" t="s">
        <v>56</v>
      </c>
      <c r="C63" s="137"/>
      <c r="D63" s="199">
        <f t="shared" ref="D63:M63" si="9">D55-D62+1</f>
        <v>40985</v>
      </c>
      <c r="E63" s="199">
        <f t="shared" si="9"/>
        <v>41274</v>
      </c>
      <c r="F63" s="199">
        <f t="shared" si="9"/>
        <v>41639</v>
      </c>
      <c r="G63" s="199">
        <f t="shared" si="9"/>
        <v>42004</v>
      </c>
      <c r="H63" s="199">
        <f t="shared" si="9"/>
        <v>42369</v>
      </c>
      <c r="I63" s="199">
        <f t="shared" si="9"/>
        <v>42735</v>
      </c>
      <c r="J63" s="199">
        <f t="shared" si="9"/>
        <v>43100</v>
      </c>
      <c r="K63" s="199">
        <f t="shared" si="9"/>
        <v>43465</v>
      </c>
      <c r="L63" s="199">
        <f t="shared" si="9"/>
        <v>43830</v>
      </c>
      <c r="M63" s="199">
        <f t="shared" si="9"/>
        <v>44196</v>
      </c>
      <c r="N63" s="199">
        <f>N55-N62+1</f>
        <v>44470</v>
      </c>
      <c r="O63" s="60"/>
    </row>
    <row r="64" spans="1:15" x14ac:dyDescent="0.45">
      <c r="A64" s="52" t="s">
        <v>57</v>
      </c>
      <c r="B64" s="95" t="s">
        <v>32</v>
      </c>
      <c r="C64" s="95"/>
      <c r="D64" s="134">
        <f t="shared" ref="D64:M64" si="10">$N$55-D63</f>
        <v>3576</v>
      </c>
      <c r="E64" s="134">
        <f t="shared" si="10"/>
        <v>3287</v>
      </c>
      <c r="F64" s="134">
        <f t="shared" si="10"/>
        <v>2922</v>
      </c>
      <c r="G64" s="134">
        <f t="shared" si="10"/>
        <v>2557</v>
      </c>
      <c r="H64" s="134">
        <f t="shared" si="10"/>
        <v>2192</v>
      </c>
      <c r="I64" s="134">
        <f t="shared" si="10"/>
        <v>1826</v>
      </c>
      <c r="J64" s="134">
        <f t="shared" si="10"/>
        <v>1461</v>
      </c>
      <c r="K64" s="134">
        <f t="shared" si="10"/>
        <v>1096</v>
      </c>
      <c r="L64" s="134">
        <f t="shared" si="10"/>
        <v>731</v>
      </c>
      <c r="M64" s="134">
        <f t="shared" si="10"/>
        <v>365</v>
      </c>
      <c r="N64" s="134">
        <f>$N$55-N63</f>
        <v>91</v>
      </c>
      <c r="O64" s="60"/>
    </row>
    <row r="65" spans="1:15" x14ac:dyDescent="0.45">
      <c r="A65" s="52" t="s">
        <v>65</v>
      </c>
      <c r="B65" s="95" t="s">
        <v>36</v>
      </c>
      <c r="C65" s="95"/>
      <c r="D65" s="97">
        <f>D64/365.25</f>
        <v>9.7905544147843937</v>
      </c>
      <c r="E65" s="97">
        <f t="shared" ref="E65:N65" si="11">E64/365.25</f>
        <v>8.9993155373032163</v>
      </c>
      <c r="F65" s="97">
        <f t="shared" si="11"/>
        <v>8</v>
      </c>
      <c r="G65" s="97">
        <f t="shared" si="11"/>
        <v>7.0006844626967828</v>
      </c>
      <c r="H65" s="97">
        <f t="shared" si="11"/>
        <v>6.0013689253935665</v>
      </c>
      <c r="I65" s="97">
        <f t="shared" si="11"/>
        <v>4.9993155373032172</v>
      </c>
      <c r="J65" s="97">
        <f t="shared" si="11"/>
        <v>4</v>
      </c>
      <c r="K65" s="97">
        <f t="shared" si="11"/>
        <v>3.0006844626967832</v>
      </c>
      <c r="L65" s="97">
        <f t="shared" si="11"/>
        <v>2.001368925393566</v>
      </c>
      <c r="M65" s="97">
        <f t="shared" si="11"/>
        <v>0.99931553730321698</v>
      </c>
      <c r="N65" s="97">
        <f t="shared" si="11"/>
        <v>0.24914442162902123</v>
      </c>
      <c r="O65" s="60"/>
    </row>
    <row r="66" spans="1:15" x14ac:dyDescent="0.45">
      <c r="A66" s="52" t="s">
        <v>41</v>
      </c>
      <c r="B66" s="95" t="s">
        <v>43</v>
      </c>
      <c r="C66" s="95"/>
      <c r="D66" s="97">
        <f t="shared" ref="D66:N66" si="12">1+D59</f>
        <v>1.0666</v>
      </c>
      <c r="E66" s="97">
        <f t="shared" si="12"/>
        <v>1.0608</v>
      </c>
      <c r="F66" s="97">
        <f t="shared" si="12"/>
        <v>1.0703</v>
      </c>
      <c r="G66" s="97">
        <f t="shared" si="12"/>
        <v>1.0655000000000001</v>
      </c>
      <c r="H66" s="97">
        <f t="shared" si="12"/>
        <v>1.0601</v>
      </c>
      <c r="I66" s="97">
        <f t="shared" si="12"/>
        <v>1.0587</v>
      </c>
      <c r="J66" s="97">
        <f t="shared" si="12"/>
        <v>1.0555000000000001</v>
      </c>
      <c r="K66" s="97">
        <f t="shared" si="12"/>
        <v>1.0536000000000001</v>
      </c>
      <c r="L66" s="97">
        <f t="shared" si="12"/>
        <v>1.0475000000000001</v>
      </c>
      <c r="M66" s="97">
        <f t="shared" si="12"/>
        <v>1.0428999999999999</v>
      </c>
      <c r="N66" s="97">
        <f t="shared" si="12"/>
        <v>1.0461</v>
      </c>
      <c r="O66" s="60"/>
    </row>
    <row r="67" spans="1:15" x14ac:dyDescent="0.45">
      <c r="A67" s="52" t="s">
        <v>58</v>
      </c>
      <c r="B67" s="95" t="s">
        <v>27</v>
      </c>
      <c r="C67" s="95"/>
      <c r="D67" s="101">
        <f t="shared" ref="D67:M67" si="13">D66^D65</f>
        <v>1.8799702914056711</v>
      </c>
      <c r="E67" s="101">
        <f t="shared" si="13"/>
        <v>1.7009206525083971</v>
      </c>
      <c r="F67" s="101">
        <f t="shared" si="13"/>
        <v>1.7220438393373565</v>
      </c>
      <c r="G67" s="101">
        <f t="shared" si="13"/>
        <v>1.5591684481203605</v>
      </c>
      <c r="H67" s="101">
        <f t="shared" si="13"/>
        <v>1.4194356381727666</v>
      </c>
      <c r="I67" s="101">
        <f t="shared" si="13"/>
        <v>1.3299876532136226</v>
      </c>
      <c r="J67" s="101">
        <f t="shared" si="13"/>
        <v>1.2411748034400629</v>
      </c>
      <c r="K67" s="101">
        <f t="shared" si="13"/>
        <v>1.169614669320717</v>
      </c>
      <c r="L67" s="101">
        <f t="shared" si="13"/>
        <v>1.0973259574606822</v>
      </c>
      <c r="M67" s="101">
        <f t="shared" si="13"/>
        <v>1.0428700159537874</v>
      </c>
      <c r="N67" s="101">
        <f>N66^N65</f>
        <v>1.0112919590700222</v>
      </c>
      <c r="O67" s="60"/>
    </row>
    <row r="68" spans="1:15" ht="18" x14ac:dyDescent="0.55000000000000004">
      <c r="A68" s="53"/>
      <c r="E68" s="48"/>
      <c r="F68" s="48"/>
      <c r="G68" s="48"/>
      <c r="H68" s="48"/>
      <c r="I68" s="48"/>
      <c r="J68" s="48"/>
      <c r="K68" s="48"/>
      <c r="L68" s="48"/>
      <c r="M68" s="48"/>
      <c r="O68" s="60"/>
    </row>
    <row r="69" spans="1:15" ht="18" x14ac:dyDescent="0.55000000000000004">
      <c r="A69" s="53" t="s">
        <v>242</v>
      </c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60"/>
    </row>
    <row r="70" spans="1:15" x14ac:dyDescent="0.45">
      <c r="A70" s="52" t="s">
        <v>243</v>
      </c>
      <c r="B70" s="95" t="s">
        <v>32</v>
      </c>
      <c r="C70" s="95"/>
      <c r="D70" s="96">
        <f>$N$55-D55</f>
        <v>3471</v>
      </c>
      <c r="E70" s="96">
        <f t="shared" ref="E70:N70" si="14">$N$55-E55</f>
        <v>3106</v>
      </c>
      <c r="F70" s="96">
        <f t="shared" si="14"/>
        <v>2741</v>
      </c>
      <c r="G70" s="96">
        <f t="shared" si="14"/>
        <v>2376</v>
      </c>
      <c r="H70" s="96">
        <f t="shared" si="14"/>
        <v>2010</v>
      </c>
      <c r="I70" s="96">
        <f t="shared" si="14"/>
        <v>1645</v>
      </c>
      <c r="J70" s="96">
        <f t="shared" si="14"/>
        <v>1280</v>
      </c>
      <c r="K70" s="96">
        <f t="shared" si="14"/>
        <v>915</v>
      </c>
      <c r="L70" s="96">
        <f t="shared" si="14"/>
        <v>549</v>
      </c>
      <c r="M70" s="96">
        <f t="shared" si="14"/>
        <v>184</v>
      </c>
      <c r="N70" s="96">
        <f t="shared" si="14"/>
        <v>0</v>
      </c>
      <c r="O70" s="60"/>
    </row>
    <row r="71" spans="1:15" x14ac:dyDescent="0.45">
      <c r="A71" s="52" t="s">
        <v>65</v>
      </c>
      <c r="B71" s="95" t="s">
        <v>36</v>
      </c>
      <c r="C71" s="95"/>
      <c r="D71" s="97">
        <f>D70/365.25</f>
        <v>9.5030800821355239</v>
      </c>
      <c r="E71" s="97">
        <f t="shared" ref="E71:N71" si="15">E70/365.25</f>
        <v>8.5037645448323058</v>
      </c>
      <c r="F71" s="97">
        <f t="shared" si="15"/>
        <v>7.5044490075290895</v>
      </c>
      <c r="G71" s="97">
        <f t="shared" si="15"/>
        <v>6.5051334702258723</v>
      </c>
      <c r="H71" s="97">
        <f t="shared" si="15"/>
        <v>5.5030800821355239</v>
      </c>
      <c r="I71" s="97">
        <f t="shared" si="15"/>
        <v>4.5037645448323067</v>
      </c>
      <c r="J71" s="97">
        <f t="shared" si="15"/>
        <v>3.5044490075290895</v>
      </c>
      <c r="K71" s="97">
        <f t="shared" si="15"/>
        <v>2.5051334702258727</v>
      </c>
      <c r="L71" s="97">
        <f t="shared" si="15"/>
        <v>1.5030800821355237</v>
      </c>
      <c r="M71" s="97">
        <f t="shared" si="15"/>
        <v>0.50376454483230659</v>
      </c>
      <c r="N71" s="97">
        <f t="shared" si="15"/>
        <v>0</v>
      </c>
      <c r="O71" s="60"/>
    </row>
    <row r="72" spans="1:15" x14ac:dyDescent="0.45">
      <c r="A72" s="52" t="s">
        <v>41</v>
      </c>
      <c r="B72" s="95" t="s">
        <v>43</v>
      </c>
      <c r="C72" s="95"/>
      <c r="D72" s="97">
        <f t="shared" ref="D72:L72" si="16">1+E59</f>
        <v>1.0608</v>
      </c>
      <c r="E72" s="97">
        <f t="shared" si="16"/>
        <v>1.0703</v>
      </c>
      <c r="F72" s="97">
        <f t="shared" si="16"/>
        <v>1.0655000000000001</v>
      </c>
      <c r="G72" s="97">
        <f t="shared" si="16"/>
        <v>1.0601</v>
      </c>
      <c r="H72" s="97">
        <f t="shared" si="16"/>
        <v>1.0587</v>
      </c>
      <c r="I72" s="97">
        <f t="shared" si="16"/>
        <v>1.0555000000000001</v>
      </c>
      <c r="J72" s="97">
        <f t="shared" si="16"/>
        <v>1.0536000000000001</v>
      </c>
      <c r="K72" s="97">
        <f t="shared" si="16"/>
        <v>1.0475000000000001</v>
      </c>
      <c r="L72" s="97">
        <f t="shared" si="16"/>
        <v>1.0428999999999999</v>
      </c>
      <c r="M72" s="97">
        <f>1+N59</f>
        <v>1.0461</v>
      </c>
      <c r="N72" s="97">
        <f>1+O59</f>
        <v>1</v>
      </c>
      <c r="O72" s="60"/>
    </row>
    <row r="73" spans="1:15" x14ac:dyDescent="0.45">
      <c r="A73" s="52" t="s">
        <v>244</v>
      </c>
      <c r="B73" s="95" t="s">
        <v>27</v>
      </c>
      <c r="C73" s="95"/>
      <c r="D73" s="101">
        <f t="shared" ref="D73:M73" si="17">D72^D71</f>
        <v>1.7522550019941467</v>
      </c>
      <c r="E73" s="101">
        <f t="shared" si="17"/>
        <v>1.7820014004180706</v>
      </c>
      <c r="F73" s="101">
        <f t="shared" si="17"/>
        <v>1.6098058115460832</v>
      </c>
      <c r="G73" s="101">
        <f t="shared" si="17"/>
        <v>1.4617885020198402</v>
      </c>
      <c r="H73" s="101">
        <f t="shared" si="17"/>
        <v>1.3687600612835051</v>
      </c>
      <c r="I73" s="101">
        <f t="shared" si="17"/>
        <v>1.2754116480496696</v>
      </c>
      <c r="J73" s="101">
        <f t="shared" si="17"/>
        <v>1.2007872045659267</v>
      </c>
      <c r="K73" s="101">
        <f t="shared" si="17"/>
        <v>1.1232813265318653</v>
      </c>
      <c r="L73" s="101">
        <f t="shared" si="17"/>
        <v>1.0651730997959117</v>
      </c>
      <c r="M73" s="101">
        <f t="shared" si="17"/>
        <v>1.0229638466397881</v>
      </c>
      <c r="N73" s="101">
        <f>N72^N71</f>
        <v>1</v>
      </c>
      <c r="O73" s="60"/>
    </row>
    <row r="74" spans="1:15" x14ac:dyDescent="0.45">
      <c r="A74" s="52"/>
      <c r="B74" s="95"/>
      <c r="C74" s="95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60"/>
    </row>
    <row r="75" spans="1:15" ht="18" x14ac:dyDescent="0.55000000000000004">
      <c r="A75" s="53" t="s">
        <v>92</v>
      </c>
      <c r="N75" s="84"/>
      <c r="O75" s="60"/>
    </row>
    <row r="76" spans="1:15" x14ac:dyDescent="0.45">
      <c r="A76" s="52" t="s">
        <v>54</v>
      </c>
      <c r="B76" s="95" t="s">
        <v>56</v>
      </c>
      <c r="C76" s="199">
        <f>C55</f>
        <v>40878</v>
      </c>
      <c r="D76" s="79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60"/>
    </row>
    <row r="77" spans="1:15" x14ac:dyDescent="0.45">
      <c r="A77" s="52" t="s">
        <v>93</v>
      </c>
      <c r="B77" s="95" t="s">
        <v>32</v>
      </c>
      <c r="C77" s="134">
        <f>$N$55-C76+1</f>
        <v>3684</v>
      </c>
      <c r="D77" s="79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60"/>
    </row>
    <row r="78" spans="1:15" x14ac:dyDescent="0.45">
      <c r="A78" s="52" t="s">
        <v>65</v>
      </c>
      <c r="B78" s="95" t="s">
        <v>36</v>
      </c>
      <c r="C78" s="135">
        <f>C77/365.25</f>
        <v>10.086242299794661</v>
      </c>
      <c r="D78" s="9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60"/>
    </row>
    <row r="79" spans="1:15" x14ac:dyDescent="0.45">
      <c r="A79" s="52" t="s">
        <v>41</v>
      </c>
      <c r="B79" s="95" t="s">
        <v>43</v>
      </c>
      <c r="C79" s="110">
        <f>1+C59</f>
        <v>1.0643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60"/>
    </row>
    <row r="80" spans="1:15" x14ac:dyDescent="0.45">
      <c r="A80" s="52" t="s">
        <v>94</v>
      </c>
      <c r="B80" s="95" t="s">
        <v>27</v>
      </c>
      <c r="C80" s="101">
        <f>C79^C78</f>
        <v>1.8748852329218195</v>
      </c>
      <c r="D80" s="111"/>
      <c r="E80" s="95"/>
      <c r="F80" s="111"/>
      <c r="G80" s="111"/>
      <c r="H80" s="111"/>
      <c r="I80" s="111"/>
      <c r="J80" s="111"/>
      <c r="K80" s="111"/>
      <c r="L80" s="111"/>
      <c r="M80" s="111"/>
      <c r="N80" s="111"/>
      <c r="O80" s="60"/>
    </row>
    <row r="81" spans="1:15" ht="18" x14ac:dyDescent="0.55000000000000004">
      <c r="A81" s="53"/>
      <c r="E81" s="48"/>
      <c r="F81" s="48"/>
      <c r="G81" s="48"/>
      <c r="H81" s="48"/>
      <c r="I81" s="48"/>
      <c r="J81" s="48"/>
      <c r="K81" s="48"/>
      <c r="L81" s="48"/>
      <c r="M81" s="48"/>
      <c r="O81" s="60"/>
    </row>
    <row r="82" spans="1:15" ht="18" x14ac:dyDescent="0.55000000000000004">
      <c r="A82" s="53" t="s">
        <v>61</v>
      </c>
      <c r="N82" s="84"/>
      <c r="O82" s="60"/>
    </row>
    <row r="83" spans="1:15" x14ac:dyDescent="0.45">
      <c r="A83" s="52" t="s">
        <v>15</v>
      </c>
      <c r="B83" s="95" t="s">
        <v>32</v>
      </c>
      <c r="C83" s="95"/>
      <c r="D83" s="96">
        <f t="shared" ref="D83:N83" si="18">ROUNDDOWN((D55-D84),0)</f>
        <v>72</v>
      </c>
      <c r="E83" s="96">
        <f t="shared" si="18"/>
        <v>148</v>
      </c>
      <c r="F83" s="96">
        <f t="shared" si="18"/>
        <v>148</v>
      </c>
      <c r="G83" s="96">
        <f t="shared" si="18"/>
        <v>148</v>
      </c>
      <c r="H83" s="96">
        <f t="shared" si="18"/>
        <v>149</v>
      </c>
      <c r="I83" s="96">
        <f t="shared" si="18"/>
        <v>148</v>
      </c>
      <c r="J83" s="96">
        <f t="shared" si="18"/>
        <v>148</v>
      </c>
      <c r="K83" s="96">
        <f t="shared" si="18"/>
        <v>148</v>
      </c>
      <c r="L83" s="96">
        <f t="shared" si="18"/>
        <v>149</v>
      </c>
      <c r="M83" s="96">
        <f t="shared" si="18"/>
        <v>148</v>
      </c>
      <c r="N83" s="96">
        <f t="shared" si="18"/>
        <v>58</v>
      </c>
      <c r="O83" s="60"/>
    </row>
    <row r="84" spans="1:15" x14ac:dyDescent="0.45">
      <c r="A84" s="52" t="s">
        <v>17</v>
      </c>
      <c r="B84" s="95" t="s">
        <v>56</v>
      </c>
      <c r="C84" s="95"/>
      <c r="D84" s="199">
        <f t="shared" ref="D84:N84" si="19">D$5-(INT(D$56/2))+34</f>
        <v>41018</v>
      </c>
      <c r="E84" s="200">
        <f t="shared" si="19"/>
        <v>41307</v>
      </c>
      <c r="F84" s="200">
        <f t="shared" si="19"/>
        <v>41672</v>
      </c>
      <c r="G84" s="200">
        <f t="shared" si="19"/>
        <v>42037</v>
      </c>
      <c r="H84" s="200">
        <f t="shared" si="19"/>
        <v>42402</v>
      </c>
      <c r="I84" s="200">
        <f t="shared" si="19"/>
        <v>42768</v>
      </c>
      <c r="J84" s="200">
        <f t="shared" si="19"/>
        <v>43133</v>
      </c>
      <c r="K84" s="200">
        <f t="shared" si="19"/>
        <v>43498</v>
      </c>
      <c r="L84" s="200">
        <f t="shared" si="19"/>
        <v>43863</v>
      </c>
      <c r="M84" s="200">
        <f t="shared" si="19"/>
        <v>44229</v>
      </c>
      <c r="N84" s="200">
        <f t="shared" si="19"/>
        <v>44503</v>
      </c>
      <c r="O84" s="60"/>
    </row>
    <row r="85" spans="1:15" x14ac:dyDescent="0.45">
      <c r="A85" s="52" t="s">
        <v>59</v>
      </c>
      <c r="B85" s="95" t="s">
        <v>32</v>
      </c>
      <c r="C85" s="95"/>
      <c r="D85" s="134">
        <f t="shared" ref="D85:M85" si="20">$N$55-D84</f>
        <v>3543</v>
      </c>
      <c r="E85" s="134">
        <f t="shared" si="20"/>
        <v>3254</v>
      </c>
      <c r="F85" s="134">
        <f t="shared" si="20"/>
        <v>2889</v>
      </c>
      <c r="G85" s="134">
        <f t="shared" si="20"/>
        <v>2524</v>
      </c>
      <c r="H85" s="134">
        <f t="shared" si="20"/>
        <v>2159</v>
      </c>
      <c r="I85" s="134">
        <f t="shared" si="20"/>
        <v>1793</v>
      </c>
      <c r="J85" s="134">
        <f t="shared" si="20"/>
        <v>1428</v>
      </c>
      <c r="K85" s="134">
        <f t="shared" si="20"/>
        <v>1063</v>
      </c>
      <c r="L85" s="134">
        <f t="shared" si="20"/>
        <v>698</v>
      </c>
      <c r="M85" s="134">
        <f t="shared" si="20"/>
        <v>332</v>
      </c>
      <c r="N85" s="134">
        <f>$N$55-N84</f>
        <v>58</v>
      </c>
      <c r="O85" s="60"/>
    </row>
    <row r="86" spans="1:15" x14ac:dyDescent="0.45">
      <c r="A86" s="52" t="s">
        <v>65</v>
      </c>
      <c r="B86" s="95" t="s">
        <v>36</v>
      </c>
      <c r="C86" s="95"/>
      <c r="D86" s="97">
        <f>D85/365.25</f>
        <v>9.7002053388090346</v>
      </c>
      <c r="E86" s="97">
        <f t="shared" ref="E86:M86" si="21">E85/365.25</f>
        <v>8.9089664613278572</v>
      </c>
      <c r="F86" s="97">
        <f t="shared" si="21"/>
        <v>7.9096509240246409</v>
      </c>
      <c r="G86" s="97">
        <f t="shared" si="21"/>
        <v>6.9103353867214237</v>
      </c>
      <c r="H86" s="97">
        <f t="shared" si="21"/>
        <v>5.9110198494182065</v>
      </c>
      <c r="I86" s="97">
        <f t="shared" si="21"/>
        <v>4.9089664613278572</v>
      </c>
      <c r="J86" s="97">
        <f t="shared" si="21"/>
        <v>3.9096509240246409</v>
      </c>
      <c r="K86" s="97">
        <f t="shared" si="21"/>
        <v>2.9103353867214237</v>
      </c>
      <c r="L86" s="97">
        <f t="shared" si="21"/>
        <v>1.9110198494182067</v>
      </c>
      <c r="M86" s="97">
        <f t="shared" si="21"/>
        <v>0.90896646132785763</v>
      </c>
      <c r="N86" s="97">
        <f t="shared" ref="N86" si="22">N85/365.25</f>
        <v>0.15879534565366188</v>
      </c>
      <c r="O86" s="60"/>
    </row>
    <row r="87" spans="1:15" x14ac:dyDescent="0.45">
      <c r="A87" s="52" t="s">
        <v>41</v>
      </c>
      <c r="B87" s="95" t="s">
        <v>43</v>
      </c>
      <c r="C87" s="95"/>
      <c r="D87" s="110">
        <f t="shared" ref="D87:N87" si="23">1+D59</f>
        <v>1.0666</v>
      </c>
      <c r="E87" s="110">
        <f t="shared" si="23"/>
        <v>1.0608</v>
      </c>
      <c r="F87" s="110">
        <f t="shared" si="23"/>
        <v>1.0703</v>
      </c>
      <c r="G87" s="110">
        <f t="shared" si="23"/>
        <v>1.0655000000000001</v>
      </c>
      <c r="H87" s="110">
        <f t="shared" si="23"/>
        <v>1.0601</v>
      </c>
      <c r="I87" s="110">
        <f t="shared" si="23"/>
        <v>1.0587</v>
      </c>
      <c r="J87" s="110">
        <f t="shared" si="23"/>
        <v>1.0555000000000001</v>
      </c>
      <c r="K87" s="110">
        <f t="shared" si="23"/>
        <v>1.0536000000000001</v>
      </c>
      <c r="L87" s="110">
        <f t="shared" si="23"/>
        <v>1.0475000000000001</v>
      </c>
      <c r="M87" s="110">
        <f t="shared" si="23"/>
        <v>1.0428999999999999</v>
      </c>
      <c r="N87" s="110">
        <f t="shared" si="23"/>
        <v>1.0461</v>
      </c>
      <c r="O87" s="60"/>
    </row>
    <row r="88" spans="1:15" x14ac:dyDescent="0.45">
      <c r="A88" s="52" t="s">
        <v>60</v>
      </c>
      <c r="B88" s="95" t="s">
        <v>27</v>
      </c>
      <c r="C88" s="95"/>
      <c r="D88" s="101">
        <f t="shared" ref="D88:N88" si="24">D87^D86</f>
        <v>1.8690506450612177</v>
      </c>
      <c r="E88" s="101">
        <f t="shared" si="24"/>
        <v>1.6918742879125575</v>
      </c>
      <c r="F88" s="101">
        <f t="shared" si="24"/>
        <v>1.7115059230666638</v>
      </c>
      <c r="G88" s="101">
        <f t="shared" si="24"/>
        <v>1.5502566698887521</v>
      </c>
      <c r="H88" s="101">
        <f t="shared" si="24"/>
        <v>1.411970560860111</v>
      </c>
      <c r="I88" s="101">
        <f t="shared" si="24"/>
        <v>1.3231509698264259</v>
      </c>
      <c r="J88" s="101">
        <f t="shared" si="24"/>
        <v>1.2351324176263594</v>
      </c>
      <c r="K88" s="101">
        <f t="shared" si="24"/>
        <v>1.1641101406849097</v>
      </c>
      <c r="L88" s="101">
        <f t="shared" si="24"/>
        <v>1.0927347505900884</v>
      </c>
      <c r="M88" s="101">
        <f t="shared" si="24"/>
        <v>1.0389196795306217</v>
      </c>
      <c r="N88" s="101">
        <f t="shared" si="24"/>
        <v>1.0071824122944173</v>
      </c>
      <c r="O88" s="60"/>
    </row>
    <row r="89" spans="1:15" x14ac:dyDescent="0.45">
      <c r="A89" s="52"/>
      <c r="B89" s="95"/>
      <c r="C89" s="95"/>
      <c r="D89" s="95"/>
      <c r="E89" s="79"/>
      <c r="F89" s="95"/>
      <c r="G89" s="95"/>
      <c r="H89" s="95"/>
      <c r="I89" s="95"/>
      <c r="J89" s="95"/>
      <c r="K89" s="95"/>
      <c r="L89" s="95"/>
      <c r="M89" s="95"/>
      <c r="N89" s="95"/>
      <c r="O89" s="60"/>
    </row>
    <row r="90" spans="1:15" ht="21" x14ac:dyDescent="0.65">
      <c r="A90" s="63" t="s">
        <v>234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60"/>
    </row>
    <row r="91" spans="1:15" ht="18" x14ac:dyDescent="0.55000000000000004">
      <c r="A91" s="53"/>
      <c r="C91" s="99">
        <f>C55</f>
        <v>40878</v>
      </c>
      <c r="D91" s="99">
        <f t="shared" ref="D91:N91" si="25">D36</f>
        <v>40985</v>
      </c>
      <c r="E91" s="99">
        <f t="shared" si="25"/>
        <v>41274</v>
      </c>
      <c r="F91" s="99">
        <f t="shared" si="25"/>
        <v>41639</v>
      </c>
      <c r="G91" s="99">
        <f t="shared" si="25"/>
        <v>42004</v>
      </c>
      <c r="H91" s="99">
        <f t="shared" si="25"/>
        <v>42369</v>
      </c>
      <c r="I91" s="99">
        <f t="shared" si="25"/>
        <v>42735</v>
      </c>
      <c r="J91" s="99">
        <f t="shared" si="25"/>
        <v>43100</v>
      </c>
      <c r="K91" s="99">
        <f t="shared" si="25"/>
        <v>43465</v>
      </c>
      <c r="L91" s="99">
        <f t="shared" si="25"/>
        <v>43830</v>
      </c>
      <c r="M91" s="99">
        <f t="shared" si="25"/>
        <v>44196</v>
      </c>
      <c r="N91" s="99">
        <f t="shared" si="25"/>
        <v>44470</v>
      </c>
      <c r="O91" s="60"/>
    </row>
    <row r="92" spans="1:15" ht="14.25" customHeight="1" x14ac:dyDescent="0.55000000000000004">
      <c r="A92" s="53"/>
      <c r="C92" s="94"/>
      <c r="D92" s="94"/>
      <c r="O92" s="60"/>
    </row>
    <row r="93" spans="1:15" ht="18" x14ac:dyDescent="0.55000000000000004">
      <c r="A93" s="53" t="s">
        <v>101</v>
      </c>
      <c r="C93" s="94"/>
      <c r="D93" s="94"/>
      <c r="O93" s="60"/>
    </row>
    <row r="94" spans="1:15" x14ac:dyDescent="0.45">
      <c r="A94" s="52" t="s">
        <v>235</v>
      </c>
      <c r="B94" s="62" t="s">
        <v>21</v>
      </c>
      <c r="C94" s="123">
        <f>ROUND(C49*C52+C43*(1-C52),4)</f>
        <v>6.9199999999999998E-2</v>
      </c>
      <c r="D94" s="123">
        <f t="shared" ref="D94:N94" si="26">ROUND(D49*D52+D43*(1-D52),4)</f>
        <v>7.1800000000000003E-2</v>
      </c>
      <c r="E94" s="123">
        <f t="shared" si="26"/>
        <v>6.5100000000000005E-2</v>
      </c>
      <c r="F94" s="123">
        <f t="shared" si="26"/>
        <v>7.5600000000000001E-2</v>
      </c>
      <c r="G94" s="123">
        <f t="shared" si="26"/>
        <v>7.0000000000000007E-2</v>
      </c>
      <c r="H94" s="123">
        <f t="shared" si="26"/>
        <v>6.4000000000000001E-2</v>
      </c>
      <c r="I94" s="123">
        <f t="shared" si="26"/>
        <v>6.2600000000000003E-2</v>
      </c>
      <c r="J94" s="123">
        <f t="shared" si="26"/>
        <v>5.8900000000000001E-2</v>
      </c>
      <c r="K94" s="123">
        <f t="shared" si="26"/>
        <v>5.6899999999999999E-2</v>
      </c>
      <c r="L94" s="123">
        <f t="shared" si="26"/>
        <v>4.99E-2</v>
      </c>
      <c r="M94" s="123">
        <f t="shared" si="26"/>
        <v>4.4499999999999998E-2</v>
      </c>
      <c r="N94" s="123">
        <f t="shared" si="26"/>
        <v>4.8099999999999997E-2</v>
      </c>
      <c r="O94" s="60"/>
    </row>
    <row r="95" spans="1:15" x14ac:dyDescent="0.45">
      <c r="A95" s="52" t="s">
        <v>102</v>
      </c>
      <c r="B95" s="137" t="s">
        <v>43</v>
      </c>
      <c r="C95" s="136">
        <f t="shared" ref="C95:M95" si="27">1+C94</f>
        <v>1.0691999999999999</v>
      </c>
      <c r="D95" s="136">
        <f t="shared" si="27"/>
        <v>1.0718000000000001</v>
      </c>
      <c r="E95" s="136">
        <f t="shared" si="27"/>
        <v>1.0650999999999999</v>
      </c>
      <c r="F95" s="136">
        <f t="shared" si="27"/>
        <v>1.0756000000000001</v>
      </c>
      <c r="G95" s="136">
        <f t="shared" si="27"/>
        <v>1.07</v>
      </c>
      <c r="H95" s="136">
        <f t="shared" si="27"/>
        <v>1.0640000000000001</v>
      </c>
      <c r="I95" s="136">
        <f t="shared" si="27"/>
        <v>1.0626</v>
      </c>
      <c r="J95" s="136">
        <f t="shared" si="27"/>
        <v>1.0589</v>
      </c>
      <c r="K95" s="136">
        <f t="shared" si="27"/>
        <v>1.0569</v>
      </c>
      <c r="L95" s="136">
        <f t="shared" si="27"/>
        <v>1.0499000000000001</v>
      </c>
      <c r="M95" s="136">
        <f t="shared" si="27"/>
        <v>1.0445</v>
      </c>
      <c r="N95" s="136">
        <f>1+N94</f>
        <v>1.0481</v>
      </c>
      <c r="O95" s="60"/>
    </row>
    <row r="96" spans="1:15" x14ac:dyDescent="0.45">
      <c r="A96" s="52" t="s">
        <v>118</v>
      </c>
      <c r="B96" s="95" t="s">
        <v>32</v>
      </c>
      <c r="C96" s="214">
        <f>$N5-C91+1</f>
        <v>3684</v>
      </c>
      <c r="D96" s="134">
        <f>$N5-D91</f>
        <v>3576</v>
      </c>
      <c r="E96" s="134">
        <f t="shared" ref="E96:N96" si="28">$N5-E91</f>
        <v>3287</v>
      </c>
      <c r="F96" s="134">
        <f t="shared" si="28"/>
        <v>2922</v>
      </c>
      <c r="G96" s="134">
        <f t="shared" si="28"/>
        <v>2557</v>
      </c>
      <c r="H96" s="134">
        <f t="shared" si="28"/>
        <v>2192</v>
      </c>
      <c r="I96" s="134">
        <f t="shared" si="28"/>
        <v>1826</v>
      </c>
      <c r="J96" s="134">
        <f t="shared" si="28"/>
        <v>1461</v>
      </c>
      <c r="K96" s="134">
        <f t="shared" si="28"/>
        <v>1096</v>
      </c>
      <c r="L96" s="134">
        <f t="shared" si="28"/>
        <v>731</v>
      </c>
      <c r="M96" s="134">
        <f t="shared" si="28"/>
        <v>365</v>
      </c>
      <c r="N96" s="134">
        <f t="shared" si="28"/>
        <v>91</v>
      </c>
      <c r="O96" s="60"/>
    </row>
    <row r="97" spans="1:15" x14ac:dyDescent="0.45">
      <c r="A97" s="52" t="s">
        <v>65</v>
      </c>
      <c r="B97" s="95" t="s">
        <v>36</v>
      </c>
      <c r="C97" s="135">
        <f>C96/365.25</f>
        <v>10.086242299794661</v>
      </c>
      <c r="D97" s="135">
        <f t="shared" ref="D97:N97" si="29">D96/365.25</f>
        <v>9.7905544147843937</v>
      </c>
      <c r="E97" s="135">
        <f t="shared" si="29"/>
        <v>8.9993155373032163</v>
      </c>
      <c r="F97" s="135">
        <f t="shared" si="29"/>
        <v>8</v>
      </c>
      <c r="G97" s="135">
        <f t="shared" si="29"/>
        <v>7.0006844626967828</v>
      </c>
      <c r="H97" s="135">
        <f t="shared" si="29"/>
        <v>6.0013689253935665</v>
      </c>
      <c r="I97" s="135">
        <f t="shared" si="29"/>
        <v>4.9993155373032172</v>
      </c>
      <c r="J97" s="135">
        <f t="shared" si="29"/>
        <v>4</v>
      </c>
      <c r="K97" s="135">
        <f t="shared" si="29"/>
        <v>3.0006844626967832</v>
      </c>
      <c r="L97" s="135">
        <f t="shared" si="29"/>
        <v>2.001368925393566</v>
      </c>
      <c r="M97" s="135">
        <f t="shared" si="29"/>
        <v>0.99931553730321698</v>
      </c>
      <c r="N97" s="135">
        <f t="shared" si="29"/>
        <v>0.24914442162902123</v>
      </c>
      <c r="O97" s="60"/>
    </row>
    <row r="98" spans="1:15" x14ac:dyDescent="0.45">
      <c r="A98" s="52"/>
      <c r="B98" s="62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60"/>
    </row>
    <row r="99" spans="1:15" ht="18" x14ac:dyDescent="0.55000000000000004">
      <c r="A99" s="53" t="s">
        <v>62</v>
      </c>
      <c r="B99" s="62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60"/>
    </row>
    <row r="100" spans="1:15" x14ac:dyDescent="0.45">
      <c r="A100" s="52" t="s">
        <v>65</v>
      </c>
      <c r="B100" s="95" t="s">
        <v>36</v>
      </c>
      <c r="C100" s="97"/>
      <c r="D100" s="97">
        <f t="shared" ref="D100:N100" si="30">D65</f>
        <v>9.7905544147843937</v>
      </c>
      <c r="E100" s="97">
        <f t="shared" si="30"/>
        <v>8.9993155373032163</v>
      </c>
      <c r="F100" s="97">
        <f t="shared" si="30"/>
        <v>8</v>
      </c>
      <c r="G100" s="97">
        <f t="shared" si="30"/>
        <v>7.0006844626967828</v>
      </c>
      <c r="H100" s="97">
        <f t="shared" si="30"/>
        <v>6.0013689253935665</v>
      </c>
      <c r="I100" s="97">
        <f t="shared" si="30"/>
        <v>4.9993155373032172</v>
      </c>
      <c r="J100" s="97">
        <f t="shared" si="30"/>
        <v>4</v>
      </c>
      <c r="K100" s="97">
        <f t="shared" si="30"/>
        <v>3.0006844626967832</v>
      </c>
      <c r="L100" s="97">
        <f t="shared" si="30"/>
        <v>2.001368925393566</v>
      </c>
      <c r="M100" s="97">
        <f t="shared" si="30"/>
        <v>0.99931553730321698</v>
      </c>
      <c r="N100" s="97">
        <f t="shared" si="30"/>
        <v>0.24914442162902123</v>
      </c>
      <c r="O100" s="60"/>
    </row>
    <row r="101" spans="1:15" x14ac:dyDescent="0.45">
      <c r="A101" s="52" t="s">
        <v>102</v>
      </c>
      <c r="B101" s="137" t="s">
        <v>43</v>
      </c>
      <c r="C101" s="110"/>
      <c r="D101" s="97">
        <f t="shared" ref="D101:N101" si="31">1+D94</f>
        <v>1.0718000000000001</v>
      </c>
      <c r="E101" s="97">
        <f t="shared" si="31"/>
        <v>1.0650999999999999</v>
      </c>
      <c r="F101" s="97">
        <f t="shared" si="31"/>
        <v>1.0756000000000001</v>
      </c>
      <c r="G101" s="97">
        <f t="shared" si="31"/>
        <v>1.07</v>
      </c>
      <c r="H101" s="97">
        <f t="shared" si="31"/>
        <v>1.0640000000000001</v>
      </c>
      <c r="I101" s="97">
        <f t="shared" si="31"/>
        <v>1.0626</v>
      </c>
      <c r="J101" s="97">
        <f t="shared" si="31"/>
        <v>1.0589</v>
      </c>
      <c r="K101" s="97">
        <f t="shared" si="31"/>
        <v>1.0569</v>
      </c>
      <c r="L101" s="97">
        <f t="shared" si="31"/>
        <v>1.0499000000000001</v>
      </c>
      <c r="M101" s="97">
        <f t="shared" si="31"/>
        <v>1.0445</v>
      </c>
      <c r="N101" s="97">
        <f t="shared" si="31"/>
        <v>1.0481</v>
      </c>
      <c r="O101" s="60"/>
    </row>
    <row r="102" spans="1:15" x14ac:dyDescent="0.45">
      <c r="A102" s="52" t="s">
        <v>58</v>
      </c>
      <c r="B102" s="95" t="s">
        <v>27</v>
      </c>
      <c r="C102" s="95"/>
      <c r="D102" s="97">
        <f t="shared" ref="D102:N102" si="32">D101^D100</f>
        <v>1.9716523217775115</v>
      </c>
      <c r="E102" s="97">
        <f t="shared" si="32"/>
        <v>1.76398429597453</v>
      </c>
      <c r="F102" s="97">
        <f t="shared" si="32"/>
        <v>1.7914568352908242</v>
      </c>
      <c r="G102" s="97">
        <f t="shared" si="32"/>
        <v>1.6058558416530693</v>
      </c>
      <c r="H102" s="97">
        <f t="shared" si="32"/>
        <v>1.4510642711998849</v>
      </c>
      <c r="I102" s="97">
        <f t="shared" si="32"/>
        <v>1.3546621879514464</v>
      </c>
      <c r="J102" s="97">
        <f t="shared" si="32"/>
        <v>1.2572446412940239</v>
      </c>
      <c r="K102" s="97">
        <f t="shared" si="32"/>
        <v>1.1806417697833558</v>
      </c>
      <c r="L102" s="97">
        <f t="shared" si="32"/>
        <v>1.1023634907865856</v>
      </c>
      <c r="M102" s="97">
        <f t="shared" si="32"/>
        <v>1.0444688740048842</v>
      </c>
      <c r="N102" s="97">
        <f t="shared" si="32"/>
        <v>1.0117733224290155</v>
      </c>
      <c r="O102" s="60"/>
    </row>
    <row r="103" spans="1:15" x14ac:dyDescent="0.45">
      <c r="A103" s="125"/>
      <c r="B103" s="137"/>
      <c r="C103" s="137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60"/>
    </row>
    <row r="104" spans="1:15" ht="18" x14ac:dyDescent="0.55000000000000004">
      <c r="A104" s="53" t="s">
        <v>92</v>
      </c>
      <c r="B104" s="94"/>
      <c r="C104" s="94"/>
      <c r="N104" s="84"/>
      <c r="O104" s="60"/>
    </row>
    <row r="105" spans="1:15" x14ac:dyDescent="0.45">
      <c r="A105" s="125" t="s">
        <v>54</v>
      </c>
      <c r="B105" s="137" t="s">
        <v>56</v>
      </c>
      <c r="C105" s="199">
        <f>C76</f>
        <v>40878</v>
      </c>
      <c r="D105" s="79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60"/>
    </row>
    <row r="106" spans="1:15" x14ac:dyDescent="0.45">
      <c r="A106" s="125" t="s">
        <v>93</v>
      </c>
      <c r="B106" s="137" t="s">
        <v>32</v>
      </c>
      <c r="C106" s="134">
        <f>C77</f>
        <v>3684</v>
      </c>
      <c r="D106" s="9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60"/>
    </row>
    <row r="107" spans="1:15" x14ac:dyDescent="0.45">
      <c r="A107" s="125" t="s">
        <v>65</v>
      </c>
      <c r="B107" s="137" t="s">
        <v>36</v>
      </c>
      <c r="C107" s="135">
        <f>C78</f>
        <v>10.086242299794661</v>
      </c>
      <c r="D107" s="9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60"/>
    </row>
    <row r="108" spans="1:15" x14ac:dyDescent="0.45">
      <c r="A108" s="125" t="s">
        <v>41</v>
      </c>
      <c r="B108" s="137" t="s">
        <v>43</v>
      </c>
      <c r="C108" s="135">
        <f>1+C94</f>
        <v>1.0691999999999999</v>
      </c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60"/>
    </row>
    <row r="109" spans="1:15" x14ac:dyDescent="0.45">
      <c r="A109" s="125" t="s">
        <v>94</v>
      </c>
      <c r="B109" s="137" t="s">
        <v>27</v>
      </c>
      <c r="C109" s="198">
        <f>C108^C107</f>
        <v>1.963792565416185</v>
      </c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60"/>
    </row>
    <row r="110" spans="1:15" x14ac:dyDescent="0.45">
      <c r="A110" s="125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60"/>
    </row>
    <row r="111" spans="1:15" ht="18" x14ac:dyDescent="0.55000000000000004">
      <c r="A111" s="53" t="s">
        <v>61</v>
      </c>
      <c r="N111" s="84"/>
      <c r="O111" s="60"/>
    </row>
    <row r="112" spans="1:15" x14ac:dyDescent="0.45">
      <c r="A112" s="52" t="s">
        <v>15</v>
      </c>
      <c r="B112" s="95" t="s">
        <v>32</v>
      </c>
      <c r="C112" s="95"/>
      <c r="D112" s="96">
        <f t="shared" ref="D112:N112" si="33">D83</f>
        <v>72</v>
      </c>
      <c r="E112" s="96">
        <f t="shared" si="33"/>
        <v>148</v>
      </c>
      <c r="F112" s="96">
        <f t="shared" si="33"/>
        <v>148</v>
      </c>
      <c r="G112" s="96">
        <f t="shared" si="33"/>
        <v>148</v>
      </c>
      <c r="H112" s="96">
        <f t="shared" si="33"/>
        <v>149</v>
      </c>
      <c r="I112" s="96">
        <f t="shared" si="33"/>
        <v>148</v>
      </c>
      <c r="J112" s="96">
        <f t="shared" si="33"/>
        <v>148</v>
      </c>
      <c r="K112" s="96">
        <f t="shared" si="33"/>
        <v>148</v>
      </c>
      <c r="L112" s="96">
        <f t="shared" si="33"/>
        <v>149</v>
      </c>
      <c r="M112" s="96">
        <f t="shared" si="33"/>
        <v>148</v>
      </c>
      <c r="N112" s="96">
        <f t="shared" si="33"/>
        <v>58</v>
      </c>
      <c r="O112" s="60"/>
    </row>
    <row r="113" spans="1:15" x14ac:dyDescent="0.45">
      <c r="A113" s="52" t="s">
        <v>17</v>
      </c>
      <c r="B113" s="95" t="s">
        <v>56</v>
      </c>
      <c r="C113" s="95"/>
      <c r="D113" s="199">
        <f t="shared" ref="D113:N113" si="34">D84</f>
        <v>41018</v>
      </c>
      <c r="E113" s="199">
        <f t="shared" si="34"/>
        <v>41307</v>
      </c>
      <c r="F113" s="199">
        <f t="shared" si="34"/>
        <v>41672</v>
      </c>
      <c r="G113" s="199">
        <f t="shared" si="34"/>
        <v>42037</v>
      </c>
      <c r="H113" s="199">
        <f t="shared" si="34"/>
        <v>42402</v>
      </c>
      <c r="I113" s="199">
        <f t="shared" si="34"/>
        <v>42768</v>
      </c>
      <c r="J113" s="199">
        <f t="shared" si="34"/>
        <v>43133</v>
      </c>
      <c r="K113" s="199">
        <f t="shared" si="34"/>
        <v>43498</v>
      </c>
      <c r="L113" s="199">
        <f t="shared" si="34"/>
        <v>43863</v>
      </c>
      <c r="M113" s="199">
        <f t="shared" si="34"/>
        <v>44229</v>
      </c>
      <c r="N113" s="199">
        <f t="shared" si="34"/>
        <v>44503</v>
      </c>
      <c r="O113" s="60"/>
    </row>
    <row r="114" spans="1:15" x14ac:dyDescent="0.45">
      <c r="A114" s="52" t="s">
        <v>59</v>
      </c>
      <c r="B114" s="95" t="s">
        <v>32</v>
      </c>
      <c r="C114" s="95"/>
      <c r="D114" s="96">
        <f t="shared" ref="D114:N114" si="35">D85</f>
        <v>3543</v>
      </c>
      <c r="E114" s="96">
        <f t="shared" si="35"/>
        <v>3254</v>
      </c>
      <c r="F114" s="96">
        <f t="shared" si="35"/>
        <v>2889</v>
      </c>
      <c r="G114" s="96">
        <f t="shared" si="35"/>
        <v>2524</v>
      </c>
      <c r="H114" s="96">
        <f t="shared" si="35"/>
        <v>2159</v>
      </c>
      <c r="I114" s="96">
        <f t="shared" si="35"/>
        <v>1793</v>
      </c>
      <c r="J114" s="96">
        <f t="shared" si="35"/>
        <v>1428</v>
      </c>
      <c r="K114" s="96">
        <f t="shared" si="35"/>
        <v>1063</v>
      </c>
      <c r="L114" s="96">
        <f t="shared" si="35"/>
        <v>698</v>
      </c>
      <c r="M114" s="96">
        <f t="shared" si="35"/>
        <v>332</v>
      </c>
      <c r="N114" s="96">
        <f t="shared" si="35"/>
        <v>58</v>
      </c>
      <c r="O114" s="60"/>
    </row>
    <row r="115" spans="1:15" x14ac:dyDescent="0.45">
      <c r="A115" s="52" t="s">
        <v>65</v>
      </c>
      <c r="B115" s="95" t="s">
        <v>36</v>
      </c>
      <c r="C115" s="95"/>
      <c r="D115" s="97">
        <f t="shared" ref="D115:N115" si="36">D86</f>
        <v>9.7002053388090346</v>
      </c>
      <c r="E115" s="97">
        <f t="shared" si="36"/>
        <v>8.9089664613278572</v>
      </c>
      <c r="F115" s="97">
        <f t="shared" si="36"/>
        <v>7.9096509240246409</v>
      </c>
      <c r="G115" s="97">
        <f t="shared" si="36"/>
        <v>6.9103353867214237</v>
      </c>
      <c r="H115" s="97">
        <f t="shared" si="36"/>
        <v>5.9110198494182065</v>
      </c>
      <c r="I115" s="97">
        <f t="shared" si="36"/>
        <v>4.9089664613278572</v>
      </c>
      <c r="J115" s="97">
        <f t="shared" si="36"/>
        <v>3.9096509240246409</v>
      </c>
      <c r="K115" s="97">
        <f t="shared" si="36"/>
        <v>2.9103353867214237</v>
      </c>
      <c r="L115" s="97">
        <f t="shared" si="36"/>
        <v>1.9110198494182067</v>
      </c>
      <c r="M115" s="97">
        <f t="shared" si="36"/>
        <v>0.90896646132785763</v>
      </c>
      <c r="N115" s="97">
        <f t="shared" si="36"/>
        <v>0.15879534565366188</v>
      </c>
      <c r="O115" s="60"/>
    </row>
    <row r="116" spans="1:15" x14ac:dyDescent="0.45">
      <c r="A116" s="52" t="s">
        <v>41</v>
      </c>
      <c r="B116" s="95" t="s">
        <v>43</v>
      </c>
      <c r="C116" s="95"/>
      <c r="D116" s="97">
        <f t="shared" ref="D116:N116" si="37">1+D94</f>
        <v>1.0718000000000001</v>
      </c>
      <c r="E116" s="97">
        <f t="shared" si="37"/>
        <v>1.0650999999999999</v>
      </c>
      <c r="F116" s="97">
        <f t="shared" si="37"/>
        <v>1.0756000000000001</v>
      </c>
      <c r="G116" s="97">
        <f t="shared" si="37"/>
        <v>1.07</v>
      </c>
      <c r="H116" s="97">
        <f t="shared" si="37"/>
        <v>1.0640000000000001</v>
      </c>
      <c r="I116" s="97">
        <f t="shared" si="37"/>
        <v>1.0626</v>
      </c>
      <c r="J116" s="97">
        <f t="shared" si="37"/>
        <v>1.0589</v>
      </c>
      <c r="K116" s="97">
        <f t="shared" si="37"/>
        <v>1.0569</v>
      </c>
      <c r="L116" s="97">
        <f t="shared" si="37"/>
        <v>1.0499000000000001</v>
      </c>
      <c r="M116" s="97">
        <f t="shared" si="37"/>
        <v>1.0445</v>
      </c>
      <c r="N116" s="97">
        <f t="shared" si="37"/>
        <v>1.0481</v>
      </c>
      <c r="O116" s="60"/>
    </row>
    <row r="117" spans="1:15" x14ac:dyDescent="0.45">
      <c r="A117" s="52" t="s">
        <v>60</v>
      </c>
      <c r="B117" s="95" t="s">
        <v>27</v>
      </c>
      <c r="C117" s="95"/>
      <c r="D117" s="97">
        <f t="shared" ref="D117:N117" si="38">D116^D115</f>
        <v>1.9593390078055666</v>
      </c>
      <c r="E117" s="97">
        <f t="shared" si="38"/>
        <v>1.7539613476843365</v>
      </c>
      <c r="F117" s="97">
        <f t="shared" si="38"/>
        <v>1.7796997050243895</v>
      </c>
      <c r="G117" s="97">
        <f t="shared" si="38"/>
        <v>1.5960693536738424</v>
      </c>
      <c r="H117" s="97">
        <f t="shared" si="38"/>
        <v>1.4429540372853003</v>
      </c>
      <c r="I117" s="97">
        <f t="shared" si="38"/>
        <v>1.3472510185593161</v>
      </c>
      <c r="J117" s="97">
        <f t="shared" si="38"/>
        <v>1.2507605408411417</v>
      </c>
      <c r="K117" s="97">
        <f t="shared" si="38"/>
        <v>1.1747533807929349</v>
      </c>
      <c r="L117" s="97">
        <f t="shared" si="38"/>
        <v>1.0975242502539282</v>
      </c>
      <c r="M117" s="97">
        <f t="shared" si="38"/>
        <v>1.0403683741122254</v>
      </c>
      <c r="N117" s="97">
        <f t="shared" si="38"/>
        <v>1.0074879422057255</v>
      </c>
      <c r="O117" s="60"/>
    </row>
    <row r="118" spans="1:15" x14ac:dyDescent="0.45">
      <c r="A118" s="52"/>
      <c r="B118" s="95"/>
      <c r="C118" s="95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60"/>
    </row>
    <row r="119" spans="1:15" ht="21" x14ac:dyDescent="0.65">
      <c r="A119" s="63" t="s">
        <v>22</v>
      </c>
      <c r="C119" s="98" t="s">
        <v>54</v>
      </c>
      <c r="D119" s="98" t="s">
        <v>90</v>
      </c>
      <c r="E119" s="98" t="s">
        <v>55</v>
      </c>
      <c r="F119" s="98" t="s">
        <v>55</v>
      </c>
      <c r="G119" s="98" t="s">
        <v>55</v>
      </c>
      <c r="H119" s="98" t="s">
        <v>55</v>
      </c>
      <c r="I119" s="98" t="s">
        <v>55</v>
      </c>
      <c r="J119" s="98" t="s">
        <v>55</v>
      </c>
      <c r="K119" s="98" t="s">
        <v>55</v>
      </c>
      <c r="L119" s="98" t="s">
        <v>55</v>
      </c>
      <c r="M119" s="98" t="s">
        <v>55</v>
      </c>
      <c r="N119" s="98" t="s">
        <v>91</v>
      </c>
      <c r="O119" s="60"/>
    </row>
    <row r="120" spans="1:15" ht="18" x14ac:dyDescent="0.55000000000000004">
      <c r="A120" s="53"/>
      <c r="C120" s="99">
        <f>$C$55</f>
        <v>40878</v>
      </c>
      <c r="D120" s="99">
        <f>$D$55</f>
        <v>41090</v>
      </c>
      <c r="E120" s="99">
        <f>$E$55</f>
        <v>41455</v>
      </c>
      <c r="F120" s="99">
        <f>$F$55</f>
        <v>41820</v>
      </c>
      <c r="G120" s="99">
        <f>$G$55</f>
        <v>42185</v>
      </c>
      <c r="H120" s="99">
        <f>$H$55</f>
        <v>42551</v>
      </c>
      <c r="I120" s="99">
        <f>$I$55</f>
        <v>42916</v>
      </c>
      <c r="J120" s="99">
        <f>$J$55</f>
        <v>43281</v>
      </c>
      <c r="K120" s="99">
        <f>$K$55</f>
        <v>43646</v>
      </c>
      <c r="L120" s="99">
        <f>$L$55</f>
        <v>44012</v>
      </c>
      <c r="M120" s="99">
        <f>$M$55</f>
        <v>44377</v>
      </c>
      <c r="N120" s="99">
        <f>N$55</f>
        <v>44561</v>
      </c>
      <c r="O120" s="60"/>
    </row>
    <row r="121" spans="1:15" ht="18" x14ac:dyDescent="0.55000000000000004">
      <c r="A121" s="53" t="s">
        <v>232</v>
      </c>
      <c r="O121" s="60"/>
    </row>
    <row r="122" spans="1:15" x14ac:dyDescent="0.45">
      <c r="A122" s="178" t="s">
        <v>107</v>
      </c>
      <c r="B122" s="52" t="s">
        <v>21</v>
      </c>
      <c r="C122" s="52"/>
      <c r="D122" s="163">
        <v>0.2430313489452853</v>
      </c>
      <c r="E122" s="163">
        <v>0.26618394329023942</v>
      </c>
      <c r="F122" s="163">
        <v>0.30462010235888748</v>
      </c>
      <c r="G122" s="163">
        <v>0.35606075146558436</v>
      </c>
      <c r="H122" s="163">
        <v>0.20980250119960409</v>
      </c>
      <c r="I122" s="163">
        <v>0.42794028479538848</v>
      </c>
      <c r="J122" s="163">
        <v>0.48781652676731496</v>
      </c>
      <c r="K122" s="163">
        <v>0.57938652188173945</v>
      </c>
      <c r="L122" s="163">
        <v>0.7589405400644148</v>
      </c>
      <c r="M122" s="165">
        <v>0</v>
      </c>
      <c r="N122" s="163">
        <v>0.66857225149351496</v>
      </c>
      <c r="O122" s="60"/>
    </row>
    <row r="123" spans="1:15" x14ac:dyDescent="0.45">
      <c r="A123" s="178" t="s">
        <v>125</v>
      </c>
      <c r="B123" s="52" t="s">
        <v>21</v>
      </c>
      <c r="C123" s="52"/>
      <c r="D123" s="163">
        <v>0.25</v>
      </c>
      <c r="E123" s="163">
        <v>0.25</v>
      </c>
      <c r="F123" s="163">
        <v>0.25</v>
      </c>
      <c r="G123" s="163">
        <v>0.25</v>
      </c>
      <c r="H123" s="163">
        <v>0.25</v>
      </c>
      <c r="I123" s="163">
        <v>0.25</v>
      </c>
      <c r="J123" s="163">
        <v>0.25</v>
      </c>
      <c r="K123" s="163">
        <v>0.25</v>
      </c>
      <c r="L123" s="163">
        <v>0.25</v>
      </c>
      <c r="M123" s="163">
        <v>0.25</v>
      </c>
      <c r="N123" s="163">
        <v>0.24999999999999961</v>
      </c>
      <c r="O123" s="60"/>
    </row>
    <row r="124" spans="1:15" x14ac:dyDescent="0.45">
      <c r="A124" s="178" t="s">
        <v>109</v>
      </c>
      <c r="B124" s="95"/>
      <c r="C124" s="95"/>
      <c r="D124" s="164">
        <v>0.5</v>
      </c>
      <c r="E124" s="164">
        <v>0.5</v>
      </c>
      <c r="F124" s="164">
        <v>0.5</v>
      </c>
      <c r="G124" s="164">
        <v>0.50000000000000011</v>
      </c>
      <c r="H124" s="164">
        <v>0.49999999999999994</v>
      </c>
      <c r="I124" s="164">
        <v>0.5</v>
      </c>
      <c r="J124" s="164">
        <v>0.5</v>
      </c>
      <c r="K124" s="164">
        <v>0.31287169419704769</v>
      </c>
      <c r="L124" s="164">
        <v>0.23433388785721765</v>
      </c>
      <c r="M124" s="165">
        <v>0</v>
      </c>
      <c r="N124" s="164">
        <v>0.43029812094191944</v>
      </c>
      <c r="O124" s="60"/>
    </row>
    <row r="125" spans="1:15" x14ac:dyDescent="0.45">
      <c r="A125" s="178" t="s">
        <v>108</v>
      </c>
      <c r="B125" s="52" t="s">
        <v>21</v>
      </c>
      <c r="C125" s="95"/>
      <c r="D125" s="124">
        <v>4.1000000000000003E-3</v>
      </c>
      <c r="E125" s="124">
        <v>4.1000000000000003E-3</v>
      </c>
      <c r="F125" s="124">
        <v>4.1000000000000003E-3</v>
      </c>
      <c r="G125" s="124">
        <v>4.1000000000000003E-3</v>
      </c>
      <c r="H125" s="124">
        <v>4.1000000000000003E-3</v>
      </c>
      <c r="I125" s="124">
        <v>4.1000000000000003E-3</v>
      </c>
      <c r="J125" s="124">
        <v>4.1000000000000003E-3</v>
      </c>
      <c r="K125" s="124">
        <v>4.1000000000000003E-3</v>
      </c>
      <c r="L125" s="124">
        <v>4.1000000000000003E-3</v>
      </c>
      <c r="M125" s="124">
        <v>4.1000000000000003E-3</v>
      </c>
      <c r="N125" s="124">
        <v>4.1000000000000003E-3</v>
      </c>
      <c r="O125" s="60"/>
    </row>
    <row r="126" spans="1:15" x14ac:dyDescent="0.45">
      <c r="A126" s="196" t="s">
        <v>116</v>
      </c>
      <c r="B126" s="52" t="s">
        <v>21</v>
      </c>
      <c r="C126" s="137"/>
      <c r="D126" s="157">
        <f>D$49</f>
        <v>6.4326867547209718E-2</v>
      </c>
      <c r="E126" s="157">
        <f t="shared" ref="E126:N126" si="39">E$49</f>
        <v>5.239123342763756E-2</v>
      </c>
      <c r="F126" s="157">
        <f t="shared" si="39"/>
        <v>6.5210564262641602E-2</v>
      </c>
      <c r="G126" s="157">
        <f t="shared" si="39"/>
        <v>5.6007340817272856E-2</v>
      </c>
      <c r="H126" s="157">
        <f t="shared" si="39"/>
        <v>4.8566588558104418E-2</v>
      </c>
      <c r="I126" s="157">
        <f t="shared" si="39"/>
        <v>4.7363493132139597E-2</v>
      </c>
      <c r="J126" s="157">
        <f t="shared" si="39"/>
        <v>4.2480720370542777E-2</v>
      </c>
      <c r="K126" s="157">
        <f t="shared" si="39"/>
        <v>4.0592888091034438E-2</v>
      </c>
      <c r="L126" s="157">
        <f t="shared" si="39"/>
        <v>2.9597755753197487E-2</v>
      </c>
      <c r="M126" s="157">
        <f t="shared" si="39"/>
        <v>2.0048153676001084E-2</v>
      </c>
      <c r="N126" s="157">
        <f t="shared" si="39"/>
        <v>2.3852631578947368E-2</v>
      </c>
      <c r="O126" s="60"/>
    </row>
    <row r="127" spans="1:15" x14ac:dyDescent="0.45">
      <c r="A127" s="196" t="s">
        <v>117</v>
      </c>
      <c r="B127" s="52" t="s">
        <v>21</v>
      </c>
      <c r="C127" s="137"/>
      <c r="D127" s="157">
        <f t="shared" ref="D127:N127" si="40">D$49*(1-D$33)</f>
        <v>4.6315344633990993E-2</v>
      </c>
      <c r="E127" s="157">
        <f t="shared" si="40"/>
        <v>3.7721688067899044E-2</v>
      </c>
      <c r="F127" s="157">
        <f t="shared" si="40"/>
        <v>4.6951606269101949E-2</v>
      </c>
      <c r="G127" s="157">
        <f t="shared" si="40"/>
        <v>4.0325285388436452E-2</v>
      </c>
      <c r="H127" s="157">
        <f t="shared" si="40"/>
        <v>3.496794376183518E-2</v>
      </c>
      <c r="I127" s="157">
        <f t="shared" si="40"/>
        <v>3.4101715055140508E-2</v>
      </c>
      <c r="J127" s="157">
        <f t="shared" si="40"/>
        <v>3.0586118666790799E-2</v>
      </c>
      <c r="K127" s="157">
        <f t="shared" si="40"/>
        <v>2.9226879425544795E-2</v>
      </c>
      <c r="L127" s="157">
        <f t="shared" si="40"/>
        <v>2.1310384142302189E-2</v>
      </c>
      <c r="M127" s="157">
        <f t="shared" si="40"/>
        <v>1.4434670646720779E-2</v>
      </c>
      <c r="N127" s="157">
        <f t="shared" si="40"/>
        <v>1.7173894736842103E-2</v>
      </c>
      <c r="O127" s="60"/>
    </row>
    <row r="128" spans="1:15" x14ac:dyDescent="0.45">
      <c r="A128" s="178" t="s">
        <v>110</v>
      </c>
      <c r="B128" s="52" t="s">
        <v>21</v>
      </c>
      <c r="C128" s="95"/>
      <c r="D128" s="158">
        <f t="shared" ref="D128:N128" si="41">D$43</f>
        <v>7.4867344633991001E-2</v>
      </c>
      <c r="E128" s="158">
        <f t="shared" si="41"/>
        <v>7.0233688067899036E-2</v>
      </c>
      <c r="F128" s="158">
        <f t="shared" si="41"/>
        <v>7.9823606269101954E-2</v>
      </c>
      <c r="G128" s="158">
        <f t="shared" si="41"/>
        <v>7.5717285388436459E-2</v>
      </c>
      <c r="H128" s="158">
        <f t="shared" si="41"/>
        <v>7.0359943761835186E-2</v>
      </c>
      <c r="I128" s="158">
        <f t="shared" si="41"/>
        <v>6.8773715055140516E-2</v>
      </c>
      <c r="J128" s="158">
        <f t="shared" si="41"/>
        <v>6.5618118666790806E-2</v>
      </c>
      <c r="K128" s="158">
        <f t="shared" si="41"/>
        <v>6.35388794255448E-2</v>
      </c>
      <c r="L128" s="158">
        <f t="shared" si="41"/>
        <v>5.8142384142302196E-2</v>
      </c>
      <c r="M128" s="158">
        <f t="shared" si="41"/>
        <v>5.4479821331652266E-2</v>
      </c>
      <c r="N128" s="158">
        <f t="shared" si="41"/>
        <v>5.7937894736842105E-2</v>
      </c>
      <c r="O128" s="60"/>
    </row>
    <row r="129" spans="1:15" x14ac:dyDescent="0.45">
      <c r="A129" s="178"/>
      <c r="B129" s="95"/>
      <c r="C129" s="95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60"/>
    </row>
    <row r="130" spans="1:15" x14ac:dyDescent="0.45">
      <c r="A130" s="196" t="s">
        <v>121</v>
      </c>
      <c r="B130" s="55" t="s">
        <v>19</v>
      </c>
      <c r="C130" s="95"/>
      <c r="D130" s="166">
        <f t="shared" ref="D130:L130" si="42">D122*D124*D134</f>
        <v>1547.1113200000002</v>
      </c>
      <c r="E130" s="166">
        <f t="shared" si="42"/>
        <v>14030.201360000001</v>
      </c>
      <c r="F130" s="166">
        <f t="shared" si="42"/>
        <v>21781.466850000001</v>
      </c>
      <c r="G130" s="166">
        <f t="shared" si="42"/>
        <v>24773.95117</v>
      </c>
      <c r="H130" s="166">
        <f t="shared" si="42"/>
        <v>13647.34786</v>
      </c>
      <c r="I130" s="166">
        <f t="shared" si="42"/>
        <v>23377.878780000003</v>
      </c>
      <c r="J130" s="166">
        <f t="shared" si="42"/>
        <v>27150.596629999996</v>
      </c>
      <c r="K130" s="166">
        <f t="shared" si="42"/>
        <v>29011.612039999989</v>
      </c>
      <c r="L130" s="166">
        <f t="shared" si="42"/>
        <v>27692.348409999995</v>
      </c>
      <c r="M130" s="222">
        <v>15556.063719999998</v>
      </c>
      <c r="N130" s="166">
        <f>N122*N124*N134</f>
        <v>18877.870276107191</v>
      </c>
      <c r="O130" s="60"/>
    </row>
    <row r="131" spans="1:15" x14ac:dyDescent="0.45">
      <c r="A131" s="196" t="s">
        <v>122</v>
      </c>
      <c r="B131" s="55" t="s">
        <v>19</v>
      </c>
      <c r="C131" s="95"/>
      <c r="D131" s="166">
        <f t="shared" ref="D131:L131" si="43">(1-D122)*D124*D134</f>
        <v>4818.7806799999998</v>
      </c>
      <c r="E131" s="166">
        <f t="shared" si="43"/>
        <v>38678.467640000003</v>
      </c>
      <c r="F131" s="166">
        <f t="shared" si="43"/>
        <v>49722.241149999994</v>
      </c>
      <c r="G131" s="166">
        <f t="shared" si="43"/>
        <v>44803.925830000007</v>
      </c>
      <c r="H131" s="166">
        <f t="shared" si="43"/>
        <v>51401.199139999982</v>
      </c>
      <c r="I131" s="166">
        <f t="shared" si="43"/>
        <v>31250.95522</v>
      </c>
      <c r="J131" s="166">
        <f t="shared" si="43"/>
        <v>28506.797370000008</v>
      </c>
      <c r="K131" s="166">
        <f t="shared" si="43"/>
        <v>21061.371960000011</v>
      </c>
      <c r="L131" s="166">
        <f t="shared" si="43"/>
        <v>8795.8175899999751</v>
      </c>
      <c r="M131" s="221">
        <f>-M130</f>
        <v>-15556.063719999998</v>
      </c>
      <c r="N131" s="166">
        <f>(1-N122)*N124*N134</f>
        <v>9358.225723893047</v>
      </c>
      <c r="O131" s="60"/>
    </row>
    <row r="132" spans="1:15" x14ac:dyDescent="0.45">
      <c r="A132" s="196" t="s">
        <v>123</v>
      </c>
      <c r="B132" s="55" t="s">
        <v>19</v>
      </c>
      <c r="C132" s="95"/>
      <c r="D132" s="166">
        <f t="shared" ref="D132:N132" si="44">(1-D124)*D134*D123</f>
        <v>1591.473</v>
      </c>
      <c r="E132" s="166">
        <f t="shared" si="44"/>
        <v>13177.16725</v>
      </c>
      <c r="F132" s="166">
        <f t="shared" si="44"/>
        <v>17875.927</v>
      </c>
      <c r="G132" s="166">
        <f t="shared" si="44"/>
        <v>17394.469249999995</v>
      </c>
      <c r="H132" s="166">
        <f t="shared" si="44"/>
        <v>16262.136749999998</v>
      </c>
      <c r="I132" s="166">
        <f t="shared" si="44"/>
        <v>13657.208500000001</v>
      </c>
      <c r="J132" s="166">
        <f t="shared" si="44"/>
        <v>13914.3485</v>
      </c>
      <c r="K132" s="166">
        <f t="shared" si="44"/>
        <v>27492.551499999998</v>
      </c>
      <c r="L132" s="166">
        <f t="shared" si="44"/>
        <v>29805.49725</v>
      </c>
      <c r="M132" s="166">
        <f t="shared" si="44"/>
        <v>31092.017250000008</v>
      </c>
      <c r="N132" s="166">
        <f t="shared" si="44"/>
        <v>9345.9372500000609</v>
      </c>
      <c r="O132" s="60"/>
    </row>
    <row r="133" spans="1:15" x14ac:dyDescent="0.45">
      <c r="A133" s="196" t="s">
        <v>124</v>
      </c>
      <c r="B133" s="55" t="s">
        <v>19</v>
      </c>
      <c r="C133" s="95"/>
      <c r="D133" s="166">
        <f t="shared" ref="D133:N133" si="45">(1-D124)*D134-D132</f>
        <v>4774.4189999999999</v>
      </c>
      <c r="E133" s="166">
        <f t="shared" si="45"/>
        <v>39531.501750000003</v>
      </c>
      <c r="F133" s="166">
        <f t="shared" si="45"/>
        <v>53627.781000000003</v>
      </c>
      <c r="G133" s="166">
        <f t="shared" si="45"/>
        <v>52183.407749999984</v>
      </c>
      <c r="H133" s="166">
        <f t="shared" si="45"/>
        <v>48786.410249999994</v>
      </c>
      <c r="I133" s="166">
        <f t="shared" si="45"/>
        <v>40971.625500000002</v>
      </c>
      <c r="J133" s="166">
        <f t="shared" si="45"/>
        <v>41743.0455</v>
      </c>
      <c r="K133" s="166">
        <f t="shared" si="45"/>
        <v>82477.65449999999</v>
      </c>
      <c r="L133" s="166">
        <f t="shared" si="45"/>
        <v>89416.491750000001</v>
      </c>
      <c r="M133" s="166">
        <f t="shared" si="45"/>
        <v>93276.051750000028</v>
      </c>
      <c r="N133" s="166">
        <f t="shared" si="45"/>
        <v>28037.811750000241</v>
      </c>
      <c r="O133" s="60"/>
    </row>
    <row r="134" spans="1:15" x14ac:dyDescent="0.45">
      <c r="A134" s="196" t="s">
        <v>120</v>
      </c>
      <c r="B134" s="55" t="s">
        <v>19</v>
      </c>
      <c r="C134" s="95"/>
      <c r="D134" s="197">
        <f>C20+D20</f>
        <v>12731.784</v>
      </c>
      <c r="E134" s="166">
        <f t="shared" ref="E134:N134" si="46">E20</f>
        <v>105417.338</v>
      </c>
      <c r="F134" s="166">
        <f t="shared" si="46"/>
        <v>143007.416</v>
      </c>
      <c r="G134" s="166">
        <f t="shared" si="46"/>
        <v>139155.75399999999</v>
      </c>
      <c r="H134" s="166">
        <f t="shared" si="46"/>
        <v>130097.09399999998</v>
      </c>
      <c r="I134" s="166">
        <f t="shared" si="46"/>
        <v>109257.66800000001</v>
      </c>
      <c r="J134" s="166">
        <f t="shared" si="46"/>
        <v>111314.788</v>
      </c>
      <c r="K134" s="166">
        <f t="shared" si="46"/>
        <v>160043.19</v>
      </c>
      <c r="L134" s="166">
        <f t="shared" si="46"/>
        <v>155710.15499999997</v>
      </c>
      <c r="M134" s="166">
        <f t="shared" si="46"/>
        <v>124368.06900000003</v>
      </c>
      <c r="N134" s="166">
        <f t="shared" si="46"/>
        <v>65619.84500000054</v>
      </c>
      <c r="O134" s="60"/>
    </row>
    <row r="135" spans="1:15" x14ac:dyDescent="0.45">
      <c r="A135" s="178"/>
      <c r="B135" s="95"/>
      <c r="C135" s="95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60"/>
    </row>
    <row r="136" spans="1:15" ht="18" x14ac:dyDescent="0.55000000000000004">
      <c r="A136" s="53" t="s">
        <v>233</v>
      </c>
      <c r="B136" s="95"/>
      <c r="C136" s="95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60"/>
    </row>
    <row r="137" spans="1:15" x14ac:dyDescent="0.45">
      <c r="A137" s="178" t="s">
        <v>183</v>
      </c>
      <c r="B137" s="52" t="s">
        <v>21</v>
      </c>
      <c r="C137" s="95"/>
      <c r="D137" s="158">
        <f>D127</f>
        <v>4.6315344633990993E-2</v>
      </c>
      <c r="E137" s="158">
        <f t="shared" ref="E137:N137" si="47">E127</f>
        <v>3.7721688067899044E-2</v>
      </c>
      <c r="F137" s="158">
        <f t="shared" si="47"/>
        <v>4.6951606269101949E-2</v>
      </c>
      <c r="G137" s="158">
        <f t="shared" si="47"/>
        <v>4.0325285388436452E-2</v>
      </c>
      <c r="H137" s="158">
        <f t="shared" si="47"/>
        <v>3.496794376183518E-2</v>
      </c>
      <c r="I137" s="158">
        <f t="shared" si="47"/>
        <v>3.4101715055140508E-2</v>
      </c>
      <c r="J137" s="158">
        <f t="shared" si="47"/>
        <v>3.0586118666790799E-2</v>
      </c>
      <c r="K137" s="158">
        <f t="shared" si="47"/>
        <v>2.9226879425544795E-2</v>
      </c>
      <c r="L137" s="158">
        <f t="shared" si="47"/>
        <v>2.1310384142302189E-2</v>
      </c>
      <c r="M137" s="158">
        <f t="shared" si="47"/>
        <v>1.4434670646720779E-2</v>
      </c>
      <c r="N137" s="158">
        <f t="shared" si="47"/>
        <v>1.7173894736842103E-2</v>
      </c>
      <c r="O137" s="60"/>
    </row>
    <row r="138" spans="1:15" x14ac:dyDescent="0.45">
      <c r="A138" s="178" t="s">
        <v>182</v>
      </c>
      <c r="B138" s="52" t="s">
        <v>21</v>
      </c>
      <c r="C138" s="95"/>
      <c r="D138" s="180">
        <f t="shared" ref="D138:N138" si="48">(D$126+D$125)*(1-D$33)</f>
        <v>4.9267344633990996E-2</v>
      </c>
      <c r="E138" s="180">
        <f t="shared" si="48"/>
        <v>4.067368806789904E-2</v>
      </c>
      <c r="F138" s="180">
        <f t="shared" si="48"/>
        <v>4.9903606269101959E-2</v>
      </c>
      <c r="G138" s="180">
        <f t="shared" si="48"/>
        <v>4.3277285388436455E-2</v>
      </c>
      <c r="H138" s="180">
        <f t="shared" si="48"/>
        <v>3.7919943761835176E-2</v>
      </c>
      <c r="I138" s="180">
        <f t="shared" si="48"/>
        <v>3.7053715055140511E-2</v>
      </c>
      <c r="J138" s="180">
        <f t="shared" si="48"/>
        <v>3.3538118666790795E-2</v>
      </c>
      <c r="K138" s="180">
        <f t="shared" si="48"/>
        <v>3.2178879425544794E-2</v>
      </c>
      <c r="L138" s="180">
        <f t="shared" si="48"/>
        <v>2.4262384142302189E-2</v>
      </c>
      <c r="M138" s="180">
        <f t="shared" si="48"/>
        <v>1.7386670646720781E-2</v>
      </c>
      <c r="N138" s="180">
        <f t="shared" si="48"/>
        <v>2.0125894736842103E-2</v>
      </c>
      <c r="O138" s="60"/>
    </row>
    <row r="139" spans="1:15" x14ac:dyDescent="0.45">
      <c r="A139" s="178" t="s">
        <v>111</v>
      </c>
      <c r="B139" s="52" t="s">
        <v>21</v>
      </c>
      <c r="C139" s="95"/>
      <c r="D139" s="180">
        <f t="shared" ref="D139:L139" si="49">(D$122*D$127)+(1-D$122)*(D$126+D$125)*(1-D$33)</f>
        <v>4.8549916091904517E-2</v>
      </c>
      <c r="E139" s="180">
        <f t="shared" si="49"/>
        <v>3.9887913067306255E-2</v>
      </c>
      <c r="F139" s="180">
        <f t="shared" si="49"/>
        <v>4.9004367726938516E-2</v>
      </c>
      <c r="G139" s="180">
        <f t="shared" si="49"/>
        <v>4.222619405011005E-2</v>
      </c>
      <c r="H139" s="180">
        <f t="shared" si="49"/>
        <v>3.7300606778293943E-2</v>
      </c>
      <c r="I139" s="180">
        <f t="shared" si="49"/>
        <v>3.5790435334424525E-2</v>
      </c>
      <c r="J139" s="180">
        <f t="shared" si="49"/>
        <v>3.2098084279773689E-2</v>
      </c>
      <c r="K139" s="180">
        <f t="shared" si="49"/>
        <v>3.0468530412949901E-2</v>
      </c>
      <c r="L139" s="180">
        <f t="shared" si="49"/>
        <v>2.2021991668032037E-2</v>
      </c>
      <c r="M139" s="219"/>
      <c r="N139" s="180">
        <f>(N$122*N$127)+(1-N$122)*(N$126+N$125)*(1-N$33)</f>
        <v>1.8152269450433248E-2</v>
      </c>
      <c r="O139" s="60"/>
    </row>
    <row r="140" spans="1:15" x14ac:dyDescent="0.45">
      <c r="A140" s="178" t="s">
        <v>112</v>
      </c>
      <c r="B140" s="52" t="s">
        <v>21</v>
      </c>
      <c r="C140" s="95"/>
      <c r="D140" s="180">
        <f>0.75*D128+0.25*D126</f>
        <v>7.2232225362295677E-2</v>
      </c>
      <c r="E140" s="180">
        <f>0.75*E$128+0.25*E$126</f>
        <v>6.577307440783367E-2</v>
      </c>
      <c r="F140" s="180">
        <f t="shared" ref="F140:N140" si="50">0.75*F128+0.25*F126</f>
        <v>7.6170345767486866E-2</v>
      </c>
      <c r="G140" s="180">
        <f t="shared" si="50"/>
        <v>7.078979924564556E-2</v>
      </c>
      <c r="H140" s="180">
        <f t="shared" si="50"/>
        <v>6.4911604960902494E-2</v>
      </c>
      <c r="I140" s="180">
        <f t="shared" si="50"/>
        <v>6.342115957439029E-2</v>
      </c>
      <c r="J140" s="180">
        <f t="shared" si="50"/>
        <v>5.9833769092728806E-2</v>
      </c>
      <c r="K140" s="180">
        <f t="shared" si="50"/>
        <v>5.780238159191721E-2</v>
      </c>
      <c r="L140" s="180">
        <f t="shared" si="50"/>
        <v>5.1006227045026019E-2</v>
      </c>
      <c r="M140" s="180">
        <f t="shared" si="50"/>
        <v>4.5871904417739466E-2</v>
      </c>
      <c r="N140" s="180">
        <f t="shared" si="50"/>
        <v>4.9416578947368422E-2</v>
      </c>
      <c r="O140" s="60"/>
    </row>
    <row r="141" spans="1:15" x14ac:dyDescent="0.45">
      <c r="A141" s="178" t="s">
        <v>106</v>
      </c>
      <c r="B141" s="52" t="s">
        <v>21</v>
      </c>
      <c r="C141" s="95"/>
      <c r="D141" s="220">
        <f t="shared" ref="D141:L141" si="51">(D$138*D$131+D$130*D$137+D$140*(D$133+D$132))/D$134</f>
        <v>6.0391070727100093E-2</v>
      </c>
      <c r="E141" s="220">
        <f t="shared" si="51"/>
        <v>5.283049373756997E-2</v>
      </c>
      <c r="F141" s="220">
        <f t="shared" si="51"/>
        <v>6.2587356747212691E-2</v>
      </c>
      <c r="G141" s="220">
        <f t="shared" si="51"/>
        <v>5.6507996647877798E-2</v>
      </c>
      <c r="H141" s="220">
        <f t="shared" si="51"/>
        <v>5.1106105869598219E-2</v>
      </c>
      <c r="I141" s="220">
        <f t="shared" si="51"/>
        <v>4.9605797454407415E-2</v>
      </c>
      <c r="J141" s="220">
        <f t="shared" si="51"/>
        <v>4.5965926686251248E-2</v>
      </c>
      <c r="K141" s="220">
        <f t="shared" si="51"/>
        <v>4.9250393264623736E-2</v>
      </c>
      <c r="L141" s="220">
        <f t="shared" si="51"/>
        <v>4.4214238482566316E-2</v>
      </c>
      <c r="M141" s="220">
        <f>(M$138*M$131+M$130*M$137+M$140*(M$133+M$132))/M$134</f>
        <v>4.5502665750043816E-2</v>
      </c>
      <c r="N141" s="220">
        <f>(N$138*N$131+N$130*N$137+N$140*(N$133+N$132))/N$134</f>
        <v>3.5963605318290612E-2</v>
      </c>
      <c r="O141" s="60"/>
    </row>
    <row r="142" spans="1:15" x14ac:dyDescent="0.45">
      <c r="A142" s="125"/>
      <c r="B142" s="95"/>
      <c r="C142" s="95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60"/>
    </row>
    <row r="143" spans="1:15" ht="18" x14ac:dyDescent="0.55000000000000004">
      <c r="A143" s="53" t="s">
        <v>188</v>
      </c>
      <c r="O143" s="60"/>
    </row>
    <row r="144" spans="1:15" x14ac:dyDescent="0.45">
      <c r="A144" s="178" t="s">
        <v>183</v>
      </c>
      <c r="B144" s="52" t="s">
        <v>21</v>
      </c>
      <c r="C144" s="95"/>
      <c r="D144" s="158">
        <f t="shared" ref="D144:N144" si="52">D126</f>
        <v>6.4326867547209718E-2</v>
      </c>
      <c r="E144" s="158">
        <f t="shared" si="52"/>
        <v>5.239123342763756E-2</v>
      </c>
      <c r="F144" s="158">
        <f t="shared" si="52"/>
        <v>6.5210564262641602E-2</v>
      </c>
      <c r="G144" s="158">
        <f t="shared" si="52"/>
        <v>5.6007340817272856E-2</v>
      </c>
      <c r="H144" s="158">
        <f t="shared" si="52"/>
        <v>4.8566588558104418E-2</v>
      </c>
      <c r="I144" s="158">
        <f t="shared" si="52"/>
        <v>4.7363493132139597E-2</v>
      </c>
      <c r="J144" s="158">
        <f t="shared" si="52"/>
        <v>4.2480720370542777E-2</v>
      </c>
      <c r="K144" s="158">
        <f t="shared" si="52"/>
        <v>4.0592888091034438E-2</v>
      </c>
      <c r="L144" s="158">
        <f t="shared" si="52"/>
        <v>2.9597755753197487E-2</v>
      </c>
      <c r="M144" s="158">
        <f t="shared" si="52"/>
        <v>2.0048153676001084E-2</v>
      </c>
      <c r="N144" s="158">
        <f t="shared" si="52"/>
        <v>2.3852631578947368E-2</v>
      </c>
      <c r="O144" s="60"/>
    </row>
    <row r="145" spans="1:15" x14ac:dyDescent="0.45">
      <c r="A145" s="178" t="s">
        <v>182</v>
      </c>
      <c r="B145" s="52" t="s">
        <v>21</v>
      </c>
      <c r="C145" s="95"/>
      <c r="D145" s="180">
        <f t="shared" ref="D145:N145" si="53">D$126+D$125</f>
        <v>6.8426867547209724E-2</v>
      </c>
      <c r="E145" s="180">
        <f t="shared" si="53"/>
        <v>5.6491233427637559E-2</v>
      </c>
      <c r="F145" s="180">
        <f t="shared" si="53"/>
        <v>6.9310564262641608E-2</v>
      </c>
      <c r="G145" s="180">
        <f t="shared" si="53"/>
        <v>6.0107340817272856E-2</v>
      </c>
      <c r="H145" s="180">
        <f t="shared" si="53"/>
        <v>5.2666588558104417E-2</v>
      </c>
      <c r="I145" s="180">
        <f t="shared" si="53"/>
        <v>5.1463493132139597E-2</v>
      </c>
      <c r="J145" s="180">
        <f t="shared" si="53"/>
        <v>4.6580720370542776E-2</v>
      </c>
      <c r="K145" s="180">
        <f t="shared" si="53"/>
        <v>4.4692888091034437E-2</v>
      </c>
      <c r="L145" s="180">
        <f t="shared" si="53"/>
        <v>3.3697755753197486E-2</v>
      </c>
      <c r="M145" s="180">
        <f t="shared" si="53"/>
        <v>2.4148153676001084E-2</v>
      </c>
      <c r="N145" s="180">
        <f t="shared" si="53"/>
        <v>2.7952631578947368E-2</v>
      </c>
      <c r="O145" s="60"/>
    </row>
    <row r="146" spans="1:15" x14ac:dyDescent="0.45">
      <c r="A146" s="178" t="s">
        <v>111</v>
      </c>
      <c r="B146" s="52" t="s">
        <v>21</v>
      </c>
      <c r="C146" s="95"/>
      <c r="D146" s="180">
        <f t="shared" ref="D146:L146" si="54">(D$122*D$144)+(1-D$122)*D145</f>
        <v>6.7430439016534061E-2</v>
      </c>
      <c r="E146" s="180">
        <f t="shared" si="54"/>
        <v>5.5399879260147576E-2</v>
      </c>
      <c r="F146" s="180">
        <f t="shared" si="54"/>
        <v>6.8061621842970169E-2</v>
      </c>
      <c r="G146" s="180">
        <f t="shared" si="54"/>
        <v>5.8647491736263963E-2</v>
      </c>
      <c r="H146" s="180">
        <f t="shared" si="54"/>
        <v>5.1806398303186035E-2</v>
      </c>
      <c r="I146" s="180">
        <f t="shared" si="54"/>
        <v>4.9708937964478506E-2</v>
      </c>
      <c r="J146" s="180">
        <f t="shared" si="54"/>
        <v>4.458067261079679E-2</v>
      </c>
      <c r="K146" s="180">
        <f t="shared" si="54"/>
        <v>4.231740335131931E-2</v>
      </c>
      <c r="L146" s="180">
        <f t="shared" si="54"/>
        <v>3.0586099538933383E-2</v>
      </c>
      <c r="M146" s="219"/>
      <c r="N146" s="180">
        <f>(N$122*N$144)+(1-N$122)*N145</f>
        <v>2.5211485347823956E-2</v>
      </c>
      <c r="O146" s="60"/>
    </row>
    <row r="147" spans="1:15" x14ac:dyDescent="0.45">
      <c r="A147" s="178" t="s">
        <v>112</v>
      </c>
      <c r="B147" s="52" t="s">
        <v>21</v>
      </c>
      <c r="C147" s="95"/>
      <c r="D147" s="180">
        <f t="shared" ref="D147:N147" si="55">D140</f>
        <v>7.2232225362295677E-2</v>
      </c>
      <c r="E147" s="180">
        <f t="shared" si="55"/>
        <v>6.577307440783367E-2</v>
      </c>
      <c r="F147" s="180">
        <f t="shared" si="55"/>
        <v>7.6170345767486866E-2</v>
      </c>
      <c r="G147" s="180">
        <f t="shared" si="55"/>
        <v>7.078979924564556E-2</v>
      </c>
      <c r="H147" s="180">
        <f t="shared" si="55"/>
        <v>6.4911604960902494E-2</v>
      </c>
      <c r="I147" s="180">
        <f t="shared" si="55"/>
        <v>6.342115957439029E-2</v>
      </c>
      <c r="J147" s="180">
        <f t="shared" si="55"/>
        <v>5.9833769092728806E-2</v>
      </c>
      <c r="K147" s="180">
        <f t="shared" si="55"/>
        <v>5.780238159191721E-2</v>
      </c>
      <c r="L147" s="180">
        <f t="shared" si="55"/>
        <v>5.1006227045026019E-2</v>
      </c>
      <c r="M147" s="180">
        <f t="shared" si="55"/>
        <v>4.5871904417739466E-2</v>
      </c>
      <c r="N147" s="180">
        <f t="shared" si="55"/>
        <v>4.9416578947368422E-2</v>
      </c>
      <c r="O147" s="60"/>
    </row>
    <row r="148" spans="1:15" x14ac:dyDescent="0.45">
      <c r="A148" s="178" t="s">
        <v>106</v>
      </c>
      <c r="B148" s="52" t="s">
        <v>21</v>
      </c>
      <c r="C148" s="95"/>
      <c r="D148" s="218">
        <f t="shared" ref="D148:N148" si="56">(D$145*D$131+D$130*D$144+D$147*(D$133+D$132))/D$134</f>
        <v>6.9831332189414855E-2</v>
      </c>
      <c r="E148" s="218">
        <f t="shared" si="56"/>
        <v>6.0586476833990627E-2</v>
      </c>
      <c r="F148" s="218">
        <f t="shared" si="56"/>
        <v>7.2115983805228503E-2</v>
      </c>
      <c r="G148" s="218">
        <f t="shared" si="56"/>
        <v>6.4718645490954754E-2</v>
      </c>
      <c r="H148" s="218">
        <f t="shared" si="56"/>
        <v>5.8359001632044265E-2</v>
      </c>
      <c r="I148" s="218">
        <f t="shared" si="56"/>
        <v>5.6565048769434398E-2</v>
      </c>
      <c r="J148" s="218">
        <f t="shared" si="56"/>
        <v>5.2207220851762791E-2</v>
      </c>
      <c r="K148" s="218">
        <f t="shared" si="56"/>
        <v>5.295757021517692E-2</v>
      </c>
      <c r="L148" s="218">
        <f t="shared" si="56"/>
        <v>4.6221099175983223E-2</v>
      </c>
      <c r="M148" s="218">
        <f t="shared" si="56"/>
        <v>4.5359072934828847E-2</v>
      </c>
      <c r="N148" s="218">
        <f t="shared" si="56"/>
        <v>3.900117265426116E-2</v>
      </c>
      <c r="O148" s="60"/>
    </row>
    <row r="149" spans="1:15" x14ac:dyDescent="0.45">
      <c r="A149" s="52"/>
      <c r="B149" s="95"/>
      <c r="C149" s="95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60"/>
    </row>
  </sheetData>
  <phoneticPr fontId="50" type="noConversion"/>
  <pageMargins left="0.7" right="0.7" top="0.75" bottom="0.75" header="0.3" footer="0.3"/>
  <pageSetup paperSize="8" scale="78" fitToHeight="0" orientation="landscape" r:id="rId1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9681-25E4-4394-B1D2-60F59FBBD790}">
  <sheetPr>
    <tabColor rgb="FF00B0F0"/>
    <pageSetUpPr fitToPage="1"/>
  </sheetPr>
  <dimension ref="A1:Q364"/>
  <sheetViews>
    <sheetView showGridLines="0" view="pageBreakPreview" zoomScale="70" zoomScaleNormal="85" zoomScaleSheetLayoutView="70" workbookViewId="0">
      <pane xSplit="1" ySplit="6" topLeftCell="B7" activePane="bottomRight" state="frozen"/>
      <selection activeCell="A221" sqref="A221"/>
      <selection pane="topRight" activeCell="A221" sqref="A221"/>
      <selection pane="bottomLeft" activeCell="A221" sqref="A221"/>
      <selection pane="bottomRight" activeCell="L75" sqref="L75"/>
    </sheetView>
  </sheetViews>
  <sheetFormatPr defaultColWidth="9.1328125" defaultRowHeight="14.25" x14ac:dyDescent="0.45"/>
  <cols>
    <col min="1" max="1" width="79" style="1" customWidth="1"/>
    <col min="2" max="3" width="15.1328125" style="1" customWidth="1"/>
    <col min="4" max="8" width="14.265625" style="1" bestFit="1" customWidth="1"/>
    <col min="9" max="9" width="12.86328125" style="1" customWidth="1"/>
    <col min="10" max="11" width="14.265625" style="1" bestFit="1" customWidth="1"/>
    <col min="12" max="13" width="12.59765625" style="1" customWidth="1"/>
    <col min="14" max="14" width="16.1328125" style="1" customWidth="1"/>
    <col min="15" max="15" width="14.86328125" style="1" customWidth="1"/>
    <col min="16" max="16" width="15.59765625" style="1" customWidth="1"/>
    <col min="17" max="17" width="15.73046875" style="1" customWidth="1"/>
    <col min="18" max="18" width="33.59765625" style="1" customWidth="1"/>
    <col min="19" max="16384" width="9.1328125" style="1"/>
  </cols>
  <sheetData>
    <row r="1" spans="1:16" ht="30" customHeight="1" x14ac:dyDescent="0.75">
      <c r="A1" s="12" t="s">
        <v>197</v>
      </c>
      <c r="B1" s="28"/>
      <c r="C1" s="28"/>
    </row>
    <row r="2" spans="1:16" x14ac:dyDescent="0.45">
      <c r="A2" s="10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5">
      <c r="A3" s="73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ht="21" x14ac:dyDescent="0.65">
      <c r="A4" s="80" t="s">
        <v>20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98" t="s">
        <v>63</v>
      </c>
      <c r="P4" s="38"/>
    </row>
    <row r="5" spans="1:16" x14ac:dyDescent="0.4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99">
        <v>44561</v>
      </c>
      <c r="P5" s="38"/>
    </row>
    <row r="6" spans="1:16" ht="18" x14ac:dyDescent="0.55000000000000004">
      <c r="A6" s="5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P6" s="38"/>
    </row>
    <row r="7" spans="1:16" ht="16.899999999999999" x14ac:dyDescent="0.5">
      <c r="A7" s="55" t="s">
        <v>68</v>
      </c>
      <c r="B7" s="39" t="s">
        <v>19</v>
      </c>
      <c r="C7" s="39"/>
      <c r="D7" s="46"/>
      <c r="E7" s="46"/>
      <c r="F7" s="46"/>
      <c r="G7" s="46"/>
      <c r="H7" s="46"/>
      <c r="I7" s="46"/>
      <c r="J7" s="46"/>
      <c r="K7" s="46"/>
      <c r="L7" s="46"/>
      <c r="M7" s="46"/>
      <c r="N7" s="185">
        <f>N36</f>
        <v>-5628091.3488859851</v>
      </c>
      <c r="P7" s="30"/>
    </row>
    <row r="8" spans="1:16" ht="16.899999999999999" x14ac:dyDescent="0.5">
      <c r="A8" s="187" t="s">
        <v>81</v>
      </c>
      <c r="B8" s="39" t="s">
        <v>19</v>
      </c>
      <c r="C8" s="39"/>
      <c r="D8" s="46"/>
      <c r="E8" s="46"/>
      <c r="F8" s="46"/>
      <c r="G8" s="46"/>
      <c r="H8" s="46"/>
      <c r="I8" s="46"/>
      <c r="J8" s="46"/>
      <c r="K8" s="46"/>
      <c r="L8" s="46"/>
      <c r="M8" s="46"/>
      <c r="N8" s="186">
        <f>N55</f>
        <v>3747010.9570192345</v>
      </c>
      <c r="P8" s="30"/>
    </row>
    <row r="9" spans="1:16" ht="16.899999999999999" x14ac:dyDescent="0.5">
      <c r="A9" s="188" t="s">
        <v>53</v>
      </c>
      <c r="B9" s="39" t="s">
        <v>19</v>
      </c>
      <c r="C9" s="39"/>
      <c r="D9" s="46"/>
      <c r="E9" s="46"/>
      <c r="F9" s="46"/>
      <c r="G9" s="46"/>
      <c r="H9" s="46"/>
      <c r="I9" s="46"/>
      <c r="J9" s="46"/>
      <c r="K9" s="46"/>
      <c r="L9" s="46"/>
      <c r="M9" s="46"/>
      <c r="N9" s="186">
        <f>N70</f>
        <v>434740.70680197986</v>
      </c>
      <c r="P9" s="30"/>
    </row>
    <row r="10" spans="1:16" ht="19.5" customHeight="1" x14ac:dyDescent="0.5">
      <c r="A10" s="33" t="s">
        <v>173</v>
      </c>
      <c r="B10" s="39" t="s">
        <v>19</v>
      </c>
      <c r="C10" s="39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102">
        <f>SUM(N7:N9)</f>
        <v>-1446339.6850647707</v>
      </c>
      <c r="O10" s="30"/>
      <c r="P10" s="30"/>
    </row>
    <row r="11" spans="1:16" ht="16.899999999999999" x14ac:dyDescent="0.5">
      <c r="A11" s="55" t="s">
        <v>174</v>
      </c>
      <c r="B11" s="39" t="s">
        <v>19</v>
      </c>
      <c r="C11" s="39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85">
        <f>N127</f>
        <v>-280260.02975772193</v>
      </c>
    </row>
    <row r="12" spans="1:16" ht="16.899999999999999" x14ac:dyDescent="0.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6" ht="16.899999999999999" x14ac:dyDescent="0.5">
      <c r="A13" s="67"/>
      <c r="N13" s="102"/>
    </row>
    <row r="14" spans="1:16" ht="21" x14ac:dyDescent="0.65">
      <c r="A14" s="80" t="s">
        <v>52</v>
      </c>
      <c r="C14" s="98" t="s">
        <v>54</v>
      </c>
      <c r="D14" s="98" t="s">
        <v>90</v>
      </c>
      <c r="E14" s="98" t="s">
        <v>55</v>
      </c>
      <c r="F14" s="98" t="s">
        <v>55</v>
      </c>
      <c r="G14" s="98" t="s">
        <v>55</v>
      </c>
      <c r="H14" s="98" t="s">
        <v>55</v>
      </c>
      <c r="I14" s="98" t="s">
        <v>55</v>
      </c>
      <c r="J14" s="98" t="s">
        <v>55</v>
      </c>
      <c r="K14" s="98" t="s">
        <v>55</v>
      </c>
      <c r="L14" s="98" t="s">
        <v>55</v>
      </c>
      <c r="M14" s="98" t="s">
        <v>55</v>
      </c>
      <c r="N14" s="98" t="s">
        <v>91</v>
      </c>
      <c r="P14" s="38"/>
    </row>
    <row r="15" spans="1:16" x14ac:dyDescent="0.45">
      <c r="B15" s="28"/>
      <c r="C15" s="99">
        <f>Inputs!$C$55</f>
        <v>40878</v>
      </c>
      <c r="D15" s="99">
        <f>Inputs!D55</f>
        <v>41090</v>
      </c>
      <c r="E15" s="99">
        <f>Inputs!E55</f>
        <v>41455</v>
      </c>
      <c r="F15" s="99">
        <f>Inputs!F55</f>
        <v>41820</v>
      </c>
      <c r="G15" s="99">
        <f>Inputs!G55</f>
        <v>42185</v>
      </c>
      <c r="H15" s="99">
        <f>Inputs!H55</f>
        <v>42551</v>
      </c>
      <c r="I15" s="99">
        <f>Inputs!I55</f>
        <v>42916</v>
      </c>
      <c r="J15" s="99">
        <f>Inputs!J55</f>
        <v>43281</v>
      </c>
      <c r="K15" s="99">
        <f>Inputs!K55</f>
        <v>43646</v>
      </c>
      <c r="L15" s="99">
        <f>Inputs!L55</f>
        <v>44012</v>
      </c>
      <c r="M15" s="99">
        <f>Inputs!M55</f>
        <v>44377</v>
      </c>
      <c r="N15" s="99">
        <f>Inputs!N55</f>
        <v>44561</v>
      </c>
      <c r="P15" s="38"/>
    </row>
    <row r="16" spans="1:16" ht="18" x14ac:dyDescent="0.55000000000000004">
      <c r="A16" s="53" t="s">
        <v>34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P16" s="38"/>
    </row>
    <row r="17" spans="1:16" x14ac:dyDescent="0.45">
      <c r="A17" s="55" t="s">
        <v>70</v>
      </c>
      <c r="B17" s="39" t="s">
        <v>19</v>
      </c>
      <c r="C17" s="105"/>
      <c r="D17" s="105">
        <f>Inputs!D7</f>
        <v>16497.531873</v>
      </c>
      <c r="E17" s="105">
        <f>Inputs!E7</f>
        <v>34411.330964000001</v>
      </c>
      <c r="F17" s="105">
        <f>Inputs!F7</f>
        <v>41232.312978000002</v>
      </c>
      <c r="G17" s="105">
        <f>Inputs!G7</f>
        <v>66777.41462299999</v>
      </c>
      <c r="H17" s="105">
        <f>Inputs!H7</f>
        <v>100606.975593</v>
      </c>
      <c r="I17" s="105">
        <f>Inputs!I7</f>
        <v>165552.05482699999</v>
      </c>
      <c r="J17" s="105">
        <f>Inputs!J7</f>
        <v>238309.77238400001</v>
      </c>
      <c r="K17" s="105">
        <f>Inputs!K7</f>
        <v>333431.90610600001</v>
      </c>
      <c r="L17" s="105">
        <f>Inputs!L7</f>
        <v>433902.34761800006</v>
      </c>
      <c r="M17" s="105">
        <f>Inputs!M7</f>
        <v>527183.446291</v>
      </c>
      <c r="N17" s="105">
        <f>Inputs!N7</f>
        <v>307047.77975149994</v>
      </c>
      <c r="P17" s="30"/>
    </row>
    <row r="18" spans="1:16" x14ac:dyDescent="0.45">
      <c r="A18" s="55" t="s">
        <v>102</v>
      </c>
      <c r="B18" s="39" t="s">
        <v>27</v>
      </c>
      <c r="C18" s="106"/>
      <c r="D18" s="121">
        <f>Inputs!D117</f>
        <v>1.9593390078055666</v>
      </c>
      <c r="E18" s="121">
        <f>Inputs!E117</f>
        <v>1.7539613476843365</v>
      </c>
      <c r="F18" s="121">
        <f>Inputs!F117</f>
        <v>1.7796997050243895</v>
      </c>
      <c r="G18" s="121">
        <f>Inputs!G117</f>
        <v>1.5960693536738424</v>
      </c>
      <c r="H18" s="121">
        <f>Inputs!H117</f>
        <v>1.4429540372853003</v>
      </c>
      <c r="I18" s="121">
        <f>Inputs!I117</f>
        <v>1.3472510185593161</v>
      </c>
      <c r="J18" s="121">
        <f>Inputs!J117</f>
        <v>1.2507605408411417</v>
      </c>
      <c r="K18" s="121">
        <f>Inputs!K117</f>
        <v>1.1747533807929349</v>
      </c>
      <c r="L18" s="121">
        <f>Inputs!L117</f>
        <v>1.0975242502539282</v>
      </c>
      <c r="M18" s="121">
        <f>Inputs!M117</f>
        <v>1.0403683741122254</v>
      </c>
      <c r="N18" s="121">
        <f>Inputs!N117</f>
        <v>1.0074879422057255</v>
      </c>
      <c r="P18" s="30"/>
    </row>
    <row r="19" spans="1:16" x14ac:dyDescent="0.45">
      <c r="A19" s="55" t="s">
        <v>71</v>
      </c>
      <c r="B19" s="39" t="s">
        <v>19</v>
      </c>
      <c r="C19" s="117"/>
      <c r="D19" s="35">
        <f t="shared" ref="D19:N19" si="0">D17*D18</f>
        <v>32324.257731284531</v>
      </c>
      <c r="E19" s="35">
        <f t="shared" si="0"/>
        <v>60356.144433229179</v>
      </c>
      <c r="F19" s="35">
        <f t="shared" si="0"/>
        <v>73381.135244419915</v>
      </c>
      <c r="G19" s="35">
        <f t="shared" si="0"/>
        <v>106581.38499734178</v>
      </c>
      <c r="H19" s="35">
        <f t="shared" si="0"/>
        <v>145171.24161098301</v>
      </c>
      <c r="I19" s="35">
        <f t="shared" si="0"/>
        <v>223040.17449026345</v>
      </c>
      <c r="J19" s="35">
        <f t="shared" si="0"/>
        <v>298068.45979474124</v>
      </c>
      <c r="K19" s="35">
        <f t="shared" si="0"/>
        <v>391700.25896225596</v>
      </c>
      <c r="L19" s="35">
        <f t="shared" si="0"/>
        <v>476218.34875286481</v>
      </c>
      <c r="M19" s="35">
        <f t="shared" si="0"/>
        <v>548464.98487664736</v>
      </c>
      <c r="N19" s="35">
        <f t="shared" si="0"/>
        <v>309346.9357806755</v>
      </c>
      <c r="P19" s="30"/>
    </row>
    <row r="20" spans="1:16" x14ac:dyDescent="0.45">
      <c r="A20" s="41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6" ht="18" x14ac:dyDescent="0.55000000000000004">
      <c r="A21" s="47" t="s">
        <v>24</v>
      </c>
      <c r="B21" s="6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6" ht="15" customHeight="1" x14ac:dyDescent="0.45">
      <c r="A22" s="55" t="s">
        <v>239</v>
      </c>
      <c r="B22" s="39" t="s">
        <v>19</v>
      </c>
      <c r="C22" s="74">
        <f>C50</f>
        <v>34027.787870607026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6" x14ac:dyDescent="0.45">
      <c r="A23" s="55" t="s">
        <v>102</v>
      </c>
      <c r="B23" s="39" t="s">
        <v>27</v>
      </c>
      <c r="C23" s="121">
        <f>Inputs!C109</f>
        <v>1.963792565416185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6" x14ac:dyDescent="0.45">
      <c r="A24" s="33" t="s">
        <v>98</v>
      </c>
      <c r="B24" s="39" t="s">
        <v>19</v>
      </c>
      <c r="C24" s="35">
        <f t="shared" ref="C24" si="1">C22*C23</f>
        <v>66823.516837857111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6" x14ac:dyDescent="0.45">
      <c r="A25" s="33"/>
      <c r="B25" s="65"/>
      <c r="C25" s="35"/>
      <c r="D25" s="131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6" x14ac:dyDescent="0.45">
      <c r="A26" s="55" t="s">
        <v>240</v>
      </c>
      <c r="B26" s="39" t="s">
        <v>19</v>
      </c>
      <c r="C26" s="117"/>
      <c r="D26" s="105">
        <f>Inputs!D11</f>
        <v>140318.31490045742</v>
      </c>
      <c r="E26" s="105">
        <f>Inputs!E11</f>
        <v>417410.0147257311</v>
      </c>
      <c r="F26" s="105">
        <f>Inputs!F11</f>
        <v>412323.8358944385</v>
      </c>
      <c r="G26" s="105">
        <f>Inputs!G11</f>
        <v>462167.24185082398</v>
      </c>
      <c r="H26" s="105">
        <f>Inputs!H11</f>
        <v>375098.35098993796</v>
      </c>
      <c r="I26" s="105">
        <f>Inputs!I11</f>
        <v>451340.86356430815</v>
      </c>
      <c r="J26" s="105">
        <f>Inputs!J11</f>
        <v>525889.44816033379</v>
      </c>
      <c r="K26" s="105">
        <f>Inputs!K11</f>
        <v>636049.85632940207</v>
      </c>
      <c r="L26" s="105">
        <f>Inputs!L11</f>
        <v>523883.31633498438</v>
      </c>
      <c r="M26" s="105">
        <f>Inputs!M11</f>
        <v>580120.69630382326</v>
      </c>
      <c r="N26" s="105">
        <f>Inputs!N11</f>
        <v>224664.47123346184</v>
      </c>
      <c r="P26" s="30"/>
    </row>
    <row r="27" spans="1:16" x14ac:dyDescent="0.45">
      <c r="A27" s="55" t="s">
        <v>74</v>
      </c>
      <c r="B27" s="39" t="s">
        <v>19</v>
      </c>
      <c r="C27" s="117"/>
      <c r="D27" s="35">
        <f t="shared" ref="D27:H27" si="2">D54</f>
        <v>4488.8489620344635</v>
      </c>
      <c r="E27" s="35">
        <f t="shared" si="2"/>
        <v>7750.8813122695683</v>
      </c>
      <c r="F27" s="35">
        <f t="shared" si="2"/>
        <v>18127.739302077651</v>
      </c>
      <c r="G27" s="35">
        <f t="shared" si="2"/>
        <v>28814.136938694955</v>
      </c>
      <c r="H27" s="35">
        <f t="shared" si="2"/>
        <v>38763.149101366995</v>
      </c>
      <c r="I27" s="35">
        <f t="shared" ref="I27:N27" si="3">I54</f>
        <v>44552.777809179068</v>
      </c>
      <c r="J27" s="35">
        <f t="shared" si="3"/>
        <v>58601.837972381116</v>
      </c>
      <c r="K27" s="35">
        <f t="shared" si="3"/>
        <v>49544.142372241971</v>
      </c>
      <c r="L27" s="35">
        <f t="shared" si="3"/>
        <v>32008.668097130299</v>
      </c>
      <c r="M27" s="35">
        <f t="shared" si="3"/>
        <v>19816.488379610539</v>
      </c>
      <c r="N27" s="35">
        <f t="shared" si="3"/>
        <v>0</v>
      </c>
      <c r="P27" s="30"/>
    </row>
    <row r="28" spans="1:16" x14ac:dyDescent="0.45">
      <c r="A28" s="181" t="s">
        <v>75</v>
      </c>
      <c r="B28" s="39" t="s">
        <v>19</v>
      </c>
      <c r="C28" s="118"/>
      <c r="D28" s="105">
        <f>Inputs!D13</f>
        <v>18534.152603972139</v>
      </c>
      <c r="E28" s="105">
        <f>Inputs!E13</f>
        <v>42349.8002740425</v>
      </c>
      <c r="F28" s="105">
        <f>Inputs!F13</f>
        <v>49340.000931484275</v>
      </c>
      <c r="G28" s="105">
        <f>Inputs!G13</f>
        <v>80771.8471419899</v>
      </c>
      <c r="H28" s="105">
        <f>Inputs!H13</f>
        <v>105746.53262890107</v>
      </c>
      <c r="I28" s="105">
        <f>Inputs!I13</f>
        <v>119899.21987041811</v>
      </c>
      <c r="J28" s="105">
        <f>Inputs!J13</f>
        <v>115236.05140899813</v>
      </c>
      <c r="K28" s="105">
        <f>Inputs!K13</f>
        <v>134542.74446416102</v>
      </c>
      <c r="L28" s="105">
        <f>Inputs!L13</f>
        <v>142045.70348894724</v>
      </c>
      <c r="M28" s="105">
        <f>Inputs!M13</f>
        <v>153346.89103364034</v>
      </c>
      <c r="N28" s="105">
        <f>Inputs!N13</f>
        <v>80891.416903435558</v>
      </c>
      <c r="P28" s="30"/>
    </row>
    <row r="29" spans="1:16" x14ac:dyDescent="0.45">
      <c r="A29" s="55" t="s">
        <v>76</v>
      </c>
      <c r="B29" s="39" t="s">
        <v>19</v>
      </c>
      <c r="C29" s="119"/>
      <c r="D29" s="44">
        <f t="shared" ref="D29:H29" si="4">D121</f>
        <v>0</v>
      </c>
      <c r="E29" s="44">
        <f t="shared" si="4"/>
        <v>0</v>
      </c>
      <c r="F29" s="44">
        <f t="shared" si="4"/>
        <v>0</v>
      </c>
      <c r="G29" s="44">
        <f t="shared" si="4"/>
        <v>0</v>
      </c>
      <c r="H29" s="44">
        <f t="shared" si="4"/>
        <v>0</v>
      </c>
      <c r="I29" s="44">
        <f t="shared" ref="I29:N29" si="5">I121</f>
        <v>0</v>
      </c>
      <c r="J29" s="44">
        <f t="shared" si="5"/>
        <v>0</v>
      </c>
      <c r="K29" s="44">
        <f t="shared" si="5"/>
        <v>0</v>
      </c>
      <c r="L29" s="44">
        <f t="shared" si="5"/>
        <v>0</v>
      </c>
      <c r="M29" s="44">
        <f t="shared" si="5"/>
        <v>0</v>
      </c>
      <c r="N29" s="44">
        <f t="shared" si="5"/>
        <v>0</v>
      </c>
      <c r="P29" s="30"/>
    </row>
    <row r="30" spans="1:16" x14ac:dyDescent="0.45">
      <c r="A30" s="189" t="s">
        <v>73</v>
      </c>
      <c r="B30" s="39" t="s">
        <v>19</v>
      </c>
      <c r="C30" s="120"/>
      <c r="D30" s="51">
        <f t="shared" ref="D30:H30" si="6">SUM(D26:D29)</f>
        <v>163341.31646646405</v>
      </c>
      <c r="E30" s="51">
        <f t="shared" si="6"/>
        <v>467510.69631204312</v>
      </c>
      <c r="F30" s="51">
        <f t="shared" si="6"/>
        <v>479791.57612800039</v>
      </c>
      <c r="G30" s="51">
        <f t="shared" si="6"/>
        <v>571753.22593150882</v>
      </c>
      <c r="H30" s="51">
        <f t="shared" si="6"/>
        <v>519608.03272020601</v>
      </c>
      <c r="I30" s="51">
        <f t="shared" ref="I30:N30" si="7">SUM(I26:I29)</f>
        <v>615792.86124390527</v>
      </c>
      <c r="J30" s="51">
        <f t="shared" si="7"/>
        <v>699727.33754171303</v>
      </c>
      <c r="K30" s="51">
        <f t="shared" si="7"/>
        <v>820136.743165805</v>
      </c>
      <c r="L30" s="51">
        <f t="shared" si="7"/>
        <v>697937.68792106188</v>
      </c>
      <c r="M30" s="51">
        <f t="shared" si="7"/>
        <v>753284.07571707421</v>
      </c>
      <c r="N30" s="51">
        <f t="shared" si="7"/>
        <v>305555.88813689741</v>
      </c>
      <c r="P30" s="30"/>
    </row>
    <row r="31" spans="1:16" x14ac:dyDescent="0.45">
      <c r="A31" s="55" t="s">
        <v>102</v>
      </c>
      <c r="B31" s="39" t="s">
        <v>27</v>
      </c>
      <c r="C31" s="121"/>
      <c r="D31" s="121">
        <f>Inputs!D102</f>
        <v>1.9716523217775115</v>
      </c>
      <c r="E31" s="121">
        <f>Inputs!E102</f>
        <v>1.76398429597453</v>
      </c>
      <c r="F31" s="121">
        <f>Inputs!F102</f>
        <v>1.7914568352908242</v>
      </c>
      <c r="G31" s="121">
        <f>Inputs!G102</f>
        <v>1.6058558416530693</v>
      </c>
      <c r="H31" s="121">
        <f>Inputs!H102</f>
        <v>1.4510642711998849</v>
      </c>
      <c r="I31" s="121">
        <f>Inputs!I102</f>
        <v>1.3546621879514464</v>
      </c>
      <c r="J31" s="121">
        <f>Inputs!J102</f>
        <v>1.2572446412940239</v>
      </c>
      <c r="K31" s="121">
        <f>Inputs!K102</f>
        <v>1.1806417697833558</v>
      </c>
      <c r="L31" s="121">
        <f>Inputs!L102</f>
        <v>1.1023634907865856</v>
      </c>
      <c r="M31" s="121">
        <f>Inputs!M102</f>
        <v>1.0444688740048842</v>
      </c>
      <c r="N31" s="121">
        <f>Inputs!N102</f>
        <v>1.0117733224290155</v>
      </c>
      <c r="P31" s="30"/>
    </row>
    <row r="32" spans="1:16" x14ac:dyDescent="0.45">
      <c r="A32" s="33" t="s">
        <v>72</v>
      </c>
      <c r="B32" s="39" t="s">
        <v>19</v>
      </c>
      <c r="C32" s="35"/>
      <c r="D32" s="35">
        <f t="shared" ref="D32:H32" si="8">D30*D31</f>
        <v>322052.28585329914</v>
      </c>
      <c r="E32" s="35">
        <f t="shared" si="8"/>
        <v>824681.52649456169</v>
      </c>
      <c r="F32" s="35">
        <f t="shared" si="8"/>
        <v>859525.8985694641</v>
      </c>
      <c r="G32" s="35">
        <f t="shared" si="8"/>
        <v>918153.25784610061</v>
      </c>
      <c r="H32" s="35">
        <f t="shared" si="8"/>
        <v>753984.65130875167</v>
      </c>
      <c r="I32" s="35">
        <f t="shared" ref="I32:N32" si="9">I30*I31</f>
        <v>834191.30473755021</v>
      </c>
      <c r="J32" s="35">
        <f t="shared" si="9"/>
        <v>879728.4454912534</v>
      </c>
      <c r="K32" s="35">
        <f t="shared" si="9"/>
        <v>968287.69591563358</v>
      </c>
      <c r="L32" s="35">
        <f t="shared" si="9"/>
        <v>769381.02600818034</v>
      </c>
      <c r="M32" s="35">
        <f t="shared" si="9"/>
        <v>786781.77037002239</v>
      </c>
      <c r="N32" s="35">
        <f t="shared" si="9"/>
        <v>309153.2961280173</v>
      </c>
      <c r="P32" s="30"/>
    </row>
    <row r="33" spans="1:16" x14ac:dyDescent="0.45">
      <c r="A33" s="41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6" ht="14.25" customHeight="1" x14ac:dyDescent="0.55000000000000004">
      <c r="A34" s="47" t="s">
        <v>51</v>
      </c>
      <c r="B34" s="45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6" x14ac:dyDescent="0.45">
      <c r="A35" s="33" t="s">
        <v>69</v>
      </c>
      <c r="B35" s="39" t="s">
        <v>19</v>
      </c>
      <c r="C35" s="35">
        <f>-C24</f>
        <v>-66823.516837857111</v>
      </c>
      <c r="D35" s="35">
        <f t="shared" ref="D35:N35" si="10">D19-D32</f>
        <v>-289728.0281220146</v>
      </c>
      <c r="E35" s="35">
        <f t="shared" si="10"/>
        <v>-764325.38206133246</v>
      </c>
      <c r="F35" s="35">
        <f t="shared" si="10"/>
        <v>-786144.76332504419</v>
      </c>
      <c r="G35" s="35">
        <f t="shared" si="10"/>
        <v>-811571.87284875882</v>
      </c>
      <c r="H35" s="35">
        <f t="shared" si="10"/>
        <v>-608813.40969776863</v>
      </c>
      <c r="I35" s="35">
        <f t="shared" si="10"/>
        <v>-611151.13024728675</v>
      </c>
      <c r="J35" s="35">
        <f t="shared" si="10"/>
        <v>-581659.98569651216</v>
      </c>
      <c r="K35" s="35">
        <f t="shared" si="10"/>
        <v>-576587.43695337768</v>
      </c>
      <c r="L35" s="35">
        <f t="shared" si="10"/>
        <v>-293162.67725531553</v>
      </c>
      <c r="M35" s="35">
        <f t="shared" si="10"/>
        <v>-238316.78549337504</v>
      </c>
      <c r="N35" s="213">
        <f t="shared" si="10"/>
        <v>193.6396526581957</v>
      </c>
      <c r="P35" s="30"/>
    </row>
    <row r="36" spans="1:16" ht="16.899999999999999" x14ac:dyDescent="0.5">
      <c r="A36" s="33" t="s">
        <v>68</v>
      </c>
      <c r="B36" s="39" t="s">
        <v>19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102">
        <f>SUM(C35:N35)</f>
        <v>-5628091.3488859851</v>
      </c>
      <c r="P36" s="30"/>
    </row>
    <row r="37" spans="1:16" x14ac:dyDescent="0.45">
      <c r="A37" s="41"/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9" spans="1:16" ht="21" x14ac:dyDescent="0.65">
      <c r="A39" s="80" t="s">
        <v>37</v>
      </c>
      <c r="C39" s="98" t="s">
        <v>54</v>
      </c>
      <c r="D39" s="98" t="s">
        <v>90</v>
      </c>
      <c r="E39" s="98" t="s">
        <v>55</v>
      </c>
      <c r="F39" s="98" t="s">
        <v>55</v>
      </c>
      <c r="G39" s="98" t="s">
        <v>55</v>
      </c>
      <c r="H39" s="98" t="s">
        <v>55</v>
      </c>
      <c r="I39" s="98" t="s">
        <v>55</v>
      </c>
      <c r="J39" s="98" t="s">
        <v>55</v>
      </c>
      <c r="K39" s="98" t="s">
        <v>55</v>
      </c>
      <c r="L39" s="98" t="s">
        <v>55</v>
      </c>
      <c r="M39" s="98" t="s">
        <v>55</v>
      </c>
      <c r="N39" s="98" t="s">
        <v>91</v>
      </c>
    </row>
    <row r="40" spans="1:16" x14ac:dyDescent="0.45">
      <c r="C40" s="99">
        <f>Inputs!$C$55</f>
        <v>40878</v>
      </c>
      <c r="D40" s="99">
        <f>Inputs!D55</f>
        <v>41090</v>
      </c>
      <c r="E40" s="99">
        <f>Inputs!E55</f>
        <v>41455</v>
      </c>
      <c r="F40" s="99">
        <f>Inputs!F55</f>
        <v>41820</v>
      </c>
      <c r="G40" s="99">
        <f>Inputs!G55</f>
        <v>42185</v>
      </c>
      <c r="H40" s="99">
        <f>Inputs!H55</f>
        <v>42551</v>
      </c>
      <c r="I40" s="99">
        <f>Inputs!I55</f>
        <v>42916</v>
      </c>
      <c r="J40" s="99">
        <f>Inputs!J55</f>
        <v>43281</v>
      </c>
      <c r="K40" s="99">
        <f>Inputs!K55</f>
        <v>43646</v>
      </c>
      <c r="L40" s="99">
        <f>Inputs!L55</f>
        <v>44012</v>
      </c>
      <c r="M40" s="99">
        <f>Inputs!M55</f>
        <v>44377</v>
      </c>
      <c r="N40" s="99">
        <f>Inputs!N55</f>
        <v>44561</v>
      </c>
    </row>
    <row r="41" spans="1:16" x14ac:dyDescent="0.45">
      <c r="D41" s="83"/>
    </row>
    <row r="42" spans="1:16" s="81" customFormat="1" ht="21" x14ac:dyDescent="0.65">
      <c r="A42" s="47" t="s">
        <v>38</v>
      </c>
      <c r="O42" s="1"/>
    </row>
    <row r="43" spans="1:16" x14ac:dyDescent="0.45">
      <c r="A43" s="55" t="s">
        <v>96</v>
      </c>
      <c r="B43" s="39" t="s">
        <v>19</v>
      </c>
      <c r="C43" s="105">
        <f>Inputs!C$8</f>
        <v>2269034.65178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8"/>
    </row>
    <row r="44" spans="1:16" x14ac:dyDescent="0.45">
      <c r="A44" s="55" t="s">
        <v>82</v>
      </c>
      <c r="B44" s="39" t="s">
        <v>19</v>
      </c>
      <c r="C44" s="39"/>
      <c r="D44" s="35">
        <f>C47</f>
        <v>2269034.65178</v>
      </c>
      <c r="E44" s="35">
        <f t="shared" ref="E44:N44" si="11">D47</f>
        <v>2454356.5907532889</v>
      </c>
      <c r="F44" s="35">
        <f t="shared" si="11"/>
        <v>2809442.5017919559</v>
      </c>
      <c r="G44" s="35">
        <f t="shared" si="11"/>
        <v>3102405.3864186225</v>
      </c>
      <c r="H44" s="35">
        <f t="shared" si="11"/>
        <v>3381851.0282769543</v>
      </c>
      <c r="I44" s="35">
        <f t="shared" si="11"/>
        <v>3574695.4155942928</v>
      </c>
      <c r="J44" s="35">
        <f t="shared" si="11"/>
        <v>3811245.6067386307</v>
      </c>
      <c r="K44" s="35">
        <f t="shared" si="11"/>
        <v>4219261.4778799387</v>
      </c>
      <c r="L44" s="35">
        <f t="shared" si="11"/>
        <v>4579363.8644503141</v>
      </c>
      <c r="M44" s="35">
        <f t="shared" si="11"/>
        <v>4837226.0448002908</v>
      </c>
      <c r="N44" s="35">
        <f t="shared" si="11"/>
        <v>5072992.5579038262</v>
      </c>
      <c r="P44" s="38"/>
    </row>
    <row r="45" spans="1:16" x14ac:dyDescent="0.45">
      <c r="A45" s="55" t="s">
        <v>86</v>
      </c>
      <c r="B45" s="39" t="s">
        <v>19</v>
      </c>
      <c r="C45" s="39"/>
      <c r="D45" s="105">
        <f>Inputs!D$9</f>
        <v>388627.79915999965</v>
      </c>
      <c r="E45" s="105">
        <f>Inputs!E$9</f>
        <v>687809.3561300002</v>
      </c>
      <c r="F45" s="105">
        <f>Inputs!F$9</f>
        <v>625084.94761999999</v>
      </c>
      <c r="G45" s="105">
        <f>Inputs!G$9</f>
        <v>621286.62351999839</v>
      </c>
      <c r="H45" s="105">
        <f>Inputs!H$9</f>
        <v>527399.04963000538</v>
      </c>
      <c r="I45" s="105">
        <f>Inputs!I$9</f>
        <v>586942.74169999419</v>
      </c>
      <c r="J45" s="105">
        <f>Inputs!J$9</f>
        <v>802471.72977997537</v>
      </c>
      <c r="K45" s="105">
        <f>Inputs!K$9</f>
        <v>763218.04416004382</v>
      </c>
      <c r="L45" s="105">
        <f>Inputs!L$9</f>
        <v>668539.72453997971</v>
      </c>
      <c r="M45" s="105">
        <f>Inputs!M$9</f>
        <v>660006.34038350685</v>
      </c>
      <c r="N45" s="105">
        <f>Inputs!N$9</f>
        <v>521415.95825892402</v>
      </c>
      <c r="P45" s="38"/>
    </row>
    <row r="46" spans="1:16" x14ac:dyDescent="0.45">
      <c r="A46" s="55" t="s">
        <v>139</v>
      </c>
      <c r="B46" s="39" t="s">
        <v>19</v>
      </c>
      <c r="C46" s="107"/>
      <c r="D46" s="107">
        <f>-Inputs!D16</f>
        <v>-203305.86018671046</v>
      </c>
      <c r="E46" s="107">
        <f>-Inputs!E16</f>
        <v>-332723.4450913333</v>
      </c>
      <c r="F46" s="107">
        <f>-Inputs!F16</f>
        <v>-332122.06299333321</v>
      </c>
      <c r="G46" s="107">
        <f>-Inputs!G16</f>
        <v>-341840.98166166659</v>
      </c>
      <c r="H46" s="107">
        <f>-Inputs!H16</f>
        <v>-334554.66231266689</v>
      </c>
      <c r="I46" s="107">
        <f>-Inputs!I16</f>
        <v>-350392.55055565614</v>
      </c>
      <c r="J46" s="107">
        <f>-Inputs!J16</f>
        <v>-394455.85863866733</v>
      </c>
      <c r="K46" s="107">
        <f>-Inputs!K16</f>
        <v>-403115.65758966858</v>
      </c>
      <c r="L46" s="107">
        <f>-Inputs!L16</f>
        <v>-410677.5441900029</v>
      </c>
      <c r="M46" s="107">
        <f>-Inputs!M16</f>
        <v>-424239.82727997232</v>
      </c>
      <c r="N46" s="107">
        <f>-Inputs!N16</f>
        <v>-229409.05209805927</v>
      </c>
      <c r="P46" s="38"/>
    </row>
    <row r="47" spans="1:16" x14ac:dyDescent="0.45">
      <c r="A47" s="55" t="s">
        <v>84</v>
      </c>
      <c r="B47" s="39" t="s">
        <v>19</v>
      </c>
      <c r="C47" s="74">
        <f>SUM(C43:C46)</f>
        <v>2269034.65178</v>
      </c>
      <c r="D47" s="74">
        <f t="shared" ref="D47:N47" si="12">SUM(D43:D46)</f>
        <v>2454356.5907532889</v>
      </c>
      <c r="E47" s="74">
        <f t="shared" si="12"/>
        <v>2809442.5017919559</v>
      </c>
      <c r="F47" s="74">
        <f t="shared" si="12"/>
        <v>3102405.3864186225</v>
      </c>
      <c r="G47" s="74">
        <f t="shared" si="12"/>
        <v>3381851.0282769543</v>
      </c>
      <c r="H47" s="74">
        <f t="shared" si="12"/>
        <v>3574695.4155942928</v>
      </c>
      <c r="I47" s="74">
        <f t="shared" si="12"/>
        <v>3811245.6067386307</v>
      </c>
      <c r="J47" s="74">
        <f t="shared" si="12"/>
        <v>4219261.4778799387</v>
      </c>
      <c r="K47" s="74">
        <f t="shared" si="12"/>
        <v>4579363.8644503141</v>
      </c>
      <c r="L47" s="74">
        <f t="shared" si="12"/>
        <v>4837226.0448002908</v>
      </c>
      <c r="M47" s="74">
        <f t="shared" si="12"/>
        <v>5072992.5579038262</v>
      </c>
      <c r="N47" s="74">
        <f t="shared" si="12"/>
        <v>5364999.4640646912</v>
      </c>
      <c r="P47" s="38"/>
    </row>
    <row r="49" spans="1:16" s="81" customFormat="1" ht="18.399999999999999" customHeight="1" x14ac:dyDescent="0.65">
      <c r="A49" s="47" t="s">
        <v>100</v>
      </c>
      <c r="O49" s="1"/>
      <c r="P49" s="82"/>
    </row>
    <row r="50" spans="1:16" x14ac:dyDescent="0.45">
      <c r="A50" s="55" t="s">
        <v>97</v>
      </c>
      <c r="B50" s="39" t="s">
        <v>19</v>
      </c>
      <c r="C50" s="105">
        <f>Inputs!C$10</f>
        <v>34027.787870607026</v>
      </c>
      <c r="D50" s="54"/>
      <c r="E50" s="35"/>
      <c r="F50" s="35"/>
      <c r="G50" s="35"/>
      <c r="H50" s="35"/>
      <c r="I50" s="35"/>
      <c r="J50" s="35"/>
      <c r="K50" s="35"/>
      <c r="L50" s="35"/>
      <c r="M50" s="35"/>
      <c r="N50" s="35"/>
      <c r="P50" s="38"/>
    </row>
    <row r="51" spans="1:16" x14ac:dyDescent="0.45">
      <c r="A51" s="55" t="s">
        <v>85</v>
      </c>
      <c r="B51" s="39" t="s">
        <v>19</v>
      </c>
      <c r="C51" s="126"/>
      <c r="D51" s="117">
        <f>C55</f>
        <v>34027.787870607026</v>
      </c>
      <c r="E51" s="117">
        <f t="shared" ref="E51:N51" si="13">D55</f>
        <v>173341.19023845129</v>
      </c>
      <c r="F51" s="117">
        <f t="shared" si="13"/>
        <v>573439.05292223906</v>
      </c>
      <c r="G51" s="117">
        <f t="shared" si="13"/>
        <v>954388.77598470263</v>
      </c>
      <c r="H51" s="117">
        <f t="shared" si="13"/>
        <v>1360421.9427732092</v>
      </c>
      <c r="I51" s="117">
        <f t="shared" si="13"/>
        <v>1657969.8962271842</v>
      </c>
      <c r="J51" s="117">
        <f t="shared" si="13"/>
        <v>2010650.1169316431</v>
      </c>
      <c r="K51" s="117">
        <f t="shared" si="13"/>
        <v>2439187.795036139</v>
      </c>
      <c r="L51" s="117">
        <f t="shared" si="13"/>
        <v>2945255.5847137314</v>
      </c>
      <c r="M51" s="117">
        <f t="shared" si="13"/>
        <v>3291054.9480448752</v>
      </c>
      <c r="N51" s="117">
        <f t="shared" si="13"/>
        <v>3655702.6131545752</v>
      </c>
      <c r="P51" s="38"/>
    </row>
    <row r="52" spans="1:16" x14ac:dyDescent="0.45">
      <c r="A52" s="55" t="s">
        <v>83</v>
      </c>
      <c r="B52" s="39" t="s">
        <v>19</v>
      </c>
      <c r="C52" s="126"/>
      <c r="D52" s="118">
        <f>Inputs!D11</f>
        <v>140318.31490045742</v>
      </c>
      <c r="E52" s="118">
        <f>Inputs!E11</f>
        <v>417410.0147257311</v>
      </c>
      <c r="F52" s="118">
        <f>Inputs!F11</f>
        <v>412323.8358944385</v>
      </c>
      <c r="G52" s="118">
        <f>Inputs!G11</f>
        <v>462167.24185082398</v>
      </c>
      <c r="H52" s="118">
        <f>Inputs!H11</f>
        <v>375098.35098993796</v>
      </c>
      <c r="I52" s="118">
        <f>Inputs!I11</f>
        <v>451340.86356430815</v>
      </c>
      <c r="J52" s="118">
        <f>Inputs!J11</f>
        <v>525889.44816033379</v>
      </c>
      <c r="K52" s="118">
        <f>Inputs!K11</f>
        <v>636049.85632940207</v>
      </c>
      <c r="L52" s="118">
        <f>Inputs!L11</f>
        <v>523883.31633498438</v>
      </c>
      <c r="M52" s="118">
        <f>Inputs!M11</f>
        <v>580120.69630382326</v>
      </c>
      <c r="N52" s="118">
        <f>Inputs!N11</f>
        <v>224664.47123346184</v>
      </c>
      <c r="P52" s="38"/>
    </row>
    <row r="53" spans="1:16" x14ac:dyDescent="0.45">
      <c r="A53" s="55" t="s">
        <v>99</v>
      </c>
      <c r="B53" s="39" t="s">
        <v>19</v>
      </c>
      <c r="C53" s="126"/>
      <c r="D53" s="118">
        <f>-Inputs!D17</f>
        <v>-5493.7614946476369</v>
      </c>
      <c r="E53" s="118">
        <f>-Inputs!E17</f>
        <v>-25063.033354212905</v>
      </c>
      <c r="F53" s="118">
        <f>-Inputs!F17</f>
        <v>-49501.852134052548</v>
      </c>
      <c r="G53" s="118">
        <f>-Inputs!G17</f>
        <v>-84948.212001012434</v>
      </c>
      <c r="H53" s="118">
        <f>-Inputs!H17</f>
        <v>-116313.54663733</v>
      </c>
      <c r="I53" s="118">
        <f>-Inputs!I17</f>
        <v>-143213.42066902859</v>
      </c>
      <c r="J53" s="118">
        <f>-Inputs!J17</f>
        <v>-155953.60802821885</v>
      </c>
      <c r="K53" s="118">
        <f>-Inputs!K17</f>
        <v>-179526.20902405158</v>
      </c>
      <c r="L53" s="118">
        <f>-Inputs!L17</f>
        <v>-210092.62110097101</v>
      </c>
      <c r="M53" s="118">
        <f>-Inputs!M17</f>
        <v>-235289.51957373414</v>
      </c>
      <c r="N53" s="118">
        <f>-Inputs!N17</f>
        <v>-133356.12736880264</v>
      </c>
      <c r="P53" s="38"/>
    </row>
    <row r="54" spans="1:16" x14ac:dyDescent="0.45">
      <c r="A54" s="55" t="s">
        <v>74</v>
      </c>
      <c r="B54" s="39" t="s">
        <v>19</v>
      </c>
      <c r="C54" s="159"/>
      <c r="D54" s="159">
        <f>Inputs!D$12</f>
        <v>4488.8489620344635</v>
      </c>
      <c r="E54" s="159">
        <f>Inputs!E$12</f>
        <v>7750.8813122695683</v>
      </c>
      <c r="F54" s="159">
        <f>Inputs!F$12</f>
        <v>18127.739302077651</v>
      </c>
      <c r="G54" s="159">
        <f>Inputs!G$12</f>
        <v>28814.136938694955</v>
      </c>
      <c r="H54" s="159">
        <f>Inputs!H$12</f>
        <v>38763.149101366995</v>
      </c>
      <c r="I54" s="159">
        <f>Inputs!I$12</f>
        <v>44552.777809179068</v>
      </c>
      <c r="J54" s="159">
        <f>Inputs!J$12</f>
        <v>58601.837972381116</v>
      </c>
      <c r="K54" s="159">
        <f>Inputs!K$12</f>
        <v>49544.142372241971</v>
      </c>
      <c r="L54" s="159">
        <f>Inputs!L$12</f>
        <v>32008.668097130299</v>
      </c>
      <c r="M54" s="159">
        <f>Inputs!M$12</f>
        <v>19816.488379610539</v>
      </c>
      <c r="N54" s="159">
        <f>Inputs!N$12</f>
        <v>0</v>
      </c>
      <c r="P54" s="103"/>
    </row>
    <row r="55" spans="1:16" x14ac:dyDescent="0.45">
      <c r="A55" s="55" t="s">
        <v>87</v>
      </c>
      <c r="B55" s="39" t="s">
        <v>19</v>
      </c>
      <c r="C55" s="128">
        <f>SUM(C50:C54)</f>
        <v>34027.787870607026</v>
      </c>
      <c r="D55" s="128">
        <f t="shared" ref="D55:N55" si="14">SUM(D50:D54)</f>
        <v>173341.19023845129</v>
      </c>
      <c r="E55" s="128">
        <f t="shared" si="14"/>
        <v>573439.05292223906</v>
      </c>
      <c r="F55" s="128">
        <f t="shared" si="14"/>
        <v>954388.77598470263</v>
      </c>
      <c r="G55" s="128">
        <f t="shared" si="14"/>
        <v>1360421.9427732092</v>
      </c>
      <c r="H55" s="128">
        <f t="shared" si="14"/>
        <v>1657969.8962271842</v>
      </c>
      <c r="I55" s="128">
        <f t="shared" si="14"/>
        <v>2010650.1169316431</v>
      </c>
      <c r="J55" s="128">
        <f t="shared" si="14"/>
        <v>2439187.795036139</v>
      </c>
      <c r="K55" s="128">
        <f t="shared" si="14"/>
        <v>2945255.5847137314</v>
      </c>
      <c r="L55" s="128">
        <f t="shared" si="14"/>
        <v>3291054.9480448752</v>
      </c>
      <c r="M55" s="128">
        <f t="shared" si="14"/>
        <v>3655702.6131545752</v>
      </c>
      <c r="N55" s="145">
        <f t="shared" si="14"/>
        <v>3747010.9570192345</v>
      </c>
      <c r="P55" s="38"/>
    </row>
    <row r="56" spans="1:16" s="113" customFormat="1" x14ac:dyDescent="0.45">
      <c r="A56" s="114"/>
      <c r="B56" s="115"/>
      <c r="C56" s="115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"/>
      <c r="P56" s="112"/>
    </row>
    <row r="57" spans="1:16" ht="21" x14ac:dyDescent="0.65">
      <c r="A57" s="47" t="s">
        <v>39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1:16" x14ac:dyDescent="0.45">
      <c r="A58" s="190" t="s">
        <v>23</v>
      </c>
      <c r="B58" s="39" t="s">
        <v>19</v>
      </c>
      <c r="C58" s="35"/>
      <c r="D58" s="35">
        <f>C61</f>
        <v>6365.8919999999998</v>
      </c>
      <c r="E58" s="35">
        <f>D61</f>
        <v>12731.784</v>
      </c>
      <c r="F58" s="35">
        <f t="shared" ref="F58:N58" si="15">E61</f>
        <v>118149.122</v>
      </c>
      <c r="G58" s="35">
        <f t="shared" si="15"/>
        <v>261156.538</v>
      </c>
      <c r="H58" s="35">
        <f t="shared" si="15"/>
        <v>400312.29200000002</v>
      </c>
      <c r="I58" s="35">
        <f t="shared" si="15"/>
        <v>530409.38599999994</v>
      </c>
      <c r="J58" s="35">
        <f t="shared" si="15"/>
        <v>639667.054</v>
      </c>
      <c r="K58" s="35">
        <f t="shared" si="15"/>
        <v>750981.84199999995</v>
      </c>
      <c r="L58" s="35">
        <f t="shared" si="15"/>
        <v>911025.03199999989</v>
      </c>
      <c r="M58" s="35">
        <f t="shared" si="15"/>
        <v>1066735.1869999999</v>
      </c>
      <c r="N58" s="35">
        <f t="shared" si="15"/>
        <v>1191103.2560000001</v>
      </c>
    </row>
    <row r="59" spans="1:16" x14ac:dyDescent="0.45">
      <c r="A59" s="190" t="s">
        <v>78</v>
      </c>
      <c r="B59" s="39" t="s">
        <v>19</v>
      </c>
      <c r="C59" s="105">
        <f>Inputs!C20</f>
        <v>6365.8919999999998</v>
      </c>
      <c r="D59" s="105">
        <f>Inputs!D20</f>
        <v>6365.8919999999998</v>
      </c>
      <c r="E59" s="105">
        <f>Inputs!E20</f>
        <v>105417.338</v>
      </c>
      <c r="F59" s="105">
        <f>Inputs!F20</f>
        <v>143007.416</v>
      </c>
      <c r="G59" s="105">
        <f>Inputs!G20</f>
        <v>139155.75399999999</v>
      </c>
      <c r="H59" s="105">
        <f>Inputs!H20</f>
        <v>130097.09399999998</v>
      </c>
      <c r="I59" s="105">
        <f>Inputs!I20</f>
        <v>109257.66800000001</v>
      </c>
      <c r="J59" s="105">
        <f>Inputs!J20</f>
        <v>111314.788</v>
      </c>
      <c r="K59" s="105">
        <f>Inputs!K20</f>
        <v>160043.19</v>
      </c>
      <c r="L59" s="105">
        <f>Inputs!L20</f>
        <v>155710.15499999997</v>
      </c>
      <c r="M59" s="105">
        <f>Inputs!M20</f>
        <v>124368.06900000003</v>
      </c>
      <c r="N59" s="105">
        <f>Inputs!N20</f>
        <v>65619.84500000054</v>
      </c>
    </row>
    <row r="60" spans="1:16" x14ac:dyDescent="0.45">
      <c r="A60" s="190" t="s">
        <v>79</v>
      </c>
      <c r="B60" s="39" t="s">
        <v>19</v>
      </c>
      <c r="C60" s="105">
        <f>Inputs!C21</f>
        <v>0</v>
      </c>
      <c r="D60" s="105">
        <f>Inputs!D21</f>
        <v>0</v>
      </c>
      <c r="E60" s="105">
        <f>Inputs!E21</f>
        <v>0</v>
      </c>
      <c r="F60" s="105">
        <f>Inputs!F21</f>
        <v>0</v>
      </c>
      <c r="G60" s="105">
        <f>Inputs!G21</f>
        <v>0</v>
      </c>
      <c r="H60" s="105">
        <f>Inputs!H21</f>
        <v>0</v>
      </c>
      <c r="I60" s="105">
        <f>Inputs!I21</f>
        <v>0</v>
      </c>
      <c r="J60" s="105">
        <f>Inputs!J21</f>
        <v>0</v>
      </c>
      <c r="K60" s="105">
        <f>Inputs!K21</f>
        <v>0</v>
      </c>
      <c r="L60" s="105">
        <f>Inputs!L21</f>
        <v>0</v>
      </c>
      <c r="M60" s="105">
        <f>Inputs!M21</f>
        <v>0</v>
      </c>
      <c r="N60" s="105">
        <f>Inputs!N21</f>
        <v>0</v>
      </c>
    </row>
    <row r="61" spans="1:16" x14ac:dyDescent="0.45">
      <c r="A61" s="190" t="s">
        <v>25</v>
      </c>
      <c r="B61" s="39" t="s">
        <v>19</v>
      </c>
      <c r="C61" s="50">
        <f>SUM(C58:C60)</f>
        <v>6365.8919999999998</v>
      </c>
      <c r="D61" s="50">
        <f>SUM(D58:D60)</f>
        <v>12731.784</v>
      </c>
      <c r="E61" s="50">
        <f t="shared" ref="E61:N61" si="16">SUM(E58:E60)</f>
        <v>118149.122</v>
      </c>
      <c r="F61" s="50">
        <f t="shared" si="16"/>
        <v>261156.538</v>
      </c>
      <c r="G61" s="50">
        <f t="shared" si="16"/>
        <v>400312.29200000002</v>
      </c>
      <c r="H61" s="50">
        <f t="shared" si="16"/>
        <v>530409.38599999994</v>
      </c>
      <c r="I61" s="50">
        <f t="shared" si="16"/>
        <v>639667.054</v>
      </c>
      <c r="J61" s="50">
        <f t="shared" si="16"/>
        <v>750981.84199999995</v>
      </c>
      <c r="K61" s="50">
        <f t="shared" si="16"/>
        <v>911025.03199999989</v>
      </c>
      <c r="L61" s="50">
        <f t="shared" si="16"/>
        <v>1066735.1869999999</v>
      </c>
      <c r="M61" s="50">
        <f t="shared" si="16"/>
        <v>1191103.2560000001</v>
      </c>
      <c r="N61" s="50">
        <f t="shared" si="16"/>
        <v>1256723.1010000005</v>
      </c>
    </row>
    <row r="63" spans="1:16" ht="21" x14ac:dyDescent="0.65">
      <c r="A63" s="47" t="s">
        <v>64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1:16" x14ac:dyDescent="0.45">
      <c r="A64" s="156" t="s">
        <v>113</v>
      </c>
      <c r="B64" s="126" t="s">
        <v>19</v>
      </c>
      <c r="C64" s="126"/>
      <c r="D64" s="212">
        <f>D61</f>
        <v>12731.784</v>
      </c>
      <c r="E64" s="117">
        <f t="shared" ref="E64:N64" si="17">E59-E60</f>
        <v>105417.338</v>
      </c>
      <c r="F64" s="117">
        <f t="shared" si="17"/>
        <v>143007.416</v>
      </c>
      <c r="G64" s="117">
        <f t="shared" si="17"/>
        <v>139155.75399999999</v>
      </c>
      <c r="H64" s="117">
        <f t="shared" si="17"/>
        <v>130097.09399999998</v>
      </c>
      <c r="I64" s="117">
        <f t="shared" si="17"/>
        <v>109257.66800000001</v>
      </c>
      <c r="J64" s="117">
        <f t="shared" si="17"/>
        <v>111314.788</v>
      </c>
      <c r="K64" s="117">
        <f t="shared" si="17"/>
        <v>160043.19</v>
      </c>
      <c r="L64" s="117">
        <f t="shared" si="17"/>
        <v>155710.15499999997</v>
      </c>
      <c r="M64" s="117">
        <f t="shared" si="17"/>
        <v>124368.06900000003</v>
      </c>
      <c r="N64" s="117">
        <f t="shared" si="17"/>
        <v>65619.84500000054</v>
      </c>
    </row>
    <row r="65" spans="1:15" x14ac:dyDescent="0.45">
      <c r="A65" s="156" t="s">
        <v>114</v>
      </c>
      <c r="B65" s="126" t="s">
        <v>21</v>
      </c>
      <c r="C65" s="126"/>
      <c r="D65" s="160">
        <f>Inputs!D148</f>
        <v>6.9831332189414855E-2</v>
      </c>
      <c r="E65" s="160">
        <f>Inputs!E148</f>
        <v>6.0586476833990627E-2</v>
      </c>
      <c r="F65" s="160">
        <f>Inputs!F148</f>
        <v>7.2115983805228503E-2</v>
      </c>
      <c r="G65" s="160">
        <f>Inputs!G148</f>
        <v>6.4718645490954754E-2</v>
      </c>
      <c r="H65" s="160">
        <f>Inputs!H148</f>
        <v>5.8359001632044265E-2</v>
      </c>
      <c r="I65" s="160">
        <f>Inputs!I148</f>
        <v>5.6565048769434398E-2</v>
      </c>
      <c r="J65" s="160">
        <f>Inputs!J148</f>
        <v>5.2207220851762791E-2</v>
      </c>
      <c r="K65" s="160">
        <f>Inputs!K148</f>
        <v>5.295757021517692E-2</v>
      </c>
      <c r="L65" s="160">
        <f>Inputs!L148</f>
        <v>4.6221099175983223E-2</v>
      </c>
      <c r="M65" s="160">
        <f>Inputs!M148</f>
        <v>4.5359072934828847E-2</v>
      </c>
      <c r="N65" s="160">
        <f>Inputs!N148</f>
        <v>3.900117265426116E-2</v>
      </c>
    </row>
    <row r="66" spans="1:15" x14ac:dyDescent="0.45">
      <c r="A66" s="156" t="s">
        <v>105</v>
      </c>
      <c r="B66" s="126" t="s">
        <v>19</v>
      </c>
      <c r="C66" s="126"/>
      <c r="D66" s="117">
        <f>D64*D65</f>
        <v>889.07743786787694</v>
      </c>
      <c r="E66" s="117">
        <f t="shared" ref="E66:N66" si="18">E64*E65</f>
        <v>6386.8651066379598</v>
      </c>
      <c r="F66" s="117">
        <f t="shared" si="18"/>
        <v>10313.120496283575</v>
      </c>
      <c r="G66" s="117">
        <f t="shared" si="18"/>
        <v>9005.9719111525083</v>
      </c>
      <c r="H66" s="117">
        <f t="shared" si="18"/>
        <v>7592.336521070215</v>
      </c>
      <c r="I66" s="117">
        <f t="shared" si="18"/>
        <v>6180.1653188546725</v>
      </c>
      <c r="J66" s="117">
        <f t="shared" si="18"/>
        <v>5811.4357211831548</v>
      </c>
      <c r="K66" s="117">
        <f t="shared" si="18"/>
        <v>8475.4984718859014</v>
      </c>
      <c r="L66" s="117">
        <f t="shared" si="18"/>
        <v>7197.0945169627184</v>
      </c>
      <c r="M66" s="117">
        <f t="shared" si="18"/>
        <v>5641.2203125348278</v>
      </c>
      <c r="N66" s="117">
        <f t="shared" si="18"/>
        <v>2559.2509043908767</v>
      </c>
    </row>
    <row r="67" spans="1:15" x14ac:dyDescent="0.45">
      <c r="A67" s="156" t="s">
        <v>119</v>
      </c>
      <c r="B67" s="126" t="s">
        <v>21</v>
      </c>
      <c r="C67" s="126"/>
      <c r="D67" s="161">
        <f>Inputs!D$94</f>
        <v>7.1800000000000003E-2</v>
      </c>
      <c r="E67" s="161">
        <f>Inputs!E$94</f>
        <v>6.5100000000000005E-2</v>
      </c>
      <c r="F67" s="161">
        <f>Inputs!F$94</f>
        <v>7.5600000000000001E-2</v>
      </c>
      <c r="G67" s="161">
        <f>Inputs!G$94</f>
        <v>7.0000000000000007E-2</v>
      </c>
      <c r="H67" s="161">
        <f>Inputs!H$94</f>
        <v>6.4000000000000001E-2</v>
      </c>
      <c r="I67" s="161">
        <f>Inputs!I$94</f>
        <v>6.2600000000000003E-2</v>
      </c>
      <c r="J67" s="161">
        <f>Inputs!J$94</f>
        <v>5.8900000000000001E-2</v>
      </c>
      <c r="K67" s="161">
        <f>Inputs!K$94</f>
        <v>5.6899999999999999E-2</v>
      </c>
      <c r="L67" s="161">
        <f>Inputs!L$94</f>
        <v>4.99E-2</v>
      </c>
      <c r="M67" s="161">
        <f>Inputs!M$94</f>
        <v>4.4499999999999998E-2</v>
      </c>
      <c r="N67" s="161">
        <f>Inputs!N$94</f>
        <v>4.8099999999999997E-2</v>
      </c>
    </row>
    <row r="68" spans="1:15" x14ac:dyDescent="0.45">
      <c r="A68" s="156" t="s">
        <v>102</v>
      </c>
      <c r="B68" s="126" t="s">
        <v>27</v>
      </c>
      <c r="C68" s="126"/>
      <c r="D68" s="201">
        <f>(((1+D67)^Inputs!D$97)-1)/D67</f>
        <v>13.532762141748071</v>
      </c>
      <c r="E68" s="201">
        <f>(((1+E67)^Inputs!E$97)-1)/E67</f>
        <v>11.735549861359907</v>
      </c>
      <c r="F68" s="201">
        <f>(((1+F67)^Inputs!F$97)-1)/F67</f>
        <v>10.469005757815134</v>
      </c>
      <c r="G68" s="201">
        <f>(((1+G67)^Inputs!G$97)-1)/G67</f>
        <v>8.6550834521867035</v>
      </c>
      <c r="H68" s="201">
        <f>(((1+H67)^Inputs!H$97)-1)/H67</f>
        <v>7.0478792374982016</v>
      </c>
      <c r="I68" s="201">
        <f>(((1+I67)^Inputs!I$97)-1)/I67</f>
        <v>5.6655301589687923</v>
      </c>
      <c r="J68" s="201">
        <f>(((1+J67)^Inputs!J$97)-1)/J67</f>
        <v>4.3674811764689965</v>
      </c>
      <c r="K68" s="201">
        <f>(((1+K67)^Inputs!K$97)-1)/K67</f>
        <v>3.174723546280418</v>
      </c>
      <c r="L68" s="201">
        <f>(((1+L67)^Inputs!L$97)-1)/L67</f>
        <v>2.0513725608534186</v>
      </c>
      <c r="M68" s="201">
        <f>(((1+M67)^Inputs!M$97)-1)/M67</f>
        <v>0.99930053943559993</v>
      </c>
      <c r="N68" s="201">
        <f>(((1+N67)^Inputs!N$97)-1)/N67</f>
        <v>0.24476761806685074</v>
      </c>
    </row>
    <row r="69" spans="1:15" x14ac:dyDescent="0.45">
      <c r="A69" s="156" t="s">
        <v>115</v>
      </c>
      <c r="B69" s="126" t="s">
        <v>19</v>
      </c>
      <c r="C69" s="126"/>
      <c r="D69" s="130">
        <f>D66*D68</f>
        <v>12031.673492260777</v>
      </c>
      <c r="E69" s="130">
        <f t="shared" ref="E69:N69" si="19">E66*E68</f>
        <v>74953.373916729528</v>
      </c>
      <c r="F69" s="130">
        <f t="shared" si="19"/>
        <v>107968.11785663402</v>
      </c>
      <c r="G69" s="130">
        <f t="shared" si="19"/>
        <v>77947.438459074328</v>
      </c>
      <c r="H69" s="130">
        <f t="shared" si="19"/>
        <v>53509.870930950092</v>
      </c>
      <c r="I69" s="130">
        <f t="shared" si="19"/>
        <v>35013.913001384128</v>
      </c>
      <c r="J69" s="130">
        <f t="shared" si="19"/>
        <v>25381.336120526958</v>
      </c>
      <c r="K69" s="130">
        <f t="shared" si="19"/>
        <v>26907.364565159871</v>
      </c>
      <c r="L69" s="130">
        <f t="shared" si="19"/>
        <v>14763.922209965909</v>
      </c>
      <c r="M69" s="130">
        <f t="shared" si="19"/>
        <v>5637.2745013911172</v>
      </c>
      <c r="N69" s="130">
        <f t="shared" si="19"/>
        <v>626.42174790318847</v>
      </c>
    </row>
    <row r="70" spans="1:15" ht="16.899999999999999" x14ac:dyDescent="0.5">
      <c r="A70" s="127" t="s">
        <v>64</v>
      </c>
      <c r="B70" s="126" t="s">
        <v>19</v>
      </c>
      <c r="C70" s="126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9">
        <f>SUM(D69:N69)</f>
        <v>434740.70680197986</v>
      </c>
    </row>
    <row r="71" spans="1:15" x14ac:dyDescent="0.45">
      <c r="A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1:15" ht="21" x14ac:dyDescent="0.65">
      <c r="A72" s="47" t="s">
        <v>158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1:15" x14ac:dyDescent="0.45">
      <c r="A73" s="156" t="s">
        <v>178</v>
      </c>
      <c r="B73" s="126" t="s">
        <v>19</v>
      </c>
      <c r="C73" s="126"/>
      <c r="D73" s="118">
        <f>Inputs!D$130+Inputs!D$131</f>
        <v>6365.8919999999998</v>
      </c>
      <c r="E73" s="118">
        <f>Inputs!E$130+Inputs!E$131</f>
        <v>52708.669000000002</v>
      </c>
      <c r="F73" s="118">
        <f>Inputs!F$130+Inputs!F$131</f>
        <v>71503.707999999999</v>
      </c>
      <c r="G73" s="118">
        <f>Inputs!G$130+Inputs!G$131</f>
        <v>69577.877000000008</v>
      </c>
      <c r="H73" s="118">
        <f>Inputs!H$130+Inputs!H$131</f>
        <v>65048.546999999984</v>
      </c>
      <c r="I73" s="118">
        <f>Inputs!I$130+Inputs!I$131</f>
        <v>54628.834000000003</v>
      </c>
      <c r="J73" s="118">
        <f>Inputs!J$130+Inputs!J$131</f>
        <v>55657.394</v>
      </c>
      <c r="K73" s="118">
        <f>Inputs!K$130+Inputs!K$131</f>
        <v>50072.983999999997</v>
      </c>
      <c r="L73" s="118">
        <f>Inputs!L$130+Inputs!L$131</f>
        <v>36488.165999999968</v>
      </c>
      <c r="M73" s="118">
        <f>Inputs!M$130+Inputs!M$131</f>
        <v>0</v>
      </c>
      <c r="N73" s="118">
        <f>Inputs!N$130+Inputs!N$131</f>
        <v>28236.096000000238</v>
      </c>
    </row>
    <row r="74" spans="1:15" x14ac:dyDescent="0.45">
      <c r="A74" s="156" t="s">
        <v>159</v>
      </c>
      <c r="B74" s="126" t="s">
        <v>21</v>
      </c>
      <c r="C74" s="126"/>
      <c r="D74" s="160">
        <f>Inputs!D146</f>
        <v>6.7430439016534061E-2</v>
      </c>
      <c r="E74" s="160">
        <f>Inputs!E146</f>
        <v>5.5399879260147576E-2</v>
      </c>
      <c r="F74" s="160">
        <f>Inputs!F146</f>
        <v>6.8061621842970169E-2</v>
      </c>
      <c r="G74" s="160">
        <f>Inputs!G146</f>
        <v>5.8647491736263963E-2</v>
      </c>
      <c r="H74" s="160">
        <f>Inputs!H146</f>
        <v>5.1806398303186035E-2</v>
      </c>
      <c r="I74" s="160">
        <f>Inputs!I146</f>
        <v>4.9708937964478506E-2</v>
      </c>
      <c r="J74" s="160">
        <f>Inputs!J146</f>
        <v>4.458067261079679E-2</v>
      </c>
      <c r="K74" s="160">
        <f>Inputs!K146</f>
        <v>4.231740335131931E-2</v>
      </c>
      <c r="L74" s="160">
        <f>Inputs!L146</f>
        <v>3.0586099538933383E-2</v>
      </c>
      <c r="M74" s="160">
        <f>Inputs!M146</f>
        <v>0</v>
      </c>
      <c r="N74" s="160">
        <f>Inputs!N146</f>
        <v>2.5211485347823956E-2</v>
      </c>
    </row>
    <row r="75" spans="1:15" x14ac:dyDescent="0.45">
      <c r="A75" s="156" t="s">
        <v>160</v>
      </c>
      <c r="B75" s="126" t="s">
        <v>19</v>
      </c>
      <c r="C75" s="126"/>
      <c r="D75" s="117">
        <f>D73*D74</f>
        <v>429.25489229184205</v>
      </c>
      <c r="E75" s="117">
        <f t="shared" ref="E75:N75" si="20">E73*E74</f>
        <v>2920.0538985630837</v>
      </c>
      <c r="F75" s="117">
        <f t="shared" si="20"/>
        <v>4866.6583342661606</v>
      </c>
      <c r="G75" s="117">
        <f t="shared" si="20"/>
        <v>4080.5679663842907</v>
      </c>
      <c r="H75" s="117">
        <f t="shared" si="20"/>
        <v>3369.9309349255163</v>
      </c>
      <c r="I75" s="117">
        <f t="shared" si="20"/>
        <v>2715.5413203777944</v>
      </c>
      <c r="J75" s="117">
        <f t="shared" si="20"/>
        <v>2481.2440602841257</v>
      </c>
      <c r="K75" s="117">
        <f t="shared" si="20"/>
        <v>2118.9586609321582</v>
      </c>
      <c r="L75" s="117">
        <f t="shared" si="20"/>
        <v>1116.0306772691238</v>
      </c>
      <c r="M75" s="212">
        <f>M84+M93</f>
        <v>-63.779861251999989</v>
      </c>
      <c r="N75" s="117">
        <f t="shared" si="20"/>
        <v>711.87392058375656</v>
      </c>
    </row>
    <row r="76" spans="1:15" x14ac:dyDescent="0.45">
      <c r="A76" s="156" t="s">
        <v>119</v>
      </c>
      <c r="B76" s="126" t="s">
        <v>21</v>
      </c>
      <c r="C76" s="126"/>
      <c r="D76" s="161">
        <f>Inputs!D$94</f>
        <v>7.1800000000000003E-2</v>
      </c>
      <c r="E76" s="161">
        <f>Inputs!E$94</f>
        <v>6.5100000000000005E-2</v>
      </c>
      <c r="F76" s="161">
        <f>Inputs!F$94</f>
        <v>7.5600000000000001E-2</v>
      </c>
      <c r="G76" s="161">
        <f>Inputs!G$94</f>
        <v>7.0000000000000007E-2</v>
      </c>
      <c r="H76" s="161">
        <f>Inputs!H$94</f>
        <v>6.4000000000000001E-2</v>
      </c>
      <c r="I76" s="161">
        <f>Inputs!I$94</f>
        <v>6.2600000000000003E-2</v>
      </c>
      <c r="J76" s="161">
        <f>Inputs!J$94</f>
        <v>5.8900000000000001E-2</v>
      </c>
      <c r="K76" s="161">
        <f>Inputs!K$94</f>
        <v>5.6899999999999999E-2</v>
      </c>
      <c r="L76" s="161">
        <f>Inputs!L$94</f>
        <v>4.99E-2</v>
      </c>
      <c r="M76" s="161">
        <f>Inputs!M$94</f>
        <v>4.4499999999999998E-2</v>
      </c>
      <c r="N76" s="161">
        <f>Inputs!N$94</f>
        <v>4.8099999999999997E-2</v>
      </c>
    </row>
    <row r="77" spans="1:15" x14ac:dyDescent="0.45">
      <c r="A77" s="156" t="s">
        <v>102</v>
      </c>
      <c r="B77" s="126" t="s">
        <v>27</v>
      </c>
      <c r="C77" s="126"/>
      <c r="D77" s="162">
        <f>(((1+D76)^Inputs!D$97)-1)/D76</f>
        <v>13.532762141748071</v>
      </c>
      <c r="E77" s="162">
        <f>(((1+E76)^Inputs!E$97)-1)/E76</f>
        <v>11.735549861359907</v>
      </c>
      <c r="F77" s="162">
        <f>(((1+F76)^Inputs!F$97)-1)/F76</f>
        <v>10.469005757815134</v>
      </c>
      <c r="G77" s="162">
        <f>(((1+G76)^Inputs!G$97)-1)/G76</f>
        <v>8.6550834521867035</v>
      </c>
      <c r="H77" s="162">
        <f>(((1+H76)^Inputs!H$97)-1)/H76</f>
        <v>7.0478792374982016</v>
      </c>
      <c r="I77" s="162">
        <f>(((1+I76)^Inputs!I$97)-1)/I76</f>
        <v>5.6655301589687923</v>
      </c>
      <c r="J77" s="162">
        <f>(((1+J76)^Inputs!J$97)-1)/J76</f>
        <v>4.3674811764689965</v>
      </c>
      <c r="K77" s="162">
        <f>(((1+K76)^Inputs!K$97)-1)/K76</f>
        <v>3.174723546280418</v>
      </c>
      <c r="L77" s="162">
        <f>(((1+L76)^Inputs!L$97)-1)/L76</f>
        <v>2.0513725608534186</v>
      </c>
      <c r="M77" s="162">
        <f>(((1+M76)^Inputs!M$97)-1)/M76</f>
        <v>0.99930053943559993</v>
      </c>
      <c r="N77" s="162">
        <f>(((1+N76)^Inputs!N$97)-1)/N76</f>
        <v>0.24476761806685074</v>
      </c>
      <c r="O77" s="179"/>
    </row>
    <row r="78" spans="1:15" x14ac:dyDescent="0.45">
      <c r="A78" s="156" t="s">
        <v>161</v>
      </c>
      <c r="B78" s="126" t="s">
        <v>19</v>
      </c>
      <c r="C78" s="126"/>
      <c r="D78" s="130">
        <f>D75*D77</f>
        <v>5809.0043555671864</v>
      </c>
      <c r="E78" s="130">
        <f t="shared" ref="E78:N78" si="21">E75*E77</f>
        <v>34268.438124445456</v>
      </c>
      <c r="F78" s="130">
        <f t="shared" si="21"/>
        <v>50949.074122751445</v>
      </c>
      <c r="G78" s="130">
        <f t="shared" si="21"/>
        <v>35317.656281375821</v>
      </c>
      <c r="H78" s="130">
        <f t="shared" si="21"/>
        <v>23750.866268064448</v>
      </c>
      <c r="I78" s="130">
        <f t="shared" si="21"/>
        <v>15384.98124852633</v>
      </c>
      <c r="J78" s="130">
        <f t="shared" si="21"/>
        <v>10836.786727516423</v>
      </c>
      <c r="K78" s="130">
        <f t="shared" si="21"/>
        <v>6727.1079544561471</v>
      </c>
      <c r="L78" s="130">
        <f t="shared" si="21"/>
        <v>2289.3947084205374</v>
      </c>
      <c r="M78" s="130">
        <f t="shared" si="21"/>
        <v>-63.735249754251306</v>
      </c>
      <c r="N78" s="130">
        <f t="shared" si="21"/>
        <v>174.24368390519655</v>
      </c>
      <c r="O78" s="179"/>
    </row>
    <row r="79" spans="1:15" ht="16.899999999999999" x14ac:dyDescent="0.5">
      <c r="A79" s="127" t="s">
        <v>158</v>
      </c>
      <c r="B79" s="126" t="s">
        <v>19</v>
      </c>
      <c r="C79" s="126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9">
        <f>SUM(D78:N78)</f>
        <v>185443.81822527474</v>
      </c>
      <c r="O79" s="179"/>
    </row>
    <row r="80" spans="1:15" ht="16.899999999999999" x14ac:dyDescent="0.5">
      <c r="A80" s="67"/>
      <c r="B80" s="202"/>
      <c r="C80" s="202"/>
      <c r="D80" s="139"/>
      <c r="E80" s="138"/>
      <c r="F80" s="138"/>
      <c r="G80" s="138"/>
      <c r="H80" s="138"/>
      <c r="I80" s="138"/>
      <c r="J80" s="138"/>
      <c r="K80" s="138"/>
      <c r="L80" s="138"/>
      <c r="M80" s="138"/>
      <c r="N80" s="177"/>
      <c r="O80" s="179"/>
    </row>
    <row r="81" spans="1:15" ht="21" x14ac:dyDescent="0.65">
      <c r="A81" s="47" t="s">
        <v>164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179"/>
    </row>
    <row r="82" spans="1:15" x14ac:dyDescent="0.45">
      <c r="A82" s="156" t="s">
        <v>179</v>
      </c>
      <c r="B82" s="126" t="s">
        <v>19</v>
      </c>
      <c r="C82" s="126"/>
      <c r="D82" s="118">
        <f>Inputs!D$131</f>
        <v>4818.7806799999998</v>
      </c>
      <c r="E82" s="118">
        <f>Inputs!E$131</f>
        <v>38678.467640000003</v>
      </c>
      <c r="F82" s="118">
        <f>Inputs!F$131</f>
        <v>49722.241149999994</v>
      </c>
      <c r="G82" s="118">
        <f>Inputs!G$131</f>
        <v>44803.925830000007</v>
      </c>
      <c r="H82" s="118">
        <f>Inputs!H$131</f>
        <v>51401.199139999982</v>
      </c>
      <c r="I82" s="118">
        <f>Inputs!I$131</f>
        <v>31250.95522</v>
      </c>
      <c r="J82" s="118">
        <f>Inputs!J$131</f>
        <v>28506.797370000008</v>
      </c>
      <c r="K82" s="118">
        <f>Inputs!K$131</f>
        <v>21061.371960000011</v>
      </c>
      <c r="L82" s="118">
        <f>Inputs!L$131</f>
        <v>8795.8175899999751</v>
      </c>
      <c r="M82" s="118">
        <f>Inputs!M$131</f>
        <v>-15556.063719999998</v>
      </c>
      <c r="N82" s="118">
        <f>Inputs!N$131</f>
        <v>9358.225723893047</v>
      </c>
      <c r="O82" s="30"/>
    </row>
    <row r="83" spans="1:15" x14ac:dyDescent="0.45">
      <c r="A83" s="156" t="s">
        <v>163</v>
      </c>
      <c r="B83" s="126" t="s">
        <v>21</v>
      </c>
      <c r="C83" s="126"/>
      <c r="D83" s="160">
        <f>Inputs!D145</f>
        <v>6.8426867547209724E-2</v>
      </c>
      <c r="E83" s="160">
        <f>Inputs!E145</f>
        <v>5.6491233427637559E-2</v>
      </c>
      <c r="F83" s="160">
        <f>Inputs!F145</f>
        <v>6.9310564262641608E-2</v>
      </c>
      <c r="G83" s="160">
        <f>Inputs!G145</f>
        <v>6.0107340817272856E-2</v>
      </c>
      <c r="H83" s="160">
        <f>Inputs!H145</f>
        <v>5.2666588558104417E-2</v>
      </c>
      <c r="I83" s="160">
        <f>Inputs!I145</f>
        <v>5.1463493132139597E-2</v>
      </c>
      <c r="J83" s="160">
        <f>Inputs!J145</f>
        <v>4.6580720370542776E-2</v>
      </c>
      <c r="K83" s="160">
        <f>Inputs!K145</f>
        <v>4.4692888091034437E-2</v>
      </c>
      <c r="L83" s="160">
        <f>Inputs!L145</f>
        <v>3.3697755753197486E-2</v>
      </c>
      <c r="M83" s="160">
        <f>Inputs!M145</f>
        <v>2.4148153676001084E-2</v>
      </c>
      <c r="N83" s="160">
        <f>Inputs!N145</f>
        <v>2.7952631578947368E-2</v>
      </c>
      <c r="O83" s="30"/>
    </row>
    <row r="84" spans="1:15" x14ac:dyDescent="0.45">
      <c r="A84" s="156" t="s">
        <v>180</v>
      </c>
      <c r="B84" s="126" t="s">
        <v>19</v>
      </c>
      <c r="C84" s="126"/>
      <c r="D84" s="117">
        <f>D82*D83</f>
        <v>329.73406732941322</v>
      </c>
      <c r="E84" s="117">
        <f t="shared" ref="E84:N84" si="22">E82*E83</f>
        <v>2184.9943440745656</v>
      </c>
      <c r="F84" s="117">
        <f t="shared" si="22"/>
        <v>3446.2765905096376</v>
      </c>
      <c r="G84" s="117">
        <f t="shared" si="22"/>
        <v>2693.044839815625</v>
      </c>
      <c r="H84" s="117">
        <f t="shared" si="22"/>
        <v>2707.1258064995695</v>
      </c>
      <c r="I84" s="117">
        <f t="shared" si="22"/>
        <v>1608.2833193372721</v>
      </c>
      <c r="J84" s="117">
        <f t="shared" si="22"/>
        <v>1327.8671569516946</v>
      </c>
      <c r="K84" s="117">
        <f t="shared" si="22"/>
        <v>941.29354005193113</v>
      </c>
      <c r="L84" s="117">
        <f t="shared" si="22"/>
        <v>296.39931279749732</v>
      </c>
      <c r="M84" s="117">
        <f t="shared" si="22"/>
        <v>-375.65021730422507</v>
      </c>
      <c r="N84" s="117">
        <f t="shared" si="22"/>
        <v>261.5870358926104</v>
      </c>
      <c r="O84" s="30"/>
    </row>
    <row r="85" spans="1:15" x14ac:dyDescent="0.45">
      <c r="A85" s="156" t="s">
        <v>119</v>
      </c>
      <c r="B85" s="126" t="s">
        <v>21</v>
      </c>
      <c r="C85" s="126"/>
      <c r="D85" s="161">
        <f>Inputs!D$94</f>
        <v>7.1800000000000003E-2</v>
      </c>
      <c r="E85" s="161">
        <f>Inputs!E$94</f>
        <v>6.5100000000000005E-2</v>
      </c>
      <c r="F85" s="161">
        <f>Inputs!F$94</f>
        <v>7.5600000000000001E-2</v>
      </c>
      <c r="G85" s="161">
        <f>Inputs!G$94</f>
        <v>7.0000000000000007E-2</v>
      </c>
      <c r="H85" s="161">
        <f>Inputs!H$94</f>
        <v>6.4000000000000001E-2</v>
      </c>
      <c r="I85" s="161">
        <f>Inputs!I$94</f>
        <v>6.2600000000000003E-2</v>
      </c>
      <c r="J85" s="161">
        <f>Inputs!J$94</f>
        <v>5.8900000000000001E-2</v>
      </c>
      <c r="K85" s="161">
        <f>Inputs!K$94</f>
        <v>5.6899999999999999E-2</v>
      </c>
      <c r="L85" s="161">
        <f>Inputs!L$94</f>
        <v>4.99E-2</v>
      </c>
      <c r="M85" s="161">
        <f>Inputs!M$94</f>
        <v>4.4499999999999998E-2</v>
      </c>
      <c r="N85" s="161">
        <f>Inputs!N$94</f>
        <v>4.8099999999999997E-2</v>
      </c>
      <c r="O85" s="30"/>
    </row>
    <row r="86" spans="1:15" x14ac:dyDescent="0.45">
      <c r="A86" s="156" t="s">
        <v>102</v>
      </c>
      <c r="B86" s="126" t="s">
        <v>27</v>
      </c>
      <c r="C86" s="126"/>
      <c r="D86" s="162">
        <f>(((1+D85)^Inputs!D$97)-1)/D85</f>
        <v>13.532762141748071</v>
      </c>
      <c r="E86" s="162">
        <f>(((1+E85)^Inputs!E$97)-1)/E85</f>
        <v>11.735549861359907</v>
      </c>
      <c r="F86" s="162">
        <f>(((1+F85)^Inputs!F$97)-1)/F85</f>
        <v>10.469005757815134</v>
      </c>
      <c r="G86" s="162">
        <f>(((1+G85)^Inputs!G$97)-1)/G85</f>
        <v>8.6550834521867035</v>
      </c>
      <c r="H86" s="162">
        <f>(((1+H85)^Inputs!H$97)-1)/H85</f>
        <v>7.0478792374982016</v>
      </c>
      <c r="I86" s="162">
        <f>(((1+I85)^Inputs!I$97)-1)/I85</f>
        <v>5.6655301589687923</v>
      </c>
      <c r="J86" s="162">
        <f>(((1+J85)^Inputs!J$97)-1)/J85</f>
        <v>4.3674811764689965</v>
      </c>
      <c r="K86" s="162">
        <f>(((1+K85)^Inputs!K$97)-1)/K85</f>
        <v>3.174723546280418</v>
      </c>
      <c r="L86" s="162">
        <f>(((1+L85)^Inputs!L$97)-1)/L85</f>
        <v>2.0513725608534186</v>
      </c>
      <c r="M86" s="162">
        <f>(((1+M85)^Inputs!M$97)-1)/M85</f>
        <v>0.99930053943559993</v>
      </c>
      <c r="N86" s="162">
        <f>(((1+N85)^Inputs!N$97)-1)/N85</f>
        <v>0.24476761806685074</v>
      </c>
      <c r="O86" s="30"/>
    </row>
    <row r="87" spans="1:15" x14ac:dyDescent="0.45">
      <c r="A87" s="156" t="s">
        <v>181</v>
      </c>
      <c r="B87" s="126" t="s">
        <v>19</v>
      </c>
      <c r="C87" s="126"/>
      <c r="D87" s="130">
        <f>D84*D86</f>
        <v>4462.2127032000926</v>
      </c>
      <c r="E87" s="130">
        <f t="shared" ref="E87:N87" si="23">E84*E86</f>
        <v>25642.110071676449</v>
      </c>
      <c r="F87" s="130">
        <f t="shared" si="23"/>
        <v>36079.089469068909</v>
      </c>
      <c r="G87" s="130">
        <f t="shared" si="23"/>
        <v>23308.527829085007</v>
      </c>
      <c r="H87" s="130">
        <f t="shared" si="23"/>
        <v>19079.49576492389</v>
      </c>
      <c r="I87" s="130">
        <f t="shared" si="23"/>
        <v>9111.7776498717521</v>
      </c>
      <c r="J87" s="130">
        <f t="shared" si="23"/>
        <v>5799.4348128379288</v>
      </c>
      <c r="K87" s="130">
        <f t="shared" si="23"/>
        <v>2988.3467655645154</v>
      </c>
      <c r="L87" s="130">
        <f t="shared" si="23"/>
        <v>608.02541732859549</v>
      </c>
      <c r="M87" s="130">
        <f t="shared" si="23"/>
        <v>-375.38746479121244</v>
      </c>
      <c r="N87" s="130">
        <f t="shared" si="23"/>
        <v>64.028035692602032</v>
      </c>
      <c r="O87" s="30"/>
    </row>
    <row r="88" spans="1:15" ht="16.899999999999999" x14ac:dyDescent="0.5">
      <c r="A88" s="127" t="s">
        <v>164</v>
      </c>
      <c r="B88" s="126" t="s">
        <v>19</v>
      </c>
      <c r="C88" s="126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9">
        <f>SUM(D87:N87)</f>
        <v>126767.66105445856</v>
      </c>
      <c r="O88" s="30"/>
    </row>
    <row r="89" spans="1:15" ht="16.899999999999999" x14ac:dyDescent="0.5">
      <c r="A89" s="67"/>
      <c r="B89" s="202"/>
      <c r="C89" s="202"/>
      <c r="D89" s="139"/>
      <c r="E89" s="138"/>
      <c r="F89" s="138"/>
      <c r="G89" s="138"/>
      <c r="H89" s="138"/>
      <c r="I89" s="138"/>
      <c r="J89" s="138"/>
      <c r="K89" s="138"/>
      <c r="L89" s="138"/>
      <c r="M89" s="138"/>
      <c r="N89" s="177"/>
      <c r="O89" s="30"/>
    </row>
    <row r="90" spans="1:15" ht="21" x14ac:dyDescent="0.65">
      <c r="A90" s="47" t="s">
        <v>162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30"/>
    </row>
    <row r="91" spans="1:15" x14ac:dyDescent="0.45">
      <c r="A91" s="156" t="s">
        <v>184</v>
      </c>
      <c r="B91" s="126" t="s">
        <v>19</v>
      </c>
      <c r="C91" s="126"/>
      <c r="D91" s="118">
        <f>Inputs!D130</f>
        <v>1547.1113200000002</v>
      </c>
      <c r="E91" s="118">
        <f>Inputs!E130</f>
        <v>14030.201360000001</v>
      </c>
      <c r="F91" s="118">
        <f>Inputs!F130</f>
        <v>21781.466850000001</v>
      </c>
      <c r="G91" s="118">
        <f>Inputs!G130</f>
        <v>24773.95117</v>
      </c>
      <c r="H91" s="118">
        <f>Inputs!H130</f>
        <v>13647.34786</v>
      </c>
      <c r="I91" s="118">
        <f>Inputs!I130</f>
        <v>23377.878780000003</v>
      </c>
      <c r="J91" s="118">
        <f>Inputs!J130</f>
        <v>27150.596629999996</v>
      </c>
      <c r="K91" s="118">
        <f>Inputs!K130</f>
        <v>29011.612039999989</v>
      </c>
      <c r="L91" s="118">
        <f>Inputs!L130</f>
        <v>27692.348409999995</v>
      </c>
      <c r="M91" s="118">
        <f>Inputs!M130</f>
        <v>15556.063719999998</v>
      </c>
      <c r="N91" s="118">
        <f>Inputs!N130</f>
        <v>18877.870276107191</v>
      </c>
      <c r="O91" s="30"/>
    </row>
    <row r="92" spans="1:15" x14ac:dyDescent="0.45">
      <c r="A92" s="156" t="s">
        <v>185</v>
      </c>
      <c r="B92" s="126" t="s">
        <v>21</v>
      </c>
      <c r="C92" s="126"/>
      <c r="D92" s="160">
        <f>Inputs!D144</f>
        <v>6.4326867547209718E-2</v>
      </c>
      <c r="E92" s="160">
        <f>Inputs!E144</f>
        <v>5.239123342763756E-2</v>
      </c>
      <c r="F92" s="160">
        <f>Inputs!F144</f>
        <v>6.5210564262641602E-2</v>
      </c>
      <c r="G92" s="160">
        <f>Inputs!G144</f>
        <v>5.6007340817272856E-2</v>
      </c>
      <c r="H92" s="160">
        <f>Inputs!H144</f>
        <v>4.8566588558104418E-2</v>
      </c>
      <c r="I92" s="160">
        <f>Inputs!I144</f>
        <v>4.7363493132139597E-2</v>
      </c>
      <c r="J92" s="160">
        <f>Inputs!J144</f>
        <v>4.2480720370542777E-2</v>
      </c>
      <c r="K92" s="160">
        <f>Inputs!K144</f>
        <v>4.0592888091034438E-2</v>
      </c>
      <c r="L92" s="160">
        <f>Inputs!L144</f>
        <v>2.9597755753197487E-2</v>
      </c>
      <c r="M92" s="160">
        <f>Inputs!M144</f>
        <v>2.0048153676001084E-2</v>
      </c>
      <c r="N92" s="160">
        <f>Inputs!N144</f>
        <v>2.3852631578947368E-2</v>
      </c>
      <c r="O92" s="30"/>
    </row>
    <row r="93" spans="1:15" x14ac:dyDescent="0.45">
      <c r="A93" s="156" t="s">
        <v>186</v>
      </c>
      <c r="B93" s="126" t="s">
        <v>19</v>
      </c>
      <c r="C93" s="126"/>
      <c r="D93" s="117">
        <f>D91*D92</f>
        <v>99.520824962428804</v>
      </c>
      <c r="E93" s="117">
        <f t="shared" ref="E93:N93" si="24">E91*E92</f>
        <v>735.05955448851796</v>
      </c>
      <c r="F93" s="117">
        <f t="shared" si="24"/>
        <v>1420.3817437565228</v>
      </c>
      <c r="G93" s="117">
        <f t="shared" si="24"/>
        <v>1387.5231265686657</v>
      </c>
      <c r="H93" s="117">
        <f t="shared" si="24"/>
        <v>662.8051284259468</v>
      </c>
      <c r="I93" s="117">
        <f t="shared" si="24"/>
        <v>1107.2580010405222</v>
      </c>
      <c r="J93" s="117">
        <f t="shared" si="24"/>
        <v>1153.3769033324309</v>
      </c>
      <c r="K93" s="117">
        <f t="shared" si="24"/>
        <v>1177.6651208802268</v>
      </c>
      <c r="L93" s="117">
        <f t="shared" si="24"/>
        <v>819.63136447162663</v>
      </c>
      <c r="M93" s="117">
        <f t="shared" si="24"/>
        <v>311.87035605222508</v>
      </c>
      <c r="N93" s="117">
        <f t="shared" si="24"/>
        <v>450.28688469114627</v>
      </c>
      <c r="O93" s="30"/>
    </row>
    <row r="94" spans="1:15" x14ac:dyDescent="0.45">
      <c r="A94" s="156" t="s">
        <v>119</v>
      </c>
      <c r="B94" s="126" t="s">
        <v>21</v>
      </c>
      <c r="C94" s="126"/>
      <c r="D94" s="161">
        <f>Inputs!D$94</f>
        <v>7.1800000000000003E-2</v>
      </c>
      <c r="E94" s="161">
        <f>Inputs!E$94</f>
        <v>6.5100000000000005E-2</v>
      </c>
      <c r="F94" s="161">
        <f>Inputs!F$94</f>
        <v>7.5600000000000001E-2</v>
      </c>
      <c r="G94" s="161">
        <f>Inputs!G$94</f>
        <v>7.0000000000000007E-2</v>
      </c>
      <c r="H94" s="161">
        <f>Inputs!H$94</f>
        <v>6.4000000000000001E-2</v>
      </c>
      <c r="I94" s="161">
        <f>Inputs!I$94</f>
        <v>6.2600000000000003E-2</v>
      </c>
      <c r="J94" s="161">
        <f>Inputs!J$94</f>
        <v>5.8900000000000001E-2</v>
      </c>
      <c r="K94" s="161">
        <f>Inputs!K$94</f>
        <v>5.6899999999999999E-2</v>
      </c>
      <c r="L94" s="161">
        <f>Inputs!L$94</f>
        <v>4.99E-2</v>
      </c>
      <c r="M94" s="161">
        <f>Inputs!M$94</f>
        <v>4.4499999999999998E-2</v>
      </c>
      <c r="N94" s="161">
        <f>Inputs!N$94</f>
        <v>4.8099999999999997E-2</v>
      </c>
      <c r="O94" s="30"/>
    </row>
    <row r="95" spans="1:15" x14ac:dyDescent="0.45">
      <c r="A95" s="156" t="s">
        <v>102</v>
      </c>
      <c r="B95" s="126" t="s">
        <v>27</v>
      </c>
      <c r="C95" s="126"/>
      <c r="D95" s="162">
        <f>(((1+D94)^Inputs!D$97)-1)/D94</f>
        <v>13.532762141748071</v>
      </c>
      <c r="E95" s="162">
        <f>(((1+E94)^Inputs!E$97)-1)/E94</f>
        <v>11.735549861359907</v>
      </c>
      <c r="F95" s="162">
        <f>(((1+F94)^Inputs!F$97)-1)/F94</f>
        <v>10.469005757815134</v>
      </c>
      <c r="G95" s="162">
        <f>(((1+G94)^Inputs!G$97)-1)/G94</f>
        <v>8.6550834521867035</v>
      </c>
      <c r="H95" s="162">
        <f>(((1+H94)^Inputs!H$97)-1)/H94</f>
        <v>7.0478792374982016</v>
      </c>
      <c r="I95" s="162">
        <f>(((1+I94)^Inputs!I$97)-1)/I94</f>
        <v>5.6655301589687923</v>
      </c>
      <c r="J95" s="162">
        <f>(((1+J94)^Inputs!J$97)-1)/J94</f>
        <v>4.3674811764689965</v>
      </c>
      <c r="K95" s="162">
        <f>(((1+K94)^Inputs!K$97)-1)/K94</f>
        <v>3.174723546280418</v>
      </c>
      <c r="L95" s="162">
        <f>(((1+L94)^Inputs!L$97)-1)/L94</f>
        <v>2.0513725608534186</v>
      </c>
      <c r="M95" s="162">
        <f>(((1+M94)^Inputs!M$97)-1)/M94</f>
        <v>0.99930053943559993</v>
      </c>
      <c r="N95" s="162">
        <f>(((1+N94)^Inputs!N$97)-1)/N94</f>
        <v>0.24476761806685074</v>
      </c>
      <c r="O95" s="30"/>
    </row>
    <row r="96" spans="1:15" x14ac:dyDescent="0.45">
      <c r="A96" s="156" t="s">
        <v>187</v>
      </c>
      <c r="B96" s="126" t="s">
        <v>19</v>
      </c>
      <c r="C96" s="126"/>
      <c r="D96" s="130">
        <f>D93*D95</f>
        <v>1346.7916523670929</v>
      </c>
      <c r="E96" s="130">
        <f t="shared" ref="E96:N96" si="25">E93*E95</f>
        <v>8626.3280527690022</v>
      </c>
      <c r="F96" s="130">
        <f t="shared" si="25"/>
        <v>14869.984653682539</v>
      </c>
      <c r="G96" s="130">
        <f t="shared" si="25"/>
        <v>12009.128452290815</v>
      </c>
      <c r="H96" s="130">
        <f t="shared" si="25"/>
        <v>4671.3705031405598</v>
      </c>
      <c r="I96" s="130">
        <f t="shared" si="25"/>
        <v>6273.203598654577</v>
      </c>
      <c r="J96" s="130">
        <f t="shared" si="25"/>
        <v>5037.3519146784929</v>
      </c>
      <c r="K96" s="130">
        <f t="shared" si="25"/>
        <v>3738.7611888916308</v>
      </c>
      <c r="L96" s="130">
        <f t="shared" si="25"/>
        <v>1681.3692910919424</v>
      </c>
      <c r="M96" s="130">
        <f t="shared" si="25"/>
        <v>311.65221503696114</v>
      </c>
      <c r="N96" s="130">
        <f t="shared" si="25"/>
        <v>110.21564821259454</v>
      </c>
      <c r="O96" s="30"/>
    </row>
    <row r="97" spans="1:16" ht="16.899999999999999" x14ac:dyDescent="0.5">
      <c r="A97" s="127" t="s">
        <v>162</v>
      </c>
      <c r="B97" s="126" t="s">
        <v>19</v>
      </c>
      <c r="C97" s="126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9">
        <f>SUM(D96:N96)</f>
        <v>58676.157170816201</v>
      </c>
      <c r="O97" s="30"/>
    </row>
    <row r="98" spans="1:16" ht="16.899999999999999" x14ac:dyDescent="0.5">
      <c r="A98" s="67"/>
      <c r="B98" s="202"/>
      <c r="C98" s="202"/>
      <c r="D98" s="139"/>
      <c r="E98" s="138"/>
      <c r="F98" s="138"/>
      <c r="G98" s="138"/>
      <c r="H98" s="138"/>
      <c r="I98" s="138"/>
      <c r="J98" s="138"/>
      <c r="K98" s="138"/>
      <c r="L98" s="138"/>
      <c r="M98" s="138"/>
      <c r="N98" s="177"/>
      <c r="O98" s="30"/>
    </row>
    <row r="99" spans="1:16" s="81" customFormat="1" ht="18.399999999999999" customHeight="1" x14ac:dyDescent="0.65">
      <c r="A99" s="47" t="s">
        <v>48</v>
      </c>
      <c r="O99" s="30"/>
      <c r="P99" s="82"/>
    </row>
    <row r="100" spans="1:16" x14ac:dyDescent="0.45">
      <c r="A100" s="55" t="s">
        <v>44</v>
      </c>
      <c r="B100" s="39" t="s">
        <v>19</v>
      </c>
      <c r="C100" s="39"/>
      <c r="D100" s="212">
        <f>Inputs!C$24</f>
        <v>1720874.0362200001</v>
      </c>
      <c r="E100" s="35">
        <f>D103</f>
        <v>1764392.4397886884</v>
      </c>
      <c r="F100" s="35">
        <f t="shared" ref="F100:N100" si="26">E103</f>
        <v>2125459.1572077051</v>
      </c>
      <c r="G100" s="35">
        <f t="shared" si="26"/>
        <v>2438449.5922829504</v>
      </c>
      <c r="H100" s="35">
        <f t="shared" si="26"/>
        <v>2736473.5772174499</v>
      </c>
      <c r="I100" s="35">
        <f t="shared" si="26"/>
        <v>2922991.760430892</v>
      </c>
      <c r="J100" s="35">
        <f t="shared" si="26"/>
        <v>3139936.8133205469</v>
      </c>
      <c r="K100" s="35">
        <f t="shared" si="26"/>
        <v>3401790.5193637121</v>
      </c>
      <c r="L100" s="35">
        <f t="shared" si="26"/>
        <v>3716594.1545808641</v>
      </c>
      <c r="M100" s="35">
        <f t="shared" si="26"/>
        <v>3933971.8339509484</v>
      </c>
      <c r="N100" s="35">
        <f t="shared" si="26"/>
        <v>4169637.3393688649</v>
      </c>
      <c r="O100" s="30"/>
      <c r="P100" s="38"/>
    </row>
    <row r="101" spans="1:16" x14ac:dyDescent="0.45">
      <c r="A101" s="55" t="s">
        <v>86</v>
      </c>
      <c r="B101" s="39" t="s">
        <v>19</v>
      </c>
      <c r="C101" s="39"/>
      <c r="D101" s="105">
        <f>Inputs!D$26</f>
        <v>257494.88628000001</v>
      </c>
      <c r="E101" s="105">
        <f>Inputs!E$26</f>
        <v>689794.65891000035</v>
      </c>
      <c r="F101" s="105">
        <f>Inputs!F$26</f>
        <v>637080.12047999969</v>
      </c>
      <c r="G101" s="105">
        <f>Inputs!G$26</f>
        <v>649066.95363999449</v>
      </c>
      <c r="H101" s="105">
        <f>Inputs!H$26</f>
        <v>549858.35795999807</v>
      </c>
      <c r="I101" s="105">
        <f>Inputs!I$26</f>
        <v>603368.46125000448</v>
      </c>
      <c r="J101" s="105">
        <f>Inputs!J$26</f>
        <v>719544.44072001299</v>
      </c>
      <c r="K101" s="105">
        <f>Inputs!K$26</f>
        <v>778303.67083000438</v>
      </c>
      <c r="L101" s="105">
        <f>Inputs!L$26</f>
        <v>682668.16201997537</v>
      </c>
      <c r="M101" s="105">
        <f>Inputs!M$26</f>
        <v>660006.34038350685</v>
      </c>
      <c r="N101" s="105">
        <f>Inputs!N$26</f>
        <v>521415.95825892402</v>
      </c>
      <c r="O101" s="30"/>
      <c r="P101" s="38"/>
    </row>
    <row r="102" spans="1:16" x14ac:dyDescent="0.45">
      <c r="A102" s="55" t="s">
        <v>45</v>
      </c>
      <c r="B102" s="39" t="s">
        <v>19</v>
      </c>
      <c r="C102" s="39"/>
      <c r="D102" s="105">
        <f>-Inputs!D30</f>
        <v>-213976.48271131158</v>
      </c>
      <c r="E102" s="105">
        <f>-Inputs!E30</f>
        <v>-328727.94149098347</v>
      </c>
      <c r="F102" s="105">
        <f>-Inputs!F30</f>
        <v>-324089.68540475424</v>
      </c>
      <c r="G102" s="105">
        <f>-Inputs!G30</f>
        <v>-351042.96870549495</v>
      </c>
      <c r="H102" s="105">
        <f>-Inputs!H30</f>
        <v>-363340.17474655603</v>
      </c>
      <c r="I102" s="105">
        <f>-Inputs!I30</f>
        <v>-386423.40836034965</v>
      </c>
      <c r="J102" s="105">
        <f>-Inputs!J30</f>
        <v>-457690.73467684753</v>
      </c>
      <c r="K102" s="105">
        <f>-Inputs!K30</f>
        <v>-463500.03561285255</v>
      </c>
      <c r="L102" s="105">
        <f>-Inputs!L30</f>
        <v>-465290.48264989129</v>
      </c>
      <c r="M102" s="105">
        <f>-Inputs!M30</f>
        <v>-424340.83496559033</v>
      </c>
      <c r="N102" s="105">
        <f>-Inputs!N30</f>
        <v>-213152.35333732318</v>
      </c>
      <c r="O102" s="30"/>
      <c r="P102" s="38"/>
    </row>
    <row r="103" spans="1:16" x14ac:dyDescent="0.45">
      <c r="A103" s="55" t="s">
        <v>46</v>
      </c>
      <c r="B103" s="39" t="s">
        <v>19</v>
      </c>
      <c r="C103" s="39"/>
      <c r="D103" s="50">
        <f>SUM(D100:D102)</f>
        <v>1764392.4397886884</v>
      </c>
      <c r="E103" s="50">
        <f>SUM(E100:E102)</f>
        <v>2125459.1572077051</v>
      </c>
      <c r="F103" s="50">
        <f t="shared" ref="F103:N103" si="27">SUM(F100:F102)</f>
        <v>2438449.5922829504</v>
      </c>
      <c r="G103" s="50">
        <f t="shared" si="27"/>
        <v>2736473.5772174499</v>
      </c>
      <c r="H103" s="50">
        <f t="shared" si="27"/>
        <v>2922991.760430892</v>
      </c>
      <c r="I103" s="50">
        <f t="shared" si="27"/>
        <v>3139936.8133205469</v>
      </c>
      <c r="J103" s="50">
        <f t="shared" si="27"/>
        <v>3401790.5193637121</v>
      </c>
      <c r="K103" s="50">
        <f t="shared" si="27"/>
        <v>3716594.1545808641</v>
      </c>
      <c r="L103" s="50">
        <f t="shared" si="27"/>
        <v>3933971.8339509484</v>
      </c>
      <c r="M103" s="50">
        <f t="shared" si="27"/>
        <v>4169637.3393688649</v>
      </c>
      <c r="N103" s="50">
        <f t="shared" si="27"/>
        <v>4477900.9442904657</v>
      </c>
      <c r="O103" s="30"/>
      <c r="P103" s="38"/>
    </row>
    <row r="104" spans="1:16" x14ac:dyDescent="0.45">
      <c r="A104" s="4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30"/>
    </row>
    <row r="105" spans="1:16" s="81" customFormat="1" ht="18.399999999999999" customHeight="1" x14ac:dyDescent="0.65">
      <c r="A105" s="47" t="s">
        <v>47</v>
      </c>
      <c r="O105" s="30"/>
      <c r="P105" s="82"/>
    </row>
    <row r="106" spans="1:16" x14ac:dyDescent="0.45">
      <c r="A106" s="55" t="s">
        <v>44</v>
      </c>
      <c r="B106" s="39" t="s">
        <v>19</v>
      </c>
      <c r="C106" s="39"/>
      <c r="D106" s="212">
        <f>Inputs!C$25</f>
        <v>27781.774907852228</v>
      </c>
      <c r="E106" s="35">
        <f>D110</f>
        <v>161192.2001372962</v>
      </c>
      <c r="F106" s="35">
        <f t="shared" ref="F106:N106" si="28">E110</f>
        <v>540451.13917207567</v>
      </c>
      <c r="G106" s="35">
        <f t="shared" si="28"/>
        <v>884537.04396997241</v>
      </c>
      <c r="H106" s="35">
        <f t="shared" si="28"/>
        <v>1247416.1534500651</v>
      </c>
      <c r="I106" s="35">
        <f t="shared" si="28"/>
        <v>1481409.8572240628</v>
      </c>
      <c r="J106" s="35">
        <f t="shared" si="28"/>
        <v>1767725.7152305173</v>
      </c>
      <c r="K106" s="35">
        <f t="shared" si="28"/>
        <v>2071991.8697458822</v>
      </c>
      <c r="L106" s="35">
        <f t="shared" si="28"/>
        <v>2469395.3553269962</v>
      </c>
      <c r="M106" s="35">
        <f t="shared" si="28"/>
        <v>2718549.0546716237</v>
      </c>
      <c r="N106" s="35">
        <f t="shared" si="28"/>
        <v>3015023.2176138628</v>
      </c>
      <c r="O106" s="30"/>
      <c r="P106" s="38"/>
    </row>
    <row r="107" spans="1:16" x14ac:dyDescent="0.45">
      <c r="A107" s="55" t="s">
        <v>83</v>
      </c>
      <c r="B107" s="39" t="s">
        <v>19</v>
      </c>
      <c r="C107" s="39"/>
      <c r="D107" s="105">
        <f>Inputs!D$27</f>
        <v>137403.32030160259</v>
      </c>
      <c r="E107" s="105">
        <f>Inputs!E$27</f>
        <v>418445.75608813763</v>
      </c>
      <c r="F107" s="105">
        <f>Inputs!F$27</f>
        <v>418204.00519816898</v>
      </c>
      <c r="G107" s="105">
        <f>Inputs!G$27</f>
        <v>483418.19127099292</v>
      </c>
      <c r="H107" s="105">
        <f>Inputs!H$27</f>
        <v>386388.54658560909</v>
      </c>
      <c r="I107" s="105">
        <f>Inputs!I$27</f>
        <v>466417.01174512121</v>
      </c>
      <c r="J107" s="105">
        <f>Inputs!J$27</f>
        <v>504031.09455382742</v>
      </c>
      <c r="K107" s="105">
        <f>Inputs!K$27</f>
        <v>645702.79743938672</v>
      </c>
      <c r="L107" s="105">
        <f>Inputs!L$27</f>
        <v>535982.85324586672</v>
      </c>
      <c r="M107" s="105">
        <f>Inputs!M$27</f>
        <v>580120.69630382326</v>
      </c>
      <c r="N107" s="105">
        <f>Inputs!N$27</f>
        <v>224664.47123346184</v>
      </c>
      <c r="O107" s="30"/>
      <c r="P107" s="38"/>
    </row>
    <row r="108" spans="1:16" x14ac:dyDescent="0.45">
      <c r="A108" s="55" t="s">
        <v>45</v>
      </c>
      <c r="B108" s="39" t="s">
        <v>19</v>
      </c>
      <c r="C108" s="39"/>
      <c r="D108" s="105">
        <f>-Inputs!D31</f>
        <v>-7726.6289525020675</v>
      </c>
      <c r="E108" s="105">
        <f>-Inputs!E31</f>
        <v>-44647.373680668527</v>
      </c>
      <c r="F108" s="105">
        <f>-Inputs!F31</f>
        <v>-88047.612336315593</v>
      </c>
      <c r="G108" s="105">
        <f>-Inputs!G31</f>
        <v>-142482.86816840945</v>
      </c>
      <c r="H108" s="105">
        <f>-Inputs!H31</f>
        <v>-182443.67205005314</v>
      </c>
      <c r="I108" s="105">
        <f>-Inputs!I31</f>
        <v>-216171.73276130843</v>
      </c>
      <c r="J108" s="105">
        <f>-Inputs!J31</f>
        <v>-245813.03614217381</v>
      </c>
      <c r="K108" s="105">
        <f>-Inputs!K31</f>
        <v>-287180.18946740124</v>
      </c>
      <c r="L108" s="105">
        <f>-Inputs!L31</f>
        <v>-314739.9880748713</v>
      </c>
      <c r="M108" s="105">
        <f>-Inputs!M31</f>
        <v>-302127.2270398665</v>
      </c>
      <c r="N108" s="105">
        <f>-Inputs!N31</f>
        <v>-156780.72584807355</v>
      </c>
      <c r="O108" s="30"/>
      <c r="P108" s="38"/>
    </row>
    <row r="109" spans="1:16" x14ac:dyDescent="0.45">
      <c r="A109" s="55" t="s">
        <v>88</v>
      </c>
      <c r="B109" s="39" t="s">
        <v>19</v>
      </c>
      <c r="C109" s="39"/>
      <c r="D109" s="105">
        <f>Inputs!D$32</f>
        <v>3733.7338803434372</v>
      </c>
      <c r="E109" s="105">
        <f>Inputs!E$32</f>
        <v>5460.5566273103359</v>
      </c>
      <c r="F109" s="105">
        <f>Inputs!F$32</f>
        <v>13929.511936043382</v>
      </c>
      <c r="G109" s="105">
        <f>Inputs!G$32</f>
        <v>21943.786377509117</v>
      </c>
      <c r="H109" s="105">
        <f>Inputs!H$32</f>
        <v>30048.829238441944</v>
      </c>
      <c r="I109" s="105">
        <f>Inputs!I$32</f>
        <v>36070.579022641898</v>
      </c>
      <c r="J109" s="105">
        <f>Inputs!J$32</f>
        <v>46048.096103711126</v>
      </c>
      <c r="K109" s="105">
        <f>Inputs!K$32</f>
        <v>38880.877609128474</v>
      </c>
      <c r="L109" s="105">
        <f>Inputs!L$32</f>
        <v>27910.834173632145</v>
      </c>
      <c r="M109" s="105">
        <f>Inputs!M$32</f>
        <v>18480.693678282736</v>
      </c>
      <c r="N109" s="105">
        <f>Inputs!N$32</f>
        <v>-3082906.9629992517</v>
      </c>
      <c r="O109" s="30"/>
      <c r="P109" s="38"/>
    </row>
    <row r="110" spans="1:16" x14ac:dyDescent="0.45">
      <c r="A110" s="55" t="s">
        <v>46</v>
      </c>
      <c r="B110" s="39" t="s">
        <v>19</v>
      </c>
      <c r="C110" s="39"/>
      <c r="D110" s="50">
        <f t="shared" ref="D110:N110" si="29">SUM(D106:D109)</f>
        <v>161192.2001372962</v>
      </c>
      <c r="E110" s="50">
        <f t="shared" si="29"/>
        <v>540451.13917207567</v>
      </c>
      <c r="F110" s="50">
        <f t="shared" si="29"/>
        <v>884537.04396997241</v>
      </c>
      <c r="G110" s="50">
        <f t="shared" si="29"/>
        <v>1247416.1534500651</v>
      </c>
      <c r="H110" s="50">
        <f t="shared" si="29"/>
        <v>1481409.8572240628</v>
      </c>
      <c r="I110" s="50">
        <f t="shared" si="29"/>
        <v>1767725.7152305173</v>
      </c>
      <c r="J110" s="50">
        <f t="shared" si="29"/>
        <v>2071991.8697458822</v>
      </c>
      <c r="K110" s="50">
        <f t="shared" si="29"/>
        <v>2469395.3553269962</v>
      </c>
      <c r="L110" s="50">
        <f t="shared" si="29"/>
        <v>2718549.0546716237</v>
      </c>
      <c r="M110" s="50">
        <f t="shared" si="29"/>
        <v>3015023.2176138628</v>
      </c>
      <c r="N110" s="50">
        <f t="shared" si="29"/>
        <v>0</v>
      </c>
      <c r="O110" s="30"/>
      <c r="P110" s="38"/>
    </row>
    <row r="111" spans="1:16" x14ac:dyDescent="0.45">
      <c r="O111" s="30"/>
    </row>
    <row r="112" spans="1:16" s="94" customFormat="1" ht="21" x14ac:dyDescent="0.65">
      <c r="A112" s="93" t="s">
        <v>49</v>
      </c>
      <c r="D112" s="98" t="s">
        <v>90</v>
      </c>
      <c r="E112" s="98" t="s">
        <v>55</v>
      </c>
      <c r="F112" s="98" t="s">
        <v>55</v>
      </c>
      <c r="G112" s="98" t="s">
        <v>55</v>
      </c>
      <c r="H112" s="98" t="s">
        <v>55</v>
      </c>
      <c r="I112" s="98" t="s">
        <v>55</v>
      </c>
      <c r="J112" s="98" t="s">
        <v>55</v>
      </c>
      <c r="K112" s="98" t="s">
        <v>55</v>
      </c>
      <c r="L112" s="98" t="s">
        <v>55</v>
      </c>
      <c r="M112" s="98" t="s">
        <v>55</v>
      </c>
      <c r="N112" s="98" t="s">
        <v>91</v>
      </c>
      <c r="O112" s="30"/>
    </row>
    <row r="113" spans="1:16" x14ac:dyDescent="0.45">
      <c r="D113" s="99">
        <f>Inputs!D55</f>
        <v>41090</v>
      </c>
      <c r="E113" s="99">
        <f>Inputs!E55</f>
        <v>41455</v>
      </c>
      <c r="F113" s="99">
        <f>Inputs!F55</f>
        <v>41820</v>
      </c>
      <c r="G113" s="99">
        <f>Inputs!G55</f>
        <v>42185</v>
      </c>
      <c r="H113" s="99">
        <f>Inputs!H55</f>
        <v>42551</v>
      </c>
      <c r="I113" s="99">
        <f>Inputs!I55</f>
        <v>42916</v>
      </c>
      <c r="J113" s="99">
        <f>Inputs!J55</f>
        <v>43281</v>
      </c>
      <c r="K113" s="99">
        <f>Inputs!K55</f>
        <v>43646</v>
      </c>
      <c r="L113" s="99">
        <f>Inputs!L55</f>
        <v>44012</v>
      </c>
      <c r="M113" s="99">
        <f>Inputs!M55</f>
        <v>44377</v>
      </c>
      <c r="N113" s="99">
        <f>Inputs!N55</f>
        <v>44561</v>
      </c>
      <c r="O113" s="30"/>
    </row>
    <row r="114" spans="1:16" s="81" customFormat="1" ht="18.399999999999999" customHeight="1" x14ac:dyDescent="0.65">
      <c r="A114" s="47" t="s">
        <v>35</v>
      </c>
      <c r="O114" s="30"/>
      <c r="P114" s="82"/>
    </row>
    <row r="115" spans="1:16" x14ac:dyDescent="0.45">
      <c r="A115" s="55" t="s">
        <v>70</v>
      </c>
      <c r="B115" s="39" t="s">
        <v>19</v>
      </c>
      <c r="C115" s="39"/>
      <c r="D115" s="105">
        <f>Inputs!D28</f>
        <v>17116.446689967615</v>
      </c>
      <c r="E115" s="105">
        <f>Inputs!E28</f>
        <v>38775.516098672451</v>
      </c>
      <c r="F115" s="105">
        <f>Inputs!F28</f>
        <v>50443.199881392167</v>
      </c>
      <c r="G115" s="105">
        <f>Inputs!G28</f>
        <v>86774.934718839533</v>
      </c>
      <c r="H115" s="105">
        <f>Inputs!H28</f>
        <v>107511.70291674967</v>
      </c>
      <c r="I115" s="105">
        <f>Inputs!I28</f>
        <v>172388.28472725282</v>
      </c>
      <c r="J115" s="105">
        <f>Inputs!J28</f>
        <v>245169.1505022702</v>
      </c>
      <c r="K115" s="105">
        <f>Inputs!K28</f>
        <v>342165.4907870263</v>
      </c>
      <c r="L115" s="105">
        <f>Inputs!L28</f>
        <v>445309.65151830873</v>
      </c>
      <c r="M115" s="105">
        <f>Inputs!M28</f>
        <v>536053.02980895794</v>
      </c>
      <c r="N115" s="105">
        <f>Inputs!N28</f>
        <v>311559.13508736086</v>
      </c>
      <c r="O115" s="30"/>
      <c r="P115" s="38"/>
    </row>
    <row r="116" spans="1:16" x14ac:dyDescent="0.45">
      <c r="A116" s="55" t="s">
        <v>75</v>
      </c>
      <c r="B116" s="39" t="s">
        <v>19</v>
      </c>
      <c r="C116" s="39"/>
      <c r="D116" s="105">
        <f>-Inputs!D29</f>
        <v>-18626.082889777044</v>
      </c>
      <c r="E116" s="105">
        <f>-Inputs!E29</f>
        <v>-42443.043970947052</v>
      </c>
      <c r="F116" s="105">
        <f>-Inputs!F29</f>
        <v>-49748.923819245509</v>
      </c>
      <c r="G116" s="105">
        <f>-Inputs!G29</f>
        <v>-81066.426613914489</v>
      </c>
      <c r="H116" s="105">
        <f>-Inputs!H29</f>
        <v>-105524.89070587675</v>
      </c>
      <c r="I116" s="105">
        <f>-Inputs!I29</f>
        <v>-118170.3290889151</v>
      </c>
      <c r="J116" s="105">
        <f>-Inputs!J29</f>
        <v>-128082.41322549486</v>
      </c>
      <c r="K116" s="105">
        <f>-Inputs!K29</f>
        <v>-147610.92701476743</v>
      </c>
      <c r="L116" s="105">
        <f>-Inputs!L29</f>
        <v>-165715.60585813451</v>
      </c>
      <c r="M116" s="105">
        <f>-Inputs!M29</f>
        <v>-171172.90625620793</v>
      </c>
      <c r="N116" s="105">
        <f>-Inputs!N29</f>
        <v>-90813.945642536462</v>
      </c>
      <c r="O116" s="30"/>
      <c r="P116" s="38"/>
    </row>
    <row r="117" spans="1:16" x14ac:dyDescent="0.45">
      <c r="A117" s="156" t="s">
        <v>103</v>
      </c>
      <c r="B117" s="126" t="s">
        <v>19</v>
      </c>
      <c r="C117" s="126"/>
      <c r="D117" s="167">
        <f>-D341</f>
        <v>-1066.8625893267319</v>
      </c>
      <c r="E117" s="167">
        <f t="shared" ref="E117:N117" si="30">-E341</f>
        <v>-5204.6950026541344</v>
      </c>
      <c r="F117" s="167">
        <f t="shared" si="30"/>
        <v>-9687.6082957904364</v>
      </c>
      <c r="G117" s="167">
        <f t="shared" si="30"/>
        <v>-14747.356654761385</v>
      </c>
      <c r="H117" s="167">
        <f t="shared" si="30"/>
        <v>-20290.555417138006</v>
      </c>
      <c r="I117" s="167">
        <f t="shared" si="30"/>
        <v>-25168.345920751555</v>
      </c>
      <c r="J117" s="167">
        <f t="shared" si="30"/>
        <v>-30585.706080315875</v>
      </c>
      <c r="K117" s="167">
        <f t="shared" si="30"/>
        <v>-36273.445220553825</v>
      </c>
      <c r="L117" s="167">
        <f t="shared" si="30"/>
        <v>-40700.079787442504</v>
      </c>
      <c r="M117" s="167">
        <f t="shared" si="30"/>
        <v>-42388.154931778277</v>
      </c>
      <c r="N117" s="167">
        <f t="shared" si="30"/>
        <v>-20945.860934974549</v>
      </c>
      <c r="O117" s="30"/>
      <c r="P117" s="38"/>
    </row>
    <row r="118" spans="1:16" x14ac:dyDescent="0.45">
      <c r="A118" s="55" t="s">
        <v>4</v>
      </c>
      <c r="B118" s="39" t="s">
        <v>19</v>
      </c>
      <c r="C118" s="39"/>
      <c r="D118" s="35">
        <f t="shared" ref="D118:N118" si="31">D108</f>
        <v>-7726.6289525020675</v>
      </c>
      <c r="E118" s="35">
        <f t="shared" si="31"/>
        <v>-44647.373680668527</v>
      </c>
      <c r="F118" s="35">
        <f t="shared" si="31"/>
        <v>-88047.612336315593</v>
      </c>
      <c r="G118" s="35">
        <f t="shared" si="31"/>
        <v>-142482.86816840945</v>
      </c>
      <c r="H118" s="35">
        <f t="shared" si="31"/>
        <v>-182443.67205005314</v>
      </c>
      <c r="I118" s="35">
        <f t="shared" si="31"/>
        <v>-216171.73276130843</v>
      </c>
      <c r="J118" s="35">
        <f t="shared" si="31"/>
        <v>-245813.03614217381</v>
      </c>
      <c r="K118" s="35">
        <f t="shared" si="31"/>
        <v>-287180.18946740124</v>
      </c>
      <c r="L118" s="35">
        <f t="shared" si="31"/>
        <v>-314739.9880748713</v>
      </c>
      <c r="M118" s="35">
        <f t="shared" si="31"/>
        <v>-302127.2270398665</v>
      </c>
      <c r="N118" s="35">
        <f t="shared" si="31"/>
        <v>-156780.72584807355</v>
      </c>
      <c r="O118" s="30"/>
      <c r="P118" s="38"/>
    </row>
    <row r="119" spans="1:16" x14ac:dyDescent="0.45">
      <c r="A119" s="55" t="s">
        <v>80</v>
      </c>
      <c r="B119" s="39" t="s">
        <v>19</v>
      </c>
      <c r="C119" s="39"/>
      <c r="D119" s="50">
        <f>SUM(D115:D118)</f>
        <v>-10303.127741638229</v>
      </c>
      <c r="E119" s="50">
        <f t="shared" ref="E119:N119" si="32">SUM(E115:E118)</f>
        <v>-53519.596555597265</v>
      </c>
      <c r="F119" s="50">
        <f t="shared" si="32"/>
        <v>-97040.944569959363</v>
      </c>
      <c r="G119" s="50">
        <f t="shared" si="32"/>
        <v>-151521.71671824579</v>
      </c>
      <c r="H119" s="50">
        <f t="shared" si="32"/>
        <v>-200747.41525631823</v>
      </c>
      <c r="I119" s="50">
        <f t="shared" si="32"/>
        <v>-187122.12304372227</v>
      </c>
      <c r="J119" s="50">
        <f t="shared" si="32"/>
        <v>-159312.00494571435</v>
      </c>
      <c r="K119" s="50">
        <f t="shared" si="32"/>
        <v>-128899.07091569621</v>
      </c>
      <c r="L119" s="50">
        <f t="shared" si="32"/>
        <v>-75846.022202139604</v>
      </c>
      <c r="M119" s="50">
        <f t="shared" si="32"/>
        <v>20364.74158110522</v>
      </c>
      <c r="N119" s="50">
        <f t="shared" si="32"/>
        <v>43018.602661776327</v>
      </c>
      <c r="O119" s="30"/>
      <c r="P119" s="38"/>
    </row>
    <row r="120" spans="1:16" x14ac:dyDescent="0.45">
      <c r="A120" s="55" t="s">
        <v>89</v>
      </c>
      <c r="B120" s="39" t="s">
        <v>19</v>
      </c>
      <c r="C120" s="39"/>
      <c r="D120" s="105">
        <f>D119*Inputs!D33</f>
        <v>-2884.8757676587043</v>
      </c>
      <c r="E120" s="105">
        <f>E119*Inputs!E33</f>
        <v>-14985.487035567236</v>
      </c>
      <c r="F120" s="105">
        <f>F119*Inputs!F33</f>
        <v>-27171.464479588623</v>
      </c>
      <c r="G120" s="105">
        <f>G119*Inputs!G33</f>
        <v>-42426.080681108826</v>
      </c>
      <c r="H120" s="105">
        <f>H119*Inputs!H33</f>
        <v>-56209.276271769108</v>
      </c>
      <c r="I120" s="105">
        <f>I119*Inputs!I33</f>
        <v>-52394.194452242242</v>
      </c>
      <c r="J120" s="105">
        <f>J119*Inputs!J33</f>
        <v>-44607.361384800024</v>
      </c>
      <c r="K120" s="105">
        <f>K119*Inputs!K33</f>
        <v>-36091.739856394939</v>
      </c>
      <c r="L120" s="105">
        <f>L119*Inputs!L33</f>
        <v>-21236.88621659909</v>
      </c>
      <c r="M120" s="105">
        <f>M119*Inputs!M33</f>
        <v>5702.1276427094617</v>
      </c>
      <c r="N120" s="105">
        <f>N119*Inputs!N33</f>
        <v>12045.208745297372</v>
      </c>
      <c r="O120" s="30"/>
      <c r="P120" s="38"/>
    </row>
    <row r="121" spans="1:16" x14ac:dyDescent="0.45">
      <c r="A121" s="33" t="s">
        <v>66</v>
      </c>
      <c r="B121" s="39" t="s">
        <v>19</v>
      </c>
      <c r="C121" s="39"/>
      <c r="D121" s="109">
        <f t="shared" ref="D121:N121" si="33">IF(D120&lt;0,0,D120-D126)</f>
        <v>0</v>
      </c>
      <c r="E121" s="109">
        <f t="shared" si="33"/>
        <v>0</v>
      </c>
      <c r="F121" s="109">
        <f t="shared" si="33"/>
        <v>0</v>
      </c>
      <c r="G121" s="109">
        <f t="shared" si="33"/>
        <v>0</v>
      </c>
      <c r="H121" s="109">
        <f t="shared" si="33"/>
        <v>0</v>
      </c>
      <c r="I121" s="109">
        <f t="shared" si="33"/>
        <v>0</v>
      </c>
      <c r="J121" s="109">
        <f t="shared" si="33"/>
        <v>0</v>
      </c>
      <c r="K121" s="109">
        <f t="shared" si="33"/>
        <v>0</v>
      </c>
      <c r="L121" s="109">
        <f t="shared" si="33"/>
        <v>0</v>
      </c>
      <c r="M121" s="109">
        <f t="shared" si="33"/>
        <v>0</v>
      </c>
      <c r="N121" s="109">
        <f t="shared" si="33"/>
        <v>0</v>
      </c>
      <c r="O121" s="30"/>
      <c r="P121" s="38"/>
    </row>
    <row r="122" spans="1:16" ht="12.75" customHeight="1" x14ac:dyDescent="0.45">
      <c r="O122" s="30"/>
    </row>
    <row r="123" spans="1:16" ht="16.5" customHeight="1" x14ac:dyDescent="0.65">
      <c r="A123" s="47" t="s">
        <v>144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30"/>
    </row>
    <row r="124" spans="1:16" x14ac:dyDescent="0.45">
      <c r="A124" s="190" t="s">
        <v>145</v>
      </c>
      <c r="B124" s="39" t="s">
        <v>19</v>
      </c>
      <c r="C124" s="39"/>
      <c r="D124" s="212">
        <v>0</v>
      </c>
      <c r="E124" s="35">
        <f t="shared" ref="E124:N124" si="34">D127</f>
        <v>-2884.8757676587043</v>
      </c>
      <c r="F124" s="35">
        <f t="shared" si="34"/>
        <v>-17870.36280322594</v>
      </c>
      <c r="G124" s="35">
        <f t="shared" si="34"/>
        <v>-45041.827282814564</v>
      </c>
      <c r="H124" s="35">
        <f t="shared" si="34"/>
        <v>-87467.907963923382</v>
      </c>
      <c r="I124" s="35">
        <f t="shared" si="34"/>
        <v>-143677.18423569249</v>
      </c>
      <c r="J124" s="35">
        <f t="shared" si="34"/>
        <v>-196071.37868793472</v>
      </c>
      <c r="K124" s="35">
        <f t="shared" si="34"/>
        <v>-240678.74007273474</v>
      </c>
      <c r="L124" s="35">
        <f t="shared" si="34"/>
        <v>-276770.47992912971</v>
      </c>
      <c r="M124" s="35">
        <f t="shared" si="34"/>
        <v>-298007.3661457288</v>
      </c>
      <c r="N124" s="35">
        <f t="shared" si="34"/>
        <v>-292305.23850301933</v>
      </c>
      <c r="O124" s="30"/>
    </row>
    <row r="125" spans="1:16" x14ac:dyDescent="0.45">
      <c r="A125" s="190" t="s">
        <v>146</v>
      </c>
      <c r="B125" s="39" t="s">
        <v>19</v>
      </c>
      <c r="C125" s="39"/>
      <c r="D125" s="35">
        <f t="shared" ref="D125:N125" si="35">IF(D120&lt;0,D120,0)</f>
        <v>-2884.8757676587043</v>
      </c>
      <c r="E125" s="35">
        <f t="shared" si="35"/>
        <v>-14985.487035567236</v>
      </c>
      <c r="F125" s="35">
        <f t="shared" si="35"/>
        <v>-27171.464479588623</v>
      </c>
      <c r="G125" s="35">
        <f t="shared" si="35"/>
        <v>-42426.080681108826</v>
      </c>
      <c r="H125" s="35">
        <f t="shared" si="35"/>
        <v>-56209.276271769108</v>
      </c>
      <c r="I125" s="35">
        <f t="shared" si="35"/>
        <v>-52394.194452242242</v>
      </c>
      <c r="J125" s="35">
        <f t="shared" si="35"/>
        <v>-44607.361384800024</v>
      </c>
      <c r="K125" s="35">
        <f t="shared" si="35"/>
        <v>-36091.739856394939</v>
      </c>
      <c r="L125" s="35">
        <f t="shared" si="35"/>
        <v>-21236.88621659909</v>
      </c>
      <c r="M125" s="35">
        <f t="shared" si="35"/>
        <v>0</v>
      </c>
      <c r="N125" s="35">
        <f t="shared" si="35"/>
        <v>0</v>
      </c>
      <c r="O125" s="30"/>
    </row>
    <row r="126" spans="1:16" x14ac:dyDescent="0.45">
      <c r="A126" s="190" t="s">
        <v>147</v>
      </c>
      <c r="B126" s="39" t="s">
        <v>19</v>
      </c>
      <c r="C126" s="39"/>
      <c r="D126" s="146">
        <f t="shared" ref="D126:N126" si="36">IF(D125&lt;0,0,IF(D125=0,IF(D124&gt;-D120,-D124,D120)))</f>
        <v>0</v>
      </c>
      <c r="E126" s="146">
        <f t="shared" si="36"/>
        <v>0</v>
      </c>
      <c r="F126" s="146">
        <f t="shared" si="36"/>
        <v>0</v>
      </c>
      <c r="G126" s="146">
        <f t="shared" si="36"/>
        <v>0</v>
      </c>
      <c r="H126" s="146">
        <f t="shared" si="36"/>
        <v>0</v>
      </c>
      <c r="I126" s="146">
        <f t="shared" si="36"/>
        <v>0</v>
      </c>
      <c r="J126" s="146">
        <f t="shared" si="36"/>
        <v>0</v>
      </c>
      <c r="K126" s="146">
        <f t="shared" si="36"/>
        <v>0</v>
      </c>
      <c r="L126" s="146">
        <f t="shared" si="36"/>
        <v>0</v>
      </c>
      <c r="M126" s="146">
        <f t="shared" si="36"/>
        <v>5702.1276427094617</v>
      </c>
      <c r="N126" s="146">
        <f t="shared" si="36"/>
        <v>12045.208745297372</v>
      </c>
      <c r="O126" s="30"/>
    </row>
    <row r="127" spans="1:16" x14ac:dyDescent="0.45">
      <c r="A127" s="49" t="s">
        <v>148</v>
      </c>
      <c r="B127" s="39" t="s">
        <v>19</v>
      </c>
      <c r="C127" s="39"/>
      <c r="D127" s="74">
        <f>SUM(D124:D126)</f>
        <v>-2884.8757676587043</v>
      </c>
      <c r="E127" s="74">
        <f t="shared" ref="E127:N127" si="37">SUM(E124:E126)</f>
        <v>-17870.36280322594</v>
      </c>
      <c r="F127" s="74">
        <f t="shared" si="37"/>
        <v>-45041.827282814564</v>
      </c>
      <c r="G127" s="74">
        <f t="shared" si="37"/>
        <v>-87467.907963923382</v>
      </c>
      <c r="H127" s="74">
        <f t="shared" si="37"/>
        <v>-143677.18423569249</v>
      </c>
      <c r="I127" s="74">
        <f t="shared" si="37"/>
        <v>-196071.37868793472</v>
      </c>
      <c r="J127" s="74">
        <f t="shared" si="37"/>
        <v>-240678.74007273474</v>
      </c>
      <c r="K127" s="74">
        <f t="shared" si="37"/>
        <v>-276770.47992912971</v>
      </c>
      <c r="L127" s="74">
        <f t="shared" si="37"/>
        <v>-298007.3661457288</v>
      </c>
      <c r="M127" s="74">
        <f t="shared" si="37"/>
        <v>-292305.23850301933</v>
      </c>
      <c r="N127" s="74">
        <f t="shared" si="37"/>
        <v>-280260.02975772193</v>
      </c>
      <c r="O127" s="30"/>
    </row>
    <row r="128" spans="1:16" ht="12.75" customHeight="1" x14ac:dyDescent="0.45">
      <c r="O128" s="30"/>
    </row>
    <row r="129" spans="1:16" ht="18" x14ac:dyDescent="0.55000000000000004">
      <c r="A129" s="47" t="s">
        <v>143</v>
      </c>
      <c r="O129" s="30"/>
    </row>
    <row r="130" spans="1:16" x14ac:dyDescent="0.45">
      <c r="A130" s="55" t="s">
        <v>70</v>
      </c>
      <c r="B130" s="39" t="s">
        <v>19</v>
      </c>
      <c r="C130" s="35"/>
      <c r="D130" s="35">
        <f t="shared" ref="D130:N130" si="38">D115</f>
        <v>17116.446689967615</v>
      </c>
      <c r="E130" s="35">
        <f t="shared" si="38"/>
        <v>38775.516098672451</v>
      </c>
      <c r="F130" s="35">
        <f t="shared" si="38"/>
        <v>50443.199881392167</v>
      </c>
      <c r="G130" s="35">
        <f t="shared" si="38"/>
        <v>86774.934718839533</v>
      </c>
      <c r="H130" s="35">
        <f t="shared" si="38"/>
        <v>107511.70291674967</v>
      </c>
      <c r="I130" s="35">
        <f t="shared" si="38"/>
        <v>172388.28472725282</v>
      </c>
      <c r="J130" s="35">
        <f t="shared" si="38"/>
        <v>245169.1505022702</v>
      </c>
      <c r="K130" s="35">
        <f t="shared" si="38"/>
        <v>342165.4907870263</v>
      </c>
      <c r="L130" s="35">
        <f t="shared" si="38"/>
        <v>445309.65151830873</v>
      </c>
      <c r="M130" s="35">
        <f t="shared" si="38"/>
        <v>536053.02980895794</v>
      </c>
      <c r="N130" s="35">
        <f t="shared" si="38"/>
        <v>311559.13508736086</v>
      </c>
      <c r="O130" s="30"/>
    </row>
    <row r="131" spans="1:16" x14ac:dyDescent="0.45">
      <c r="A131" s="55" t="s">
        <v>75</v>
      </c>
      <c r="B131" s="39" t="s">
        <v>19</v>
      </c>
      <c r="C131" s="35"/>
      <c r="D131" s="35">
        <f t="shared" ref="D131:N131" si="39">D116</f>
        <v>-18626.082889777044</v>
      </c>
      <c r="E131" s="35">
        <f t="shared" si="39"/>
        <v>-42443.043970947052</v>
      </c>
      <c r="F131" s="35">
        <f t="shared" si="39"/>
        <v>-49748.923819245509</v>
      </c>
      <c r="G131" s="35">
        <f t="shared" si="39"/>
        <v>-81066.426613914489</v>
      </c>
      <c r="H131" s="35">
        <f t="shared" si="39"/>
        <v>-105524.89070587675</v>
      </c>
      <c r="I131" s="35">
        <f t="shared" si="39"/>
        <v>-118170.3290889151</v>
      </c>
      <c r="J131" s="35">
        <f t="shared" si="39"/>
        <v>-128082.41322549486</v>
      </c>
      <c r="K131" s="35">
        <f t="shared" si="39"/>
        <v>-147610.92701476743</v>
      </c>
      <c r="L131" s="35">
        <f t="shared" si="39"/>
        <v>-165715.60585813451</v>
      </c>
      <c r="M131" s="35">
        <f t="shared" si="39"/>
        <v>-171172.90625620793</v>
      </c>
      <c r="N131" s="35">
        <f t="shared" si="39"/>
        <v>-90813.945642536462</v>
      </c>
      <c r="O131" s="30"/>
    </row>
    <row r="132" spans="1:16" x14ac:dyDescent="0.45">
      <c r="A132" s="156" t="s">
        <v>103</v>
      </c>
      <c r="B132" s="126" t="s">
        <v>19</v>
      </c>
      <c r="C132" s="35"/>
      <c r="D132" s="35">
        <f>D117</f>
        <v>-1066.8625893267319</v>
      </c>
      <c r="E132" s="35">
        <f t="shared" ref="E132:N132" si="40">E117</f>
        <v>-5204.6950026541344</v>
      </c>
      <c r="F132" s="35">
        <f t="shared" si="40"/>
        <v>-9687.6082957904364</v>
      </c>
      <c r="G132" s="35">
        <f t="shared" si="40"/>
        <v>-14747.356654761385</v>
      </c>
      <c r="H132" s="35">
        <f t="shared" si="40"/>
        <v>-20290.555417138006</v>
      </c>
      <c r="I132" s="35">
        <f t="shared" si="40"/>
        <v>-25168.345920751555</v>
      </c>
      <c r="J132" s="35">
        <f t="shared" si="40"/>
        <v>-30585.706080315875</v>
      </c>
      <c r="K132" s="35">
        <f t="shared" si="40"/>
        <v>-36273.445220553825</v>
      </c>
      <c r="L132" s="35">
        <f t="shared" si="40"/>
        <v>-40700.079787442504</v>
      </c>
      <c r="M132" s="35">
        <f t="shared" si="40"/>
        <v>-42388.154931778277</v>
      </c>
      <c r="N132" s="35">
        <f t="shared" si="40"/>
        <v>-20945.860934974549</v>
      </c>
      <c r="O132" s="30"/>
    </row>
    <row r="133" spans="1:16" x14ac:dyDescent="0.45">
      <c r="A133" s="55" t="s">
        <v>4</v>
      </c>
      <c r="B133" s="39" t="s">
        <v>19</v>
      </c>
      <c r="C133" s="35"/>
      <c r="D133" s="35">
        <f>D118</f>
        <v>-7726.6289525020675</v>
      </c>
      <c r="E133" s="35">
        <f t="shared" ref="E133:N133" si="41">E118</f>
        <v>-44647.373680668527</v>
      </c>
      <c r="F133" s="35">
        <f t="shared" si="41"/>
        <v>-88047.612336315593</v>
      </c>
      <c r="G133" s="35">
        <f t="shared" si="41"/>
        <v>-142482.86816840945</v>
      </c>
      <c r="H133" s="35">
        <f t="shared" si="41"/>
        <v>-182443.67205005314</v>
      </c>
      <c r="I133" s="35">
        <f t="shared" si="41"/>
        <v>-216171.73276130843</v>
      </c>
      <c r="J133" s="35">
        <f t="shared" si="41"/>
        <v>-245813.03614217381</v>
      </c>
      <c r="K133" s="35">
        <f t="shared" si="41"/>
        <v>-287180.18946740124</v>
      </c>
      <c r="L133" s="35">
        <f t="shared" si="41"/>
        <v>-314739.9880748713</v>
      </c>
      <c r="M133" s="35">
        <f t="shared" si="41"/>
        <v>-302127.2270398665</v>
      </c>
      <c r="N133" s="35">
        <f t="shared" si="41"/>
        <v>-156780.72584807355</v>
      </c>
      <c r="O133" s="30"/>
    </row>
    <row r="134" spans="1:16" x14ac:dyDescent="0.45">
      <c r="A134" s="55" t="s">
        <v>140</v>
      </c>
      <c r="B134" s="39" t="s">
        <v>19</v>
      </c>
      <c r="C134" s="35"/>
      <c r="D134" s="212">
        <v>0</v>
      </c>
      <c r="E134" s="146">
        <f>IF(D135&lt;0,D135,0)</f>
        <v>-10303.127741638229</v>
      </c>
      <c r="F134" s="146">
        <f t="shared" ref="F134:N134" si="42">IF(E135&lt;0,E135,0)</f>
        <v>-63822.724297235494</v>
      </c>
      <c r="G134" s="146">
        <f t="shared" si="42"/>
        <v>-160863.66886719485</v>
      </c>
      <c r="H134" s="146">
        <f t="shared" si="42"/>
        <v>-312385.38558544067</v>
      </c>
      <c r="I134" s="146">
        <f t="shared" si="42"/>
        <v>-513132.8008417589</v>
      </c>
      <c r="J134" s="146">
        <f t="shared" si="42"/>
        <v>-700254.9238854812</v>
      </c>
      <c r="K134" s="146">
        <f t="shared" si="42"/>
        <v>-859566.92883119558</v>
      </c>
      <c r="L134" s="146">
        <f t="shared" si="42"/>
        <v>-988465.99974689179</v>
      </c>
      <c r="M134" s="146">
        <f t="shared" si="42"/>
        <v>-1064312.0219490314</v>
      </c>
      <c r="N134" s="146">
        <f t="shared" si="42"/>
        <v>-1043947.2803679262</v>
      </c>
      <c r="O134" s="30"/>
    </row>
    <row r="135" spans="1:16" x14ac:dyDescent="0.45">
      <c r="A135" s="55" t="s">
        <v>80</v>
      </c>
      <c r="B135" s="39" t="s">
        <v>19</v>
      </c>
      <c r="C135" s="35"/>
      <c r="D135" s="74">
        <f>SUM(D130:D134)</f>
        <v>-10303.127741638229</v>
      </c>
      <c r="E135" s="74">
        <f t="shared" ref="E135:N135" si="43">SUM(E130:E134)</f>
        <v>-63822.724297235494</v>
      </c>
      <c r="F135" s="74">
        <f t="shared" si="43"/>
        <v>-160863.66886719485</v>
      </c>
      <c r="G135" s="74">
        <f t="shared" si="43"/>
        <v>-312385.38558544067</v>
      </c>
      <c r="H135" s="74">
        <f t="shared" si="43"/>
        <v>-513132.8008417589</v>
      </c>
      <c r="I135" s="74">
        <f t="shared" si="43"/>
        <v>-700254.9238854812</v>
      </c>
      <c r="J135" s="74">
        <f t="shared" si="43"/>
        <v>-859566.92883119558</v>
      </c>
      <c r="K135" s="74">
        <f t="shared" si="43"/>
        <v>-988465.99974689179</v>
      </c>
      <c r="L135" s="74">
        <f t="shared" si="43"/>
        <v>-1064312.0219490314</v>
      </c>
      <c r="M135" s="74">
        <f t="shared" si="43"/>
        <v>-1043947.2803679262</v>
      </c>
      <c r="N135" s="74">
        <f t="shared" si="43"/>
        <v>-1000928.6777061499</v>
      </c>
      <c r="O135" s="30"/>
      <c r="P135" s="30"/>
    </row>
    <row r="136" spans="1:16" x14ac:dyDescent="0.45">
      <c r="A136" s="55" t="s">
        <v>141</v>
      </c>
      <c r="B136" s="39" t="s">
        <v>19</v>
      </c>
      <c r="C136" s="173"/>
      <c r="D136" s="107">
        <f>MAX(D135*Inputs!D$33,0)</f>
        <v>0</v>
      </c>
      <c r="E136" s="107">
        <f>MAX(E135*Inputs!E$33,0)</f>
        <v>0</v>
      </c>
      <c r="F136" s="107">
        <f>MAX(F135*Inputs!F$33,0)</f>
        <v>0</v>
      </c>
      <c r="G136" s="107">
        <f>MAX(G135*Inputs!G$33,0)</f>
        <v>0</v>
      </c>
      <c r="H136" s="107">
        <f>MAX(H135*Inputs!H$33,0)</f>
        <v>0</v>
      </c>
      <c r="I136" s="107">
        <f>MAX(I135*Inputs!I$33,0)</f>
        <v>0</v>
      </c>
      <c r="J136" s="107">
        <f>MAX(J135*Inputs!J$33,0)</f>
        <v>0</v>
      </c>
      <c r="K136" s="107">
        <f>MAX(K135*Inputs!K$33,0)</f>
        <v>0</v>
      </c>
      <c r="L136" s="107">
        <f>MAX(L135*Inputs!L$33,0)</f>
        <v>0</v>
      </c>
      <c r="M136" s="107">
        <f>MAX(M135*Inputs!M$33,0)</f>
        <v>0</v>
      </c>
      <c r="N136" s="107">
        <f>MAX(N135*Inputs!N$33,0)</f>
        <v>0</v>
      </c>
      <c r="O136" s="30"/>
    </row>
    <row r="137" spans="1:16" x14ac:dyDescent="0.45">
      <c r="A137" s="33" t="s">
        <v>142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175">
        <f>N135*Inputs!N$33</f>
        <v>-280260.02975772199</v>
      </c>
      <c r="O137" s="30"/>
    </row>
    <row r="138" spans="1:16" x14ac:dyDescent="0.45">
      <c r="A138" s="33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0"/>
    </row>
    <row r="139" spans="1:16" ht="21" x14ac:dyDescent="0.65">
      <c r="A139" s="93" t="s">
        <v>193</v>
      </c>
      <c r="B139" s="203"/>
      <c r="C139" s="203"/>
      <c r="D139" s="98" t="s">
        <v>90</v>
      </c>
      <c r="E139" s="98" t="s">
        <v>55</v>
      </c>
      <c r="F139" s="98" t="s">
        <v>55</v>
      </c>
      <c r="G139" s="98" t="s">
        <v>55</v>
      </c>
      <c r="H139" s="98" t="s">
        <v>55</v>
      </c>
      <c r="I139" s="98" t="s">
        <v>55</v>
      </c>
      <c r="J139" s="98" t="s">
        <v>55</v>
      </c>
      <c r="K139" s="98" t="s">
        <v>55</v>
      </c>
      <c r="L139" s="98" t="s">
        <v>55</v>
      </c>
      <c r="M139" s="98" t="s">
        <v>55</v>
      </c>
      <c r="N139" s="98" t="s">
        <v>91</v>
      </c>
      <c r="O139" s="30"/>
    </row>
    <row r="140" spans="1:16" ht="19.5" customHeight="1" x14ac:dyDescent="0.55000000000000004">
      <c r="A140" s="47" t="s">
        <v>198</v>
      </c>
      <c r="B140" s="65"/>
      <c r="C140" s="65"/>
      <c r="D140" s="99">
        <f>D113</f>
        <v>41090</v>
      </c>
      <c r="E140" s="99">
        <f t="shared" ref="E140:N140" si="44">E113</f>
        <v>41455</v>
      </c>
      <c r="F140" s="99">
        <f t="shared" si="44"/>
        <v>41820</v>
      </c>
      <c r="G140" s="99">
        <f t="shared" si="44"/>
        <v>42185</v>
      </c>
      <c r="H140" s="99">
        <f t="shared" si="44"/>
        <v>42551</v>
      </c>
      <c r="I140" s="99">
        <f t="shared" si="44"/>
        <v>42916</v>
      </c>
      <c r="J140" s="99">
        <f t="shared" si="44"/>
        <v>43281</v>
      </c>
      <c r="K140" s="99">
        <f t="shared" si="44"/>
        <v>43646</v>
      </c>
      <c r="L140" s="99">
        <f t="shared" si="44"/>
        <v>44012</v>
      </c>
      <c r="M140" s="99">
        <f t="shared" si="44"/>
        <v>44377</v>
      </c>
      <c r="N140" s="99">
        <f t="shared" si="44"/>
        <v>44561</v>
      </c>
      <c r="O140" s="30"/>
    </row>
    <row r="141" spans="1:16" ht="19.5" customHeight="1" x14ac:dyDescent="0.45">
      <c r="A141" s="193" t="s">
        <v>1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0"/>
    </row>
    <row r="142" spans="1:16" ht="17.25" customHeight="1" x14ac:dyDescent="0.45">
      <c r="A142" s="55" t="s">
        <v>153</v>
      </c>
      <c r="B142" s="39" t="s">
        <v>241</v>
      </c>
      <c r="C142" s="118"/>
      <c r="D142" s="212">
        <f>Inputs!D$5-Inputs!C$5+1</f>
        <v>213</v>
      </c>
      <c r="E142" s="168">
        <f>Inputs!E$5-Inputs!D$5</f>
        <v>365</v>
      </c>
      <c r="F142" s="168">
        <f>Inputs!F$5-Inputs!E$5</f>
        <v>365</v>
      </c>
      <c r="G142" s="168">
        <f>Inputs!G$5-Inputs!F$5</f>
        <v>365</v>
      </c>
      <c r="H142" s="168">
        <f>Inputs!H$5-Inputs!G$5</f>
        <v>366</v>
      </c>
      <c r="I142" s="168">
        <f>Inputs!I$5-Inputs!H$5</f>
        <v>365</v>
      </c>
      <c r="J142" s="168">
        <f>Inputs!J$5-Inputs!I$5</f>
        <v>365</v>
      </c>
      <c r="K142" s="168">
        <f>Inputs!K$5-Inputs!J$5</f>
        <v>365</v>
      </c>
      <c r="L142" s="168">
        <f>Inputs!L$5-Inputs!K$5</f>
        <v>366</v>
      </c>
      <c r="M142" s="168">
        <f>Inputs!M$5-Inputs!L$5</f>
        <v>365</v>
      </c>
      <c r="N142" s="168">
        <f>Inputs!N$5-Inputs!M$5</f>
        <v>184</v>
      </c>
      <c r="O142" s="30"/>
    </row>
    <row r="143" spans="1:16" ht="17.25" customHeight="1" x14ac:dyDescent="0.45">
      <c r="A143" s="55" t="s">
        <v>154</v>
      </c>
      <c r="B143" s="39" t="s">
        <v>241</v>
      </c>
      <c r="C143" s="118"/>
      <c r="D143" s="118">
        <f>Inputs!D$62-1</f>
        <v>105</v>
      </c>
      <c r="E143" s="118">
        <f>Inputs!E$62-1</f>
        <v>181</v>
      </c>
      <c r="F143" s="118">
        <f>Inputs!F$62-1</f>
        <v>181</v>
      </c>
      <c r="G143" s="118">
        <f>Inputs!G$62-1</f>
        <v>181</v>
      </c>
      <c r="H143" s="118">
        <f>Inputs!H$62-1</f>
        <v>182</v>
      </c>
      <c r="I143" s="118">
        <f>Inputs!I$62-1</f>
        <v>181</v>
      </c>
      <c r="J143" s="118">
        <f>Inputs!J$62-1</f>
        <v>181</v>
      </c>
      <c r="K143" s="118">
        <f>Inputs!K$62-1</f>
        <v>181</v>
      </c>
      <c r="L143" s="118">
        <f>Inputs!L$62-1</f>
        <v>182</v>
      </c>
      <c r="M143" s="118">
        <f>Inputs!M$62-1</f>
        <v>181</v>
      </c>
      <c r="N143" s="118">
        <f>Inputs!N$62-1</f>
        <v>91</v>
      </c>
      <c r="O143" s="30"/>
    </row>
    <row r="144" spans="1:16" ht="17.25" customHeight="1" x14ac:dyDescent="0.45">
      <c r="A144" s="55" t="s">
        <v>156</v>
      </c>
      <c r="B144" s="39" t="s">
        <v>241</v>
      </c>
      <c r="C144" s="118"/>
      <c r="D144" s="118">
        <f>Inputs!D$83</f>
        <v>72</v>
      </c>
      <c r="E144" s="118">
        <f>Inputs!E$83</f>
        <v>148</v>
      </c>
      <c r="F144" s="118">
        <f>Inputs!F$83</f>
        <v>148</v>
      </c>
      <c r="G144" s="118">
        <f>Inputs!G$83</f>
        <v>148</v>
      </c>
      <c r="H144" s="118">
        <f>Inputs!H$83</f>
        <v>149</v>
      </c>
      <c r="I144" s="118">
        <f>Inputs!I$83</f>
        <v>148</v>
      </c>
      <c r="J144" s="118">
        <f>Inputs!J$83</f>
        <v>148</v>
      </c>
      <c r="K144" s="118">
        <f>Inputs!K$83</f>
        <v>148</v>
      </c>
      <c r="L144" s="118">
        <f>Inputs!L$83</f>
        <v>149</v>
      </c>
      <c r="M144" s="118">
        <f>Inputs!M$83</f>
        <v>148</v>
      </c>
      <c r="N144" s="118">
        <f>Inputs!N$83</f>
        <v>58</v>
      </c>
    </row>
    <row r="145" spans="1:15" ht="17.25" customHeight="1" x14ac:dyDescent="0.45">
      <c r="A145" s="55" t="s">
        <v>189</v>
      </c>
      <c r="B145" s="126"/>
      <c r="C145" s="118"/>
      <c r="D145" s="183">
        <f t="shared" ref="D145:N145" si="45">D142/365.25</f>
        <v>0.58316221765913756</v>
      </c>
      <c r="E145" s="183">
        <f t="shared" si="45"/>
        <v>0.99931553730321698</v>
      </c>
      <c r="F145" s="183">
        <f t="shared" si="45"/>
        <v>0.99931553730321698</v>
      </c>
      <c r="G145" s="183">
        <f t="shared" si="45"/>
        <v>0.99931553730321698</v>
      </c>
      <c r="H145" s="183">
        <f t="shared" si="45"/>
        <v>1.0020533880903491</v>
      </c>
      <c r="I145" s="183">
        <f t="shared" si="45"/>
        <v>0.99931553730321698</v>
      </c>
      <c r="J145" s="183">
        <f t="shared" si="45"/>
        <v>0.99931553730321698</v>
      </c>
      <c r="K145" s="183">
        <f t="shared" si="45"/>
        <v>0.99931553730321698</v>
      </c>
      <c r="L145" s="183">
        <f t="shared" si="45"/>
        <v>1.0020533880903491</v>
      </c>
      <c r="M145" s="183">
        <f t="shared" si="45"/>
        <v>0.99931553730321698</v>
      </c>
      <c r="N145" s="183">
        <f t="shared" si="45"/>
        <v>0.50376454483230659</v>
      </c>
      <c r="O145" s="30"/>
    </row>
    <row r="146" spans="1:15" ht="17.25" customHeight="1" x14ac:dyDescent="0.45">
      <c r="A146" s="55" t="s">
        <v>155</v>
      </c>
      <c r="B146" s="118"/>
      <c r="C146" s="118"/>
      <c r="D146" s="150">
        <f>D143/365.25</f>
        <v>0.28747433264887062</v>
      </c>
      <c r="E146" s="150">
        <f t="shared" ref="E146:N146" si="46">E143/365.25</f>
        <v>0.49555099247091033</v>
      </c>
      <c r="F146" s="150">
        <f t="shared" si="46"/>
        <v>0.49555099247091033</v>
      </c>
      <c r="G146" s="150">
        <f t="shared" si="46"/>
        <v>0.49555099247091033</v>
      </c>
      <c r="H146" s="150">
        <f t="shared" si="46"/>
        <v>0.49828884325804246</v>
      </c>
      <c r="I146" s="150">
        <f t="shared" si="46"/>
        <v>0.49555099247091033</v>
      </c>
      <c r="J146" s="150">
        <f t="shared" si="46"/>
        <v>0.49555099247091033</v>
      </c>
      <c r="K146" s="150">
        <f t="shared" si="46"/>
        <v>0.49555099247091033</v>
      </c>
      <c r="L146" s="150">
        <f t="shared" si="46"/>
        <v>0.49828884325804246</v>
      </c>
      <c r="M146" s="150">
        <f t="shared" si="46"/>
        <v>0.49555099247091033</v>
      </c>
      <c r="N146" s="150">
        <f t="shared" si="46"/>
        <v>0.24914442162902123</v>
      </c>
    </row>
    <row r="147" spans="1:15" ht="17.25" customHeight="1" x14ac:dyDescent="0.45">
      <c r="A147" s="55" t="s">
        <v>157</v>
      </c>
      <c r="B147" s="118"/>
      <c r="C147" s="118"/>
      <c r="D147" s="150">
        <f>D144/365.25</f>
        <v>0.1971252566735113</v>
      </c>
      <c r="E147" s="150">
        <f t="shared" ref="E147:N147" si="47">E144/365.25</f>
        <v>0.40520191649555098</v>
      </c>
      <c r="F147" s="150">
        <f t="shared" si="47"/>
        <v>0.40520191649555098</v>
      </c>
      <c r="G147" s="150">
        <f t="shared" si="47"/>
        <v>0.40520191649555098</v>
      </c>
      <c r="H147" s="150">
        <f t="shared" si="47"/>
        <v>0.40793976728268311</v>
      </c>
      <c r="I147" s="150">
        <f t="shared" si="47"/>
        <v>0.40520191649555098</v>
      </c>
      <c r="J147" s="150">
        <f t="shared" si="47"/>
        <v>0.40520191649555098</v>
      </c>
      <c r="K147" s="150">
        <f t="shared" si="47"/>
        <v>0.40520191649555098</v>
      </c>
      <c r="L147" s="150">
        <f t="shared" si="47"/>
        <v>0.40793976728268311</v>
      </c>
      <c r="M147" s="150">
        <f t="shared" si="47"/>
        <v>0.40520191649555098</v>
      </c>
      <c r="N147" s="150">
        <f t="shared" si="47"/>
        <v>0.15879534565366188</v>
      </c>
    </row>
    <row r="148" spans="1:15" ht="17.25" customHeight="1" x14ac:dyDescent="0.45">
      <c r="A148" s="55" t="s">
        <v>171</v>
      </c>
      <c r="B148" s="39" t="s">
        <v>21</v>
      </c>
      <c r="C148" s="118"/>
      <c r="D148" s="169">
        <f>Inputs!D49</f>
        <v>6.4326867547209718E-2</v>
      </c>
      <c r="E148" s="169">
        <f>Inputs!E49</f>
        <v>5.239123342763756E-2</v>
      </c>
      <c r="F148" s="169">
        <f>Inputs!F49</f>
        <v>6.5210564262641602E-2</v>
      </c>
      <c r="G148" s="169">
        <f>Inputs!G49</f>
        <v>5.6007340817272856E-2</v>
      </c>
      <c r="H148" s="169">
        <f>Inputs!H49</f>
        <v>4.8566588558104418E-2</v>
      </c>
      <c r="I148" s="169">
        <f>Inputs!I49</f>
        <v>4.7363493132139597E-2</v>
      </c>
      <c r="J148" s="169">
        <f>Inputs!J49</f>
        <v>4.2480720370542777E-2</v>
      </c>
      <c r="K148" s="169">
        <f>Inputs!K49</f>
        <v>4.0592888091034438E-2</v>
      </c>
      <c r="L148" s="169">
        <f>Inputs!L49</f>
        <v>2.9597755753197487E-2</v>
      </c>
      <c r="M148" s="169">
        <f>Inputs!M49</f>
        <v>2.0048153676001084E-2</v>
      </c>
      <c r="N148" s="169">
        <f>Inputs!N49</f>
        <v>2.3852631578947368E-2</v>
      </c>
      <c r="O148" s="30"/>
    </row>
    <row r="149" spans="1:15" ht="17.25" customHeight="1" x14ac:dyDescent="0.45">
      <c r="A149" s="55" t="s">
        <v>177</v>
      </c>
      <c r="B149" s="39" t="s">
        <v>21</v>
      </c>
      <c r="C149" s="118"/>
      <c r="D149" s="169">
        <f>Inputs!D146</f>
        <v>6.7430439016534061E-2</v>
      </c>
      <c r="E149" s="169">
        <f>Inputs!E146</f>
        <v>5.5399879260147576E-2</v>
      </c>
      <c r="F149" s="169">
        <f>Inputs!F146</f>
        <v>6.8061621842970169E-2</v>
      </c>
      <c r="G149" s="169">
        <f>Inputs!G146</f>
        <v>5.8647491736263963E-2</v>
      </c>
      <c r="H149" s="169">
        <f>Inputs!H146</f>
        <v>5.1806398303186035E-2</v>
      </c>
      <c r="I149" s="169">
        <f>Inputs!I146</f>
        <v>4.9708937964478506E-2</v>
      </c>
      <c r="J149" s="169">
        <f>Inputs!J146</f>
        <v>4.458067261079679E-2</v>
      </c>
      <c r="K149" s="169">
        <f>Inputs!K146</f>
        <v>4.231740335131931E-2</v>
      </c>
      <c r="L149" s="169">
        <f>Inputs!L146</f>
        <v>3.0586099538933383E-2</v>
      </c>
      <c r="M149" s="169">
        <f>Inputs!M146</f>
        <v>0</v>
      </c>
      <c r="N149" s="169">
        <f>Inputs!N146</f>
        <v>2.5211485347823956E-2</v>
      </c>
      <c r="O149" s="30"/>
    </row>
    <row r="150" spans="1:15" ht="19.5" customHeight="1" x14ac:dyDescent="0.45">
      <c r="A150" s="55" t="s">
        <v>165</v>
      </c>
      <c r="B150" s="39" t="s">
        <v>21</v>
      </c>
      <c r="C150" s="118"/>
      <c r="D150" s="226">
        <f>(D$53-D$151)/D$51</f>
        <v>-0.16144926950696994</v>
      </c>
      <c r="E150" s="169">
        <f t="shared" ref="E150:N150" si="48">(E$53-E$151)/(D$52+D$54)</f>
        <v>-0.1080222319634893</v>
      </c>
      <c r="F150" s="169">
        <f t="shared" si="48"/>
        <v>-5.7481341787498995E-2</v>
      </c>
      <c r="G150" s="169">
        <f t="shared" si="48"/>
        <v>-8.2346916376778018E-2</v>
      </c>
      <c r="H150" s="169">
        <f t="shared" si="48"/>
        <v>-8.251610193074442E-2</v>
      </c>
      <c r="I150" s="169">
        <f t="shared" si="48"/>
        <v>-6.5654764874751526E-2</v>
      </c>
      <c r="J150" s="169">
        <f t="shared" si="48"/>
        <v>-2.569137068163142E-2</v>
      </c>
      <c r="K150" s="169">
        <f t="shared" si="48"/>
        <v>-4.0330115358606602E-2</v>
      </c>
      <c r="L150" s="169">
        <f t="shared" si="48"/>
        <v>-4.4583838444918013E-2</v>
      </c>
      <c r="M150" s="169">
        <f t="shared" si="48"/>
        <v>-4.5326968509005673E-2</v>
      </c>
      <c r="N150" s="169">
        <f t="shared" si="48"/>
        <v>-3.1136703418577463E-2</v>
      </c>
      <c r="O150" s="30"/>
    </row>
    <row r="151" spans="1:15" ht="19.5" customHeight="1" x14ac:dyDescent="0.45">
      <c r="A151" s="55" t="s">
        <v>166</v>
      </c>
      <c r="B151" s="39" t="s">
        <v>19</v>
      </c>
      <c r="C151" s="118"/>
      <c r="D151" s="192"/>
      <c r="E151" s="212">
        <f>E157</f>
        <v>-9420.6403094838006</v>
      </c>
      <c r="F151" s="30">
        <f t="shared" ref="F151:M151" si="49">E262-F152</f>
        <v>-25063.033354212905</v>
      </c>
      <c r="G151" s="30">
        <f t="shared" si="49"/>
        <v>-49501.852134052548</v>
      </c>
      <c r="H151" s="30">
        <f t="shared" si="49"/>
        <v>-75799.677139036619</v>
      </c>
      <c r="I151" s="30">
        <f t="shared" si="49"/>
        <v>-116041.44118982201</v>
      </c>
      <c r="J151" s="30">
        <f t="shared" si="49"/>
        <v>-143213.42066902859</v>
      </c>
      <c r="K151" s="30">
        <f t="shared" si="49"/>
        <v>-155953.60802821885</v>
      </c>
      <c r="L151" s="30">
        <f t="shared" si="49"/>
        <v>-179526.20902405158</v>
      </c>
      <c r="M151" s="30">
        <f t="shared" si="49"/>
        <v>-210092.62110097101</v>
      </c>
      <c r="N151" s="212">
        <f>SUM(N166,N157,N175,N184,N193,N202,N211,N220,N229,N238)</f>
        <v>-114676.06117953823</v>
      </c>
      <c r="O151" s="30"/>
    </row>
    <row r="152" spans="1:15" ht="15" customHeight="1" x14ac:dyDescent="0.45">
      <c r="A152" s="55" t="s">
        <v>167</v>
      </c>
      <c r="B152" s="39" t="s">
        <v>19</v>
      </c>
      <c r="C152" s="118"/>
      <c r="D152" s="224">
        <v>0</v>
      </c>
      <c r="E152" s="224">
        <v>0</v>
      </c>
      <c r="F152" s="224">
        <v>0</v>
      </c>
      <c r="G152" s="224">
        <f t="shared" ref="G152" si="50">F157-G157</f>
        <v>0</v>
      </c>
      <c r="H152" s="223">
        <f>G157-H157</f>
        <v>-9148.534861975817</v>
      </c>
      <c r="I152" s="223">
        <f>H157-I157</f>
        <v>-272.10544750798363</v>
      </c>
      <c r="J152" s="225">
        <v>0</v>
      </c>
      <c r="K152" s="225">
        <v>0</v>
      </c>
      <c r="L152" s="225">
        <v>0</v>
      </c>
      <c r="M152" s="225">
        <v>0</v>
      </c>
      <c r="N152" s="225">
        <v>0</v>
      </c>
      <c r="O152" s="30"/>
    </row>
    <row r="153" spans="1:15" ht="17.25" customHeight="1" x14ac:dyDescent="0.45">
      <c r="A153" s="33"/>
      <c r="B153" s="39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30"/>
    </row>
    <row r="154" spans="1:15" ht="17.25" customHeight="1" x14ac:dyDescent="0.45">
      <c r="A154" s="33" t="s">
        <v>211</v>
      </c>
      <c r="B154" s="39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30"/>
    </row>
    <row r="155" spans="1:15" ht="17.25" customHeight="1" x14ac:dyDescent="0.45">
      <c r="A155" s="55" t="s">
        <v>168</v>
      </c>
      <c r="B155" s="39" t="s">
        <v>19</v>
      </c>
      <c r="C155" s="74"/>
      <c r="D155" s="74">
        <f>C158</f>
        <v>34027.787870607026</v>
      </c>
      <c r="E155" s="74">
        <f t="shared" ref="E155:N155" si="51">D158</f>
        <v>28534.026375959387</v>
      </c>
      <c r="F155" s="74">
        <f t="shared" si="51"/>
        <v>19113.386066475585</v>
      </c>
      <c r="G155" s="74">
        <f t="shared" si="51"/>
        <v>9692.7457569917842</v>
      </c>
      <c r="H155" s="74">
        <f t="shared" si="51"/>
        <v>272.10544750798363</v>
      </c>
      <c r="I155" s="74">
        <f t="shared" si="51"/>
        <v>0</v>
      </c>
      <c r="J155" s="74">
        <f t="shared" si="51"/>
        <v>0</v>
      </c>
      <c r="K155" s="74">
        <f t="shared" si="51"/>
        <v>0</v>
      </c>
      <c r="L155" s="74">
        <f t="shared" si="51"/>
        <v>0</v>
      </c>
      <c r="M155" s="74">
        <f t="shared" si="51"/>
        <v>0</v>
      </c>
      <c r="N155" s="74">
        <f t="shared" si="51"/>
        <v>0</v>
      </c>
      <c r="O155" s="30"/>
    </row>
    <row r="156" spans="1:15" ht="17.25" customHeight="1" x14ac:dyDescent="0.45">
      <c r="A156" s="55" t="s">
        <v>200</v>
      </c>
      <c r="B156" s="39" t="s">
        <v>19</v>
      </c>
      <c r="C156" s="74">
        <f>C22</f>
        <v>34027.787870607026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30"/>
    </row>
    <row r="157" spans="1:15" ht="17.25" customHeight="1" x14ac:dyDescent="0.45">
      <c r="A157" s="55" t="s">
        <v>3</v>
      </c>
      <c r="B157" s="39" t="s">
        <v>19</v>
      </c>
      <c r="C157" s="146"/>
      <c r="D157" s="212">
        <f>D155*D$150</f>
        <v>-5493.7614946476369</v>
      </c>
      <c r="E157" s="212">
        <f>IF(E155+D157&lt;0,-E155,D157/D145)</f>
        <v>-9420.6403094838006</v>
      </c>
      <c r="F157" s="146">
        <f t="shared" ref="F157:N157" si="52">IF(F155+E157&lt;0,-F155,E157)</f>
        <v>-9420.6403094838006</v>
      </c>
      <c r="G157" s="146">
        <f t="shared" si="52"/>
        <v>-9420.6403094838006</v>
      </c>
      <c r="H157" s="146">
        <f t="shared" si="52"/>
        <v>-272.10544750798363</v>
      </c>
      <c r="I157" s="146">
        <f t="shared" si="52"/>
        <v>0</v>
      </c>
      <c r="J157" s="146">
        <f t="shared" si="52"/>
        <v>0</v>
      </c>
      <c r="K157" s="146">
        <f t="shared" si="52"/>
        <v>0</v>
      </c>
      <c r="L157" s="146">
        <f t="shared" si="52"/>
        <v>0</v>
      </c>
      <c r="M157" s="146">
        <f t="shared" si="52"/>
        <v>0</v>
      </c>
      <c r="N157" s="146">
        <f t="shared" si="52"/>
        <v>0</v>
      </c>
      <c r="O157" s="30"/>
    </row>
    <row r="158" spans="1:15" ht="17.25" customHeight="1" x14ac:dyDescent="0.45">
      <c r="A158" s="55" t="s">
        <v>170</v>
      </c>
      <c r="B158" s="39" t="s">
        <v>19</v>
      </c>
      <c r="C158" s="74">
        <f>SUM(C155:C157)</f>
        <v>34027.787870607026</v>
      </c>
      <c r="D158" s="74">
        <f t="shared" ref="D158:N158" si="53">SUM(D155:D157)</f>
        <v>28534.026375959387</v>
      </c>
      <c r="E158" s="74">
        <f t="shared" si="53"/>
        <v>19113.386066475585</v>
      </c>
      <c r="F158" s="74">
        <f t="shared" si="53"/>
        <v>9692.7457569917842</v>
      </c>
      <c r="G158" s="74">
        <f t="shared" si="53"/>
        <v>272.10544750798363</v>
      </c>
      <c r="H158" s="74">
        <f t="shared" si="53"/>
        <v>0</v>
      </c>
      <c r="I158" s="74">
        <f t="shared" si="53"/>
        <v>0</v>
      </c>
      <c r="J158" s="74">
        <f t="shared" si="53"/>
        <v>0</v>
      </c>
      <c r="K158" s="74">
        <f t="shared" si="53"/>
        <v>0</v>
      </c>
      <c r="L158" s="74">
        <f t="shared" si="53"/>
        <v>0</v>
      </c>
      <c r="M158" s="74">
        <f t="shared" si="53"/>
        <v>0</v>
      </c>
      <c r="N158" s="74">
        <f t="shared" si="53"/>
        <v>0</v>
      </c>
      <c r="O158" s="30"/>
    </row>
    <row r="159" spans="1:15" ht="17.25" customHeight="1" x14ac:dyDescent="0.45">
      <c r="A159" s="55" t="s">
        <v>226</v>
      </c>
      <c r="B159" s="39" t="s">
        <v>19</v>
      </c>
      <c r="C159" s="74"/>
      <c r="D159" s="74">
        <f>D155*Inputs!D$52*((1+$D$148)^D$145-1)</f>
        <v>365.36264261483416</v>
      </c>
      <c r="E159" s="74">
        <f>E155*Inputs!E$52*((1+$D$148)^E$145-1)</f>
        <v>531.92051143358958</v>
      </c>
      <c r="F159" s="74">
        <f>F155*Inputs!F$52*((1+$D$148)^F$145-1)</f>
        <v>356.30450318336841</v>
      </c>
      <c r="G159" s="74">
        <f>G155*Inputs!G$52*((1+$D$148)^G$145-1)</f>
        <v>180.68849493314718</v>
      </c>
      <c r="H159" s="74">
        <f>H155*Inputs!H$52*((1+$D$148)^H$145-1)</f>
        <v>5.0868225224347245</v>
      </c>
      <c r="I159" s="74">
        <f>I155*Inputs!I$52*((1+$D$148)^I$145-1)</f>
        <v>0</v>
      </c>
      <c r="J159" s="74">
        <f>J155*Inputs!J$52*((1+$D$148)^J$145-1)</f>
        <v>0</v>
      </c>
      <c r="K159" s="74">
        <f>K155*Inputs!K$52*((1+$D$148)^K$145-1)</f>
        <v>0</v>
      </c>
      <c r="L159" s="74">
        <f>L155*Inputs!L$52*((1+$D$148)^L$145-1)</f>
        <v>0</v>
      </c>
      <c r="M159" s="74">
        <f>M155*Inputs!M$52*((1+$D$148)^M$145-1)</f>
        <v>0</v>
      </c>
      <c r="N159" s="74">
        <f>N155*Inputs!N$52*((1+$D$148)^N$145-1)</f>
        <v>0</v>
      </c>
      <c r="O159" s="30"/>
    </row>
    <row r="160" spans="1:15" ht="17.25" customHeight="1" x14ac:dyDescent="0.45">
      <c r="A160" s="55" t="s">
        <v>176</v>
      </c>
      <c r="B160" s="39" t="s">
        <v>19</v>
      </c>
      <c r="C160" s="146"/>
      <c r="D160" s="206">
        <v>0</v>
      </c>
      <c r="E160" s="206">
        <v>0</v>
      </c>
      <c r="F160" s="206">
        <v>0</v>
      </c>
      <c r="G160" s="206">
        <v>0</v>
      </c>
      <c r="H160" s="206">
        <v>0</v>
      </c>
      <c r="I160" s="206">
        <v>0</v>
      </c>
      <c r="J160" s="206">
        <v>0</v>
      </c>
      <c r="K160" s="206">
        <v>0</v>
      </c>
      <c r="L160" s="206">
        <v>0</v>
      </c>
      <c r="M160" s="206">
        <v>0</v>
      </c>
      <c r="N160" s="206">
        <v>0</v>
      </c>
      <c r="O160" s="30"/>
    </row>
    <row r="161" spans="1:16" ht="17.25" customHeight="1" x14ac:dyDescent="0.45">
      <c r="A161" s="55" t="s">
        <v>225</v>
      </c>
      <c r="B161" s="39" t="s">
        <v>19</v>
      </c>
      <c r="C161" s="74"/>
      <c r="D161" s="74">
        <f>SUM(D159:D160)</f>
        <v>365.36264261483416</v>
      </c>
      <c r="E161" s="74">
        <f t="shared" ref="E161:N161" si="54">SUM(E159:E160)</f>
        <v>531.92051143358958</v>
      </c>
      <c r="F161" s="74">
        <f t="shared" si="54"/>
        <v>356.30450318336841</v>
      </c>
      <c r="G161" s="74">
        <f t="shared" si="54"/>
        <v>180.68849493314718</v>
      </c>
      <c r="H161" s="74">
        <f t="shared" si="54"/>
        <v>5.0868225224347245</v>
      </c>
      <c r="I161" s="74">
        <f t="shared" si="54"/>
        <v>0</v>
      </c>
      <c r="J161" s="74">
        <f t="shared" si="54"/>
        <v>0</v>
      </c>
      <c r="K161" s="74">
        <f t="shared" si="54"/>
        <v>0</v>
      </c>
      <c r="L161" s="74">
        <f t="shared" si="54"/>
        <v>0</v>
      </c>
      <c r="M161" s="74">
        <f t="shared" si="54"/>
        <v>0</v>
      </c>
      <c r="N161" s="74">
        <f t="shared" si="54"/>
        <v>0</v>
      </c>
      <c r="O161" s="30"/>
    </row>
    <row r="162" spans="1:16" ht="17.25" customHeight="1" x14ac:dyDescent="0.45">
      <c r="A162" s="33"/>
      <c r="B162" s="39"/>
      <c r="C162" s="35"/>
      <c r="D162" s="30"/>
      <c r="E162" s="30"/>
      <c r="F162" s="30"/>
      <c r="G162" s="30"/>
      <c r="H162" s="30"/>
      <c r="I162" s="30"/>
      <c r="J162" s="30"/>
      <c r="K162" s="30"/>
      <c r="O162" s="30"/>
    </row>
    <row r="163" spans="1:16" ht="17.25" customHeight="1" x14ac:dyDescent="0.45">
      <c r="A163" s="33" t="s">
        <v>212</v>
      </c>
      <c r="B163" s="39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30"/>
    </row>
    <row r="164" spans="1:16" ht="17.25" customHeight="1" x14ac:dyDescent="0.45">
      <c r="A164" s="55" t="s">
        <v>168</v>
      </c>
      <c r="B164" s="39" t="s">
        <v>19</v>
      </c>
      <c r="C164" s="35"/>
      <c r="D164" s="35"/>
      <c r="E164" s="74">
        <f t="shared" ref="E164:N164" si="55">D167</f>
        <v>144807.1638624919</v>
      </c>
      <c r="F164" s="74">
        <f t="shared" si="55"/>
        <v>129164.77081776279</v>
      </c>
      <c r="G164" s="74">
        <f t="shared" si="55"/>
        <v>113522.37777303369</v>
      </c>
      <c r="H164" s="74">
        <f t="shared" si="55"/>
        <v>97879.984728304582</v>
      </c>
      <c r="I164" s="74">
        <f t="shared" si="55"/>
        <v>82237.591683575476</v>
      </c>
      <c r="J164" s="74">
        <f t="shared" si="55"/>
        <v>66595.19863884637</v>
      </c>
      <c r="K164" s="74">
        <f t="shared" si="55"/>
        <v>50952.805594117264</v>
      </c>
      <c r="L164" s="74">
        <f t="shared" si="55"/>
        <v>35310.412549388158</v>
      </c>
      <c r="M164" s="74">
        <f t="shared" si="55"/>
        <v>19668.019504659052</v>
      </c>
      <c r="N164" s="74">
        <f t="shared" si="55"/>
        <v>4025.6264599299484</v>
      </c>
      <c r="O164" s="30"/>
    </row>
    <row r="165" spans="1:16" ht="17.25" customHeight="1" x14ac:dyDescent="0.45">
      <c r="A165" s="55" t="s">
        <v>199</v>
      </c>
      <c r="B165" s="39" t="s">
        <v>19</v>
      </c>
      <c r="C165" s="35"/>
      <c r="D165" s="74">
        <f>D$52+D$54</f>
        <v>144807.1638624919</v>
      </c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30"/>
    </row>
    <row r="166" spans="1:16" ht="17.25" customHeight="1" x14ac:dyDescent="0.45">
      <c r="A166" s="55" t="s">
        <v>3</v>
      </c>
      <c r="B166" s="39" t="s">
        <v>19</v>
      </c>
      <c r="C166" s="146"/>
      <c r="D166" s="146"/>
      <c r="E166" s="212">
        <f>E164*E$150</f>
        <v>-15642.393044729104</v>
      </c>
      <c r="F166" s="146">
        <f t="shared" ref="F166:N166" si="56">IF(F164+E166&lt;0,-F164,E166)</f>
        <v>-15642.393044729104</v>
      </c>
      <c r="G166" s="146">
        <f t="shared" si="56"/>
        <v>-15642.393044729104</v>
      </c>
      <c r="H166" s="146">
        <f t="shared" si="56"/>
        <v>-15642.393044729104</v>
      </c>
      <c r="I166" s="146">
        <f t="shared" si="56"/>
        <v>-15642.393044729104</v>
      </c>
      <c r="J166" s="146">
        <f t="shared" si="56"/>
        <v>-15642.393044729104</v>
      </c>
      <c r="K166" s="146">
        <f t="shared" si="56"/>
        <v>-15642.393044729104</v>
      </c>
      <c r="L166" s="146">
        <f t="shared" si="56"/>
        <v>-15642.393044729104</v>
      </c>
      <c r="M166" s="146">
        <f t="shared" si="56"/>
        <v>-15642.393044729104</v>
      </c>
      <c r="N166" s="146">
        <f t="shared" si="56"/>
        <v>-4025.6264599299484</v>
      </c>
      <c r="O166" s="30"/>
    </row>
    <row r="167" spans="1:16" ht="17.25" customHeight="1" x14ac:dyDescent="0.45">
      <c r="A167" s="55" t="s">
        <v>170</v>
      </c>
      <c r="B167" s="39" t="s">
        <v>19</v>
      </c>
      <c r="C167" s="74"/>
      <c r="D167" s="74">
        <f>SUM(D164:D166)</f>
        <v>144807.1638624919</v>
      </c>
      <c r="E167" s="74">
        <f t="shared" ref="E167:N167" si="57">SUM(E164:E166)</f>
        <v>129164.77081776279</v>
      </c>
      <c r="F167" s="74">
        <f t="shared" si="57"/>
        <v>113522.37777303369</v>
      </c>
      <c r="G167" s="74">
        <f t="shared" si="57"/>
        <v>97879.984728304582</v>
      </c>
      <c r="H167" s="74">
        <f t="shared" si="57"/>
        <v>82237.591683575476</v>
      </c>
      <c r="I167" s="74">
        <f t="shared" si="57"/>
        <v>66595.19863884637</v>
      </c>
      <c r="J167" s="74">
        <f t="shared" si="57"/>
        <v>50952.805594117264</v>
      </c>
      <c r="K167" s="74">
        <f t="shared" si="57"/>
        <v>35310.412549388158</v>
      </c>
      <c r="L167" s="74">
        <f t="shared" si="57"/>
        <v>19668.019504659052</v>
      </c>
      <c r="M167" s="74">
        <f t="shared" si="57"/>
        <v>4025.6264599299484</v>
      </c>
      <c r="N167" s="74">
        <f t="shared" si="57"/>
        <v>0</v>
      </c>
      <c r="O167" s="30"/>
    </row>
    <row r="168" spans="1:16" ht="17.25" customHeight="1" x14ac:dyDescent="0.45">
      <c r="A168" s="55" t="s">
        <v>226</v>
      </c>
      <c r="B168" s="39" t="s">
        <v>19</v>
      </c>
      <c r="C168" s="35"/>
      <c r="D168" s="212">
        <f>D165*Inputs!D$52*((1+D$148)^(D$146)-1)</f>
        <v>759.39753402009399</v>
      </c>
      <c r="E168" s="74">
        <f>E164*Inputs!E$52*((1+$D$148)^E$145-1)</f>
        <v>2699.4402979132492</v>
      </c>
      <c r="F168" s="74">
        <f>F164*Inputs!F$52*((1+$D$148)^F$145-1)</f>
        <v>2407.840731880473</v>
      </c>
      <c r="G168" s="74">
        <f>G164*Inputs!G$52*((1+$D$148)^G$145-1)</f>
        <v>2116.2411658476976</v>
      </c>
      <c r="H168" s="74">
        <f>H164*Inputs!H$52*((1+$D$148)^H$145-1)</f>
        <v>1829.7983938630928</v>
      </c>
      <c r="I168" s="74">
        <f>I164*Inputs!I$52*((1+$D$148)^I$145-1)</f>
        <v>1533.0420337821465</v>
      </c>
      <c r="J168" s="74">
        <f>J164*Inputs!J$52*((1+$D$148)^J$145-1)</f>
        <v>1241.4424677493707</v>
      </c>
      <c r="K168" s="74">
        <f>K164*Inputs!K$52*((1+$D$148)^K$145-1)</f>
        <v>949.84290171659495</v>
      </c>
      <c r="L168" s="74">
        <f>L164*Inputs!L$52*((1+$D$148)^L$145-1)</f>
        <v>660.10366009823963</v>
      </c>
      <c r="M168" s="74">
        <f>M164*Inputs!M$52*((1+$D$148)^M$145-1)</f>
        <v>366.64376965104373</v>
      </c>
      <c r="N168" s="74">
        <f>N164*Inputs!N$52*((1+$D$148)^N$145-1)</f>
        <v>37.246133903877102</v>
      </c>
      <c r="O168" s="30"/>
    </row>
    <row r="169" spans="1:16" ht="17.25" customHeight="1" x14ac:dyDescent="0.45">
      <c r="A169" s="55" t="s">
        <v>176</v>
      </c>
      <c r="B169" s="39" t="s">
        <v>19</v>
      </c>
      <c r="C169" s="174"/>
      <c r="D169" s="212">
        <f>-((1+$D$149)^(D$146)-1)*(Inputs!$D$130+Inputs!$D$131)</f>
        <v>-120.54447367915077</v>
      </c>
      <c r="E169" s="146">
        <f>-((1+$D$149)^E$145-1)*(Inputs!$D$130+Inputs!$D$131)</f>
        <v>-428.95139971021041</v>
      </c>
      <c r="F169" s="146">
        <f>-((1+$D$149)^F$145-1)*(Inputs!$D$130+Inputs!$D$131)</f>
        <v>-428.95139971021041</v>
      </c>
      <c r="G169" s="146">
        <f>-((1+$D$149)^G$145-1)*(Inputs!$D$130+Inputs!$D$131)</f>
        <v>-428.95139971021041</v>
      </c>
      <c r="H169" s="146">
        <f>-((1+$D$149)^H$145-1)*(Inputs!$D$130+Inputs!$D$131)</f>
        <v>-430.16545137237711</v>
      </c>
      <c r="I169" s="146">
        <f>-((1+$D$149)^I$145-1)*(Inputs!$D$130+Inputs!$D$131)</f>
        <v>-428.95139971021041</v>
      </c>
      <c r="J169" s="146">
        <f>-((1+$D$149)^J$145-1)*(Inputs!$D$130+Inputs!$D$131)</f>
        <v>-428.95139971021041</v>
      </c>
      <c r="K169" s="146">
        <f>-((1+$D$149)^K$145-1)*(Inputs!$D$130+Inputs!$D$131)</f>
        <v>-428.95139971021041</v>
      </c>
      <c r="L169" s="146">
        <f>-((1+$D$149)^L$145-1)*(Inputs!$D$130+Inputs!$D$131)</f>
        <v>-430.16545137237711</v>
      </c>
      <c r="M169" s="146">
        <f>-((1+$D$149)^M$145-1)*(Inputs!$D$130+Inputs!$D$131)</f>
        <v>-428.95139971021041</v>
      </c>
      <c r="N169" s="146">
        <f>-((1+$D$149)^N$145-1)*(Inputs!$D$130+Inputs!$D$131)</f>
        <v>-212.74227678032659</v>
      </c>
      <c r="O169" s="30"/>
      <c r="P169" s="30"/>
    </row>
    <row r="170" spans="1:16" ht="17.25" customHeight="1" x14ac:dyDescent="0.45">
      <c r="A170" s="55" t="s">
        <v>225</v>
      </c>
      <c r="B170" s="39" t="s">
        <v>19</v>
      </c>
      <c r="C170" s="172"/>
      <c r="D170" s="176">
        <f t="shared" ref="D170:E170" si="58">SUM(D168:D169)</f>
        <v>638.85306034094322</v>
      </c>
      <c r="E170" s="74">
        <f t="shared" si="58"/>
        <v>2270.4888982030388</v>
      </c>
      <c r="F170" s="74">
        <f t="shared" ref="F170:N170" si="59">SUM(F168:F169)</f>
        <v>1978.8893321702626</v>
      </c>
      <c r="G170" s="74">
        <f t="shared" si="59"/>
        <v>1687.2897661374873</v>
      </c>
      <c r="H170" s="74">
        <f t="shared" si="59"/>
        <v>1399.6329424907158</v>
      </c>
      <c r="I170" s="74">
        <f t="shared" si="59"/>
        <v>1104.0906340719362</v>
      </c>
      <c r="J170" s="74">
        <f t="shared" si="59"/>
        <v>812.49106803916038</v>
      </c>
      <c r="K170" s="74">
        <f t="shared" si="59"/>
        <v>520.8915020063846</v>
      </c>
      <c r="L170" s="74">
        <f t="shared" si="59"/>
        <v>229.93820872586252</v>
      </c>
      <c r="M170" s="74">
        <f t="shared" si="59"/>
        <v>-62.307630059166684</v>
      </c>
      <c r="N170" s="74">
        <f t="shared" si="59"/>
        <v>-175.49614287644948</v>
      </c>
      <c r="O170" s="30"/>
    </row>
    <row r="171" spans="1:16" ht="17.25" customHeight="1" x14ac:dyDescent="0.45">
      <c r="A171" s="55"/>
      <c r="B171" s="39"/>
      <c r="C171" s="35"/>
      <c r="D171" s="35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30"/>
    </row>
    <row r="172" spans="1:16" ht="17.25" customHeight="1" x14ac:dyDescent="0.45">
      <c r="A172" s="33" t="s">
        <v>213</v>
      </c>
      <c r="B172" s="39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30"/>
    </row>
    <row r="173" spans="1:16" ht="17.25" customHeight="1" x14ac:dyDescent="0.45">
      <c r="A173" s="55" t="s">
        <v>168</v>
      </c>
      <c r="B173" s="39" t="s">
        <v>19</v>
      </c>
      <c r="C173" s="35"/>
      <c r="D173" s="35"/>
      <c r="E173" s="35"/>
      <c r="F173" s="74">
        <f t="shared" ref="F173:N173" si="60">E176</f>
        <v>425160.89603800065</v>
      </c>
      <c r="G173" s="74">
        <f t="shared" si="60"/>
        <v>400722.07725816098</v>
      </c>
      <c r="H173" s="74">
        <f t="shared" si="60"/>
        <v>376283.25847832131</v>
      </c>
      <c r="I173" s="74">
        <f t="shared" si="60"/>
        <v>351844.43969848164</v>
      </c>
      <c r="J173" s="74">
        <f t="shared" si="60"/>
        <v>327405.62091864197</v>
      </c>
      <c r="K173" s="74">
        <f t="shared" si="60"/>
        <v>302966.8021388023</v>
      </c>
      <c r="L173" s="74">
        <f t="shared" si="60"/>
        <v>278527.98335896264</v>
      </c>
      <c r="M173" s="74">
        <f t="shared" si="60"/>
        <v>254089.164579123</v>
      </c>
      <c r="N173" s="74">
        <f t="shared" si="60"/>
        <v>229650.34579928336</v>
      </c>
      <c r="O173" s="30"/>
    </row>
    <row r="174" spans="1:16" ht="17.25" customHeight="1" x14ac:dyDescent="0.45">
      <c r="A174" s="55" t="s">
        <v>202</v>
      </c>
      <c r="B174" s="39" t="s">
        <v>19</v>
      </c>
      <c r="C174" s="35"/>
      <c r="D174" s="35"/>
      <c r="E174" s="212">
        <f>E$52+E$54</f>
        <v>425160.89603800065</v>
      </c>
      <c r="F174" s="74"/>
      <c r="G174" s="74"/>
      <c r="H174" s="74"/>
      <c r="I174" s="74"/>
      <c r="J174" s="74"/>
      <c r="K174" s="74"/>
      <c r="L174" s="74"/>
      <c r="M174" s="74"/>
      <c r="N174" s="74"/>
      <c r="O174" s="30"/>
    </row>
    <row r="175" spans="1:16" ht="17.25" customHeight="1" x14ac:dyDescent="0.45">
      <c r="A175" s="55" t="s">
        <v>3</v>
      </c>
      <c r="B175" s="39" t="s">
        <v>19</v>
      </c>
      <c r="C175" s="146"/>
      <c r="D175" s="146"/>
      <c r="E175" s="152"/>
      <c r="F175" s="212">
        <f>F173*F$150</f>
        <v>-24438.818779839643</v>
      </c>
      <c r="G175" s="152">
        <f t="shared" ref="G175:M175" si="61">IF(G173+F175&lt;0,-G173,F175)</f>
        <v>-24438.818779839643</v>
      </c>
      <c r="H175" s="152">
        <f t="shared" si="61"/>
        <v>-24438.818779839643</v>
      </c>
      <c r="I175" s="152">
        <f t="shared" si="61"/>
        <v>-24438.818779839643</v>
      </c>
      <c r="J175" s="152">
        <f t="shared" si="61"/>
        <v>-24438.818779839643</v>
      </c>
      <c r="K175" s="152">
        <f t="shared" si="61"/>
        <v>-24438.818779839643</v>
      </c>
      <c r="L175" s="152">
        <f t="shared" si="61"/>
        <v>-24438.818779839643</v>
      </c>
      <c r="M175" s="152">
        <f t="shared" si="61"/>
        <v>-24438.818779839643</v>
      </c>
      <c r="N175" s="212">
        <f>IF(N173+M175&lt;0,-N173,M175*N$145)</f>
        <v>-12311.410418865144</v>
      </c>
      <c r="O175" s="30"/>
    </row>
    <row r="176" spans="1:16" ht="17.25" customHeight="1" x14ac:dyDescent="0.45">
      <c r="A176" s="55" t="s">
        <v>170</v>
      </c>
      <c r="B176" s="39" t="s">
        <v>19</v>
      </c>
      <c r="C176" s="74"/>
      <c r="D176" s="74"/>
      <c r="E176" s="30">
        <f>SUM(E173:E175)</f>
        <v>425160.89603800065</v>
      </c>
      <c r="F176" s="74">
        <f t="shared" ref="F176:N176" si="62">SUM(F173:F175)</f>
        <v>400722.07725816098</v>
      </c>
      <c r="G176" s="74">
        <f t="shared" si="62"/>
        <v>376283.25847832131</v>
      </c>
      <c r="H176" s="74">
        <f t="shared" si="62"/>
        <v>351844.43969848164</v>
      </c>
      <c r="I176" s="74">
        <f t="shared" si="62"/>
        <v>327405.62091864197</v>
      </c>
      <c r="J176" s="74">
        <f t="shared" si="62"/>
        <v>302966.8021388023</v>
      </c>
      <c r="K176" s="74">
        <f t="shared" si="62"/>
        <v>278527.98335896264</v>
      </c>
      <c r="L176" s="74">
        <f t="shared" si="62"/>
        <v>254089.164579123</v>
      </c>
      <c r="M176" s="74">
        <f t="shared" si="62"/>
        <v>229650.34579928336</v>
      </c>
      <c r="N176" s="74">
        <f t="shared" si="62"/>
        <v>217338.9353804182</v>
      </c>
      <c r="O176" s="30"/>
    </row>
    <row r="177" spans="1:16" ht="17.25" customHeight="1" x14ac:dyDescent="0.45">
      <c r="A177" s="55" t="s">
        <v>226</v>
      </c>
      <c r="B177" s="39" t="s">
        <v>19</v>
      </c>
      <c r="C177" s="35"/>
      <c r="D177" s="35"/>
      <c r="E177" s="212">
        <f>E174*Inputs!E$52*((1+E$148)^(E$146)-1)</f>
        <v>3159.8687805947188</v>
      </c>
      <c r="F177" s="74">
        <f>F173*Inputs!F$52*((1+$E$148)^F$145-1)</f>
        <v>6455.1289172799479</v>
      </c>
      <c r="G177" s="74">
        <f>G173*Inputs!G$52*((1+$E$148)^G$145-1)</f>
        <v>6084.0794457034108</v>
      </c>
      <c r="H177" s="74">
        <f>H173*Inputs!H$52*((1+$E$148)^H$145-1)</f>
        <v>5729.0859940214723</v>
      </c>
      <c r="I177" s="74">
        <f>I173*Inputs!I$52*((1+$E$148)^I$145-1)</f>
        <v>5341.9805025503356</v>
      </c>
      <c r="J177" s="74">
        <f>J173*Inputs!J$52*((1+$E$148)^J$145-1)</f>
        <v>4970.9310309737984</v>
      </c>
      <c r="K177" s="74">
        <f>K173*Inputs!K$52*((1+$E$148)^K$145-1)</f>
        <v>4599.8815593972613</v>
      </c>
      <c r="L177" s="74">
        <f>L173*Inputs!L$52*((1+$E$148)^L$145-1)</f>
        <v>4240.7168866823549</v>
      </c>
      <c r="M177" s="74">
        <f>M173*Inputs!M$52*((1+$E$148)^M$145-1)</f>
        <v>3857.782616244187</v>
      </c>
      <c r="N177" s="74">
        <f>N173*Inputs!N$52*((1+$E$148)^N$145-1)</f>
        <v>1735.4557731609052</v>
      </c>
      <c r="O177" s="30"/>
    </row>
    <row r="178" spans="1:16" ht="17.25" customHeight="1" x14ac:dyDescent="0.45">
      <c r="A178" s="55" t="s">
        <v>176</v>
      </c>
      <c r="B178" s="39" t="s">
        <v>19</v>
      </c>
      <c r="C178" s="174"/>
      <c r="D178" s="174"/>
      <c r="E178" s="212">
        <f>-((1+$E$149)^(E$146)-1)*(Inputs!$E$130+Inputs!$E$131)</f>
        <v>-1427.3588671972814</v>
      </c>
      <c r="F178" s="204">
        <f>-((1+$E$149)^F$145-1)*(Inputs!$E$130+Inputs!$E$131)</f>
        <v>-2918.0009004550448</v>
      </c>
      <c r="G178" s="204">
        <f>-((1+$E$149)^G$145-1)*(Inputs!$E$130+Inputs!$E$131)</f>
        <v>-2918.0009004550448</v>
      </c>
      <c r="H178" s="204">
        <f>-((1+$E$149)^H$145-1)*(Inputs!$E$130+Inputs!$E$131)</f>
        <v>-2926.213347514964</v>
      </c>
      <c r="I178" s="204">
        <f>-((1+$E$149)^I$145-1)*(Inputs!$E$130+Inputs!$E$131)</f>
        <v>-2918.0009004550448</v>
      </c>
      <c r="J178" s="204">
        <f>-((1+$E$149)^J$145-1)*(Inputs!$E$130+Inputs!$E$131)</f>
        <v>-2918.0009004550448</v>
      </c>
      <c r="K178" s="204">
        <f>-((1+$E$149)^K$145-1)*(Inputs!$E$130+Inputs!$E$131)</f>
        <v>-2918.0009004550448</v>
      </c>
      <c r="L178" s="204">
        <f>-((1+$E$149)^L$145-1)*(Inputs!$E$130+Inputs!$E$131)</f>
        <v>-2926.213347514964</v>
      </c>
      <c r="M178" s="204">
        <f>-((1+$E$149)^M$145-1)*(Inputs!$E$130+Inputs!$E$131)</f>
        <v>-2918.0009004550448</v>
      </c>
      <c r="N178" s="204">
        <f>-((1+$E$149)^N$145-1)*(Inputs!$E$130+Inputs!$E$131)</f>
        <v>-1451.3395353130136</v>
      </c>
      <c r="O178" s="30"/>
      <c r="P178" s="30"/>
    </row>
    <row r="179" spans="1:16" ht="17.25" customHeight="1" x14ac:dyDescent="0.45">
      <c r="A179" s="55" t="s">
        <v>225</v>
      </c>
      <c r="B179" s="39" t="s">
        <v>19</v>
      </c>
      <c r="C179" s="172"/>
      <c r="D179" s="172"/>
      <c r="E179" s="74">
        <f t="shared" ref="E179:F179" si="63">SUM(E177:E178)</f>
        <v>1732.5099133974375</v>
      </c>
      <c r="F179" s="74">
        <f t="shared" si="63"/>
        <v>3537.1280168249032</v>
      </c>
      <c r="G179" s="74">
        <f t="shared" ref="G179:N179" si="64">SUM(G177:G178)</f>
        <v>3166.078545248366</v>
      </c>
      <c r="H179" s="74">
        <f t="shared" si="64"/>
        <v>2802.8726465065083</v>
      </c>
      <c r="I179" s="74">
        <f t="shared" si="64"/>
        <v>2423.9796020952908</v>
      </c>
      <c r="J179" s="74">
        <f t="shared" si="64"/>
        <v>2052.9301305187537</v>
      </c>
      <c r="K179" s="74">
        <f t="shared" si="64"/>
        <v>1681.8806589422165</v>
      </c>
      <c r="L179" s="74">
        <f t="shared" si="64"/>
        <v>1314.503539167391</v>
      </c>
      <c r="M179" s="74">
        <f t="shared" si="64"/>
        <v>939.78171578914225</v>
      </c>
      <c r="N179" s="74">
        <f t="shared" si="64"/>
        <v>284.11623784789163</v>
      </c>
      <c r="O179" s="30"/>
    </row>
    <row r="180" spans="1:16" ht="17.25" customHeight="1" x14ac:dyDescent="0.45">
      <c r="A180" s="191"/>
      <c r="B180" s="39"/>
      <c r="C180" s="35"/>
      <c r="D180" s="35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30"/>
    </row>
    <row r="181" spans="1:16" ht="17.25" customHeight="1" x14ac:dyDescent="0.45">
      <c r="A181" s="33" t="s">
        <v>214</v>
      </c>
      <c r="B181" s="39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30"/>
    </row>
    <row r="182" spans="1:16" ht="17.25" customHeight="1" x14ac:dyDescent="0.45">
      <c r="A182" s="55" t="s">
        <v>168</v>
      </c>
      <c r="B182" s="39" t="s">
        <v>19</v>
      </c>
      <c r="C182" s="35"/>
      <c r="D182" s="35"/>
      <c r="E182" s="35"/>
      <c r="G182" s="30">
        <f t="shared" ref="G182:N182" si="65">F185</f>
        <v>430451.57519651612</v>
      </c>
      <c r="H182" s="30">
        <f t="shared" si="65"/>
        <v>395005.21532955626</v>
      </c>
      <c r="I182" s="30">
        <f t="shared" si="65"/>
        <v>359558.8554625964</v>
      </c>
      <c r="J182" s="30">
        <f t="shared" si="65"/>
        <v>324112.49559563654</v>
      </c>
      <c r="K182" s="30">
        <f t="shared" si="65"/>
        <v>288666.13572867669</v>
      </c>
      <c r="L182" s="30">
        <f t="shared" si="65"/>
        <v>253219.7758617168</v>
      </c>
      <c r="M182" s="30">
        <f t="shared" si="65"/>
        <v>217773.41599475691</v>
      </c>
      <c r="N182" s="30">
        <f t="shared" si="65"/>
        <v>182327.05612779703</v>
      </c>
      <c r="O182" s="30"/>
    </row>
    <row r="183" spans="1:16" ht="17.25" customHeight="1" x14ac:dyDescent="0.45">
      <c r="A183" s="55" t="s">
        <v>203</v>
      </c>
      <c r="B183" s="39" t="s">
        <v>19</v>
      </c>
      <c r="C183" s="35"/>
      <c r="D183" s="35"/>
      <c r="E183" s="35"/>
      <c r="F183" s="212">
        <f>F$52+F$54</f>
        <v>430451.57519651612</v>
      </c>
      <c r="G183" s="118"/>
      <c r="H183" s="118"/>
      <c r="I183" s="118"/>
      <c r="J183" s="118"/>
      <c r="K183" s="118"/>
      <c r="L183" s="118"/>
      <c r="M183" s="118"/>
      <c r="N183" s="118"/>
      <c r="O183" s="30"/>
    </row>
    <row r="184" spans="1:16" ht="17.25" customHeight="1" x14ac:dyDescent="0.45">
      <c r="A184" s="55" t="s">
        <v>3</v>
      </c>
      <c r="B184" s="39" t="s">
        <v>19</v>
      </c>
      <c r="C184" s="146"/>
      <c r="D184" s="146"/>
      <c r="E184" s="146"/>
      <c r="F184" s="152"/>
      <c r="G184" s="212">
        <f>G182*G$150</f>
        <v>-35446.359866959887</v>
      </c>
      <c r="H184" s="152">
        <f t="shared" ref="H184:M184" si="66">IF(H182+G184&lt;0,-H182,G184)</f>
        <v>-35446.359866959887</v>
      </c>
      <c r="I184" s="152">
        <f t="shared" si="66"/>
        <v>-35446.359866959887</v>
      </c>
      <c r="J184" s="152">
        <f t="shared" si="66"/>
        <v>-35446.359866959887</v>
      </c>
      <c r="K184" s="152">
        <f t="shared" si="66"/>
        <v>-35446.359866959887</v>
      </c>
      <c r="L184" s="152">
        <f t="shared" si="66"/>
        <v>-35446.359866959887</v>
      </c>
      <c r="M184" s="152">
        <f t="shared" si="66"/>
        <v>-35446.359866959887</v>
      </c>
      <c r="N184" s="212">
        <f>IF(N182+M184&lt;0,-N182,M184*N$145)</f>
        <v>-17856.619344341187</v>
      </c>
      <c r="O184" s="30"/>
    </row>
    <row r="185" spans="1:16" ht="17.25" customHeight="1" x14ac:dyDescent="0.45">
      <c r="A185" s="55" t="s">
        <v>170</v>
      </c>
      <c r="B185" s="39" t="s">
        <v>19</v>
      </c>
      <c r="C185" s="74"/>
      <c r="D185" s="74"/>
      <c r="E185" s="74"/>
      <c r="F185" s="30">
        <f>SUM(F182:F184)</f>
        <v>430451.57519651612</v>
      </c>
      <c r="G185" s="74">
        <f t="shared" ref="G185:N185" si="67">SUM(G182:G184)</f>
        <v>395005.21532955626</v>
      </c>
      <c r="H185" s="74">
        <f t="shared" si="67"/>
        <v>359558.8554625964</v>
      </c>
      <c r="I185" s="74">
        <f t="shared" si="67"/>
        <v>324112.49559563654</v>
      </c>
      <c r="J185" s="74">
        <f t="shared" si="67"/>
        <v>288666.13572867669</v>
      </c>
      <c r="K185" s="74">
        <f t="shared" si="67"/>
        <v>253219.7758617168</v>
      </c>
      <c r="L185" s="74">
        <f t="shared" si="67"/>
        <v>217773.41599475691</v>
      </c>
      <c r="M185" s="74">
        <f t="shared" si="67"/>
        <v>182327.05612779703</v>
      </c>
      <c r="N185" s="74">
        <f t="shared" si="67"/>
        <v>164470.43678345584</v>
      </c>
      <c r="O185" s="30"/>
    </row>
    <row r="186" spans="1:16" ht="17.25" customHeight="1" x14ac:dyDescent="0.45">
      <c r="A186" s="55" t="s">
        <v>226</v>
      </c>
      <c r="B186" s="39" t="s">
        <v>19</v>
      </c>
      <c r="C186" s="35"/>
      <c r="D186" s="35"/>
      <c r="E186" s="35"/>
      <c r="F186" s="212">
        <f>F183*Inputs!F$52*((1+F$148)^(F$146)-1)</f>
        <v>3969.6684179677013</v>
      </c>
      <c r="G186" s="74">
        <f>G182*Inputs!G$52*((1+$F$148)^G$145-1)</f>
        <v>8134.5476825452988</v>
      </c>
      <c r="H186" s="74">
        <f>H182*Inputs!H$52*((1+$F$148)^H$145-1)</f>
        <v>7485.7981294046867</v>
      </c>
      <c r="I186" s="74">
        <f>I182*Inputs!I$52*((1+$F$148)^I$145-1)</f>
        <v>6794.8378469903582</v>
      </c>
      <c r="J186" s="74">
        <f>J182*Inputs!J$52*((1+$F$148)^J$145-1)</f>
        <v>6124.982929212887</v>
      </c>
      <c r="K186" s="74">
        <f>K182*Inputs!K$52*((1+$F$148)^K$145-1)</f>
        <v>5455.1280114354167</v>
      </c>
      <c r="L186" s="74">
        <f>L182*Inputs!L$52*((1+$F$148)^L$145-1)</f>
        <v>4798.8027775593746</v>
      </c>
      <c r="M186" s="74">
        <f>M182*Inputs!M$52*((1+$F$148)^M$145-1)</f>
        <v>4115.4181758804743</v>
      </c>
      <c r="N186" s="74">
        <f>N182*Inputs!N$52*((1+$F$148)^N$145-1)</f>
        <v>1709.7537414312915</v>
      </c>
      <c r="O186" s="30"/>
    </row>
    <row r="187" spans="1:16" ht="17.25" customHeight="1" x14ac:dyDescent="0.45">
      <c r="A187" s="55" t="s">
        <v>176</v>
      </c>
      <c r="B187" s="39" t="s">
        <v>19</v>
      </c>
      <c r="C187" s="174"/>
      <c r="D187" s="174"/>
      <c r="E187" s="174"/>
      <c r="F187" s="212">
        <f>-((1+$F$149)^(F$146)-1)*(Inputs!$F$130+Inputs!$F$131)</f>
        <v>-2371.6321609586844</v>
      </c>
      <c r="G187" s="146">
        <f>-((1+$F$149)^G$145-1)*(Inputs!$F$130+Inputs!$F$131)</f>
        <v>-4863.2164952196053</v>
      </c>
      <c r="H187" s="146">
        <f>-((1+$F$149)^H$145-1)*(Inputs!$F$130+Inputs!$F$131)</f>
        <v>-4876.9847821709809</v>
      </c>
      <c r="I187" s="146">
        <f>-((1+$F$149)^I$145-1)*(Inputs!$F$130+Inputs!$F$131)</f>
        <v>-4863.2164952196053</v>
      </c>
      <c r="J187" s="146">
        <f>-((1+$F$149)^J$145-1)*(Inputs!$F$130+Inputs!$F$131)</f>
        <v>-4863.2164952196053</v>
      </c>
      <c r="K187" s="146">
        <f>-((1+$F$149)^K$145-1)*(Inputs!$F$130+Inputs!$F$131)</f>
        <v>-4863.2164952196053</v>
      </c>
      <c r="L187" s="146">
        <f>-((1+$F$149)^L$145-1)*(Inputs!$F$130+Inputs!$F$131)</f>
        <v>-4876.9847821709809</v>
      </c>
      <c r="M187" s="146">
        <f>-((1+$F$149)^M$145-1)*(Inputs!$F$130+Inputs!$F$131)</f>
        <v>-4863.2164952196053</v>
      </c>
      <c r="N187" s="146">
        <f>-((1+$F$149)^N$145-1)*(Inputs!$F$130+Inputs!$F$131)</f>
        <v>-2411.5965937510337</v>
      </c>
      <c r="O187" s="30"/>
      <c r="P187" s="30"/>
    </row>
    <row r="188" spans="1:16" ht="17.25" customHeight="1" x14ac:dyDescent="0.45">
      <c r="A188" s="55" t="s">
        <v>225</v>
      </c>
      <c r="B188" s="39" t="s">
        <v>19</v>
      </c>
      <c r="C188" s="172"/>
      <c r="D188" s="172"/>
      <c r="E188" s="172"/>
      <c r="F188" s="176">
        <f t="shared" ref="F188:G188" si="68">SUM(F186:F187)</f>
        <v>1598.0362570090169</v>
      </c>
      <c r="G188" s="74">
        <f t="shared" si="68"/>
        <v>3271.3311873256935</v>
      </c>
      <c r="H188" s="74">
        <f t="shared" ref="H188:N188" si="69">SUM(H186:H187)</f>
        <v>2608.8133472337058</v>
      </c>
      <c r="I188" s="74">
        <f t="shared" si="69"/>
        <v>1931.6213517707529</v>
      </c>
      <c r="J188" s="74">
        <f t="shared" si="69"/>
        <v>1261.7664339932817</v>
      </c>
      <c r="K188" s="74">
        <f t="shared" si="69"/>
        <v>591.91151621581139</v>
      </c>
      <c r="L188" s="74">
        <f t="shared" si="69"/>
        <v>-78.182004611606317</v>
      </c>
      <c r="M188" s="74">
        <f t="shared" si="69"/>
        <v>-747.79831933913101</v>
      </c>
      <c r="N188" s="74">
        <f t="shared" si="69"/>
        <v>-701.84285231974218</v>
      </c>
      <c r="O188" s="30"/>
    </row>
    <row r="189" spans="1:16" ht="17.25" customHeight="1" x14ac:dyDescent="0.45">
      <c r="A189" s="55"/>
      <c r="B189" s="39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0"/>
    </row>
    <row r="190" spans="1:16" ht="17.25" customHeight="1" x14ac:dyDescent="0.45">
      <c r="A190" s="33" t="s">
        <v>215</v>
      </c>
      <c r="B190" s="39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30"/>
    </row>
    <row r="191" spans="1:16" ht="17.25" customHeight="1" x14ac:dyDescent="0.45">
      <c r="A191" s="55" t="s">
        <v>168</v>
      </c>
      <c r="B191" s="39" t="s">
        <v>19</v>
      </c>
      <c r="C191" s="35"/>
      <c r="D191" s="35"/>
      <c r="E191" s="35"/>
      <c r="F191" s="35"/>
      <c r="H191" s="74">
        <f t="shared" ref="H191:N191" si="70">G194</f>
        <v>490981.37878951896</v>
      </c>
      <c r="I191" s="74">
        <f t="shared" si="70"/>
        <v>450467.50929122558</v>
      </c>
      <c r="J191" s="74">
        <f t="shared" si="70"/>
        <v>409953.6397929322</v>
      </c>
      <c r="K191" s="74">
        <f t="shared" si="70"/>
        <v>369439.77029463882</v>
      </c>
      <c r="L191" s="74">
        <f t="shared" si="70"/>
        <v>328925.90079634544</v>
      </c>
      <c r="M191" s="74">
        <f t="shared" si="70"/>
        <v>288412.03129805205</v>
      </c>
      <c r="N191" s="74">
        <f t="shared" si="70"/>
        <v>247898.16179975867</v>
      </c>
      <c r="O191" s="30"/>
    </row>
    <row r="192" spans="1:16" ht="17.25" customHeight="1" x14ac:dyDescent="0.45">
      <c r="A192" s="55" t="s">
        <v>204</v>
      </c>
      <c r="B192" s="39" t="s">
        <v>19</v>
      </c>
      <c r="C192" s="35"/>
      <c r="D192" s="35"/>
      <c r="E192" s="35"/>
      <c r="F192" s="35"/>
      <c r="G192" s="212">
        <f>G$52+G$54</f>
        <v>490981.37878951896</v>
      </c>
      <c r="H192" s="74"/>
      <c r="I192" s="74"/>
      <c r="J192" s="74"/>
      <c r="K192" s="74"/>
      <c r="L192" s="74"/>
      <c r="M192" s="74"/>
      <c r="N192" s="74"/>
      <c r="O192" s="30"/>
    </row>
    <row r="193" spans="1:16" ht="17.25" customHeight="1" x14ac:dyDescent="0.45">
      <c r="A193" s="55" t="s">
        <v>3</v>
      </c>
      <c r="B193" s="39" t="s">
        <v>19</v>
      </c>
      <c r="C193" s="146"/>
      <c r="D193" s="146"/>
      <c r="E193" s="146"/>
      <c r="F193" s="146"/>
      <c r="G193" s="152"/>
      <c r="H193" s="212">
        <f>H191*H$150</f>
        <v>-40513.869498293381</v>
      </c>
      <c r="I193" s="152">
        <f>IF(I191+H193&lt;0,-I191,H193)</f>
        <v>-40513.869498293381</v>
      </c>
      <c r="J193" s="152">
        <f>IF(J191+I193&lt;0,-J191,I193)</f>
        <v>-40513.869498293381</v>
      </c>
      <c r="K193" s="152">
        <f>IF(K191+J193&lt;0,-K191,J193)</f>
        <v>-40513.869498293381</v>
      </c>
      <c r="L193" s="152">
        <f>IF(L191+K193&lt;0,-L191,K193)</f>
        <v>-40513.869498293381</v>
      </c>
      <c r="M193" s="152">
        <f>IF(M191+L193&lt;0,-M191,L193)</f>
        <v>-40513.869498293381</v>
      </c>
      <c r="N193" s="212">
        <f>IF(N191+M193&lt;0,-N191,M193*N$145)</f>
        <v>-20409.451027203235</v>
      </c>
      <c r="O193" s="30"/>
    </row>
    <row r="194" spans="1:16" ht="17.25" customHeight="1" x14ac:dyDescent="0.45">
      <c r="A194" s="55" t="s">
        <v>170</v>
      </c>
      <c r="B194" s="39" t="s">
        <v>19</v>
      </c>
      <c r="C194" s="74"/>
      <c r="D194" s="74"/>
      <c r="E194" s="74"/>
      <c r="F194" s="74"/>
      <c r="G194" s="30">
        <f>SUM(G191:G193)</f>
        <v>490981.37878951896</v>
      </c>
      <c r="H194" s="74">
        <f t="shared" ref="H194:N194" si="71">SUM(H191:H193)</f>
        <v>450467.50929122558</v>
      </c>
      <c r="I194" s="74">
        <f t="shared" si="71"/>
        <v>409953.6397929322</v>
      </c>
      <c r="J194" s="74">
        <f t="shared" si="71"/>
        <v>369439.77029463882</v>
      </c>
      <c r="K194" s="74">
        <f t="shared" si="71"/>
        <v>328925.90079634544</v>
      </c>
      <c r="L194" s="74">
        <f t="shared" si="71"/>
        <v>288412.03129805205</v>
      </c>
      <c r="M194" s="74">
        <f t="shared" si="71"/>
        <v>247898.16179975867</v>
      </c>
      <c r="N194" s="74">
        <f t="shared" si="71"/>
        <v>227488.71077255544</v>
      </c>
      <c r="O194" s="30"/>
    </row>
    <row r="195" spans="1:16" ht="17.25" customHeight="1" x14ac:dyDescent="0.45">
      <c r="A195" s="55" t="s">
        <v>226</v>
      </c>
      <c r="B195" s="39" t="s">
        <v>19</v>
      </c>
      <c r="C195" s="35"/>
      <c r="D195" s="35"/>
      <c r="E195" s="35"/>
      <c r="F195" s="35"/>
      <c r="G195" s="212">
        <f>G192*Inputs!G$52*((1+G$148)^(G$146)-1)</f>
        <v>3897.5024792105482</v>
      </c>
      <c r="H195" s="74">
        <f>H191*Inputs!H$52*((1+$G$148)^H$145-1)</f>
        <v>7991.4088944204123</v>
      </c>
      <c r="I195" s="74">
        <f>I191*Inputs!I$52*((1+$G$148)^I$145-1)</f>
        <v>7311.405819756932</v>
      </c>
      <c r="J195" s="74">
        <f>J191*Inputs!J$52*((1+$G$148)^J$145-1)</f>
        <v>6653.8371047640057</v>
      </c>
      <c r="K195" s="74">
        <f>K191*Inputs!K$52*((1+$G$148)^K$145-1)</f>
        <v>5996.2683897710795</v>
      </c>
      <c r="L195" s="74">
        <f>L191*Inputs!L$52*((1+$G$148)^L$145-1)</f>
        <v>5353.7292508114024</v>
      </c>
      <c r="M195" s="74">
        <f>M191*Inputs!M$52*((1+$G$148)^M$145-1)</f>
        <v>4681.1309597852278</v>
      </c>
      <c r="N195" s="74">
        <f>N191*Inputs!N$52*((1+$G$148)^N$145-1)</f>
        <v>2000.9284968824463</v>
      </c>
      <c r="O195" s="30"/>
    </row>
    <row r="196" spans="1:16" ht="17.25" customHeight="1" x14ac:dyDescent="0.45">
      <c r="A196" s="55" t="s">
        <v>176</v>
      </c>
      <c r="B196" s="39" t="s">
        <v>19</v>
      </c>
      <c r="C196" s="174"/>
      <c r="D196" s="174"/>
      <c r="E196" s="174"/>
      <c r="F196" s="174"/>
      <c r="G196" s="212">
        <f>-((1+$F$149)^(G$146)-1)*(Inputs!$F$130+Inputs!$F$131)</f>
        <v>-2371.6321609586844</v>
      </c>
      <c r="H196" s="146">
        <f>-((1+$G$149)^H$145-1)*(Inputs!$G$130+Inputs!$G$131)</f>
        <v>-4089.188496604339</v>
      </c>
      <c r="I196" s="146">
        <f>-((1+$G$149)^I$145-1)*(Inputs!$G$130+Inputs!$G$131)</f>
        <v>-4077.6946804891491</v>
      </c>
      <c r="J196" s="146">
        <f>-((1+$G$149)^J$145-1)*(Inputs!$G$130+Inputs!$G$131)</f>
        <v>-4077.6946804891491</v>
      </c>
      <c r="K196" s="146">
        <f>-((1+$G$149)^K$145-1)*(Inputs!$G$130+Inputs!$G$131)</f>
        <v>-4077.6946804891491</v>
      </c>
      <c r="L196" s="146">
        <f>-((1+$G$149)^L$145-1)*(Inputs!$G$130+Inputs!$G$131)</f>
        <v>-4089.188496604339</v>
      </c>
      <c r="M196" s="146">
        <f>-((1+$G$149)^M$145-1)*(Inputs!$G$130+Inputs!$G$131)</f>
        <v>-4077.6946804891491</v>
      </c>
      <c r="N196" s="146">
        <f>-((1+$G$149)^N$145-1)*(Inputs!$G$130+Inputs!$G$131)</f>
        <v>-2026.5769614911451</v>
      </c>
      <c r="O196" s="30"/>
      <c r="P196" s="30"/>
    </row>
    <row r="197" spans="1:16" ht="17.25" customHeight="1" x14ac:dyDescent="0.45">
      <c r="A197" s="55" t="s">
        <v>225</v>
      </c>
      <c r="B197" s="39" t="s">
        <v>19</v>
      </c>
      <c r="C197" s="172"/>
      <c r="D197" s="172"/>
      <c r="E197" s="172"/>
      <c r="F197" s="172"/>
      <c r="G197" s="176">
        <f t="shared" ref="G197:H197" si="72">SUM(G195:G196)</f>
        <v>1525.8703182518639</v>
      </c>
      <c r="H197" s="74">
        <f t="shared" si="72"/>
        <v>3902.2203978160733</v>
      </c>
      <c r="I197" s="74">
        <f t="shared" ref="I197:N197" si="73">SUM(I195:I196)</f>
        <v>3233.711139267783</v>
      </c>
      <c r="J197" s="74">
        <f t="shared" si="73"/>
        <v>2576.1424242748567</v>
      </c>
      <c r="K197" s="74">
        <f t="shared" si="73"/>
        <v>1918.5737092819304</v>
      </c>
      <c r="L197" s="74">
        <f t="shared" si="73"/>
        <v>1264.5407542070634</v>
      </c>
      <c r="M197" s="74">
        <f t="shared" si="73"/>
        <v>603.43627929607874</v>
      </c>
      <c r="N197" s="74">
        <f t="shared" si="73"/>
        <v>-25.64846460869876</v>
      </c>
      <c r="O197" s="30"/>
    </row>
    <row r="198" spans="1:16" ht="17.25" customHeight="1" x14ac:dyDescent="0.45">
      <c r="A198" s="55"/>
      <c r="B198" s="39"/>
      <c r="C198" s="35"/>
      <c r="D198" s="35"/>
      <c r="E198" s="35"/>
      <c r="F198" s="35"/>
      <c r="G198" s="35"/>
      <c r="H198" s="30"/>
      <c r="I198" s="30"/>
      <c r="J198" s="30"/>
      <c r="K198" s="30"/>
      <c r="L198" s="30"/>
      <c r="M198" s="30"/>
      <c r="N198" s="30"/>
      <c r="O198" s="30"/>
    </row>
    <row r="199" spans="1:16" ht="17.25" customHeight="1" x14ac:dyDescent="0.45">
      <c r="A199" s="33" t="s">
        <v>216</v>
      </c>
      <c r="B199" s="39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30"/>
    </row>
    <row r="200" spans="1:16" ht="17.25" customHeight="1" x14ac:dyDescent="0.45">
      <c r="A200" s="55" t="s">
        <v>168</v>
      </c>
      <c r="B200" s="39" t="s">
        <v>19</v>
      </c>
      <c r="C200" s="35"/>
      <c r="D200" s="35"/>
      <c r="E200" s="35"/>
      <c r="F200" s="35"/>
      <c r="G200" s="35"/>
      <c r="I200" s="74">
        <f t="shared" ref="I200:N200" si="74">H203</f>
        <v>413861.50009130494</v>
      </c>
      <c r="J200" s="74">
        <f t="shared" si="74"/>
        <v>386689.52061209833</v>
      </c>
      <c r="K200" s="74">
        <f t="shared" si="74"/>
        <v>359517.54113289173</v>
      </c>
      <c r="L200" s="74">
        <f t="shared" si="74"/>
        <v>332345.56165368512</v>
      </c>
      <c r="M200" s="74">
        <f t="shared" si="74"/>
        <v>305173.58217447851</v>
      </c>
      <c r="N200" s="74">
        <f t="shared" si="74"/>
        <v>278001.6026952719</v>
      </c>
      <c r="O200" s="30"/>
    </row>
    <row r="201" spans="1:16" ht="17.25" customHeight="1" x14ac:dyDescent="0.45">
      <c r="A201" s="55" t="s">
        <v>205</v>
      </c>
      <c r="B201" s="39" t="s">
        <v>19</v>
      </c>
      <c r="C201" s="35"/>
      <c r="D201" s="35"/>
      <c r="E201" s="35"/>
      <c r="F201" s="35"/>
      <c r="G201" s="35"/>
      <c r="H201" s="212">
        <f>H$52+H$54</f>
        <v>413861.50009130494</v>
      </c>
      <c r="I201" s="74"/>
      <c r="J201" s="74"/>
      <c r="K201" s="74"/>
      <c r="L201" s="74"/>
      <c r="M201" s="74"/>
      <c r="N201" s="74"/>
      <c r="O201" s="30"/>
    </row>
    <row r="202" spans="1:16" ht="17.25" customHeight="1" x14ac:dyDescent="0.45">
      <c r="A202" s="55" t="s">
        <v>3</v>
      </c>
      <c r="B202" s="39" t="s">
        <v>19</v>
      </c>
      <c r="C202" s="146"/>
      <c r="D202" s="146"/>
      <c r="E202" s="146"/>
      <c r="F202" s="146"/>
      <c r="G202" s="146"/>
      <c r="H202" s="152"/>
      <c r="I202" s="212">
        <f>I200*I$150</f>
        <v>-27171.979479206584</v>
      </c>
      <c r="J202" s="152">
        <f>IF(J200+I202&lt;0,-J200,I202)</f>
        <v>-27171.979479206584</v>
      </c>
      <c r="K202" s="152">
        <f>IF(K200+J202&lt;0,-K200,J202)</f>
        <v>-27171.979479206584</v>
      </c>
      <c r="L202" s="152">
        <f>IF(L200+K202&lt;0,-L200,K202)</f>
        <v>-27171.979479206584</v>
      </c>
      <c r="M202" s="152">
        <f>IF(M200+L202&lt;0,-M200,L202)</f>
        <v>-27171.979479206584</v>
      </c>
      <c r="N202" s="212">
        <f>IF(N200+M202&lt;0,-N200,M202*N$145)</f>
        <v>-13688.279874535279</v>
      </c>
      <c r="O202" s="30"/>
    </row>
    <row r="203" spans="1:16" ht="17.25" customHeight="1" x14ac:dyDescent="0.45">
      <c r="A203" s="55" t="s">
        <v>170</v>
      </c>
      <c r="B203" s="39" t="s">
        <v>19</v>
      </c>
      <c r="C203" s="74"/>
      <c r="D203" s="74"/>
      <c r="E203" s="74"/>
      <c r="F203" s="74"/>
      <c r="G203" s="74"/>
      <c r="H203" s="30">
        <f>SUM(H200:H202)</f>
        <v>413861.50009130494</v>
      </c>
      <c r="I203" s="74">
        <f t="shared" ref="I203:N203" si="75">SUM(I200:I202)</f>
        <v>386689.52061209833</v>
      </c>
      <c r="J203" s="74">
        <f t="shared" si="75"/>
        <v>359517.54113289173</v>
      </c>
      <c r="K203" s="74">
        <f t="shared" si="75"/>
        <v>332345.56165368512</v>
      </c>
      <c r="L203" s="74">
        <f t="shared" si="75"/>
        <v>305173.58217447851</v>
      </c>
      <c r="M203" s="74">
        <f t="shared" si="75"/>
        <v>278001.6026952719</v>
      </c>
      <c r="N203" s="74">
        <f t="shared" si="75"/>
        <v>264313.32282073662</v>
      </c>
      <c r="O203" s="30"/>
    </row>
    <row r="204" spans="1:16" ht="17.25" customHeight="1" x14ac:dyDescent="0.45">
      <c r="A204" s="55" t="s">
        <v>226</v>
      </c>
      <c r="B204" s="39" t="s">
        <v>19</v>
      </c>
      <c r="C204" s="35"/>
      <c r="D204" s="35"/>
      <c r="E204" s="35"/>
      <c r="F204" s="35"/>
      <c r="G204" s="35"/>
      <c r="H204" s="212">
        <f>H201*Inputs!H$52*((1+H$148)^(H$146)-1)</f>
        <v>2869.951582013603</v>
      </c>
      <c r="I204" s="74">
        <f>I200*Inputs!I$52*((1+$H$148)^I$145-1)</f>
        <v>5824.8689596237491</v>
      </c>
      <c r="J204" s="74">
        <f>J200*Inputs!J$52*((1+$H$148)^J$145-1)</f>
        <v>5442.4385576534132</v>
      </c>
      <c r="K204" s="74">
        <f>K200*Inputs!K$52*((1+$H$148)^K$145-1)</f>
        <v>5060.0081556830773</v>
      </c>
      <c r="L204" s="74">
        <f>L200*Inputs!L$52*((1+$H$148)^L$145-1)</f>
        <v>4690.699954033118</v>
      </c>
      <c r="M204" s="74">
        <f>M200*Inputs!M$52*((1+$H$148)^M$145-1)</f>
        <v>4295.1473517424047</v>
      </c>
      <c r="N204" s="74">
        <f>N200*Inputs!N$52*((1+$H$148)^N$145-1)</f>
        <v>1949.2605309579176</v>
      </c>
      <c r="O204" s="30"/>
    </row>
    <row r="205" spans="1:16" ht="17.25" customHeight="1" x14ac:dyDescent="0.45">
      <c r="A205" s="55" t="s">
        <v>176</v>
      </c>
      <c r="B205" s="39" t="s">
        <v>19</v>
      </c>
      <c r="C205" s="174"/>
      <c r="D205" s="174"/>
      <c r="E205" s="174"/>
      <c r="F205" s="174"/>
      <c r="G205" s="174"/>
      <c r="H205" s="212">
        <f>-((1+$H$149)^(H$146)-1)*(Inputs!$H$130+Inputs!$H$131)</f>
        <v>-1657.9244725407868</v>
      </c>
      <c r="I205" s="146">
        <f>-((1+$H$149)^I$145-1)*(Inputs!$H$130+Inputs!$H$131)</f>
        <v>-3367.5656415385715</v>
      </c>
      <c r="J205" s="146">
        <f>-((1+$H$149)^J$145-1)*(Inputs!$H$130+Inputs!$H$131)</f>
        <v>-3367.5656415385715</v>
      </c>
      <c r="K205" s="146">
        <f>-((1+$H$149)^K$145-1)*(Inputs!$H$130+Inputs!$H$131)</f>
        <v>-3367.5656415385715</v>
      </c>
      <c r="L205" s="146">
        <f>-((1+$H$149)^L$145-1)*(Inputs!$H$130+Inputs!$H$131)</f>
        <v>-3377.0273057375953</v>
      </c>
      <c r="M205" s="146">
        <f>-((1+$H$149)^M$145-1)*(Inputs!$H$130+Inputs!$H$131)</f>
        <v>-3367.5656415385715</v>
      </c>
      <c r="N205" s="146">
        <f>-((1+$H$149)^N$145-1)*(Inputs!$H$130+Inputs!$H$131)</f>
        <v>-1676.3762042048224</v>
      </c>
      <c r="O205" s="30"/>
      <c r="P205" s="30"/>
    </row>
    <row r="206" spans="1:16" ht="17.25" customHeight="1" x14ac:dyDescent="0.45">
      <c r="A206" s="55" t="s">
        <v>225</v>
      </c>
      <c r="B206" s="39" t="s">
        <v>19</v>
      </c>
      <c r="C206" s="172"/>
      <c r="D206" s="172"/>
      <c r="E206" s="172"/>
      <c r="F206" s="172"/>
      <c r="G206" s="172"/>
      <c r="H206" s="176">
        <f t="shared" ref="H206:I206" si="76">SUM(H204:H205)</f>
        <v>1212.0271094728162</v>
      </c>
      <c r="I206" s="74">
        <f t="shared" si="76"/>
        <v>2457.3033180851776</v>
      </c>
      <c r="J206" s="74">
        <f t="shared" ref="J206:N206" si="77">SUM(J204:J205)</f>
        <v>2074.8729161148417</v>
      </c>
      <c r="K206" s="74">
        <f t="shared" si="77"/>
        <v>1692.4425141445058</v>
      </c>
      <c r="L206" s="74">
        <f t="shared" si="77"/>
        <v>1313.6726482955228</v>
      </c>
      <c r="M206" s="74">
        <f t="shared" si="77"/>
        <v>927.58171020383315</v>
      </c>
      <c r="N206" s="74">
        <f t="shared" si="77"/>
        <v>272.88432675309514</v>
      </c>
      <c r="O206" s="30"/>
    </row>
    <row r="207" spans="1:16" ht="17.25" customHeight="1" x14ac:dyDescent="0.45">
      <c r="A207" s="55"/>
      <c r="B207" s="39"/>
      <c r="C207" s="35"/>
      <c r="D207" s="35"/>
      <c r="E207" s="35"/>
      <c r="F207" s="35"/>
      <c r="G207" s="35"/>
      <c r="H207" s="35"/>
      <c r="I207" s="74"/>
      <c r="J207" s="74"/>
      <c r="K207" s="74"/>
      <c r="L207" s="74"/>
      <c r="M207" s="74"/>
      <c r="N207" s="74"/>
      <c r="O207" s="30"/>
    </row>
    <row r="208" spans="1:16" ht="17.25" customHeight="1" x14ac:dyDescent="0.45">
      <c r="A208" s="33" t="s">
        <v>217</v>
      </c>
      <c r="B208" s="39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30"/>
    </row>
    <row r="209" spans="1:16" ht="17.25" customHeight="1" x14ac:dyDescent="0.45">
      <c r="A209" s="55" t="s">
        <v>168</v>
      </c>
      <c r="B209" s="39" t="s">
        <v>19</v>
      </c>
      <c r="C209" s="35"/>
      <c r="D209" s="35"/>
      <c r="E209" s="35"/>
      <c r="F209" s="35"/>
      <c r="G209" s="35"/>
      <c r="H209" s="35"/>
      <c r="J209" s="74">
        <f>I212</f>
        <v>495893.64137348719</v>
      </c>
      <c r="K209" s="74">
        <f>J212</f>
        <v>483153.45401429693</v>
      </c>
      <c r="L209" s="74">
        <f>K212</f>
        <v>470413.26665510668</v>
      </c>
      <c r="M209" s="74">
        <f>L212</f>
        <v>457673.07929591642</v>
      </c>
      <c r="N209" s="74">
        <f>M212</f>
        <v>444932.89193672617</v>
      </c>
      <c r="O209" s="30"/>
    </row>
    <row r="210" spans="1:16" ht="17.25" customHeight="1" x14ac:dyDescent="0.45">
      <c r="A210" s="55" t="s">
        <v>206</v>
      </c>
      <c r="B210" s="39" t="s">
        <v>19</v>
      </c>
      <c r="C210" s="35"/>
      <c r="D210" s="35"/>
      <c r="E210" s="35"/>
      <c r="F210" s="35"/>
      <c r="G210" s="35"/>
      <c r="H210" s="35"/>
      <c r="I210" s="212">
        <f>I$52+I$54</f>
        <v>495893.64137348719</v>
      </c>
      <c r="J210" s="74"/>
      <c r="K210" s="74"/>
      <c r="L210" s="74"/>
      <c r="M210" s="74"/>
      <c r="N210" s="74"/>
      <c r="O210" s="30"/>
    </row>
    <row r="211" spans="1:16" ht="17.25" customHeight="1" x14ac:dyDescent="0.45">
      <c r="A211" s="55" t="s">
        <v>3</v>
      </c>
      <c r="B211" s="39" t="s">
        <v>19</v>
      </c>
      <c r="C211" s="146"/>
      <c r="D211" s="146"/>
      <c r="E211" s="146"/>
      <c r="F211" s="146"/>
      <c r="G211" s="146"/>
      <c r="H211" s="146"/>
      <c r="I211" s="152"/>
      <c r="J211" s="212">
        <f>J209*J$150</f>
        <v>-12740.187359190255</v>
      </c>
      <c r="K211" s="152">
        <f>IF(K209+J211&lt;0,-K209,J211)</f>
        <v>-12740.187359190255</v>
      </c>
      <c r="L211" s="152">
        <f>IF(L209+K211&lt;0,-L209,K211)</f>
        <v>-12740.187359190255</v>
      </c>
      <c r="M211" s="152">
        <f>IF(M209+L211&lt;0,-M209,L211)</f>
        <v>-12740.187359190255</v>
      </c>
      <c r="N211" s="212">
        <f>IF(N209+M211&lt;0,-N209,M211*N$145)</f>
        <v>-6418.0546860807854</v>
      </c>
      <c r="O211" s="30"/>
    </row>
    <row r="212" spans="1:16" ht="17.25" customHeight="1" x14ac:dyDescent="0.45">
      <c r="A212" s="55" t="s">
        <v>170</v>
      </c>
      <c r="B212" s="39" t="s">
        <v>19</v>
      </c>
      <c r="C212" s="74"/>
      <c r="D212" s="74"/>
      <c r="E212" s="74"/>
      <c r="F212" s="74"/>
      <c r="G212" s="74"/>
      <c r="H212" s="74"/>
      <c r="I212" s="30">
        <f>SUM(I209:I211)</f>
        <v>495893.64137348719</v>
      </c>
      <c r="J212" s="74">
        <f t="shared" ref="J212:N212" si="78">SUM(J209:J211)</f>
        <v>483153.45401429693</v>
      </c>
      <c r="K212" s="74">
        <f t="shared" si="78"/>
        <v>470413.26665510668</v>
      </c>
      <c r="L212" s="74">
        <f t="shared" si="78"/>
        <v>457673.07929591642</v>
      </c>
      <c r="M212" s="74">
        <f t="shared" si="78"/>
        <v>444932.89193672617</v>
      </c>
      <c r="N212" s="74">
        <f t="shared" si="78"/>
        <v>438514.83725064539</v>
      </c>
      <c r="O212" s="30"/>
    </row>
    <row r="213" spans="1:16" ht="17.25" customHeight="1" x14ac:dyDescent="0.45">
      <c r="A213" s="55" t="s">
        <v>226</v>
      </c>
      <c r="B213" s="39" t="s">
        <v>19</v>
      </c>
      <c r="C213" s="35"/>
      <c r="D213" s="35"/>
      <c r="E213" s="35"/>
      <c r="F213" s="35"/>
      <c r="G213" s="35"/>
      <c r="H213" s="35"/>
      <c r="I213" s="212">
        <f>I210*Inputs!I$52*((1+I$148)^(I$146)-1)</f>
        <v>3335.9559957499341</v>
      </c>
      <c r="J213" s="74">
        <f>J209*Inputs!J$52*((1+$I$148)^J$145-1)</f>
        <v>6806.5332611881913</v>
      </c>
      <c r="K213" s="74">
        <f>K209*Inputs!K$52*((1+$I$148)^K$145-1)</f>
        <v>6631.6640921181533</v>
      </c>
      <c r="L213" s="74">
        <f>L209*Inputs!L$52*((1+$I$148)^L$145-1)</f>
        <v>6474.898099357164</v>
      </c>
      <c r="M213" s="74">
        <f>M209*Inputs!M$52*((1+$I$148)^M$145-1)</f>
        <v>6281.9257539780729</v>
      </c>
      <c r="N213" s="74">
        <f>N209*Inputs!N$52*((1+$I$148)^N$145-1)</f>
        <v>3043.3253810323681</v>
      </c>
      <c r="O213" s="30"/>
    </row>
    <row r="214" spans="1:16" ht="17.25" customHeight="1" x14ac:dyDescent="0.45">
      <c r="A214" s="55" t="s">
        <v>176</v>
      </c>
      <c r="B214" s="39" t="s">
        <v>19</v>
      </c>
      <c r="C214" s="174"/>
      <c r="D214" s="174"/>
      <c r="E214" s="174"/>
      <c r="F214" s="174"/>
      <c r="G214" s="174"/>
      <c r="H214" s="174"/>
      <c r="I214" s="212">
        <f>-((1+$I$149)^(I$146)-1)*(Inputs!$I$130+Inputs!$I$131)</f>
        <v>-1329.2251358678193</v>
      </c>
      <c r="J214" s="146">
        <f>-((1+$I$149)^J$145-1)*(Inputs!$I$130+Inputs!$I$131)</f>
        <v>-2713.6372155705567</v>
      </c>
      <c r="K214" s="146">
        <f>-((1+$I$149)^K$145-1)*(Inputs!$I$130+Inputs!$I$131)</f>
        <v>-2713.6372155705567</v>
      </c>
      <c r="L214" s="146">
        <f>-((1+$I$149)^L$145-1)*(Inputs!$I$130+Inputs!$I$131)</f>
        <v>-2721.254014172252</v>
      </c>
      <c r="M214" s="146">
        <f>-((1+$I$149)^M$145-1)*(Inputs!$I$130+Inputs!$I$131)</f>
        <v>-2713.6372155705567</v>
      </c>
      <c r="N214" s="146">
        <f>-((1+$I$149)^N$145-1)*(Inputs!$I$130+Inputs!$I$131)</f>
        <v>-1351.5268195068556</v>
      </c>
      <c r="O214" s="30"/>
      <c r="P214" s="30"/>
    </row>
    <row r="215" spans="1:16" ht="17.25" customHeight="1" x14ac:dyDescent="0.45">
      <c r="A215" s="55" t="s">
        <v>225</v>
      </c>
      <c r="B215" s="39" t="s">
        <v>19</v>
      </c>
      <c r="C215" s="172"/>
      <c r="D215" s="172"/>
      <c r="E215" s="172"/>
      <c r="F215" s="172"/>
      <c r="G215" s="172"/>
      <c r="H215" s="172"/>
      <c r="I215" s="176">
        <f t="shared" ref="I215:J215" si="79">SUM(I213:I214)</f>
        <v>2006.7308598821148</v>
      </c>
      <c r="J215" s="74">
        <f t="shared" si="79"/>
        <v>4092.8960456176346</v>
      </c>
      <c r="K215" s="74">
        <f t="shared" ref="K215:N215" si="80">SUM(K213:K214)</f>
        <v>3918.0268765475967</v>
      </c>
      <c r="L215" s="74">
        <f t="shared" si="80"/>
        <v>3753.644085184912</v>
      </c>
      <c r="M215" s="74">
        <f t="shared" si="80"/>
        <v>3568.2885384075162</v>
      </c>
      <c r="N215" s="74">
        <f t="shared" si="80"/>
        <v>1691.7985615255125</v>
      </c>
      <c r="O215" s="30"/>
    </row>
    <row r="216" spans="1:16" ht="17.25" customHeight="1" x14ac:dyDescent="0.45">
      <c r="A216" s="55"/>
      <c r="B216" s="39"/>
      <c r="C216" s="35"/>
      <c r="D216" s="35"/>
      <c r="E216" s="35"/>
      <c r="F216" s="35"/>
      <c r="G216" s="35"/>
      <c r="H216" s="35"/>
      <c r="I216" s="35"/>
      <c r="J216" s="74"/>
      <c r="K216" s="74"/>
      <c r="L216" s="74"/>
      <c r="M216" s="74"/>
      <c r="N216" s="74"/>
      <c r="O216" s="30"/>
    </row>
    <row r="217" spans="1:16" ht="17.25" customHeight="1" x14ac:dyDescent="0.45">
      <c r="A217" s="33" t="s">
        <v>218</v>
      </c>
      <c r="B217" s="39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30"/>
    </row>
    <row r="218" spans="1:16" ht="17.25" customHeight="1" x14ac:dyDescent="0.45">
      <c r="A218" s="55" t="s">
        <v>168</v>
      </c>
      <c r="B218" s="39" t="s">
        <v>19</v>
      </c>
      <c r="C218" s="35"/>
      <c r="D218" s="35"/>
      <c r="E218" s="35"/>
      <c r="F218" s="35"/>
      <c r="G218" s="35"/>
      <c r="H218" s="35"/>
      <c r="I218" s="35"/>
      <c r="K218" s="74">
        <f>J221</f>
        <v>584491.28613271494</v>
      </c>
      <c r="L218" s="74">
        <f>K221</f>
        <v>560918.68513688224</v>
      </c>
      <c r="M218" s="74">
        <f>L221</f>
        <v>537346.08414104953</v>
      </c>
      <c r="N218" s="74">
        <f>M221</f>
        <v>513773.48314521683</v>
      </c>
      <c r="O218" s="30"/>
    </row>
    <row r="219" spans="1:16" ht="17.25" customHeight="1" x14ac:dyDescent="0.45">
      <c r="A219" s="55" t="s">
        <v>207</v>
      </c>
      <c r="B219" s="39" t="s">
        <v>19</v>
      </c>
      <c r="C219" s="35"/>
      <c r="D219" s="35"/>
      <c r="E219" s="35"/>
      <c r="F219" s="35"/>
      <c r="G219" s="35"/>
      <c r="H219" s="35"/>
      <c r="I219" s="35"/>
      <c r="J219" s="212">
        <f>J$52+J$54</f>
        <v>584491.28613271494</v>
      </c>
      <c r="K219" s="74"/>
      <c r="L219" s="74"/>
      <c r="M219" s="74"/>
      <c r="N219" s="74"/>
      <c r="O219" s="30"/>
    </row>
    <row r="220" spans="1:16" ht="17.25" customHeight="1" x14ac:dyDescent="0.45">
      <c r="A220" s="55" t="s">
        <v>3</v>
      </c>
      <c r="B220" s="39" t="s">
        <v>19</v>
      </c>
      <c r="C220" s="146"/>
      <c r="D220" s="146"/>
      <c r="E220" s="146"/>
      <c r="F220" s="146"/>
      <c r="G220" s="146"/>
      <c r="H220" s="146"/>
      <c r="I220" s="146"/>
      <c r="J220" s="152"/>
      <c r="K220" s="212">
        <f>K218*K$150</f>
        <v>-23572.600995832734</v>
      </c>
      <c r="L220" s="152">
        <f>IF(L218+K220&lt;0,-L218,K220)</f>
        <v>-23572.600995832734</v>
      </c>
      <c r="M220" s="152">
        <f>IF(M218+L220&lt;0,-M218,L220)</f>
        <v>-23572.600995832734</v>
      </c>
      <c r="N220" s="212">
        <f>IF(N218+M220&lt;0,-N218,M220*N$145)</f>
        <v>-11875.040611179254</v>
      </c>
      <c r="O220" s="30"/>
    </row>
    <row r="221" spans="1:16" ht="17.25" customHeight="1" x14ac:dyDescent="0.45">
      <c r="A221" s="55" t="s">
        <v>170</v>
      </c>
      <c r="B221" s="39" t="s">
        <v>19</v>
      </c>
      <c r="C221" s="74"/>
      <c r="D221" s="74"/>
      <c r="E221" s="74"/>
      <c r="F221" s="74"/>
      <c r="G221" s="74"/>
      <c r="H221" s="74"/>
      <c r="I221" s="74"/>
      <c r="J221" s="30">
        <f>SUM(J218:J220)</f>
        <v>584491.28613271494</v>
      </c>
      <c r="K221" s="74">
        <f t="shared" ref="K221:N221" si="81">SUM(K218:K220)</f>
        <v>560918.68513688224</v>
      </c>
      <c r="L221" s="74">
        <f t="shared" si="81"/>
        <v>537346.08414104953</v>
      </c>
      <c r="M221" s="74">
        <f t="shared" si="81"/>
        <v>513773.48314521683</v>
      </c>
      <c r="N221" s="74">
        <f t="shared" si="81"/>
        <v>501898.44253403757</v>
      </c>
      <c r="O221" s="30"/>
    </row>
    <row r="222" spans="1:16" ht="17.25" customHeight="1" x14ac:dyDescent="0.45">
      <c r="A222" s="55" t="s">
        <v>226</v>
      </c>
      <c r="B222" s="39" t="s">
        <v>19</v>
      </c>
      <c r="C222" s="35"/>
      <c r="D222" s="35"/>
      <c r="E222" s="35"/>
      <c r="F222" s="35"/>
      <c r="G222" s="35"/>
      <c r="H222" s="35"/>
      <c r="I222" s="35"/>
      <c r="J222" s="212">
        <f>J219*Inputs!J$52*((1+J$148)^(J$146)-1)</f>
        <v>3530.8188204283733</v>
      </c>
      <c r="K222" s="74">
        <f>K218*Inputs!K$52*((1+$J$148)^K$145-1)</f>
        <v>7195.5554628724194</v>
      </c>
      <c r="L222" s="74">
        <f>L218*Inputs!L$52*((1+$J$148)^L$145-1)</f>
        <v>6924.6737662276819</v>
      </c>
      <c r="M222" s="74">
        <f>M218*Inputs!M$52*((1+$J$148)^M$145-1)</f>
        <v>6615.1602990986275</v>
      </c>
      <c r="N222" s="74">
        <f>N218*Inputs!N$52*((1+$J$148)^N$145-1)</f>
        <v>3155.6060808117641</v>
      </c>
      <c r="O222" s="30"/>
    </row>
    <row r="223" spans="1:16" ht="17.25" customHeight="1" x14ac:dyDescent="0.45">
      <c r="A223" s="55" t="s">
        <v>176</v>
      </c>
      <c r="B223" s="39" t="s">
        <v>19</v>
      </c>
      <c r="C223" s="174"/>
      <c r="D223" s="174"/>
      <c r="E223" s="174"/>
      <c r="F223" s="174"/>
      <c r="G223" s="174"/>
      <c r="H223" s="174"/>
      <c r="I223" s="174"/>
      <c r="J223" s="212">
        <f>-((1+$J$149)^(J$146)-1)*(Inputs!$J$130+Inputs!$J$131)</f>
        <v>-1216.0578402744209</v>
      </c>
      <c r="K223" s="146">
        <f>-((1+$J$149)^K$145-1)*(Inputs!$J$130+Inputs!$J$131)</f>
        <v>-2479.5084614247526</v>
      </c>
      <c r="L223" s="146">
        <f>-((1+$J$149)^L$145-1)*(Inputs!$J$130+Inputs!$J$131)</f>
        <v>-2486.4511677521818</v>
      </c>
      <c r="M223" s="146">
        <f>-((1+$J$149)^M$145-1)*(Inputs!$J$130+Inputs!$J$131)</f>
        <v>-2479.5084614247526</v>
      </c>
      <c r="N223" s="146">
        <f>-((1+$J$149)^N$145-1)*(Inputs!$J$130+Inputs!$J$131)</f>
        <v>-1236.4357489395868</v>
      </c>
      <c r="O223" s="30"/>
      <c r="P223" s="30"/>
    </row>
    <row r="224" spans="1:16" ht="17.25" customHeight="1" x14ac:dyDescent="0.45">
      <c r="A224" s="55" t="s">
        <v>225</v>
      </c>
      <c r="B224" s="39" t="s">
        <v>19</v>
      </c>
      <c r="C224" s="172"/>
      <c r="D224" s="172"/>
      <c r="E224" s="172"/>
      <c r="F224" s="172"/>
      <c r="G224" s="172"/>
      <c r="H224" s="172"/>
      <c r="I224" s="176"/>
      <c r="J224" s="74">
        <f t="shared" ref="J224:K224" si="82">SUM(J222:J223)</f>
        <v>2314.7609801539525</v>
      </c>
      <c r="K224" s="74">
        <f t="shared" si="82"/>
        <v>4716.0470014476668</v>
      </c>
      <c r="L224" s="74">
        <f t="shared" ref="L224:N224" si="83">SUM(L222:L223)</f>
        <v>4438.2225984755005</v>
      </c>
      <c r="M224" s="74">
        <f t="shared" si="83"/>
        <v>4135.651837673875</v>
      </c>
      <c r="N224" s="74">
        <f t="shared" si="83"/>
        <v>1919.1703318721773</v>
      </c>
      <c r="O224" s="30"/>
    </row>
    <row r="225" spans="1:16" ht="17.25" customHeight="1" x14ac:dyDescent="0.45">
      <c r="A225" s="55"/>
      <c r="B225" s="39"/>
      <c r="C225" s="35"/>
      <c r="D225" s="35"/>
      <c r="E225" s="35"/>
      <c r="F225" s="35"/>
      <c r="G225" s="35"/>
      <c r="H225" s="35"/>
      <c r="I225" s="35"/>
      <c r="J225" s="30"/>
      <c r="K225" s="30"/>
      <c r="L225" s="30"/>
      <c r="M225" s="30"/>
      <c r="N225" s="30"/>
      <c r="O225" s="30"/>
    </row>
    <row r="226" spans="1:16" ht="17.25" customHeight="1" x14ac:dyDescent="0.45">
      <c r="A226" s="33" t="s">
        <v>219</v>
      </c>
      <c r="B226" s="39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30"/>
    </row>
    <row r="227" spans="1:16" ht="17.25" customHeight="1" x14ac:dyDescent="0.45">
      <c r="A227" s="55" t="s">
        <v>168</v>
      </c>
      <c r="B227" s="39" t="s">
        <v>19</v>
      </c>
      <c r="C227" s="35"/>
      <c r="D227" s="35"/>
      <c r="E227" s="35"/>
      <c r="F227" s="35"/>
      <c r="G227" s="35"/>
      <c r="H227" s="35"/>
      <c r="I227" s="35"/>
      <c r="J227" s="35"/>
      <c r="L227" s="74">
        <f>K230</f>
        <v>685593.99870164401</v>
      </c>
      <c r="M227" s="74">
        <f>L230</f>
        <v>655027.58662472456</v>
      </c>
      <c r="N227" s="74">
        <f>M230</f>
        <v>624461.1745478051</v>
      </c>
      <c r="O227" s="30"/>
    </row>
    <row r="228" spans="1:16" ht="17.25" customHeight="1" x14ac:dyDescent="0.45">
      <c r="A228" s="55" t="s">
        <v>208</v>
      </c>
      <c r="B228" s="39" t="s">
        <v>19</v>
      </c>
      <c r="C228" s="35"/>
      <c r="D228" s="35"/>
      <c r="E228" s="35"/>
      <c r="F228" s="35"/>
      <c r="G228" s="35"/>
      <c r="H228" s="35"/>
      <c r="I228" s="35"/>
      <c r="J228" s="35"/>
      <c r="K228" s="212">
        <f>K$52+K$54</f>
        <v>685593.99870164401</v>
      </c>
      <c r="L228" s="74"/>
      <c r="M228" s="74"/>
      <c r="N228" s="74"/>
      <c r="O228" s="30"/>
    </row>
    <row r="229" spans="1:16" ht="17.25" customHeight="1" x14ac:dyDescent="0.45">
      <c r="A229" s="55" t="s">
        <v>3</v>
      </c>
      <c r="B229" s="39" t="s">
        <v>19</v>
      </c>
      <c r="C229" s="146"/>
      <c r="D229" s="146"/>
      <c r="E229" s="146"/>
      <c r="F229" s="146"/>
      <c r="G229" s="146"/>
      <c r="H229" s="146"/>
      <c r="I229" s="146"/>
      <c r="J229" s="146"/>
      <c r="K229" s="152"/>
      <c r="L229" s="212">
        <f>L227*L$150</f>
        <v>-30566.412076919427</v>
      </c>
      <c r="M229" s="152">
        <f>IF(M227+L229&lt;0,-M227,L229)</f>
        <v>-30566.412076919427</v>
      </c>
      <c r="N229" s="212">
        <f>IF(N227+M229&lt;0,-N227,M229*N$145)</f>
        <v>-15398.274667086034</v>
      </c>
      <c r="O229" s="30"/>
    </row>
    <row r="230" spans="1:16" ht="17.25" customHeight="1" x14ac:dyDescent="0.45">
      <c r="A230" s="55" t="s">
        <v>170</v>
      </c>
      <c r="B230" s="39" t="s">
        <v>19</v>
      </c>
      <c r="C230" s="74"/>
      <c r="D230" s="74"/>
      <c r="E230" s="74"/>
      <c r="F230" s="74"/>
      <c r="G230" s="74"/>
      <c r="H230" s="74"/>
      <c r="I230" s="74"/>
      <c r="J230" s="74"/>
      <c r="K230" s="205">
        <f>SUM(K227:K229)</f>
        <v>685593.99870164401</v>
      </c>
      <c r="L230" s="74">
        <f t="shared" ref="L230:N230" si="84">SUM(L227:L229)</f>
        <v>655027.58662472456</v>
      </c>
      <c r="M230" s="74">
        <f t="shared" si="84"/>
        <v>624461.1745478051</v>
      </c>
      <c r="N230" s="74">
        <f t="shared" si="84"/>
        <v>609062.89988071902</v>
      </c>
      <c r="O230" s="30"/>
    </row>
    <row r="231" spans="1:16" ht="17.25" customHeight="1" x14ac:dyDescent="0.45">
      <c r="A231" s="55" t="s">
        <v>226</v>
      </c>
      <c r="B231" s="39" t="s">
        <v>19</v>
      </c>
      <c r="C231" s="35"/>
      <c r="D231" s="35"/>
      <c r="E231" s="35"/>
      <c r="F231" s="35"/>
      <c r="G231" s="35"/>
      <c r="H231" s="35"/>
      <c r="I231" s="35"/>
      <c r="J231" s="35"/>
      <c r="K231" s="212">
        <f>K228*Inputs!K$52*((1+K$148)^(K$146)-1)</f>
        <v>3959.3421907642401</v>
      </c>
      <c r="L231" s="74">
        <f>L227*Inputs!L$52*((1+$K$148)^L$145-1)</f>
        <v>8087.6747481017628</v>
      </c>
      <c r="M231" s="74">
        <f>M227*Inputs!M$52*((1+$K$148)^M$145-1)</f>
        <v>7705.5603598911048</v>
      </c>
      <c r="N231" s="74">
        <f>N227*Inputs!N$52*((1+$K$148)^N$145-1)</f>
        <v>3666.6708328460181</v>
      </c>
      <c r="O231" s="30"/>
    </row>
    <row r="232" spans="1:16" ht="17.25" customHeight="1" x14ac:dyDescent="0.45">
      <c r="A232" s="55" t="s">
        <v>176</v>
      </c>
      <c r="B232" s="39" t="s">
        <v>19</v>
      </c>
      <c r="C232" s="174"/>
      <c r="D232" s="174"/>
      <c r="E232" s="174"/>
      <c r="F232" s="174"/>
      <c r="G232" s="174"/>
      <c r="H232" s="174"/>
      <c r="I232" s="174"/>
      <c r="J232" s="174"/>
      <c r="K232" s="212">
        <f>-((1+$K$149)^(K$146)-1)*(Inputs!$K$130+Inputs!$K$131)</f>
        <v>-1039.0760747851309</v>
      </c>
      <c r="L232" s="146">
        <f>-((1+$K$149)^L$145-1)*(Inputs!$K$130+Inputs!$K$131)</f>
        <v>-2123.4006850646142</v>
      </c>
      <c r="M232" s="146">
        <f>-((1+$K$149)^M$145-1)*(Inputs!$K$130+Inputs!$K$131)</f>
        <v>-2117.4780702286557</v>
      </c>
      <c r="N232" s="146">
        <f>-((1+$K$149)^N$145-1)*(Inputs!$K$130+Inputs!$K$131)</f>
        <v>-1056.4787602848141</v>
      </c>
      <c r="O232" s="30"/>
      <c r="P232" s="30"/>
    </row>
    <row r="233" spans="1:16" ht="17.25" customHeight="1" x14ac:dyDescent="0.45">
      <c r="A233" s="55" t="s">
        <v>225</v>
      </c>
      <c r="B233" s="39" t="s">
        <v>19</v>
      </c>
      <c r="C233" s="172"/>
      <c r="D233" s="172"/>
      <c r="E233" s="172"/>
      <c r="F233" s="172"/>
      <c r="G233" s="172"/>
      <c r="H233" s="172"/>
      <c r="I233" s="172"/>
      <c r="J233" s="172"/>
      <c r="K233" s="176">
        <f t="shared" ref="K233:L233" si="85">SUM(K231:K232)</f>
        <v>2920.2661159791091</v>
      </c>
      <c r="L233" s="176">
        <f t="shared" si="85"/>
        <v>5964.2740630371482</v>
      </c>
      <c r="M233" s="176">
        <f t="shared" ref="M233:N233" si="86">SUM(M231:M232)</f>
        <v>5588.0822896624486</v>
      </c>
      <c r="N233" s="176">
        <f t="shared" si="86"/>
        <v>2610.192072561204</v>
      </c>
      <c r="O233" s="30"/>
    </row>
    <row r="234" spans="1:16" ht="17.25" customHeight="1" x14ac:dyDescent="0.45">
      <c r="A234" s="55"/>
      <c r="B234" s="39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0"/>
    </row>
    <row r="235" spans="1:16" ht="17.25" customHeight="1" x14ac:dyDescent="0.45">
      <c r="A235" s="33" t="s">
        <v>220</v>
      </c>
      <c r="B235" s="39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30"/>
    </row>
    <row r="236" spans="1:16" ht="17.25" customHeight="1" x14ac:dyDescent="0.45">
      <c r="A236" s="55" t="s">
        <v>168</v>
      </c>
      <c r="B236" s="39" t="s">
        <v>19</v>
      </c>
      <c r="C236" s="35"/>
      <c r="D236" s="35"/>
      <c r="E236" s="35"/>
      <c r="F236" s="35"/>
      <c r="G236" s="35"/>
      <c r="H236" s="35"/>
      <c r="I236" s="35"/>
      <c r="J236" s="35"/>
      <c r="K236" s="35"/>
      <c r="L236" s="74"/>
      <c r="M236" s="74">
        <f>L239</f>
        <v>555891.98443211464</v>
      </c>
      <c r="N236" s="74">
        <f>M239</f>
        <v>530695.08595935151</v>
      </c>
      <c r="O236" s="30"/>
    </row>
    <row r="237" spans="1:16" ht="17.25" customHeight="1" x14ac:dyDescent="0.45">
      <c r="A237" s="55" t="s">
        <v>209</v>
      </c>
      <c r="B237" s="39" t="s">
        <v>19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212">
        <f>L$52+L$54</f>
        <v>555891.98443211464</v>
      </c>
      <c r="M237" s="170"/>
      <c r="N237" s="170"/>
      <c r="O237" s="30"/>
    </row>
    <row r="238" spans="1:16" ht="17.25" customHeight="1" x14ac:dyDescent="0.45">
      <c r="A238" s="55" t="s">
        <v>3</v>
      </c>
      <c r="B238" s="39" t="s">
        <v>19</v>
      </c>
      <c r="C238" s="146"/>
      <c r="D238" s="146"/>
      <c r="E238" s="146"/>
      <c r="F238" s="146"/>
      <c r="G238" s="146"/>
      <c r="H238" s="146"/>
      <c r="I238" s="146"/>
      <c r="J238" s="146"/>
      <c r="K238" s="146"/>
      <c r="L238" s="152"/>
      <c r="M238" s="212">
        <f>M236*M$150</f>
        <v>-25196.898472763132</v>
      </c>
      <c r="N238" s="212">
        <f>IF(N236+M238&lt;0,-N236,M238*N$145)</f>
        <v>-12693.304090317361</v>
      </c>
      <c r="O238" s="30"/>
    </row>
    <row r="239" spans="1:16" ht="17.25" customHeight="1" x14ac:dyDescent="0.45">
      <c r="A239" s="55" t="s">
        <v>170</v>
      </c>
      <c r="B239" s="39" t="s">
        <v>19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30">
        <f>SUM(L236:L238)</f>
        <v>555891.98443211464</v>
      </c>
      <c r="M239" s="74">
        <f t="shared" ref="M239:N239" si="87">SUM(M236:M238)</f>
        <v>530695.08595935151</v>
      </c>
      <c r="N239" s="74">
        <f t="shared" si="87"/>
        <v>518001.78186903417</v>
      </c>
      <c r="O239" s="30"/>
    </row>
    <row r="240" spans="1:16" ht="17.25" customHeight="1" x14ac:dyDescent="0.45">
      <c r="A240" s="55" t="s">
        <v>226</v>
      </c>
      <c r="B240" s="39" t="s">
        <v>19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212">
        <f>L237*Inputs!L$52*((1+L$148)^(L$146)-1)</f>
        <v>2360.1469667819415</v>
      </c>
      <c r="M240" s="74">
        <f>M236*Inputs!M$52*((1+$L$148)^M$145-1)</f>
        <v>4768.101318707163</v>
      </c>
      <c r="N240" s="74">
        <f>N236*Inputs!N$52*((1+$L$148)^N$145-1)</f>
        <v>2278.1111163037317</v>
      </c>
      <c r="O240" s="30"/>
    </row>
    <row r="241" spans="1:16" ht="17.25" customHeight="1" x14ac:dyDescent="0.45">
      <c r="A241" s="55" t="s">
        <v>176</v>
      </c>
      <c r="B241" s="39" t="s">
        <v>19</v>
      </c>
      <c r="C241" s="174"/>
      <c r="D241" s="174"/>
      <c r="E241" s="174"/>
      <c r="F241" s="174"/>
      <c r="G241" s="174"/>
      <c r="H241" s="174"/>
      <c r="I241" s="174"/>
      <c r="J241" s="174"/>
      <c r="K241" s="174"/>
      <c r="L241" s="212">
        <f>-((1+$L$149)^(L$146)-1)*(Inputs!$L$130+Inputs!$L$131)</f>
        <v>-551.90291077119036</v>
      </c>
      <c r="M241" s="146">
        <f>-((1+$L$149)^M$145-1)*(Inputs!$L$130+Inputs!$L$131)</f>
        <v>-1115.2552391359432</v>
      </c>
      <c r="N241" s="146">
        <f>-((1+$L$149)^N$145-1)*(Inputs!$L$130+Inputs!$L$131)</f>
        <v>-558.01391962382581</v>
      </c>
      <c r="O241" s="30"/>
      <c r="P241" s="30"/>
    </row>
    <row r="242" spans="1:16" ht="17.25" customHeight="1" x14ac:dyDescent="0.45">
      <c r="A242" s="55" t="s">
        <v>225</v>
      </c>
      <c r="B242" s="39" t="s">
        <v>19</v>
      </c>
      <c r="C242" s="172"/>
      <c r="D242" s="172"/>
      <c r="E242" s="172"/>
      <c r="F242" s="172"/>
      <c r="G242" s="172"/>
      <c r="H242" s="172"/>
      <c r="I242" s="172"/>
      <c r="J242" s="172"/>
      <c r="K242" s="172"/>
      <c r="L242" s="176">
        <f t="shared" ref="L242:N242" si="88">SUM(L240:L241)</f>
        <v>1808.2440560107511</v>
      </c>
      <c r="M242" s="74">
        <f t="shared" si="88"/>
        <v>3652.8460795712199</v>
      </c>
      <c r="N242" s="74">
        <f t="shared" si="88"/>
        <v>1720.0971966799059</v>
      </c>
      <c r="O242" s="30"/>
    </row>
    <row r="243" spans="1:16" ht="17.25" customHeight="1" x14ac:dyDescent="0.45">
      <c r="A243" s="55"/>
      <c r="B243" s="39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74"/>
      <c r="N243" s="74"/>
      <c r="O243" s="30"/>
    </row>
    <row r="244" spans="1:16" ht="17.25" customHeight="1" x14ac:dyDescent="0.45">
      <c r="A244" s="33" t="s">
        <v>221</v>
      </c>
      <c r="B244" s="39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30"/>
    </row>
    <row r="245" spans="1:16" ht="17.25" customHeight="1" x14ac:dyDescent="0.45">
      <c r="A245" s="55" t="s">
        <v>168</v>
      </c>
      <c r="B245" s="39" t="s">
        <v>19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N245" s="74">
        <f>M248</f>
        <v>599937.18468343385</v>
      </c>
      <c r="O245" s="30"/>
    </row>
    <row r="246" spans="1:16" ht="17.25" customHeight="1" x14ac:dyDescent="0.45">
      <c r="A246" s="55" t="s">
        <v>210</v>
      </c>
      <c r="B246" s="39" t="s">
        <v>19</v>
      </c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212">
        <f>M$52+M$54</f>
        <v>599937.18468343385</v>
      </c>
      <c r="N246" s="74"/>
      <c r="O246" s="30"/>
    </row>
    <row r="247" spans="1:16" ht="17.25" customHeight="1" x14ac:dyDescent="0.45">
      <c r="A247" s="55" t="s">
        <v>3</v>
      </c>
      <c r="B247" s="39" t="s">
        <v>19</v>
      </c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52"/>
      <c r="N247" s="212">
        <f>N245*N$150</f>
        <v>-18680.066189264413</v>
      </c>
      <c r="O247" s="30"/>
    </row>
    <row r="248" spans="1:16" ht="17.25" customHeight="1" x14ac:dyDescent="0.45">
      <c r="A248" s="55" t="s">
        <v>170</v>
      </c>
      <c r="B248" s="39" t="s">
        <v>19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30">
        <f>SUM(M245:M247)</f>
        <v>599937.18468343385</v>
      </c>
      <c r="N248" s="74">
        <f t="shared" ref="N248" si="89">SUM(N245:N247)</f>
        <v>581257.11849416944</v>
      </c>
      <c r="O248" s="30"/>
    </row>
    <row r="249" spans="1:16" ht="17.25" customHeight="1" x14ac:dyDescent="0.45">
      <c r="A249" s="55" t="s">
        <v>226</v>
      </c>
      <c r="B249" s="39" t="s">
        <v>19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212">
        <f>M246*Inputs!M$52*((1+M$148)^(M$146)-1)</f>
        <v>1719.8350173927952</v>
      </c>
      <c r="N249" s="74">
        <f>N245*Inputs!N$52*((1+$M$148)^N$145-1)</f>
        <v>1748.4833342701243</v>
      </c>
      <c r="O249" s="30"/>
    </row>
    <row r="250" spans="1:16" ht="17.25" customHeight="1" x14ac:dyDescent="0.45">
      <c r="A250" s="55" t="s">
        <v>176</v>
      </c>
      <c r="B250" s="39" t="s">
        <v>19</v>
      </c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212">
        <f>-(-((1+Inputs!$M$144)^(M$146)-1)*Inputs!$M$130-((1+Inputs!$M$145)^(M$146)-1)*Inputs!$M$131)</f>
        <v>-31.259613702180701</v>
      </c>
      <c r="N250" s="212">
        <f>-(-((1+Inputs!$M$144)^(N$145)-1)*Inputs!$M$130-((1+Inputs!$M$145)^(N$145)-1)*Inputs!$M$131)</f>
        <v>-31.783433998902552</v>
      </c>
      <c r="O250" s="30"/>
      <c r="P250" s="30"/>
    </row>
    <row r="251" spans="1:16" ht="17.25" customHeight="1" x14ac:dyDescent="0.45">
      <c r="A251" s="55" t="s">
        <v>225</v>
      </c>
      <c r="B251" s="39" t="s">
        <v>19</v>
      </c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74">
        <f t="shared" ref="M251:N251" si="90">SUM(M249:M250)</f>
        <v>1688.5754036906144</v>
      </c>
      <c r="N251" s="74">
        <f t="shared" si="90"/>
        <v>1716.6999002712216</v>
      </c>
      <c r="O251" s="30"/>
    </row>
    <row r="252" spans="1:16" ht="17.25" customHeight="1" x14ac:dyDescent="0.45">
      <c r="A252" s="55"/>
      <c r="B252" s="39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74"/>
      <c r="N252" s="74"/>
      <c r="O252" s="30"/>
    </row>
    <row r="253" spans="1:16" ht="17.25" customHeight="1" x14ac:dyDescent="0.45">
      <c r="A253" s="33" t="s">
        <v>222</v>
      </c>
      <c r="B253" s="39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30"/>
    </row>
    <row r="254" spans="1:16" ht="17.25" customHeight="1" x14ac:dyDescent="0.45">
      <c r="A254" s="55" t="s">
        <v>168</v>
      </c>
      <c r="B254" s="39" t="s">
        <v>19</v>
      </c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171"/>
      <c r="O254" s="30"/>
    </row>
    <row r="255" spans="1:16" ht="17.25" customHeight="1" x14ac:dyDescent="0.45">
      <c r="A255" s="55" t="s">
        <v>201</v>
      </c>
      <c r="B255" s="39" t="s">
        <v>19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195">
        <f>N$52+N$54</f>
        <v>224664.47123346184</v>
      </c>
      <c r="O255" s="30"/>
    </row>
    <row r="256" spans="1:16" ht="17.25" customHeight="1" x14ac:dyDescent="0.45">
      <c r="A256" s="55" t="s">
        <v>3</v>
      </c>
      <c r="B256" s="39" t="s">
        <v>19</v>
      </c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52"/>
      <c r="O256" s="30"/>
    </row>
    <row r="257" spans="1:16" ht="17.25" customHeight="1" x14ac:dyDescent="0.45">
      <c r="A257" s="55" t="s">
        <v>170</v>
      </c>
      <c r="B257" s="39" t="s">
        <v>19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30">
        <f>SUM(N254:N256)</f>
        <v>224664.47123346184</v>
      </c>
      <c r="O257" s="30"/>
    </row>
    <row r="258" spans="1:16" ht="17.25" customHeight="1" x14ac:dyDescent="0.45">
      <c r="A258" s="55" t="s">
        <v>226</v>
      </c>
      <c r="B258" s="39" t="s">
        <v>19</v>
      </c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212">
        <f>N255*Inputs!N$52*((1+N$148)^(N$146)-1)</f>
        <v>383.76645397556456</v>
      </c>
      <c r="O258" s="30"/>
    </row>
    <row r="259" spans="1:16" ht="17.25" customHeight="1" x14ac:dyDescent="0.45">
      <c r="A259" s="55" t="s">
        <v>176</v>
      </c>
      <c r="B259" s="39" t="s">
        <v>19</v>
      </c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212">
        <f>-((1+$N$149)^(N$146)-1)*(Inputs!$N$130+Inputs!$N$131)</f>
        <v>-175.70497321336617</v>
      </c>
      <c r="O259" s="30"/>
      <c r="P259" s="30"/>
    </row>
    <row r="260" spans="1:16" ht="17.25" customHeight="1" x14ac:dyDescent="0.45">
      <c r="A260" s="55" t="s">
        <v>225</v>
      </c>
      <c r="B260" s="39" t="s">
        <v>19</v>
      </c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6">
        <f t="shared" ref="N260" si="91">SUM(N258:N259)</f>
        <v>208.06148076219839</v>
      </c>
    </row>
    <row r="261" spans="1:16" ht="17.25" customHeight="1" x14ac:dyDescent="0.45">
      <c r="A261" s="33"/>
      <c r="B261" s="39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</row>
    <row r="262" spans="1:16" ht="19.5" customHeight="1" x14ac:dyDescent="0.45">
      <c r="A262" s="55" t="s">
        <v>169</v>
      </c>
      <c r="B262" s="39" t="s">
        <v>19</v>
      </c>
      <c r="C262" s="35"/>
      <c r="D262" s="35">
        <f t="shared" ref="D262:N262" si="92">SUM(D256,D247,D238,D229,D220,D211,D202,D193,D184,D175,D166,D157)</f>
        <v>-5493.7614946476369</v>
      </c>
      <c r="E262" s="35">
        <f t="shared" si="92"/>
        <v>-25063.033354212905</v>
      </c>
      <c r="F262" s="35">
        <f t="shared" si="92"/>
        <v>-49501.852134052548</v>
      </c>
      <c r="G262" s="35">
        <f t="shared" si="92"/>
        <v>-84948.212001012434</v>
      </c>
      <c r="H262" s="35">
        <f t="shared" si="92"/>
        <v>-116313.54663733</v>
      </c>
      <c r="I262" s="35">
        <f t="shared" si="92"/>
        <v>-143213.42066902859</v>
      </c>
      <c r="J262" s="35">
        <f t="shared" si="92"/>
        <v>-155953.60802821885</v>
      </c>
      <c r="K262" s="35">
        <f t="shared" si="92"/>
        <v>-179526.20902405158</v>
      </c>
      <c r="L262" s="35">
        <f t="shared" si="92"/>
        <v>-210092.62110097101</v>
      </c>
      <c r="M262" s="35">
        <f t="shared" si="92"/>
        <v>-235289.51957373414</v>
      </c>
      <c r="N262" s="35">
        <f t="shared" si="92"/>
        <v>-133356.12736880264</v>
      </c>
    </row>
    <row r="263" spans="1:16" ht="15" customHeight="1" x14ac:dyDescent="0.45">
      <c r="A263" s="55" t="s">
        <v>150</v>
      </c>
      <c r="B263" s="39" t="s">
        <v>19</v>
      </c>
      <c r="C263" s="35"/>
      <c r="D263" s="35">
        <f t="shared" ref="D263:N263" si="93">D53</f>
        <v>-5493.7614946476369</v>
      </c>
      <c r="E263" s="35">
        <f t="shared" si="93"/>
        <v>-25063.033354212905</v>
      </c>
      <c r="F263" s="35">
        <f t="shared" si="93"/>
        <v>-49501.852134052548</v>
      </c>
      <c r="G263" s="35">
        <f t="shared" si="93"/>
        <v>-84948.212001012434</v>
      </c>
      <c r="H263" s="35">
        <f t="shared" si="93"/>
        <v>-116313.54663733</v>
      </c>
      <c r="I263" s="35">
        <f t="shared" si="93"/>
        <v>-143213.42066902859</v>
      </c>
      <c r="J263" s="35">
        <f t="shared" si="93"/>
        <v>-155953.60802821885</v>
      </c>
      <c r="K263" s="35">
        <f t="shared" si="93"/>
        <v>-179526.20902405158</v>
      </c>
      <c r="L263" s="35">
        <f t="shared" si="93"/>
        <v>-210092.62110097101</v>
      </c>
      <c r="M263" s="35">
        <f t="shared" si="93"/>
        <v>-235289.51957373414</v>
      </c>
      <c r="N263" s="35">
        <f t="shared" si="93"/>
        <v>-133356.12736880264</v>
      </c>
    </row>
    <row r="264" spans="1:16" ht="15" customHeight="1" x14ac:dyDescent="0.45">
      <c r="A264" s="55"/>
      <c r="B264" s="39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</row>
    <row r="265" spans="1:16" ht="19.5" customHeight="1" x14ac:dyDescent="0.45">
      <c r="A265" s="33" t="s">
        <v>245</v>
      </c>
      <c r="B265" s="39" t="s">
        <v>19</v>
      </c>
      <c r="C265" s="35"/>
      <c r="D265" s="35">
        <f t="shared" ref="D265:N265" si="94">SUM(D259,D250,D241,D232,D223,D214,D205,D196,D187,D178,D169,D160)</f>
        <v>-120.54447367915077</v>
      </c>
      <c r="E265" s="35">
        <f t="shared" si="94"/>
        <v>-1856.3102669074917</v>
      </c>
      <c r="F265" s="35">
        <f t="shared" si="94"/>
        <v>-5718.5844611239399</v>
      </c>
      <c r="G265" s="117">
        <f>SUM(G259,G250,G241,G232,G223,G214,G205,G196,G187,G178,G169,G160)</f>
        <v>-10581.800956343546</v>
      </c>
      <c r="H265" s="117">
        <f t="shared" si="94"/>
        <v>-13980.476550203448</v>
      </c>
      <c r="I265" s="117">
        <f t="shared" si="94"/>
        <v>-16984.654253280401</v>
      </c>
      <c r="J265" s="117">
        <f t="shared" si="94"/>
        <v>-19585.124173257558</v>
      </c>
      <c r="K265" s="117">
        <f t="shared" si="94"/>
        <v>-21887.650869193021</v>
      </c>
      <c r="L265" s="117">
        <f t="shared" si="94"/>
        <v>-23582.588161160496</v>
      </c>
      <c r="M265" s="117">
        <f t="shared" si="94"/>
        <v>-24112.567717474667</v>
      </c>
      <c r="N265" s="117">
        <f t="shared" si="94"/>
        <v>-12188.575227107694</v>
      </c>
    </row>
    <row r="266" spans="1:16" ht="19.5" customHeight="1" x14ac:dyDescent="0.45">
      <c r="A266" s="33"/>
      <c r="B266" s="39"/>
      <c r="C266" s="35"/>
    </row>
    <row r="267" spans="1:16" ht="19.5" customHeight="1" x14ac:dyDescent="0.45">
      <c r="A267" s="33" t="s">
        <v>224</v>
      </c>
      <c r="B267" s="39" t="s">
        <v>19</v>
      </c>
      <c r="C267" s="35"/>
      <c r="D267" s="35">
        <f t="shared" ref="D267:N267" si="95">SUM(D260,D251,D242,D233,D224,D215,D206,D197,D188,D179,D170,D161)</f>
        <v>1004.2157029557774</v>
      </c>
      <c r="E267" s="35">
        <f t="shared" si="95"/>
        <v>4534.9193230340661</v>
      </c>
      <c r="F267" s="35">
        <f t="shared" si="95"/>
        <v>7470.3581091875503</v>
      </c>
      <c r="G267" s="35">
        <f t="shared" si="95"/>
        <v>9831.2583118965576</v>
      </c>
      <c r="H267" s="35">
        <f t="shared" si="95"/>
        <v>11930.653266042254</v>
      </c>
      <c r="I267" s="35">
        <f t="shared" si="95"/>
        <v>13157.436905173055</v>
      </c>
      <c r="J267" s="35">
        <f t="shared" si="95"/>
        <v>15185.859998712482</v>
      </c>
      <c r="K267" s="35">
        <f t="shared" si="95"/>
        <v>17960.03989456522</v>
      </c>
      <c r="L267" s="35">
        <f t="shared" si="95"/>
        <v>20008.857948492547</v>
      </c>
      <c r="M267" s="35">
        <f t="shared" si="95"/>
        <v>20294.137904896434</v>
      </c>
      <c r="N267" s="35">
        <f t="shared" si="95"/>
        <v>9520.0326484683173</v>
      </c>
    </row>
    <row r="268" spans="1:16" x14ac:dyDescent="0.45">
      <c r="B268" s="207"/>
      <c r="C268" s="207"/>
    </row>
    <row r="269" spans="1:16" ht="20.25" customHeight="1" x14ac:dyDescent="0.55000000000000004">
      <c r="A269" s="47" t="s">
        <v>227</v>
      </c>
      <c r="B269" s="65"/>
      <c r="C269" s="65"/>
      <c r="D269" s="98" t="s">
        <v>90</v>
      </c>
      <c r="E269" s="98" t="s">
        <v>55</v>
      </c>
      <c r="F269" s="98" t="s">
        <v>55</v>
      </c>
      <c r="G269" s="98" t="s">
        <v>55</v>
      </c>
      <c r="H269" s="98" t="s">
        <v>55</v>
      </c>
      <c r="I269" s="98" t="s">
        <v>55</v>
      </c>
      <c r="J269" s="98" t="s">
        <v>55</v>
      </c>
      <c r="K269" s="98" t="s">
        <v>55</v>
      </c>
      <c r="L269" s="98" t="s">
        <v>55</v>
      </c>
      <c r="M269" s="98" t="s">
        <v>55</v>
      </c>
      <c r="N269" s="98" t="s">
        <v>91</v>
      </c>
    </row>
    <row r="270" spans="1:16" ht="20.25" customHeight="1" x14ac:dyDescent="0.5">
      <c r="A270" s="194" t="s">
        <v>223</v>
      </c>
      <c r="B270" s="39"/>
      <c r="C270" s="39"/>
      <c r="D270" s="99">
        <f t="shared" ref="D270:N270" si="96">D40</f>
        <v>41090</v>
      </c>
      <c r="E270" s="99">
        <f t="shared" si="96"/>
        <v>41455</v>
      </c>
      <c r="F270" s="99">
        <f t="shared" si="96"/>
        <v>41820</v>
      </c>
      <c r="G270" s="99">
        <f t="shared" si="96"/>
        <v>42185</v>
      </c>
      <c r="H270" s="99">
        <f t="shared" si="96"/>
        <v>42551</v>
      </c>
      <c r="I270" s="99">
        <f t="shared" si="96"/>
        <v>42916</v>
      </c>
      <c r="J270" s="99">
        <f t="shared" si="96"/>
        <v>43281</v>
      </c>
      <c r="K270" s="99">
        <f t="shared" si="96"/>
        <v>43646</v>
      </c>
      <c r="L270" s="99">
        <f t="shared" si="96"/>
        <v>44012</v>
      </c>
      <c r="M270" s="99">
        <f t="shared" si="96"/>
        <v>44377</v>
      </c>
      <c r="N270" s="99">
        <f t="shared" si="96"/>
        <v>44561</v>
      </c>
    </row>
    <row r="271" spans="1:16" ht="16.5" customHeight="1" x14ac:dyDescent="0.45">
      <c r="A271" s="55" t="s">
        <v>195</v>
      </c>
      <c r="B271" s="39" t="s">
        <v>19</v>
      </c>
      <c r="C271" s="39"/>
      <c r="D271" s="35">
        <f t="shared" ref="D271:N271" si="97">SUM(D26:D28)</f>
        <v>163341.31646646405</v>
      </c>
      <c r="E271" s="35">
        <f t="shared" si="97"/>
        <v>467510.69631204312</v>
      </c>
      <c r="F271" s="35">
        <f t="shared" si="97"/>
        <v>479791.57612800039</v>
      </c>
      <c r="G271" s="35">
        <f t="shared" si="97"/>
        <v>571753.22593150882</v>
      </c>
      <c r="H271" s="35">
        <f t="shared" si="97"/>
        <v>519608.03272020601</v>
      </c>
      <c r="I271" s="35">
        <f t="shared" si="97"/>
        <v>615792.86124390527</v>
      </c>
      <c r="J271" s="35">
        <f t="shared" si="97"/>
        <v>699727.33754171303</v>
      </c>
      <c r="K271" s="35">
        <f t="shared" si="97"/>
        <v>820136.743165805</v>
      </c>
      <c r="L271" s="35">
        <f t="shared" si="97"/>
        <v>697937.68792106188</v>
      </c>
      <c r="M271" s="35">
        <f t="shared" si="97"/>
        <v>753284.07571707421</v>
      </c>
      <c r="N271" s="35">
        <f t="shared" si="97"/>
        <v>305555.88813689741</v>
      </c>
    </row>
    <row r="272" spans="1:16" ht="15" customHeight="1" x14ac:dyDescent="0.45">
      <c r="A272" s="193" t="s">
        <v>149</v>
      </c>
      <c r="B272" s="1" t="s">
        <v>119</v>
      </c>
      <c r="C272" s="1" t="s">
        <v>195</v>
      </c>
    </row>
    <row r="273" spans="1:14" ht="15" customHeight="1" x14ac:dyDescent="0.45">
      <c r="A273" s="33"/>
      <c r="B273" s="208" cm="1">
        <f t="array" ref="B273:B284">TRANSPOSE(Inputs!C94:N94)</f>
        <v>6.9199999999999998E-2</v>
      </c>
      <c r="C273" s="209">
        <f>C22</f>
        <v>34027.787870607026</v>
      </c>
      <c r="D273" s="212">
        <f>SUM($C273:C273)*((1+$B273)^D$145-1)</f>
        <v>1354.0019665840787</v>
      </c>
      <c r="E273" s="212">
        <f>SUM($C273:D273)*((1+$B273)^E$145-1)</f>
        <v>2446.687352935101</v>
      </c>
      <c r="F273" s="212">
        <f>SUM($C273:E273)*((1+$B273)^F$145-1)</f>
        <v>2615.8783133290876</v>
      </c>
      <c r="G273" s="212">
        <f>SUM($C273:F273)*((1+$B273)^G$145-1)</f>
        <v>2796.7690035821838</v>
      </c>
      <c r="H273" s="212">
        <f>SUM($C273:G273)*((1+$B273)^H$145-1)</f>
        <v>2998.6384290622964</v>
      </c>
      <c r="I273" s="212">
        <f>SUM($C273:H273)*((1+$B273)^I$145-1)</f>
        <v>3197.5274201519605</v>
      </c>
      <c r="J273" s="212">
        <f>SUM($C273:I273)*((1+$B273)^J$145-1)</f>
        <v>3418.6397475822023</v>
      </c>
      <c r="K273" s="212">
        <f>SUM($C273:J273)*((1+$B273)^K$145-1)</f>
        <v>3655.0422210901579</v>
      </c>
      <c r="L273" s="212">
        <f>SUM($C273:K273)*((1+$B273)^L$145-1)</f>
        <v>3918.8613896850525</v>
      </c>
      <c r="M273" s="212">
        <f>SUM($C273:L273)*((1+$B273)^M$145-1)</f>
        <v>4178.7854873891001</v>
      </c>
      <c r="N273" s="212">
        <f>SUM($C273:M273)*((1+$B273)^N$145-1)</f>
        <v>2214.8976358588848</v>
      </c>
    </row>
    <row r="274" spans="1:14" ht="15" customHeight="1" x14ac:dyDescent="0.45">
      <c r="A274" s="33"/>
      <c r="B274" s="208">
        <v>7.1800000000000003E-2</v>
      </c>
      <c r="C274" s="209" cm="1">
        <f t="array" ref="C274:C284">TRANSPOSE(D271:N271)</f>
        <v>163341.31646646405</v>
      </c>
      <c r="D274" s="212">
        <f>SUM($C274:C274)*((1+$B274)^(D$146)-1)</f>
        <v>3288.6022520720053</v>
      </c>
      <c r="E274" s="35">
        <f>SUM($C274:D274)*((1+$B274)^(E$145)-1)</f>
        <v>11955.55224530192</v>
      </c>
      <c r="F274" s="35">
        <f>SUM($C274:E274)*((1+$B274)^(F$145)-1)</f>
        <v>12813.352756694978</v>
      </c>
      <c r="G274" s="35">
        <f>SUM($C274:F274)*((1+$B274)^(G$145)-1)</f>
        <v>13732.699711301089</v>
      </c>
      <c r="H274" s="35">
        <f>SUM($C274:G274)*((1+$B274)^(H$145)-1)</f>
        <v>14759.749461865913</v>
      </c>
      <c r="I274" s="35">
        <f>SUM($C274:H274)*((1+$B274)^(I$145)-1)</f>
        <v>15777.008244283135</v>
      </c>
      <c r="J274" s="35">
        <f>SUM($C274:I274)*((1+$B274)^(J$145)-1)</f>
        <v>16908.994911441627</v>
      </c>
      <c r="K274" s="35">
        <f>SUM($C274:J274)*((1+$B274)^(K$145)-1)</f>
        <v>18122.200640844632</v>
      </c>
      <c r="L274" s="35">
        <f>SUM($C274:K274)*((1+$B274)^(L$145)-1)</f>
        <v>19477.535137276416</v>
      </c>
      <c r="M274" s="35">
        <f>SUM($C274:L274)*((1+$B274)^(M$145)-1)</f>
        <v>20819.949094195275</v>
      </c>
      <c r="N274" s="35">
        <f>SUM($C274:M274)*((1+$B274)^(N$145)-1)</f>
        <v>11055.324931558249</v>
      </c>
    </row>
    <row r="275" spans="1:14" ht="15" customHeight="1" x14ac:dyDescent="0.45">
      <c r="A275" s="33"/>
      <c r="B275" s="208">
        <v>6.5100000000000005E-2</v>
      </c>
      <c r="C275" s="209">
        <v>467510.69631204312</v>
      </c>
      <c r="D275" s="35"/>
      <c r="E275" s="212">
        <f>SUM($C275:D275)*((1+$B275)^(E$146)-1)</f>
        <v>14842.192641541942</v>
      </c>
      <c r="F275" s="35">
        <f>SUM($C275:E275)*((1+$B275)^(F$145)-1)</f>
        <v>31378.995728595823</v>
      </c>
      <c r="G275" s="35">
        <f>SUM($C275:F275)*((1+$B275)^(G$145)-1)</f>
        <v>33420.32562520184</v>
      </c>
      <c r="H275" s="35">
        <f>SUM($C275:G275)*((1+$B275)^(H$145)-1)</f>
        <v>35695.08535119563</v>
      </c>
      <c r="I275" s="35">
        <f>SUM($C275:H275)*((1+$B275)^(I$145)-1)</f>
        <v>37916.561131354712</v>
      </c>
      <c r="J275" s="35">
        <f>SUM($C275:I275)*((1+$B275)^(J$145)-1)</f>
        <v>40383.185955277571</v>
      </c>
      <c r="K275" s="35">
        <f>SUM($C275:J275)*((1+$B275)^(K$145)-1)</f>
        <v>43010.274646187601</v>
      </c>
      <c r="L275" s="35">
        <f>SUM($C275:K275)*((1+$B275)^(L$145)-1)</f>
        <v>45937.775762313788</v>
      </c>
      <c r="M275" s="35">
        <f>SUM($C275:L275)*((1+$B275)^(M$145)-1)</f>
        <v>48796.703125739768</v>
      </c>
      <c r="N275" s="35">
        <f>SUM($C275:M275)*((1+$B275)^(N$145)-1)</f>
        <v>25789.730215109586</v>
      </c>
    </row>
    <row r="276" spans="1:14" ht="15" customHeight="1" x14ac:dyDescent="0.45">
      <c r="A276" s="33"/>
      <c r="B276" s="208">
        <v>7.5600000000000001E-2</v>
      </c>
      <c r="C276" s="209">
        <v>479791.57612800039</v>
      </c>
      <c r="D276" s="35"/>
      <c r="E276" s="35"/>
      <c r="F276" s="212">
        <f>SUM($C276:E276)*((1+$B276)^(F$146)-1)</f>
        <v>17644.410520576264</v>
      </c>
      <c r="G276" s="35">
        <f>SUM($C276:F276)*((1+$B276)^(G$145)-1)</f>
        <v>37579.471901786754</v>
      </c>
      <c r="H276" s="35">
        <f>SUM($C276:G276)*((1+$B276)^(H$145)-1)</f>
        <v>40533.292023605958</v>
      </c>
      <c r="I276" s="35">
        <f>SUM($C276:H276)*((1+$B276)^(I$145)-1)</f>
        <v>43480.605908762001</v>
      </c>
      <c r="J276" s="35">
        <f>SUM($C276:I276)*((1+$B276)^(J$145)-1)</f>
        <v>46765.406871856248</v>
      </c>
      <c r="K276" s="35">
        <f>SUM($C276:J276)*((1+$B276)^(K$145)-1)</f>
        <v>50298.362549946556</v>
      </c>
      <c r="L276" s="35">
        <f>SUM($C276:K276)*((1+$B276)^(L$145)-1)</f>
        <v>54251.912397131222</v>
      </c>
      <c r="M276" s="35">
        <f>SUM($C276:L276)*((1+$B276)^(M$145)-1)</f>
        <v>58196.753951358107</v>
      </c>
      <c r="N276" s="35">
        <f>SUM($C276:M276)*((1+$B276)^(N$145)-1)</f>
        <v>30984.106316440724</v>
      </c>
    </row>
    <row r="277" spans="1:14" ht="15" customHeight="1" x14ac:dyDescent="0.45">
      <c r="A277" s="33"/>
      <c r="B277" s="208">
        <v>7.0000000000000007E-2</v>
      </c>
      <c r="C277" s="209">
        <v>571753.22593150882</v>
      </c>
      <c r="D277" s="35"/>
      <c r="E277" s="35"/>
      <c r="F277" s="35"/>
      <c r="G277" s="212">
        <f>SUM($C277:F277)*((1+$B277)^(G$146)-1)</f>
        <v>19494.909084267088</v>
      </c>
      <c r="H277" s="35">
        <f>SUM($C277:G277)*((1+$B277)^(H$145)-1)</f>
        <v>41475.26726766221</v>
      </c>
      <c r="I277" s="35">
        <f>SUM($C277:H277)*((1+$B277)^(I$145)-1)</f>
        <v>44259.286486767378</v>
      </c>
      <c r="J277" s="35">
        <f>SUM($C277:I277)*((1+$B277)^(J$145)-1)</f>
        <v>47355.243477212687</v>
      </c>
      <c r="K277" s="35">
        <f>SUM($C277:J277)*((1+$B277)^(K$145)-1)</f>
        <v>50667.764051202277</v>
      </c>
      <c r="L277" s="35">
        <f>SUM($C277:K277)*((1+$B277)^(L$145)-1)</f>
        <v>54365.614848135228</v>
      </c>
      <c r="M277" s="35">
        <f>SUM($C277:L277)*((1+$B277)^(M$145)-1)</f>
        <v>58014.896132301605</v>
      </c>
      <c r="N277" s="35">
        <f>SUM($C277:M277)*((1+$B277)^(N$145)-1)</f>
        <v>30767.050567043152</v>
      </c>
    </row>
    <row r="278" spans="1:14" ht="15" customHeight="1" x14ac:dyDescent="0.45">
      <c r="A278" s="33"/>
      <c r="B278" s="208">
        <v>6.4000000000000001E-2</v>
      </c>
      <c r="C278" s="209">
        <v>519608.03272020601</v>
      </c>
      <c r="D278" s="35"/>
      <c r="E278" s="35"/>
      <c r="F278" s="35"/>
      <c r="G278" s="35"/>
      <c r="H278" s="212">
        <f>SUM($C278:G278)*((1+$B278)^(H$146)-1)</f>
        <v>16312.712793253833</v>
      </c>
      <c r="I278" s="35">
        <f>SUM($C278:H278)*((1+$B278)^(I$145)-1)</f>
        <v>34274.716180111805</v>
      </c>
      <c r="J278" s="35">
        <f>SUM($C278:I278)*((1+$B278)^(J$145)-1)</f>
        <v>36466.74957135829</v>
      </c>
      <c r="K278" s="35">
        <f>SUM($C278:J278)*((1+$B278)^(K$145)-1)</f>
        <v>38798.974069165364</v>
      </c>
      <c r="L278" s="35">
        <f>SUM($C278:K278)*((1+$B278)^(L$145)-1)</f>
        <v>41397.004162303252</v>
      </c>
      <c r="M278" s="35">
        <f>SUM($C278:L278)*((1+$B278)^(M$145)-1)</f>
        <v>43927.893626172845</v>
      </c>
      <c r="N278" s="35">
        <f>SUM($C278:M278)*((1+$B278)^(N$145)-1)</f>
        <v>23198.568186180441</v>
      </c>
    </row>
    <row r="279" spans="1:14" ht="15" customHeight="1" x14ac:dyDescent="0.45">
      <c r="A279" s="33"/>
      <c r="B279" s="208">
        <v>6.2600000000000003E-2</v>
      </c>
      <c r="C279" s="209">
        <v>615792.86124390527</v>
      </c>
      <c r="D279" s="35"/>
      <c r="E279" s="35"/>
      <c r="F279" s="35"/>
      <c r="G279" s="35"/>
      <c r="H279" s="35"/>
      <c r="I279" s="212">
        <f>SUM($C279:H279)*((1+$B279)^(I$146)-1)</f>
        <v>18810.30733990615</v>
      </c>
      <c r="J279" s="35">
        <f>SUM($C279:I279)*((1+$B279)^(J$145)-1)</f>
        <v>39698.134005009051</v>
      </c>
      <c r="K279" s="35">
        <f>SUM($C279:J279)*((1+$B279)^(K$145)-1)</f>
        <v>42181.484107083939</v>
      </c>
      <c r="L279" s="35">
        <f>SUM($C279:K279)*((1+$B279)^(L$145)-1)</f>
        <v>44946.750899552171</v>
      </c>
      <c r="M279" s="35">
        <f>SUM($C279:L279)*((1+$B279)^(M$145)-1)</f>
        <v>47631.863998240369</v>
      </c>
      <c r="N279" s="35">
        <f>SUM($C279:M279)*((1+$B279)^(N$145)-1)</f>
        <v>25129.903143853076</v>
      </c>
    </row>
    <row r="280" spans="1:14" ht="15" customHeight="1" x14ac:dyDescent="0.45">
      <c r="A280" s="33"/>
      <c r="B280" s="208">
        <v>5.8900000000000001E-2</v>
      </c>
      <c r="C280" s="209">
        <v>699727.33754171303</v>
      </c>
      <c r="D280" s="35"/>
      <c r="E280" s="35"/>
      <c r="F280" s="35"/>
      <c r="G280" s="35"/>
      <c r="H280" s="35"/>
      <c r="I280" s="35"/>
      <c r="J280" s="212">
        <f>SUM($C280:I280)*((1+$B280)^(J$146)-1)</f>
        <v>20128.839949357542</v>
      </c>
      <c r="K280" s="35">
        <f>SUM($C280:J280)*((1+$B280)^(K$145)-1)</f>
        <v>42369.670180365487</v>
      </c>
      <c r="L280" s="35">
        <f>SUM($C280:K280)*((1+$B280)^(L$145)-1)</f>
        <v>44989.958192781771</v>
      </c>
      <c r="M280" s="35">
        <f>SUM($C280:L280)*((1+$B280)^(M$145)-1)</f>
        <v>47511.528730708291</v>
      </c>
      <c r="N280" s="35">
        <f>SUM($C280:M280)*((1+$B280)^(N$145)-1)</f>
        <v>25001.110896327235</v>
      </c>
    </row>
    <row r="281" spans="1:14" ht="15" customHeight="1" x14ac:dyDescent="0.45">
      <c r="A281" s="33"/>
      <c r="B281" s="208">
        <v>5.6899999999999999E-2</v>
      </c>
      <c r="C281" s="209">
        <v>820136.743165805</v>
      </c>
      <c r="D281" s="35"/>
      <c r="E281" s="35"/>
      <c r="F281" s="35"/>
      <c r="G281" s="35"/>
      <c r="H281" s="35"/>
      <c r="I281" s="35"/>
      <c r="J281" s="35"/>
      <c r="K281" s="212">
        <f>SUM($C281:J281)*((1+$B281)^(K$146)-1)</f>
        <v>22802.535479499478</v>
      </c>
      <c r="L281" s="35">
        <f>SUM($C281:K281)*((1+$B281)^(L$145)-1)</f>
        <v>48064.488141102593</v>
      </c>
      <c r="M281" s="35">
        <f>SUM($C281:L281)*((1+$B281)^(M$145)-1)</f>
        <v>50662.445004605208</v>
      </c>
      <c r="N281" s="35">
        <f>SUM($C281:M281)*((1+$B281)^(N$145)-1)</f>
        <v>26621.484124621056</v>
      </c>
    </row>
    <row r="282" spans="1:14" ht="15" customHeight="1" x14ac:dyDescent="0.45">
      <c r="A282" s="33"/>
      <c r="B282" s="208">
        <v>4.99E-2</v>
      </c>
      <c r="C282" s="209">
        <v>697937.68792106188</v>
      </c>
      <c r="D282" s="35"/>
      <c r="E282" s="35"/>
      <c r="F282" s="35"/>
      <c r="G282" s="35"/>
      <c r="H282" s="35"/>
      <c r="I282" s="35"/>
      <c r="J282" s="35"/>
      <c r="K282" s="35"/>
      <c r="L282" s="212">
        <f>SUM($C282:K282)*((1+$B282)^(L$146)-1)</f>
        <v>17141.981738632214</v>
      </c>
      <c r="M282" s="35">
        <f>SUM($C282:L282)*((1+$B282)^(M$145)-1)</f>
        <v>35657.453137840312</v>
      </c>
      <c r="N282" s="35">
        <f>SUM($C282:M282)*((1+$B282)^(N$145)-1)</f>
        <v>18643.903210645909</v>
      </c>
    </row>
    <row r="283" spans="1:14" ht="15" customHeight="1" x14ac:dyDescent="0.45">
      <c r="A283" s="33"/>
      <c r="B283" s="208">
        <v>4.4499999999999998E-2</v>
      </c>
      <c r="C283" s="209">
        <v>753284.07571707421</v>
      </c>
      <c r="D283" s="35"/>
      <c r="E283" s="35"/>
      <c r="F283" s="35"/>
      <c r="G283" s="35"/>
      <c r="H283" s="35"/>
      <c r="I283" s="35"/>
      <c r="J283" s="35"/>
      <c r="K283" s="35"/>
      <c r="L283" s="35"/>
      <c r="M283" s="212">
        <f>SUM($C283:L283)*((1+$B283)^(M$146)-1)</f>
        <v>16429.036601783628</v>
      </c>
      <c r="N283" s="35">
        <f>SUM($C283:M283)*((1+$B283)^(N$145)-1)</f>
        <v>17068.658051164541</v>
      </c>
    </row>
    <row r="284" spans="1:14" ht="15" customHeight="1" x14ac:dyDescent="0.45">
      <c r="A284" s="33"/>
      <c r="B284" s="208">
        <v>4.8099999999999997E-2</v>
      </c>
      <c r="C284" s="209">
        <v>305555.88813689741</v>
      </c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212">
        <f>SUM($C284:M284)*((1+$B284)^(N$146)-1)</f>
        <v>3597.4079911198914</v>
      </c>
    </row>
    <row r="285" spans="1:14" ht="15" customHeight="1" x14ac:dyDescent="0.45">
      <c r="A285" s="55" t="s">
        <v>104</v>
      </c>
      <c r="B285" s="210"/>
      <c r="C285" s="209">
        <f>SUM(C273:C284)</f>
        <v>6128467.2291552862</v>
      </c>
      <c r="D285" s="74">
        <f>SUM(D273:D284)</f>
        <v>4642.6042186560844</v>
      </c>
      <c r="E285" s="74">
        <f>SUM(E273:E284)</f>
        <v>29244.432239778966</v>
      </c>
      <c r="F285" s="74">
        <f t="shared" ref="F285:N285" si="98">SUM(F273:F284)</f>
        <v>64452.637319196147</v>
      </c>
      <c r="G285" s="74">
        <f t="shared" si="98"/>
        <v>107024.17532613895</v>
      </c>
      <c r="H285" s="74">
        <f t="shared" si="98"/>
        <v>151774.74532664585</v>
      </c>
      <c r="I285" s="74">
        <f t="shared" si="98"/>
        <v>197716.01271133713</v>
      </c>
      <c r="J285" s="74">
        <f t="shared" si="98"/>
        <v>251125.19448909524</v>
      </c>
      <c r="K285" s="74">
        <f t="shared" si="98"/>
        <v>311906.30794538552</v>
      </c>
      <c r="L285" s="74">
        <f t="shared" si="98"/>
        <v>374491.88266891369</v>
      </c>
      <c r="M285" s="74">
        <f t="shared" si="98"/>
        <v>431827.30889033456</v>
      </c>
      <c r="N285" s="74">
        <f t="shared" si="98"/>
        <v>240072.14526992274</v>
      </c>
    </row>
    <row r="286" spans="1:14" ht="15" customHeight="1" x14ac:dyDescent="0.45">
      <c r="A286" s="33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 ht="15" customHeight="1" x14ac:dyDescent="0.45">
      <c r="A287" s="33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 ht="15" customHeight="1" x14ac:dyDescent="0.45">
      <c r="A288" s="67" t="s">
        <v>151</v>
      </c>
      <c r="B288" s="1" t="s">
        <v>119</v>
      </c>
      <c r="C288" s="149" t="s">
        <v>196</v>
      </c>
    </row>
    <row r="289" spans="1:14" ht="15" customHeight="1" x14ac:dyDescent="0.45">
      <c r="A289" s="33"/>
      <c r="B289" s="208" cm="1">
        <f t="array" ref="B289:B300">TRANSPOSE(Inputs!C94:N94)</f>
        <v>6.9199999999999998E-2</v>
      </c>
      <c r="C289" s="209">
        <v>0</v>
      </c>
      <c r="D289" s="212">
        <v>0</v>
      </c>
      <c r="E289" s="212">
        <v>0</v>
      </c>
      <c r="F289" s="212">
        <v>0</v>
      </c>
      <c r="G289" s="212">
        <v>0</v>
      </c>
      <c r="H289" s="212">
        <v>0</v>
      </c>
      <c r="I289" s="212">
        <v>0</v>
      </c>
      <c r="J289" s="212">
        <v>0</v>
      </c>
      <c r="K289" s="212">
        <v>0</v>
      </c>
      <c r="L289" s="212">
        <v>0</v>
      </c>
      <c r="M289" s="212">
        <v>0</v>
      </c>
      <c r="N289" s="212">
        <v>0</v>
      </c>
    </row>
    <row r="290" spans="1:14" ht="15" customHeight="1" x14ac:dyDescent="0.45">
      <c r="A290" s="33"/>
      <c r="B290" s="208">
        <v>7.1800000000000003E-2</v>
      </c>
      <c r="C290" s="209" cm="1">
        <f t="array" ref="C290:C300">-TRANSPOSE(D17:N17)</f>
        <v>-16497.531873</v>
      </c>
      <c r="D290" s="212">
        <f>SUM($C290:C290)*((1+$B290)^(D$147)-1)</f>
        <v>-227.04570337051206</v>
      </c>
      <c r="E290" s="35">
        <f>SUM($C290:D290)*((1+$B290)^(E$145)-1)</f>
        <v>-1199.9739454512489</v>
      </c>
      <c r="F290" s="35">
        <f>SUM($C290:E290)*((1+$B290)^(F$145)-1)</f>
        <v>-1286.0710359868131</v>
      </c>
      <c r="G290" s="35">
        <f>SUM($C290:F290)*((1+$B290)^(G$145)-1)</f>
        <v>-1378.3455181455774</v>
      </c>
      <c r="H290" s="35">
        <f>SUM($C290:G290)*((1+$B290)^(H$145)-1)</f>
        <v>-1481.4300863924593</v>
      </c>
      <c r="I290" s="35">
        <f>SUM($C290:H290)*((1+$B290)^(I$145)-1)</f>
        <v>-1583.5319391246749</v>
      </c>
      <c r="J290" s="35">
        <f>SUM($C290:I290)*((1+$B290)^(J$145)-1)</f>
        <v>-1697.1489832659997</v>
      </c>
      <c r="K290" s="35">
        <f>SUM($C290:J290)*((1+$B290)^(K$145)-1)</f>
        <v>-1818.9179518494345</v>
      </c>
      <c r="L290" s="35">
        <f>SUM($C290:K290)*((1+$B290)^(L$145)-1)</f>
        <v>-1954.9523273195034</v>
      </c>
      <c r="M290" s="35">
        <f>SUM($C290:L290)*((1+$B290)^(M$145)-1)</f>
        <v>-2089.6898734621968</v>
      </c>
      <c r="N290" s="35">
        <f>SUM($C290:M290)*((1+$B290)^(N$145)-1)</f>
        <v>-1109.6184939161287</v>
      </c>
    </row>
    <row r="291" spans="1:14" ht="15" customHeight="1" x14ac:dyDescent="0.45">
      <c r="A291" s="33"/>
      <c r="B291" s="208">
        <v>6.5100000000000005E-2</v>
      </c>
      <c r="C291" s="209">
        <v>-34411.330964000001</v>
      </c>
      <c r="D291" s="35"/>
      <c r="E291" s="212">
        <f>SUM($C291:D291)*((1+$B291)^(E$147)-1)</f>
        <v>-890.73377027038271</v>
      </c>
      <c r="F291" s="35">
        <f>SUM($C291:E291)*((1+$B291)^(F$145)-1)</f>
        <v>-2296.5413162765931</v>
      </c>
      <c r="G291" s="35">
        <f>SUM($C291:F291)*((1+$B291)^(G$145)-1)</f>
        <v>-2445.9405669171779</v>
      </c>
      <c r="H291" s="35">
        <f>SUM($C291:G291)*((1+$B291)^(H$145)-1)</f>
        <v>-2612.4238967385345</v>
      </c>
      <c r="I291" s="35">
        <f>SUM($C291:H291)*((1+$B291)^(I$145)-1)</f>
        <v>-2775.0075229440695</v>
      </c>
      <c r="J291" s="35">
        <f>SUM($C291:I291)*((1+$B291)^(J$145)-1)</f>
        <v>-2955.532924996056</v>
      </c>
      <c r="K291" s="35">
        <f>SUM($C291:J291)*((1+$B291)^(K$145)-1)</f>
        <v>-3147.8022306290522</v>
      </c>
      <c r="L291" s="35">
        <f>SUM($C291:K291)*((1+$B291)^(L$145)-1)</f>
        <v>-3362.0578851050441</v>
      </c>
      <c r="M291" s="35">
        <f>SUM($C291:L291)*((1+$B291)^(M$145)-1)</f>
        <v>-3571.2948175782576</v>
      </c>
      <c r="N291" s="35">
        <f>SUM($C291:M291)*((1+$B291)^(N$145)-1)</f>
        <v>-1887.4785377739795</v>
      </c>
    </row>
    <row r="292" spans="1:14" ht="15" customHeight="1" x14ac:dyDescent="0.45">
      <c r="A292" s="33"/>
      <c r="B292" s="208">
        <v>7.5600000000000001E-2</v>
      </c>
      <c r="C292" s="209">
        <v>-41232.312978000002</v>
      </c>
      <c r="D292" s="35"/>
      <c r="E292" s="35"/>
      <c r="F292" s="212">
        <f>SUM($C292:E292)*((1+$B292)^(F$147)-1)</f>
        <v>-1235.7702670223632</v>
      </c>
      <c r="G292" s="35">
        <f>SUM($C292:F292)*((1+$B292)^(G$145)-1)</f>
        <v>-3208.3085740970591</v>
      </c>
      <c r="H292" s="35">
        <f>SUM($C292:G292)*((1+$B292)^(H$145)-1)</f>
        <v>-3460.4879141351607</v>
      </c>
      <c r="I292" s="35">
        <f>SUM($C292:H292)*((1+$B292)^(I$145)-1)</f>
        <v>-3712.1117909425366</v>
      </c>
      <c r="J292" s="35">
        <f>SUM($C292:I292)*((1+$B292)^(J$145)-1)</f>
        <v>-3992.5482782258105</v>
      </c>
      <c r="K292" s="35">
        <f>SUM($C292:J292)*((1+$B292)^(K$145)-1)</f>
        <v>-4294.1707178264887</v>
      </c>
      <c r="L292" s="35">
        <f>SUM($C292:K292)*((1+$B292)^(L$145)-1)</f>
        <v>-4631.7009499168344</v>
      </c>
      <c r="M292" s="35">
        <f>SUM($C292:L292)*((1+$B292)^(M$145)-1)</f>
        <v>-4968.4877204961922</v>
      </c>
      <c r="N292" s="35">
        <f>SUM($C292:M292)*((1+$B292)^(N$145)-1)</f>
        <v>-2645.2360537574573</v>
      </c>
    </row>
    <row r="293" spans="1:14" ht="15" customHeight="1" x14ac:dyDescent="0.45">
      <c r="A293" s="33"/>
      <c r="B293" s="208">
        <v>7.0000000000000007E-2</v>
      </c>
      <c r="C293" s="209">
        <v>-66777.41462299999</v>
      </c>
      <c r="D293" s="35"/>
      <c r="E293" s="35"/>
      <c r="F293" s="35"/>
      <c r="G293" s="212">
        <f>SUM($C293:F293)*((1+$B293)^(G$147)-1)</f>
        <v>-1856.0564980482734</v>
      </c>
      <c r="H293" s="35">
        <f>SUM($C293:G293)*((1+$B293)^(H$145)-1)</f>
        <v>-4814.546363308019</v>
      </c>
      <c r="I293" s="35">
        <f>SUM($C293:H293)*((1+$B293)^(I$145)-1)</f>
        <v>-5137.7218481149175</v>
      </c>
      <c r="J293" s="35">
        <f>SUM($C293:I293)*((1+$B293)^(J$145)-1)</f>
        <v>-5497.1078015100456</v>
      </c>
      <c r="K293" s="35">
        <f>SUM($C293:J293)*((1+$B293)^(K$145)-1)</f>
        <v>-5881.6329639390588</v>
      </c>
      <c r="L293" s="35">
        <f>SUM($C293:K293)*((1+$B293)^(L$145)-1)</f>
        <v>-6310.8881629841635</v>
      </c>
      <c r="M293" s="35">
        <f>SUM($C293:L293)*((1+$B293)^(M$145)-1)</f>
        <v>-6734.5052989988617</v>
      </c>
      <c r="N293" s="35">
        <f>SUM($C293:M293)*((1+$B293)^(N$145)-1)</f>
        <v>-3571.5114374384352</v>
      </c>
    </row>
    <row r="294" spans="1:14" ht="15" customHeight="1" x14ac:dyDescent="0.45">
      <c r="A294" s="33"/>
      <c r="B294" s="208">
        <v>6.4000000000000001E-2</v>
      </c>
      <c r="C294" s="209">
        <v>-100606.975593</v>
      </c>
      <c r="D294" s="35"/>
      <c r="E294" s="35"/>
      <c r="F294" s="35"/>
      <c r="G294" s="35"/>
      <c r="H294" s="212">
        <f>SUM($C294:G294)*((1+$B294)^(H$147)-1)</f>
        <v>-2578.5201544644192</v>
      </c>
      <c r="I294" s="35">
        <f>SUM($C294:H294)*((1+$B294)^(I$145)-1)</f>
        <v>-6599.2100702503067</v>
      </c>
      <c r="J294" s="35">
        <f>SUM($C294:I294)*((1+$B294)^(J$145)-1)</f>
        <v>-7021.2613792625343</v>
      </c>
      <c r="K294" s="35">
        <f>SUM($C294:J294)*((1+$B294)^(K$145)-1)</f>
        <v>-7470.3049048495832</v>
      </c>
      <c r="L294" s="35">
        <f>SUM($C294:K294)*((1+$B294)^(L$145)-1)</f>
        <v>-7970.5263002173269</v>
      </c>
      <c r="M294" s="35">
        <f>SUM($C294:L294)*((1+$B294)^(M$145)-1)</f>
        <v>-8457.82052459226</v>
      </c>
      <c r="N294" s="35">
        <f>SUM($C294:M294)*((1+$B294)^(N$145)-1)</f>
        <v>-4466.6226843466447</v>
      </c>
    </row>
    <row r="295" spans="1:14" ht="15" customHeight="1" x14ac:dyDescent="0.45">
      <c r="A295" s="33"/>
      <c r="B295" s="208">
        <v>6.2600000000000003E-2</v>
      </c>
      <c r="C295" s="209">
        <v>-165552.05482699999</v>
      </c>
      <c r="D295" s="35"/>
      <c r="E295" s="35"/>
      <c r="F295" s="35"/>
      <c r="G295" s="35"/>
      <c r="H295" s="35"/>
      <c r="I295" s="212">
        <f>SUM($C295:H295)*((1+$B295)^(I$147)-1)</f>
        <v>-4123.6546285651966</v>
      </c>
      <c r="J295" s="35">
        <f>SUM($C295:I295)*((1+$B295)^(J$145)-1)</f>
        <v>-10614.206459752992</v>
      </c>
      <c r="K295" s="35">
        <f>SUM($C295:J295)*((1+$B295)^(K$145)-1)</f>
        <v>-11278.187056219958</v>
      </c>
      <c r="L295" s="35">
        <f>SUM($C295:K295)*((1+$B295)^(L$145)-1)</f>
        <v>-12017.544544606018</v>
      </c>
      <c r="M295" s="35">
        <f>SUM($C295:L295)*((1+$B295)^(M$145)-1)</f>
        <v>-12735.471104924132</v>
      </c>
      <c r="N295" s="35">
        <f>SUM($C295:M295)*((1+$B295)^(N$145)-1)</f>
        <v>-6719.0558691951674</v>
      </c>
    </row>
    <row r="296" spans="1:14" ht="15" customHeight="1" x14ac:dyDescent="0.45">
      <c r="A296" s="33"/>
      <c r="B296" s="208">
        <v>5.8900000000000001E-2</v>
      </c>
      <c r="C296" s="209">
        <v>-238309.77238400001</v>
      </c>
      <c r="D296" s="35"/>
      <c r="E296" s="35"/>
      <c r="F296" s="35"/>
      <c r="G296" s="35"/>
      <c r="H296" s="35"/>
      <c r="I296" s="35"/>
      <c r="J296" s="212">
        <f>SUM($C296:I296)*((1+$B296)^(J$147)-1)</f>
        <v>-5590.9713036458015</v>
      </c>
      <c r="K296" s="35">
        <f>SUM($C296:J296)*((1+$B296)^(K$145)-1)</f>
        <v>-14355.637125750165</v>
      </c>
      <c r="L296" s="35">
        <f>SUM($C296:K296)*((1+$B296)^(L$145)-1)</f>
        <v>-15243.43973811586</v>
      </c>
      <c r="M296" s="35">
        <f>SUM($C296:L296)*((1+$B296)^(M$145)-1)</f>
        <v>-16097.795022812659</v>
      </c>
      <c r="N296" s="35">
        <f>SUM($C296:M296)*((1+$B296)^(N$145)-1)</f>
        <v>-8470.8442204167332</v>
      </c>
    </row>
    <row r="297" spans="1:14" ht="15" customHeight="1" x14ac:dyDescent="0.45">
      <c r="A297" s="33"/>
      <c r="B297" s="208">
        <v>5.6899999999999999E-2</v>
      </c>
      <c r="C297" s="209">
        <v>-333431.90610600001</v>
      </c>
      <c r="D297" s="35"/>
      <c r="E297" s="35"/>
      <c r="F297" s="35"/>
      <c r="G297" s="35"/>
      <c r="H297" s="35"/>
      <c r="I297" s="35"/>
      <c r="J297" s="35"/>
      <c r="K297" s="212">
        <f>SUM($C297:J297)*((1+$B297)^(K$147)-1)</f>
        <v>-7561.3081293602718</v>
      </c>
      <c r="L297" s="35">
        <f>SUM($C297:K297)*((1+$B297)^(L$145)-1)</f>
        <v>-19443.469674532083</v>
      </c>
      <c r="M297" s="35">
        <f>SUM($C297:L297)*((1+$B297)^(M$145)-1)</f>
        <v>-20494.418045041391</v>
      </c>
      <c r="N297" s="35">
        <f>SUM($C297:M297)*((1+$B297)^(N$145)-1)</f>
        <v>-10769.157007322139</v>
      </c>
    </row>
    <row r="298" spans="1:14" ht="15" customHeight="1" x14ac:dyDescent="0.45">
      <c r="A298" s="33"/>
      <c r="B298" s="208">
        <v>4.99E-2</v>
      </c>
      <c r="C298" s="209">
        <v>-433902.34761800006</v>
      </c>
      <c r="D298" s="35"/>
      <c r="E298" s="35"/>
      <c r="F298" s="35"/>
      <c r="G298" s="35"/>
      <c r="H298" s="35"/>
      <c r="I298" s="35"/>
      <c r="J298" s="35"/>
      <c r="K298" s="35"/>
      <c r="L298" s="212">
        <f>SUM($C298:K298)*((1+$B298)^(L$147)-1)</f>
        <v>-8705.4734753978155</v>
      </c>
      <c r="M298" s="35">
        <f>SUM($C298:L298)*((1+$B298)^(M$145)-1)</f>
        <v>-22070.642347572561</v>
      </c>
      <c r="N298" s="35">
        <f>SUM($C298:M298)*((1+$B298)^(N$145)-1)</f>
        <v>-11539.885311894383</v>
      </c>
    </row>
    <row r="299" spans="1:14" ht="15" customHeight="1" x14ac:dyDescent="0.45">
      <c r="A299" s="33"/>
      <c r="B299" s="208">
        <v>4.4499999999999998E-2</v>
      </c>
      <c r="C299" s="209">
        <v>-527183.446291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212">
        <f>SUM($C299:L299)*((1+$B299)^(M$147)-1)</f>
        <v>-9382.9897981049671</v>
      </c>
      <c r="N299" s="35">
        <f>SUM($C299:M299)*((1+$B299)^(N$145)-1)</f>
        <v>-11898.548787542311</v>
      </c>
    </row>
    <row r="300" spans="1:14" ht="15" customHeight="1" x14ac:dyDescent="0.45">
      <c r="A300" s="33"/>
      <c r="B300" s="208">
        <v>4.8099999999999997E-2</v>
      </c>
      <c r="C300" s="209">
        <v>-307047.77975149994</v>
      </c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212">
        <f>SUM($C300:M300)*((1+$B300)^(N$147)-1)</f>
        <v>-2299.1560291755522</v>
      </c>
    </row>
    <row r="301" spans="1:14" ht="15" customHeight="1" x14ac:dyDescent="0.45">
      <c r="A301" s="55" t="s">
        <v>104</v>
      </c>
      <c r="B301" s="210"/>
      <c r="C301" s="211">
        <f>SUM(C289:C300)</f>
        <v>-2264952.8730085003</v>
      </c>
      <c r="D301" s="74">
        <f>SUM(D289:D300)</f>
        <v>-227.04570337051206</v>
      </c>
      <c r="E301" s="74">
        <f t="shared" ref="E301:N301" si="99">SUM(E289:E300)</f>
        <v>-2090.7077157216318</v>
      </c>
      <c r="F301" s="74">
        <f t="shared" si="99"/>
        <v>-4818.3826192857696</v>
      </c>
      <c r="G301" s="74">
        <f t="shared" si="99"/>
        <v>-8888.651157208089</v>
      </c>
      <c r="H301" s="74">
        <f t="shared" si="99"/>
        <v>-14947.408415038593</v>
      </c>
      <c r="I301" s="74">
        <f t="shared" si="99"/>
        <v>-23931.237799941704</v>
      </c>
      <c r="J301" s="74">
        <f t="shared" si="99"/>
        <v>-37368.777130659233</v>
      </c>
      <c r="K301" s="74">
        <f t="shared" si="99"/>
        <v>-55807.961080424015</v>
      </c>
      <c r="L301" s="74">
        <f t="shared" si="99"/>
        <v>-79640.053058194651</v>
      </c>
      <c r="M301" s="74">
        <f t="shared" si="99"/>
        <v>-106603.11455358348</v>
      </c>
      <c r="N301" s="74">
        <f t="shared" si="99"/>
        <v>-65377.11443277893</v>
      </c>
    </row>
    <row r="302" spans="1:14" ht="15" customHeight="1" x14ac:dyDescent="0.45">
      <c r="A302" s="33"/>
      <c r="B302" s="210"/>
      <c r="C302" s="208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</row>
    <row r="303" spans="1:14" ht="15" customHeight="1" x14ac:dyDescent="0.45">
      <c r="A303" s="33"/>
      <c r="B303" s="39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  <c r="M303" s="151"/>
      <c r="N303" s="151"/>
    </row>
    <row r="304" spans="1:14" ht="15" customHeight="1" x14ac:dyDescent="0.45">
      <c r="A304" s="67" t="s">
        <v>152</v>
      </c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</row>
    <row r="305" spans="1:17" ht="15" customHeight="1" x14ac:dyDescent="0.45">
      <c r="A305" s="33"/>
      <c r="B305" s="39" t="s">
        <v>19</v>
      </c>
      <c r="C305" s="35">
        <f>SUM($C273:C273,$C289:C289)</f>
        <v>34027.787870607026</v>
      </c>
      <c r="D305" s="35">
        <f>SUM($C273:D273,$C289:D289)</f>
        <v>35381.789837191107</v>
      </c>
      <c r="E305" s="35">
        <f>SUM($C273:E273,$C289:E289)</f>
        <v>37828.477190126207</v>
      </c>
      <c r="F305" s="35">
        <f>SUM($C273:F273,$C289:F289)</f>
        <v>40444.355503455292</v>
      </c>
      <c r="G305" s="35">
        <f>SUM($C273:G273,$C289:G289)</f>
        <v>43241.124507037479</v>
      </c>
      <c r="H305" s="35">
        <f>SUM($C273:H273,$C289:H289)</f>
        <v>46239.762936099774</v>
      </c>
      <c r="I305" s="35">
        <f>SUM($C273:I273,$C289:I289)</f>
        <v>49437.290356251731</v>
      </c>
      <c r="J305" s="35">
        <f>SUM($C273:J273,$C289:J289)</f>
        <v>52855.930103833933</v>
      </c>
      <c r="K305" s="35">
        <f>SUM($C273:K273,$C289:K289)</f>
        <v>56510.972324924092</v>
      </c>
      <c r="L305" s="35">
        <f>SUM($C273:L273,$C289:L289)</f>
        <v>60429.833714609143</v>
      </c>
      <c r="M305" s="35">
        <f>SUM($C273:M273,$C289:M289)</f>
        <v>64608.619201998241</v>
      </c>
      <c r="N305" s="35">
        <f>SUM($C273:N273,$C289:N289)</f>
        <v>66823.516837857125</v>
      </c>
    </row>
    <row r="306" spans="1:17" ht="15" customHeight="1" x14ac:dyDescent="0.45">
      <c r="A306" s="33"/>
      <c r="B306" s="39" t="s">
        <v>19</v>
      </c>
      <c r="C306" s="35"/>
      <c r="D306" s="35">
        <f>SUM($C274:D274,$C290:D290)</f>
        <v>149905.34114216556</v>
      </c>
      <c r="E306" s="35">
        <f>SUM($C274:E274,$C290:E290)</f>
        <v>160660.91944201622</v>
      </c>
      <c r="F306" s="35">
        <f>SUM($C274:F274,$C290:F290)</f>
        <v>172188.20116272438</v>
      </c>
      <c r="G306" s="35">
        <f>SUM($C274:G274,$C290:G290)</f>
        <v>184542.55535587991</v>
      </c>
      <c r="H306" s="35">
        <f>SUM($C274:H274,$C290:H290)</f>
        <v>197820.87473135337</v>
      </c>
      <c r="I306" s="35">
        <f>SUM($C274:I274,$C290:I290)</f>
        <v>212014.35103651183</v>
      </c>
      <c r="J306" s="35">
        <f>SUM($C274:J274,$C290:J290)</f>
        <v>227226.19696468746</v>
      </c>
      <c r="K306" s="35">
        <f>SUM($C274:K274,$C290:K290)</f>
        <v>243529.47965368268</v>
      </c>
      <c r="L306" s="35">
        <f>SUM($C274:L274,$C290:L290)</f>
        <v>261052.06246363962</v>
      </c>
      <c r="M306" s="35">
        <f>SUM($C274:M274,$C290:M290)</f>
        <v>279782.32168437273</v>
      </c>
      <c r="N306" s="35">
        <f>SUM($C274:N274,$C290:N290)</f>
        <v>289728.02812201483</v>
      </c>
    </row>
    <row r="307" spans="1:17" ht="15" customHeight="1" x14ac:dyDescent="0.45">
      <c r="A307" s="33"/>
      <c r="B307" s="39" t="s">
        <v>19</v>
      </c>
      <c r="C307" s="35"/>
      <c r="D307" s="35"/>
      <c r="E307" s="35">
        <f>SUM($C275:E275,$C291:E291)</f>
        <v>447050.82421931467</v>
      </c>
      <c r="F307" s="35">
        <f>SUM($C275:F275,$C291:F291)</f>
        <v>476133.2786316339</v>
      </c>
      <c r="G307" s="35">
        <f>SUM($C275:G275,$C291:G291)</f>
        <v>507107.66368991858</v>
      </c>
      <c r="H307" s="35">
        <f>SUM($C275:H275,$C291:H291)</f>
        <v>540190.32514437567</v>
      </c>
      <c r="I307" s="35">
        <f>SUM($C275:I275,$C291:I291)</f>
        <v>575331.87875278632</v>
      </c>
      <c r="J307" s="35">
        <f>SUM($C275:J275,$C291:J291)</f>
        <v>612759.53178306774</v>
      </c>
      <c r="K307" s="35">
        <f>SUM($C275:K275,$C291:K291)</f>
        <v>652622.00419862627</v>
      </c>
      <c r="L307" s="35">
        <f>SUM($C275:L275,$C291:L291)</f>
        <v>695197.72207583499</v>
      </c>
      <c r="M307" s="35">
        <f>SUM($C275:M275,$C291:M291)</f>
        <v>740423.13038399653</v>
      </c>
      <c r="N307" s="35">
        <f>SUM($C275:N275,$C291:N291)</f>
        <v>764325.38206133211</v>
      </c>
    </row>
    <row r="308" spans="1:17" ht="15" customHeight="1" x14ac:dyDescent="0.45">
      <c r="A308" s="33"/>
      <c r="B308" s="39" t="s">
        <v>19</v>
      </c>
      <c r="C308" s="35"/>
      <c r="D308" s="35"/>
      <c r="E308" s="35"/>
      <c r="F308" s="35">
        <f>SUM($C276:F276,$C292:F292)</f>
        <v>454967.90340355429</v>
      </c>
      <c r="G308" s="35">
        <f>SUM($C276:G276,$C292:G292)</f>
        <v>489339.06673124398</v>
      </c>
      <c r="H308" s="35">
        <f>SUM($C276:H276,$C292:H292)</f>
        <v>526411.87084071478</v>
      </c>
      <c r="I308" s="35">
        <f>SUM($C276:I276,$C292:I292)</f>
        <v>566180.36495853425</v>
      </c>
      <c r="J308" s="35">
        <f>SUM($C276:J276,$C292:J292)</f>
        <v>608953.22355216462</v>
      </c>
      <c r="K308" s="35">
        <f>SUM($C276:K276,$C292:K292)</f>
        <v>654957.41538428469</v>
      </c>
      <c r="L308" s="35">
        <f>SUM($C276:L276,$C292:L292)</f>
        <v>704577.62683149904</v>
      </c>
      <c r="M308" s="35">
        <f>SUM($C276:M276,$C292:M292)</f>
        <v>757805.89306236105</v>
      </c>
      <c r="N308" s="35">
        <f>SUM($C276:N276,$C292:N292)</f>
        <v>786144.7633250443</v>
      </c>
    </row>
    <row r="309" spans="1:17" ht="15" customHeight="1" x14ac:dyDescent="0.45">
      <c r="A309" s="33"/>
      <c r="B309" s="39" t="s">
        <v>19</v>
      </c>
      <c r="C309" s="35"/>
      <c r="D309" s="35"/>
      <c r="E309" s="35"/>
      <c r="F309" s="35"/>
      <c r="G309" s="35">
        <f>SUM($C277:G277,$C293:G293)</f>
        <v>522614.66389472771</v>
      </c>
      <c r="H309" s="35">
        <f>SUM($C277:H277,$C293:H293)</f>
        <v>559275.38479908195</v>
      </c>
      <c r="I309" s="35">
        <f>SUM($C277:I277,$C293:I293)</f>
        <v>598396.94943773444</v>
      </c>
      <c r="J309" s="35">
        <f>SUM($C277:J277,$C293:J293)</f>
        <v>640255.08511343715</v>
      </c>
      <c r="K309" s="35">
        <f>SUM($C277:K277,$C293:K293)</f>
        <v>685041.21620070026</v>
      </c>
      <c r="L309" s="35">
        <f>SUM($C277:L277,$C293:L293)</f>
        <v>733095.94288585137</v>
      </c>
      <c r="M309" s="35">
        <f>SUM($C277:M277,$C293:M293)</f>
        <v>784376.333719154</v>
      </c>
      <c r="N309" s="35">
        <f>SUM($C277:N277,$C293:N293)</f>
        <v>811571.87284875882</v>
      </c>
    </row>
    <row r="310" spans="1:17" ht="15" customHeight="1" x14ac:dyDescent="0.45">
      <c r="A310" s="33"/>
      <c r="B310" s="39" t="s">
        <v>19</v>
      </c>
      <c r="C310" s="35"/>
      <c r="D310" s="35"/>
      <c r="E310" s="35"/>
      <c r="F310" s="35"/>
      <c r="G310" s="35"/>
      <c r="H310" s="35">
        <f>SUM($C278:H278,$C294:H294)</f>
        <v>432735.24976599548</v>
      </c>
      <c r="I310" s="35">
        <f>SUM($C278:I278,$C294:I294)</f>
        <v>460410.75587585691</v>
      </c>
      <c r="J310" s="35">
        <f>SUM($C278:J278,$C294:J294)</f>
        <v>489856.24406795268</v>
      </c>
      <c r="K310" s="35">
        <f>SUM($C278:K278,$C294:K294)</f>
        <v>521184.91323226859</v>
      </c>
      <c r="L310" s="35">
        <f>SUM($C278:L278,$C294:L294)</f>
        <v>554611.39109435445</v>
      </c>
      <c r="M310" s="35">
        <f>SUM($C278:M278,$C294:M294)</f>
        <v>590081.46419593494</v>
      </c>
      <c r="N310" s="35">
        <f>SUM($C278:N278,$C294:N294)</f>
        <v>608813.40969776874</v>
      </c>
    </row>
    <row r="311" spans="1:17" ht="15" customHeight="1" x14ac:dyDescent="0.45">
      <c r="A311" s="33"/>
      <c r="B311" s="39" t="s">
        <v>19</v>
      </c>
      <c r="C311" s="35"/>
      <c r="D311" s="35"/>
      <c r="E311" s="35"/>
      <c r="F311" s="35"/>
      <c r="G311" s="35"/>
      <c r="H311" s="35"/>
      <c r="I311" s="35">
        <f>SUM($C279:I279,$C295:I295)</f>
        <v>464927.45912824618</v>
      </c>
      <c r="J311" s="35">
        <f>SUM($C279:J279,$C295:J295)</f>
        <v>494011.38667350227</v>
      </c>
      <c r="K311" s="35">
        <f>SUM($C279:K279,$C295:K295)</f>
        <v>524914.68372436636</v>
      </c>
      <c r="L311" s="35">
        <f>SUM($C279:L279,$C295:L295)</f>
        <v>557843.89007931249</v>
      </c>
      <c r="M311" s="35">
        <f>SUM($C279:M279,$C295:M295)</f>
        <v>592740.28297262872</v>
      </c>
      <c r="N311" s="35">
        <f>SUM($C279:N279,$C295:N295)</f>
        <v>611151.13024728664</v>
      </c>
    </row>
    <row r="312" spans="1:17" ht="15" customHeight="1" x14ac:dyDescent="0.45">
      <c r="A312" s="33"/>
      <c r="B312" s="39" t="s">
        <v>19</v>
      </c>
      <c r="C312" s="35"/>
      <c r="D312" s="35"/>
      <c r="E312" s="35"/>
      <c r="F312" s="35"/>
      <c r="G312" s="35"/>
      <c r="H312" s="35"/>
      <c r="I312" s="35"/>
      <c r="J312" s="35">
        <f>SUM($C280:J280,$C296:J296)</f>
        <v>475955.43380342476</v>
      </c>
      <c r="K312" s="35">
        <f>SUM($C280:K280,$C296:K296)</f>
        <v>503969.46685804002</v>
      </c>
      <c r="L312" s="35">
        <f>SUM($C280:L280,$C296:L296)</f>
        <v>533715.98531270598</v>
      </c>
      <c r="M312" s="35">
        <f>SUM($C280:M280,$C296:M296)</f>
        <v>565129.71902060159</v>
      </c>
      <c r="N312" s="35">
        <f>SUM($C280:N280,$C296:N296)</f>
        <v>581659.98569651204</v>
      </c>
    </row>
    <row r="313" spans="1:17" ht="15" customHeight="1" x14ac:dyDescent="0.45">
      <c r="A313" s="33"/>
      <c r="B313" s="39" t="s">
        <v>19</v>
      </c>
      <c r="C313" s="35"/>
      <c r="D313" s="35"/>
      <c r="E313" s="35"/>
      <c r="F313" s="35"/>
      <c r="G313" s="35"/>
      <c r="H313" s="35"/>
      <c r="I313" s="35"/>
      <c r="J313" s="35"/>
      <c r="K313" s="35">
        <f>SUM($C281:K281,$C297:K297)</f>
        <v>501946.06440994423</v>
      </c>
      <c r="L313" s="35">
        <f>SUM($C281:L281,$C297:L297)</f>
        <v>530567.08287651476</v>
      </c>
      <c r="M313" s="35">
        <f>SUM($C281:M281,$C297:M297)</f>
        <v>560735.1098360786</v>
      </c>
      <c r="N313" s="35">
        <f>SUM($C281:N281,$C297:N297)</f>
        <v>576587.43695337733</v>
      </c>
    </row>
    <row r="314" spans="1:17" ht="15" customHeight="1" x14ac:dyDescent="0.45">
      <c r="A314" s="33"/>
      <c r="B314" s="39" t="s">
        <v>19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>
        <f>SUM($C282:L282,$C298:L298)</f>
        <v>272471.84856629622</v>
      </c>
      <c r="M314" s="35">
        <f>SUM($C282:M282,$C298:M298)</f>
        <v>286058.65935656393</v>
      </c>
      <c r="N314" s="35">
        <f>SUM($C282:N282,$C298:N298)</f>
        <v>293162.67725531542</v>
      </c>
    </row>
    <row r="315" spans="1:17" ht="15" customHeight="1" x14ac:dyDescent="0.45">
      <c r="A315" s="33"/>
      <c r="B315" s="39" t="s">
        <v>19</v>
      </c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>
        <f>SUM($C283:M283,$C299:M299)</f>
        <v>233146.67622975283</v>
      </c>
      <c r="N315" s="35">
        <f>SUM($C283:N283,$C299:N299)</f>
        <v>238316.78549337512</v>
      </c>
    </row>
    <row r="316" spans="1:17" ht="15" customHeight="1" x14ac:dyDescent="0.45">
      <c r="A316" s="33"/>
      <c r="B316" s="39" t="s">
        <v>19</v>
      </c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35">
        <f>SUM($C284:N284,$C300:N300)</f>
        <v>-193.63965265818842</v>
      </c>
    </row>
    <row r="317" spans="1:17" ht="15" customHeight="1" x14ac:dyDescent="0.45">
      <c r="A317" s="108" t="s">
        <v>190</v>
      </c>
      <c r="B317" s="39" t="s">
        <v>19</v>
      </c>
      <c r="C317" s="74">
        <f>SUM(C305:C316)</f>
        <v>34027.787870607026</v>
      </c>
      <c r="D317" s="74">
        <f>SUM(D305:D316)</f>
        <v>185287.13097935668</v>
      </c>
      <c r="E317" s="74">
        <f>SUM(E305:E316)</f>
        <v>645540.2208514571</v>
      </c>
      <c r="F317" s="74">
        <f t="shared" ref="F317:N317" si="100">SUM(F305:F316)</f>
        <v>1143733.738701368</v>
      </c>
      <c r="G317" s="74">
        <f t="shared" si="100"/>
        <v>1746845.0741788079</v>
      </c>
      <c r="H317" s="74">
        <f t="shared" si="100"/>
        <v>2302673.4682176211</v>
      </c>
      <c r="I317" s="74">
        <f t="shared" si="100"/>
        <v>2926699.0495459219</v>
      </c>
      <c r="J317" s="74">
        <f t="shared" si="100"/>
        <v>3601873.03206207</v>
      </c>
      <c r="K317" s="74">
        <f t="shared" si="100"/>
        <v>4344676.2159868367</v>
      </c>
      <c r="L317" s="74">
        <f t="shared" si="100"/>
        <v>4903563.3859006185</v>
      </c>
      <c r="M317" s="74">
        <f t="shared" si="100"/>
        <v>5454888.2096634433</v>
      </c>
      <c r="N317" s="74">
        <f t="shared" si="100"/>
        <v>5628091.3488859842</v>
      </c>
      <c r="O317" s="30"/>
      <c r="P317" s="30"/>
    </row>
    <row r="318" spans="1:17" ht="15" customHeight="1" x14ac:dyDescent="0.45">
      <c r="A318" s="67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7" s="81" customFormat="1" ht="15" customHeight="1" x14ac:dyDescent="0.65">
      <c r="A319" s="67" t="s">
        <v>191</v>
      </c>
      <c r="O319" s="1"/>
      <c r="P319" s="82"/>
      <c r="Q319" s="182"/>
    </row>
    <row r="320" spans="1:17" ht="15" customHeight="1" x14ac:dyDescent="0.65">
      <c r="A320" s="55" t="s">
        <v>85</v>
      </c>
      <c r="B320" s="39" t="s">
        <v>19</v>
      </c>
      <c r="C320" s="39"/>
      <c r="D320" s="35">
        <f>C325</f>
        <v>34027.787870607026</v>
      </c>
      <c r="E320" s="35">
        <f>D325</f>
        <v>185287.13097935668</v>
      </c>
      <c r="F320" s="35">
        <f t="shared" ref="F320:N320" si="101">E325</f>
        <v>645540.2208514571</v>
      </c>
      <c r="G320" s="35">
        <f t="shared" si="101"/>
        <v>1143733.738701368</v>
      </c>
      <c r="H320" s="35">
        <f t="shared" si="101"/>
        <v>1746845.0741788079</v>
      </c>
      <c r="I320" s="35">
        <f t="shared" si="101"/>
        <v>2302673.4682176211</v>
      </c>
      <c r="J320" s="35">
        <f t="shared" si="101"/>
        <v>2926699.0495459219</v>
      </c>
      <c r="K320" s="35">
        <f t="shared" si="101"/>
        <v>3601873.03206207</v>
      </c>
      <c r="L320" s="35">
        <f t="shared" si="101"/>
        <v>4344676.2159868367</v>
      </c>
      <c r="M320" s="35">
        <f t="shared" si="101"/>
        <v>4903563.3859006185</v>
      </c>
      <c r="N320" s="35">
        <f t="shared" si="101"/>
        <v>5454888.2096634433</v>
      </c>
      <c r="O320" s="38"/>
      <c r="P320" s="82"/>
      <c r="Q320" s="182"/>
    </row>
    <row r="321" spans="1:17" ht="15" customHeight="1" x14ac:dyDescent="0.65">
      <c r="A321" s="55" t="s">
        <v>83</v>
      </c>
      <c r="B321" s="39" t="s">
        <v>19</v>
      </c>
      <c r="C321" s="39"/>
      <c r="D321" s="35">
        <f t="shared" ref="D321:N321" si="102">D52</f>
        <v>140318.31490045742</v>
      </c>
      <c r="E321" s="35">
        <f t="shared" si="102"/>
        <v>417410.0147257311</v>
      </c>
      <c r="F321" s="35">
        <f t="shared" si="102"/>
        <v>412323.8358944385</v>
      </c>
      <c r="G321" s="35">
        <f t="shared" si="102"/>
        <v>462167.24185082398</v>
      </c>
      <c r="H321" s="35">
        <f t="shared" si="102"/>
        <v>375098.35098993796</v>
      </c>
      <c r="I321" s="35">
        <f t="shared" si="102"/>
        <v>451340.86356430815</v>
      </c>
      <c r="J321" s="35">
        <f t="shared" si="102"/>
        <v>525889.44816033379</v>
      </c>
      <c r="K321" s="35">
        <f t="shared" si="102"/>
        <v>636049.85632940207</v>
      </c>
      <c r="L321" s="35">
        <f t="shared" si="102"/>
        <v>523883.31633498438</v>
      </c>
      <c r="M321" s="35">
        <f t="shared" si="102"/>
        <v>580120.69630382326</v>
      </c>
      <c r="N321" s="35">
        <f t="shared" si="102"/>
        <v>224664.47123346184</v>
      </c>
      <c r="O321" s="38"/>
      <c r="P321" s="82"/>
      <c r="Q321" s="182"/>
    </row>
    <row r="322" spans="1:17" ht="15" customHeight="1" x14ac:dyDescent="0.65">
      <c r="A322" s="55" t="s">
        <v>99</v>
      </c>
      <c r="B322" s="39" t="s">
        <v>19</v>
      </c>
      <c r="C322" s="39"/>
      <c r="D322" s="35">
        <f t="shared" ref="D322:N322" si="103">D262</f>
        <v>-5493.7614946476369</v>
      </c>
      <c r="E322" s="35">
        <f t="shared" si="103"/>
        <v>-25063.033354212905</v>
      </c>
      <c r="F322" s="35">
        <f t="shared" si="103"/>
        <v>-49501.852134052548</v>
      </c>
      <c r="G322" s="35">
        <f t="shared" si="103"/>
        <v>-84948.212001012434</v>
      </c>
      <c r="H322" s="35">
        <f t="shared" si="103"/>
        <v>-116313.54663733</v>
      </c>
      <c r="I322" s="35">
        <f t="shared" si="103"/>
        <v>-143213.42066902859</v>
      </c>
      <c r="J322" s="35">
        <f t="shared" si="103"/>
        <v>-155953.60802821885</v>
      </c>
      <c r="K322" s="35">
        <f t="shared" si="103"/>
        <v>-179526.20902405158</v>
      </c>
      <c r="L322" s="35">
        <f t="shared" si="103"/>
        <v>-210092.62110097101</v>
      </c>
      <c r="M322" s="35">
        <f t="shared" si="103"/>
        <v>-235289.51957373414</v>
      </c>
      <c r="N322" s="35">
        <f t="shared" si="103"/>
        <v>-133356.12736880264</v>
      </c>
      <c r="O322" s="38"/>
      <c r="P322" s="82"/>
      <c r="Q322" s="182"/>
    </row>
    <row r="323" spans="1:17" ht="15" customHeight="1" x14ac:dyDescent="0.65">
      <c r="A323" s="55" t="s">
        <v>74</v>
      </c>
      <c r="B323" s="39" t="s">
        <v>19</v>
      </c>
      <c r="C323" s="39"/>
      <c r="D323" s="35">
        <f t="shared" ref="D323:N323" si="104">D27</f>
        <v>4488.8489620344635</v>
      </c>
      <c r="E323" s="35">
        <f t="shared" si="104"/>
        <v>7750.8813122695683</v>
      </c>
      <c r="F323" s="35">
        <f t="shared" si="104"/>
        <v>18127.739302077651</v>
      </c>
      <c r="G323" s="35">
        <f t="shared" si="104"/>
        <v>28814.136938694955</v>
      </c>
      <c r="H323" s="35">
        <f t="shared" si="104"/>
        <v>38763.149101366995</v>
      </c>
      <c r="I323" s="35">
        <f t="shared" si="104"/>
        <v>44552.777809179068</v>
      </c>
      <c r="J323" s="35">
        <f t="shared" si="104"/>
        <v>58601.837972381116</v>
      </c>
      <c r="K323" s="35">
        <f t="shared" si="104"/>
        <v>49544.142372241971</v>
      </c>
      <c r="L323" s="35">
        <f t="shared" si="104"/>
        <v>32008.668097130299</v>
      </c>
      <c r="M323" s="35">
        <f t="shared" si="104"/>
        <v>19816.488379610539</v>
      </c>
      <c r="N323" s="35">
        <f t="shared" si="104"/>
        <v>0</v>
      </c>
      <c r="O323" s="103"/>
      <c r="P323" s="82"/>
      <c r="Q323" s="182"/>
    </row>
    <row r="324" spans="1:17" ht="15" customHeight="1" x14ac:dyDescent="0.65">
      <c r="A324" s="55" t="s">
        <v>192</v>
      </c>
      <c r="B324" s="39" t="s">
        <v>19</v>
      </c>
      <c r="C324" s="39"/>
      <c r="D324" s="146">
        <f t="shared" ref="D324:N324" si="105">D317-SUM(D320:D323)</f>
        <v>11945.940740905382</v>
      </c>
      <c r="E324" s="146">
        <f t="shared" si="105"/>
        <v>60155.227188312565</v>
      </c>
      <c r="F324" s="146">
        <f t="shared" si="105"/>
        <v>117243.7947874472</v>
      </c>
      <c r="G324" s="146">
        <f t="shared" si="105"/>
        <v>197078.1686889336</v>
      </c>
      <c r="H324" s="146">
        <f t="shared" si="105"/>
        <v>258280.44058483839</v>
      </c>
      <c r="I324" s="146">
        <f t="shared" si="105"/>
        <v>271345.36062384211</v>
      </c>
      <c r="J324" s="146">
        <f t="shared" si="105"/>
        <v>246636.30441165203</v>
      </c>
      <c r="K324" s="146">
        <f t="shared" si="105"/>
        <v>236735.3942471738</v>
      </c>
      <c r="L324" s="146">
        <f t="shared" si="105"/>
        <v>213087.80658263806</v>
      </c>
      <c r="M324" s="146">
        <f t="shared" si="105"/>
        <v>186677.15865312517</v>
      </c>
      <c r="N324" s="146">
        <f t="shared" si="105"/>
        <v>81894.795357881114</v>
      </c>
      <c r="O324" s="103"/>
      <c r="P324" s="82"/>
      <c r="Q324" s="182"/>
    </row>
    <row r="325" spans="1:17" ht="15" customHeight="1" x14ac:dyDescent="0.65">
      <c r="A325" s="55" t="s">
        <v>87</v>
      </c>
      <c r="B325" s="39" t="s">
        <v>19</v>
      </c>
      <c r="C325" s="184">
        <f>C22</f>
        <v>34027.787870607026</v>
      </c>
      <c r="D325" s="74">
        <f>SUM(D320:D324)</f>
        <v>185287.13097935668</v>
      </c>
      <c r="E325" s="74">
        <f t="shared" ref="E325:N325" si="106">SUM(E320:E324)</f>
        <v>645540.2208514571</v>
      </c>
      <c r="F325" s="74">
        <f t="shared" si="106"/>
        <v>1143733.738701368</v>
      </c>
      <c r="G325" s="74">
        <f t="shared" si="106"/>
        <v>1746845.0741788079</v>
      </c>
      <c r="H325" s="74">
        <f t="shared" si="106"/>
        <v>2302673.4682176211</v>
      </c>
      <c r="I325" s="74">
        <f t="shared" si="106"/>
        <v>2926699.0495459219</v>
      </c>
      <c r="J325" s="74">
        <f t="shared" si="106"/>
        <v>3601873.03206207</v>
      </c>
      <c r="K325" s="74">
        <f t="shared" si="106"/>
        <v>4344676.2159868367</v>
      </c>
      <c r="L325" s="74">
        <f t="shared" si="106"/>
        <v>4903563.3859006185</v>
      </c>
      <c r="M325" s="74">
        <f t="shared" si="106"/>
        <v>5454888.2096634433</v>
      </c>
      <c r="N325" s="74">
        <f t="shared" si="106"/>
        <v>5628091.3488859842</v>
      </c>
      <c r="O325" s="38"/>
      <c r="P325" s="82"/>
      <c r="Q325" s="182"/>
    </row>
    <row r="326" spans="1:17" ht="15" customHeight="1" x14ac:dyDescent="0.65">
      <c r="P326" s="82"/>
    </row>
    <row r="327" spans="1:17" ht="15" customHeight="1" x14ac:dyDescent="0.65">
      <c r="A327" s="67" t="s">
        <v>194</v>
      </c>
      <c r="B327" s="1" t="s">
        <v>26</v>
      </c>
      <c r="C327" s="149" t="s">
        <v>229</v>
      </c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</row>
    <row r="328" spans="1:17" ht="15" customHeight="1" x14ac:dyDescent="0.45">
      <c r="A328" s="33"/>
      <c r="B328" s="208" cm="1">
        <f t="array" ref="B328:B338">TRANSPOSE(Inputs!D49:N49)</f>
        <v>6.4326867547209718E-2</v>
      </c>
      <c r="C328" s="209" cm="1">
        <f t="array" ref="C328:C338">TRANSPOSE(D324:N324)</f>
        <v>11945.940740905382</v>
      </c>
      <c r="D328" s="212">
        <f>$C328*((1+$B328)^D$146-1)*Inputs!D$52</f>
        <v>62.646886370954512</v>
      </c>
      <c r="E328" s="35">
        <f>$C328*((1+$B328)^E$145-1)*Inputs!E$52</f>
        <v>222.69170234633941</v>
      </c>
      <c r="F328" s="35">
        <f>$C328*((1+$B328)^F$145-1)*Inputs!F$52</f>
        <v>222.69170234633941</v>
      </c>
      <c r="G328" s="35">
        <f>$C328*((1+$B328)^G$145-1)*Inputs!G$52</f>
        <v>222.69170234633941</v>
      </c>
      <c r="H328" s="35">
        <f>$C328*((1+$B328)^H$145-1)*Inputs!H$52</f>
        <v>223.3210726541046</v>
      </c>
      <c r="I328" s="35">
        <f>$C328*((1+$B328)^I$145-1)*Inputs!I$52</f>
        <v>222.69170234633941</v>
      </c>
      <c r="J328" s="35">
        <f>$C328*((1+$B328)^J$145-1)*Inputs!J$52</f>
        <v>222.69170234633941</v>
      </c>
      <c r="K328" s="35">
        <f>$C328*((1+$B328)^K$145-1)*Inputs!K$52</f>
        <v>222.69170234633941</v>
      </c>
      <c r="L328" s="35">
        <f>$C328*((1+$B328)^L$145-1)*Inputs!L$52</f>
        <v>223.3210726541046</v>
      </c>
      <c r="M328" s="35">
        <f>$C328*((1+$B328)^M$145-1)*Inputs!M$52</f>
        <v>222.69170234633941</v>
      </c>
      <c r="N328" s="35">
        <f>$C328*((1+$B328)^N$145-1)*Inputs!N$52</f>
        <v>110.52692366576041</v>
      </c>
    </row>
    <row r="329" spans="1:17" ht="15" customHeight="1" x14ac:dyDescent="0.45">
      <c r="A329" s="33"/>
      <c r="B329" s="208">
        <v>5.239123342763756E-2</v>
      </c>
      <c r="C329" s="209">
        <v>60155.227188312565</v>
      </c>
      <c r="D329" s="35"/>
      <c r="E329" s="212">
        <f>$C329*((1+$B329)^E$146-1)*Inputs!E$52</f>
        <v>447.08397727372846</v>
      </c>
      <c r="F329" s="35">
        <f>$C329*((1+$B329)^F$145-1)*Inputs!F$52</f>
        <v>913.32422658671442</v>
      </c>
      <c r="G329" s="35">
        <f>$C329*((1+$B329)^G$145-1)*Inputs!G$52</f>
        <v>913.32422658671442</v>
      </c>
      <c r="H329" s="35">
        <f>$C329*((1+$B329)^H$145-1)*Inputs!H$52</f>
        <v>915.8910522499275</v>
      </c>
      <c r="I329" s="35">
        <f>$C329*((1+$B329)^I$145-1)*Inputs!I$52</f>
        <v>913.32422658671442</v>
      </c>
      <c r="J329" s="35">
        <f>$C329*((1+$B329)^J$145-1)*Inputs!J$52</f>
        <v>913.32422658671442</v>
      </c>
      <c r="K329" s="35">
        <f>$C329*((1+$B329)^K$145-1)*Inputs!K$52</f>
        <v>913.32422658671442</v>
      </c>
      <c r="L329" s="35">
        <f>$C329*((1+$B329)^L$145-1)*Inputs!L$52</f>
        <v>915.8910522499275</v>
      </c>
      <c r="M329" s="35">
        <f>$C329*((1+$B329)^M$145-1)*Inputs!M$52</f>
        <v>913.32422658671442</v>
      </c>
      <c r="N329" s="35">
        <f>$C329*((1+$B329)^N$145-1)*Inputs!N$52</f>
        <v>454.58993735200664</v>
      </c>
    </row>
    <row r="330" spans="1:17" ht="15" customHeight="1" x14ac:dyDescent="0.45">
      <c r="A330" s="33"/>
      <c r="B330" s="208">
        <v>6.5210564262641602E-2</v>
      </c>
      <c r="C330" s="209">
        <v>117243.7947874472</v>
      </c>
      <c r="D330" s="35"/>
      <c r="E330" s="35"/>
      <c r="F330" s="212">
        <f>$C330*((1+$B330)^F$146-1)*Inputs!F$52</f>
        <v>1081.2342576698329</v>
      </c>
      <c r="G330" s="35">
        <f>$C330*((1+$B330)^G$145-1)*Inputs!G$52</f>
        <v>2215.6388642453835</v>
      </c>
      <c r="H330" s="35">
        <f>$C330*((1+$B330)^H$145-1)*Inputs!H$52</f>
        <v>2221.9032702440068</v>
      </c>
      <c r="I330" s="35">
        <f>$C330*((1+$B330)^I$145-1)*Inputs!I$52</f>
        <v>2215.6388642453835</v>
      </c>
      <c r="J330" s="35">
        <f>$C330*((1+$B330)^J$145-1)*Inputs!J$52</f>
        <v>2215.6388642453835</v>
      </c>
      <c r="K330" s="35">
        <f>$C330*((1+$B330)^K$145-1)*Inputs!K$52</f>
        <v>2215.6388642453835</v>
      </c>
      <c r="L330" s="35">
        <f>$C330*((1+$B330)^L$145-1)*Inputs!L$52</f>
        <v>2221.9032702440068</v>
      </c>
      <c r="M330" s="35">
        <f>$C330*((1+$B330)^M$145-1)*Inputs!M$52</f>
        <v>2215.6388642453835</v>
      </c>
      <c r="N330" s="35">
        <f>$C330*((1+$B330)^N$145-1)*Inputs!N$52</f>
        <v>1099.4419646469528</v>
      </c>
    </row>
    <row r="331" spans="1:17" ht="15" customHeight="1" x14ac:dyDescent="0.45">
      <c r="A331" s="33"/>
      <c r="B331" s="208">
        <v>5.6007340817272856E-2</v>
      </c>
      <c r="C331" s="209">
        <v>197078.1686889336</v>
      </c>
      <c r="D331" s="35"/>
      <c r="E331" s="35"/>
      <c r="F331" s="35"/>
      <c r="G331" s="212">
        <f>$C331*((1+$B331)^G$146-1)*Inputs!G$52</f>
        <v>1564.4435496863905</v>
      </c>
      <c r="H331" s="35">
        <f>$C331*((1+$B331)^H$145-1)*Inputs!H$52</f>
        <v>3207.7229365393</v>
      </c>
      <c r="I331" s="35">
        <f>$C331*((1+$B331)^I$145-1)*Inputs!I$52</f>
        <v>3198.7178648388581</v>
      </c>
      <c r="J331" s="35">
        <f>$C331*((1+$B331)^J$145-1)*Inputs!J$52</f>
        <v>3198.7178648388581</v>
      </c>
      <c r="K331" s="35">
        <f>$C331*((1+$B331)^K$145-1)*Inputs!K$52</f>
        <v>3198.7178648388581</v>
      </c>
      <c r="L331" s="35">
        <f>$C331*((1+$B331)^L$145-1)*Inputs!L$52</f>
        <v>3207.7229365393</v>
      </c>
      <c r="M331" s="35">
        <f>$C331*((1+$B331)^M$145-1)*Inputs!M$52</f>
        <v>3198.7178648388581</v>
      </c>
      <c r="N331" s="35">
        <f>$C331*((1+$B331)^N$145-1)*Inputs!N$52</f>
        <v>1590.7311332208394</v>
      </c>
    </row>
    <row r="332" spans="1:17" ht="15" customHeight="1" x14ac:dyDescent="0.45">
      <c r="A332" s="33"/>
      <c r="B332" s="208">
        <v>4.8566588558104418E-2</v>
      </c>
      <c r="C332" s="209">
        <v>258280.44058483839</v>
      </c>
      <c r="D332" s="35"/>
      <c r="E332" s="35"/>
      <c r="F332" s="35"/>
      <c r="G332" s="35"/>
      <c r="H332" s="212">
        <f>$C332*((1+$B332)^H$146-1)*Inputs!H$52</f>
        <v>1791.0638194084115</v>
      </c>
      <c r="I332" s="35">
        <f>$C332*((1+$B332)^I$145-1)*Inputs!I$52</f>
        <v>3635.1526317588464</v>
      </c>
      <c r="J332" s="35">
        <f>$C332*((1+$B332)^J$145-1)*Inputs!J$52</f>
        <v>3635.1526317588464</v>
      </c>
      <c r="K332" s="35">
        <f>$C332*((1+$B332)^K$145-1)*Inputs!K$52</f>
        <v>3635.1526317588464</v>
      </c>
      <c r="L332" s="35">
        <f>$C332*((1+$B332)^L$145-1)*Inputs!L$52</f>
        <v>3645.3504742193427</v>
      </c>
      <c r="M332" s="35">
        <f>$C332*((1+$B332)^M$145-1)*Inputs!M$52</f>
        <v>3635.1526317588464</v>
      </c>
      <c r="N332" s="35">
        <f>$C332*((1+$B332)^N$145-1)*Inputs!N$52</f>
        <v>1810.9818931594577</v>
      </c>
    </row>
    <row r="333" spans="1:17" ht="15" customHeight="1" x14ac:dyDescent="0.45">
      <c r="A333" s="33"/>
      <c r="B333" s="208">
        <v>4.7363493132139597E-2</v>
      </c>
      <c r="C333" s="209">
        <v>271345.36062384211</v>
      </c>
      <c r="D333" s="35"/>
      <c r="E333" s="35"/>
      <c r="F333" s="35"/>
      <c r="G333" s="35"/>
      <c r="H333" s="35"/>
      <c r="I333" s="212">
        <f>$C333*((1+$B333)^I$146-1)*Inputs!I$52</f>
        <v>1825.3837258023575</v>
      </c>
      <c r="J333" s="35">
        <f>$C333*((1+$B333)^J$145-1)*Inputs!J$52</f>
        <v>3724.4301363490549</v>
      </c>
      <c r="K333" s="35">
        <f>$C333*((1+$B333)^K$145-1)*Inputs!K$52</f>
        <v>3724.4301363490549</v>
      </c>
      <c r="L333" s="35">
        <f>$C333*((1+$B333)^L$145-1)*Inputs!L$52</f>
        <v>3734.872471317507</v>
      </c>
      <c r="M333" s="35">
        <f>$C333*((1+$B333)^M$145-1)*Inputs!M$52</f>
        <v>3724.4301363490549</v>
      </c>
      <c r="N333" s="35">
        <f>$C333*((1+$B333)^N$145-1)*Inputs!N$52</f>
        <v>1855.9927530135383</v>
      </c>
    </row>
    <row r="334" spans="1:17" ht="15" customHeight="1" x14ac:dyDescent="0.45">
      <c r="A334" s="33"/>
      <c r="B334" s="208">
        <v>4.2480720370542777E-2</v>
      </c>
      <c r="C334" s="209">
        <v>246636.30441165203</v>
      </c>
      <c r="D334" s="35"/>
      <c r="E334" s="35"/>
      <c r="F334" s="35"/>
      <c r="G334" s="35"/>
      <c r="H334" s="35"/>
      <c r="I334" s="35"/>
      <c r="J334" s="212">
        <f>$C334*((1+$B334)^J$146-1)*Inputs!J$52</f>
        <v>1489.8906554781927</v>
      </c>
      <c r="K334" s="35">
        <f>$C334*((1+$B334)^K$145-1)*Inputs!K$52</f>
        <v>3036.2902743925024</v>
      </c>
      <c r="L334" s="35">
        <f>$C334*((1+$B334)^L$145-1)*Inputs!L$52</f>
        <v>3044.7834814808052</v>
      </c>
      <c r="M334" s="35">
        <f>$C334*((1+$B334)^M$145-1)*Inputs!M$52</f>
        <v>3036.2902743925024</v>
      </c>
      <c r="N334" s="35">
        <f>$C334*((1+$B334)^N$145-1)*Inputs!N$52</f>
        <v>1514.8446688720396</v>
      </c>
    </row>
    <row r="335" spans="1:17" ht="15" customHeight="1" x14ac:dyDescent="0.45">
      <c r="A335" s="33"/>
      <c r="B335" s="208">
        <v>4.0592888091034438E-2</v>
      </c>
      <c r="C335" s="209">
        <v>236735.3942471738</v>
      </c>
      <c r="D335" s="35"/>
      <c r="E335" s="35"/>
      <c r="F335" s="35"/>
      <c r="G335" s="35"/>
      <c r="H335" s="35"/>
      <c r="I335" s="35"/>
      <c r="J335" s="35"/>
      <c r="K335" s="212">
        <f>$C335*((1+$B335)^K$146-1)*Inputs!K$52</f>
        <v>1367.1596254709073</v>
      </c>
      <c r="L335" s="35">
        <f>$C335*((1+$B335)^L$145-1)*Inputs!L$52</f>
        <v>2792.6715718933724</v>
      </c>
      <c r="M335" s="35">
        <f>$C335*((1+$B335)^M$145-1)*Inputs!M$52</f>
        <v>2784.8886168199133</v>
      </c>
      <c r="N335" s="35">
        <f>$C335*((1+$B335)^N$145-1)*Inputs!N$52</f>
        <v>1390.047613155434</v>
      </c>
    </row>
    <row r="336" spans="1:17" ht="15" customHeight="1" x14ac:dyDescent="0.45">
      <c r="A336" s="33"/>
      <c r="B336" s="208">
        <v>2.9597755753197487E-2</v>
      </c>
      <c r="C336" s="209">
        <v>213087.80658263806</v>
      </c>
      <c r="D336" s="35"/>
      <c r="E336" s="35"/>
      <c r="F336" s="35"/>
      <c r="G336" s="35"/>
      <c r="H336" s="35"/>
      <c r="I336" s="35"/>
      <c r="J336" s="35"/>
      <c r="K336" s="35"/>
      <c r="L336" s="212">
        <f>$C336*((1+$B336)^L$146-1)*Inputs!L$52</f>
        <v>904.70550835158974</v>
      </c>
      <c r="M336" s="35">
        <f>$C336*((1+$B336)^M$145-1)*Inputs!M$52</f>
        <v>1827.7368266157648</v>
      </c>
      <c r="N336" s="35">
        <f>$C336*((1+$B336)^N$145-1)*Inputs!N$52</f>
        <v>914.72055002572461</v>
      </c>
    </row>
    <row r="337" spans="1:14" ht="15" customHeight="1" x14ac:dyDescent="0.45">
      <c r="A337" s="33"/>
      <c r="B337" s="208">
        <v>2.0048153676001084E-2</v>
      </c>
      <c r="C337" s="209">
        <v>186677.15865312517</v>
      </c>
      <c r="D337" s="35"/>
      <c r="E337" s="35"/>
      <c r="F337" s="35"/>
      <c r="G337" s="35"/>
      <c r="H337" s="35"/>
      <c r="I337" s="35"/>
      <c r="J337" s="35"/>
      <c r="K337" s="35"/>
      <c r="L337" s="35"/>
      <c r="M337" s="212">
        <f>$C337*((1+$B337)^M$146-1)*Inputs!M$52</f>
        <v>535.14588292846713</v>
      </c>
      <c r="N337" s="35">
        <f>$C337*((1+$B337)^N$145-1)*Inputs!N$52</f>
        <v>544.06012683831273</v>
      </c>
    </row>
    <row r="338" spans="1:14" ht="15" customHeight="1" x14ac:dyDescent="0.45">
      <c r="A338" s="33"/>
      <c r="B338" s="208">
        <v>2.3852631578947368E-2</v>
      </c>
      <c r="C338" s="209">
        <v>81894.795357881114</v>
      </c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212">
        <f>$C338*((1+$B338)^N$146-1)*Inputs!N$52</f>
        <v>139.89072255616873</v>
      </c>
    </row>
    <row r="339" spans="1:14" ht="15" customHeight="1" x14ac:dyDescent="0.45">
      <c r="A339" s="108" t="s">
        <v>228</v>
      </c>
      <c r="B339" s="39" t="s">
        <v>19</v>
      </c>
      <c r="C339" s="151"/>
      <c r="D339" s="74">
        <f>SUM(D328:D338)</f>
        <v>62.646886370954512</v>
      </c>
      <c r="E339" s="74">
        <f t="shared" ref="E339:N339" si="107">SUM(E328:E338)</f>
        <v>669.77567962006788</v>
      </c>
      <c r="F339" s="74">
        <f t="shared" si="107"/>
        <v>2217.250186602887</v>
      </c>
      <c r="G339" s="74">
        <f t="shared" si="107"/>
        <v>4916.0983428648278</v>
      </c>
      <c r="H339" s="74">
        <f t="shared" si="107"/>
        <v>8359.90215109575</v>
      </c>
      <c r="I339" s="74">
        <f t="shared" si="107"/>
        <v>12010.9090155785</v>
      </c>
      <c r="J339" s="74">
        <f t="shared" si="107"/>
        <v>15399.846081603391</v>
      </c>
      <c r="K339" s="74">
        <f t="shared" si="107"/>
        <v>18313.405325988606</v>
      </c>
      <c r="L339" s="74">
        <f t="shared" si="107"/>
        <v>20691.221838949954</v>
      </c>
      <c r="M339" s="74">
        <f t="shared" si="107"/>
        <v>22094.017026881844</v>
      </c>
      <c r="N339" s="74">
        <f t="shared" si="107"/>
        <v>11425.828286506232</v>
      </c>
    </row>
    <row r="340" spans="1:14" ht="15" customHeight="1" x14ac:dyDescent="0.45">
      <c r="A340" s="108"/>
      <c r="B340" s="39"/>
      <c r="C340" s="151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</row>
    <row r="341" spans="1:14" ht="15" customHeight="1" x14ac:dyDescent="0.45">
      <c r="A341" s="108" t="s">
        <v>230</v>
      </c>
      <c r="B341" s="39" t="s">
        <v>19</v>
      </c>
      <c r="C341" s="151"/>
      <c r="D341" s="35">
        <f t="shared" ref="D341:N341" si="108">D339+D267</f>
        <v>1066.8625893267319</v>
      </c>
      <c r="E341" s="35">
        <f t="shared" si="108"/>
        <v>5204.6950026541344</v>
      </c>
      <c r="F341" s="35">
        <f t="shared" si="108"/>
        <v>9687.6082957904364</v>
      </c>
      <c r="G341" s="35">
        <f t="shared" si="108"/>
        <v>14747.356654761385</v>
      </c>
      <c r="H341" s="35">
        <f t="shared" si="108"/>
        <v>20290.555417138006</v>
      </c>
      <c r="I341" s="35">
        <f t="shared" si="108"/>
        <v>25168.345920751555</v>
      </c>
      <c r="J341" s="35">
        <f t="shared" si="108"/>
        <v>30585.706080315875</v>
      </c>
      <c r="K341" s="35">
        <f t="shared" si="108"/>
        <v>36273.445220553825</v>
      </c>
      <c r="L341" s="35">
        <f t="shared" si="108"/>
        <v>40700.079787442504</v>
      </c>
      <c r="M341" s="35">
        <f t="shared" si="108"/>
        <v>42388.154931778277</v>
      </c>
      <c r="N341" s="35">
        <f t="shared" si="108"/>
        <v>20945.860934974549</v>
      </c>
    </row>
    <row r="342" spans="1:14" ht="15" customHeight="1" x14ac:dyDescent="0.45">
      <c r="A342" s="33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2.75" customHeight="1" x14ac:dyDescent="0.45"/>
    <row r="347" spans="1:14" ht="12.75" customHeight="1" x14ac:dyDescent="0.45"/>
    <row r="348" spans="1:14" ht="12.75" customHeight="1" x14ac:dyDescent="0.45"/>
    <row r="350" spans="1:14" ht="12.75" customHeight="1" x14ac:dyDescent="0.45"/>
    <row r="356" spans="4:15" ht="12.75" customHeight="1" x14ac:dyDescent="0.45"/>
    <row r="357" spans="4:15" ht="12.75" customHeight="1" x14ac:dyDescent="0.45">
      <c r="N357" s="38"/>
      <c r="O357" s="38"/>
    </row>
    <row r="358" spans="4:15" ht="12.75" customHeight="1" x14ac:dyDescent="0.45"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4:15" ht="12.75" customHeight="1" x14ac:dyDescent="0.45"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3" spans="4:15" ht="12.75" customHeight="1" x14ac:dyDescent="0.45"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4:15" ht="12.75" customHeight="1" x14ac:dyDescent="0.45"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</sheetData>
  <phoneticPr fontId="50" type="noConversion"/>
  <pageMargins left="0.7" right="0.7" top="0.75" bottom="0.75" header="0.3" footer="0.3"/>
  <pageSetup paperSize="8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F22637866924A9D2FBE3CA0994D7B" ma:contentTypeVersion="13" ma:contentTypeDescription="Create a new document." ma:contentTypeScope="" ma:versionID="c96ecf3c5415e2d6f93f4fe5587aa840">
  <xsd:schema xmlns:xsd="http://www.w3.org/2001/XMLSchema" xmlns:xs="http://www.w3.org/2001/XMLSchema" xmlns:p="http://schemas.microsoft.com/office/2006/metadata/properties" xmlns:ns3="ab85c8e3-f074-41d6-a29a-418cdf6559a4" xmlns:ns4="7534bd27-abb8-42d0-acf8-880543ac9767" targetNamespace="http://schemas.microsoft.com/office/2006/metadata/properties" ma:root="true" ma:fieldsID="ae5af1f8e58924ba8b2b4866f31c7426" ns3:_="" ns4:_="">
    <xsd:import namespace="ab85c8e3-f074-41d6-a29a-418cdf6559a4"/>
    <xsd:import namespace="7534bd27-abb8-42d0-acf8-880543ac97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5c8e3-f074-41d6-a29a-418cdf6559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bd27-abb8-42d0-acf8-880543ac9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BC63E-4490-443F-AE14-B7F1A6502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5c8e3-f074-41d6-a29a-418cdf6559a4"/>
    <ds:schemaRef ds:uri="7534bd27-abb8-42d0-acf8-880543ac9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5A5C6-9B50-4391-AFA7-E46D0B7918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0B917-76E6-4696-994D-A036F4E06B4C}">
  <ds:schemaRefs>
    <ds:schemaRef ds:uri="http://purl.org/dc/dcmitype/"/>
    <ds:schemaRef ds:uri="ab85c8e3-f074-41d6-a29a-418cdf6559a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7534bd27-abb8-42d0-acf8-880543ac9767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Description</vt:lpstr>
      <vt:lpstr>Inputs</vt:lpstr>
      <vt:lpstr>DCF (Vanilla)</vt:lpstr>
      <vt:lpstr>'Cover Sheet'!Print_Area</vt:lpstr>
      <vt:lpstr>'DCF (Vanilla)'!Print_Area</vt:lpstr>
      <vt:lpstr>Description!Print_Area</vt:lpstr>
      <vt:lpstr>Inputs!Print_Area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2019-12-16T03:14:42Z</dcterms:created>
  <dcterms:modified xsi:type="dcterms:W3CDTF">2021-08-18T01:21:08Z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0x010100BF3F22637866924A9D2FBE3CA0994D7B</vt:lpwstr>
  </property>
</Properties>
</file>