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M:\2023 Pco DPP3\Suite publication 30-11-22\"/>
    </mc:Choice>
  </mc:AlternateContent>
  <xr:revisionPtr revIDLastSave="0" documentId="13_ncr:1_{3922AF41-512C-47EB-9760-C7F33ABEB9B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verSheet" sheetId="3" r:id="rId1"/>
    <sheet name="Description" sheetId="10" r:id="rId2"/>
    <sheet name="Table of Contents" sheetId="4" r:id="rId3"/>
    <sheet name="Inputs" sheetId="2" r:id="rId4"/>
    <sheet name="Growth rates" sheetId="1" r:id="rId5"/>
    <sheet name="Inflators" sheetId="9" r:id="rId6"/>
    <sheet name="Outputs" sheetId="8" r:id="rId7"/>
  </sheets>
  <externalReferences>
    <externalReference r:id="rId8"/>
    <externalReference r:id="rId9"/>
  </externalReferences>
  <definedNames>
    <definedName name="Indiv_Data">Inputs!$B:$D</definedName>
    <definedName name="_xlnm.Print_Area" localSheetId="0">CoverSheet!$A$1:$D$17</definedName>
    <definedName name="_xlnm.Print_Area" localSheetId="1">Description!$A$1:$F$13</definedName>
    <definedName name="_xlnm.Print_Area" localSheetId="4">'Growth rates'!$A$1:$S$71</definedName>
    <definedName name="_xlnm.Print_Area" localSheetId="5">Inflators!$A$1:$Q$59</definedName>
    <definedName name="_xlnm.Print_Area" localSheetId="3">Inputs!$A$1:$E$80</definedName>
    <definedName name="_xlnm.Print_Area" localSheetId="6">Outputs!$A$1:$P$6</definedName>
    <definedName name="_xlnm.Print_Area" localSheetId="2">'Table of Contents'!$A$1:$D$13</definedName>
    <definedName name="Qtr_Wgt">Inputs!$B$15:$D$18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5" i="2" l="1"/>
  <c r="D6" i="1" l="1"/>
  <c r="E68" i="1"/>
  <c r="D22" i="2"/>
  <c r="O7" i="1" s="1"/>
  <c r="D23" i="2"/>
  <c r="O8" i="1" s="1"/>
  <c r="D24" i="2"/>
  <c r="O9" i="1" s="1"/>
  <c r="D25" i="2"/>
  <c r="O10" i="1" s="1"/>
  <c r="D26" i="2"/>
  <c r="O11" i="1" s="1"/>
  <c r="D27" i="2"/>
  <c r="O12" i="1" s="1"/>
  <c r="D28" i="2"/>
  <c r="O13" i="1" s="1"/>
  <c r="D29" i="2"/>
  <c r="O14" i="1" s="1"/>
  <c r="D30" i="2"/>
  <c r="O15" i="1" s="1"/>
  <c r="C22" i="2"/>
  <c r="I7" i="1" s="1"/>
  <c r="C23" i="2"/>
  <c r="I8" i="1" s="1"/>
  <c r="C24" i="2"/>
  <c r="I9" i="1" s="1"/>
  <c r="C25" i="2"/>
  <c r="I10" i="1" s="1"/>
  <c r="C26" i="2"/>
  <c r="I11" i="1" s="1"/>
  <c r="C27" i="2"/>
  <c r="I12" i="1" s="1"/>
  <c r="C28" i="2"/>
  <c r="I13" i="1" s="1"/>
  <c r="C29" i="2"/>
  <c r="I14" i="1" s="1"/>
  <c r="C30" i="2"/>
  <c r="I15" i="1" s="1"/>
  <c r="B22" i="2"/>
  <c r="C7" i="1" s="1"/>
  <c r="B23" i="2"/>
  <c r="C8" i="1" s="1"/>
  <c r="B24" i="2"/>
  <c r="C9" i="1" s="1"/>
  <c r="B25" i="2"/>
  <c r="C10" i="1" s="1"/>
  <c r="B26" i="2"/>
  <c r="C11" i="1" s="1"/>
  <c r="B27" i="2"/>
  <c r="C12" i="1" s="1"/>
  <c r="B28" i="2"/>
  <c r="C13" i="1" s="1"/>
  <c r="B29" i="2"/>
  <c r="C14" i="1" s="1"/>
  <c r="B30" i="2"/>
  <c r="C15" i="1" s="1"/>
  <c r="A30" i="2"/>
  <c r="A29" i="2" s="1"/>
  <c r="A28" i="2" s="1"/>
  <c r="A27" i="2" s="1"/>
  <c r="A26" i="2" s="1"/>
  <c r="A25" i="2" s="1"/>
  <c r="A24" i="2" s="1"/>
  <c r="A23" i="2" s="1"/>
  <c r="A22" i="2" s="1"/>
  <c r="D68" i="2"/>
  <c r="O53" i="1" s="1"/>
  <c r="D69" i="2"/>
  <c r="O54" i="1" s="1"/>
  <c r="D70" i="2"/>
  <c r="O55" i="1" s="1"/>
  <c r="D71" i="2"/>
  <c r="O56" i="1" s="1"/>
  <c r="D72" i="2"/>
  <c r="O57" i="1" s="1"/>
  <c r="D73" i="2"/>
  <c r="O58" i="1" s="1"/>
  <c r="D74" i="2"/>
  <c r="O59" i="1" s="1"/>
  <c r="D75" i="2"/>
  <c r="O60" i="1" s="1"/>
  <c r="D76" i="2"/>
  <c r="O61" i="1" s="1"/>
  <c r="D77" i="2"/>
  <c r="O62" i="1" s="1"/>
  <c r="D78" i="2"/>
  <c r="O63" i="1" s="1"/>
  <c r="D32" i="2"/>
  <c r="O17" i="1" s="1"/>
  <c r="D33" i="2"/>
  <c r="O18" i="1" s="1"/>
  <c r="D34" i="2"/>
  <c r="O19" i="1" s="1"/>
  <c r="O20" i="1"/>
  <c r="D36" i="2"/>
  <c r="O21" i="1" s="1"/>
  <c r="D37" i="2"/>
  <c r="O22" i="1" s="1"/>
  <c r="D38" i="2"/>
  <c r="O23" i="1" s="1"/>
  <c r="D39" i="2"/>
  <c r="O24" i="1" s="1"/>
  <c r="D40" i="2"/>
  <c r="O25" i="1" s="1"/>
  <c r="D41" i="2"/>
  <c r="O26" i="1" s="1"/>
  <c r="D42" i="2"/>
  <c r="O27" i="1" s="1"/>
  <c r="D43" i="2"/>
  <c r="O28" i="1" s="1"/>
  <c r="D44" i="2"/>
  <c r="O29" i="1" s="1"/>
  <c r="D45" i="2"/>
  <c r="O30" i="1" s="1"/>
  <c r="D46" i="2"/>
  <c r="O31" i="1" s="1"/>
  <c r="D47" i="2"/>
  <c r="O32" i="1" s="1"/>
  <c r="D48" i="2"/>
  <c r="O33" i="1" s="1"/>
  <c r="D49" i="2"/>
  <c r="O34" i="1" s="1"/>
  <c r="D50" i="2"/>
  <c r="O35" i="1" s="1"/>
  <c r="D51" i="2"/>
  <c r="O36" i="1" s="1"/>
  <c r="D52" i="2"/>
  <c r="O37" i="1" s="1"/>
  <c r="D53" i="2"/>
  <c r="O38" i="1" s="1"/>
  <c r="D54" i="2"/>
  <c r="O39" i="1" s="1"/>
  <c r="D55" i="2"/>
  <c r="O40" i="1" s="1"/>
  <c r="D56" i="2"/>
  <c r="O41" i="1" s="1"/>
  <c r="D57" i="2"/>
  <c r="O42" i="1" s="1"/>
  <c r="D58" i="2"/>
  <c r="O43" i="1" s="1"/>
  <c r="D59" i="2"/>
  <c r="O44" i="1" s="1"/>
  <c r="D60" i="2"/>
  <c r="O45" i="1" s="1"/>
  <c r="D61" i="2"/>
  <c r="O46" i="1" s="1"/>
  <c r="D62" i="2"/>
  <c r="O47" i="1" s="1"/>
  <c r="D63" i="2"/>
  <c r="O48" i="1" s="1"/>
  <c r="D64" i="2"/>
  <c r="O49" i="1" s="1"/>
  <c r="D65" i="2"/>
  <c r="O50" i="1" s="1"/>
  <c r="D66" i="2"/>
  <c r="O51" i="1" s="1"/>
  <c r="D67" i="2"/>
  <c r="O52" i="1" s="1"/>
  <c r="D31" i="2"/>
  <c r="O16" i="1" s="1"/>
  <c r="B78" i="2"/>
  <c r="C63" i="1" s="1"/>
  <c r="B74" i="2"/>
  <c r="C59" i="1" s="1"/>
  <c r="B70" i="2"/>
  <c r="C55" i="1" s="1"/>
  <c r="D14" i="1" l="1"/>
  <c r="D15" i="1"/>
  <c r="D13" i="1"/>
  <c r="D12" i="1"/>
  <c r="D11" i="1"/>
  <c r="D10" i="1"/>
  <c r="C73" i="2"/>
  <c r="I58" i="1" s="1"/>
  <c r="C74" i="2"/>
  <c r="I59" i="1" s="1"/>
  <c r="C75" i="2"/>
  <c r="I60" i="1" s="1"/>
  <c r="C76" i="2"/>
  <c r="I61" i="1" s="1"/>
  <c r="C77" i="2"/>
  <c r="I62" i="1" s="1"/>
  <c r="C78" i="2"/>
  <c r="I63" i="1" s="1"/>
  <c r="B76" i="2"/>
  <c r="C61" i="1" s="1"/>
  <c r="B75" i="2"/>
  <c r="C60" i="1" s="1"/>
  <c r="B77" i="2"/>
  <c r="C62" i="1" s="1"/>
  <c r="B73" i="2"/>
  <c r="C58" i="1" s="1"/>
  <c r="B72" i="2"/>
  <c r="C57" i="1" s="1"/>
  <c r="B71" i="2"/>
  <c r="C56" i="1" s="1"/>
  <c r="C69" i="2"/>
  <c r="I54" i="1" s="1"/>
  <c r="C70" i="2"/>
  <c r="I55" i="1" s="1"/>
  <c r="C71" i="2"/>
  <c r="I56" i="1" s="1"/>
  <c r="C72" i="2"/>
  <c r="I57" i="1" s="1"/>
  <c r="C68" i="2"/>
  <c r="I53" i="1" s="1"/>
  <c r="B57" i="2"/>
  <c r="C42" i="1" s="1"/>
  <c r="C57" i="2"/>
  <c r="I42" i="1" s="1"/>
  <c r="B58" i="2"/>
  <c r="C43" i="1" s="1"/>
  <c r="C58" i="2"/>
  <c r="I43" i="1" s="1"/>
  <c r="B59" i="2"/>
  <c r="C44" i="1" s="1"/>
  <c r="C59" i="2"/>
  <c r="I44" i="1" s="1"/>
  <c r="B60" i="2"/>
  <c r="C45" i="1" s="1"/>
  <c r="C60" i="2"/>
  <c r="I45" i="1" s="1"/>
  <c r="B61" i="2"/>
  <c r="C46" i="1" s="1"/>
  <c r="C61" i="2"/>
  <c r="I46" i="1" s="1"/>
  <c r="B62" i="2"/>
  <c r="C47" i="1" s="1"/>
  <c r="C62" i="2"/>
  <c r="I47" i="1" s="1"/>
  <c r="B63" i="2"/>
  <c r="C48" i="1" s="1"/>
  <c r="C63" i="2"/>
  <c r="I48" i="1" s="1"/>
  <c r="B64" i="2"/>
  <c r="C49" i="1" s="1"/>
  <c r="C64" i="2"/>
  <c r="I49" i="1" s="1"/>
  <c r="B65" i="2"/>
  <c r="C50" i="1" s="1"/>
  <c r="C65" i="2"/>
  <c r="I50" i="1" s="1"/>
  <c r="B66" i="2"/>
  <c r="C51" i="1" s="1"/>
  <c r="C66" i="2"/>
  <c r="I51" i="1" s="1"/>
  <c r="B67" i="2"/>
  <c r="C52" i="1" s="1"/>
  <c r="C67" i="2"/>
  <c r="I52" i="1" s="1"/>
  <c r="B32" i="2"/>
  <c r="C17" i="1" s="1"/>
  <c r="C32" i="2"/>
  <c r="I17" i="1" s="1"/>
  <c r="B33" i="2"/>
  <c r="C18" i="1" s="1"/>
  <c r="C33" i="2"/>
  <c r="I18" i="1" s="1"/>
  <c r="B34" i="2"/>
  <c r="C19" i="1" s="1"/>
  <c r="C34" i="2"/>
  <c r="I19" i="1" s="1"/>
  <c r="B35" i="2"/>
  <c r="C20" i="1" s="1"/>
  <c r="C35" i="2"/>
  <c r="I20" i="1" s="1"/>
  <c r="B36" i="2"/>
  <c r="C21" i="1" s="1"/>
  <c r="C36" i="2"/>
  <c r="I21" i="1" s="1"/>
  <c r="B37" i="2"/>
  <c r="C22" i="1" s="1"/>
  <c r="C37" i="2"/>
  <c r="I22" i="1" s="1"/>
  <c r="B38" i="2"/>
  <c r="C23" i="1" s="1"/>
  <c r="C38" i="2"/>
  <c r="I23" i="1" s="1"/>
  <c r="B39" i="2"/>
  <c r="C24" i="1" s="1"/>
  <c r="C39" i="2"/>
  <c r="I24" i="1" s="1"/>
  <c r="B40" i="2"/>
  <c r="C25" i="1" s="1"/>
  <c r="C40" i="2"/>
  <c r="I25" i="1" s="1"/>
  <c r="B41" i="2"/>
  <c r="C26" i="1" s="1"/>
  <c r="C41" i="2"/>
  <c r="I26" i="1" s="1"/>
  <c r="B42" i="2"/>
  <c r="C27" i="1" s="1"/>
  <c r="C42" i="2"/>
  <c r="I27" i="1" s="1"/>
  <c r="B43" i="2"/>
  <c r="C28" i="1" s="1"/>
  <c r="C43" i="2"/>
  <c r="I28" i="1" s="1"/>
  <c r="B44" i="2"/>
  <c r="C29" i="1" s="1"/>
  <c r="C44" i="2"/>
  <c r="I29" i="1" s="1"/>
  <c r="B45" i="2"/>
  <c r="C30" i="1" s="1"/>
  <c r="C45" i="2"/>
  <c r="I30" i="1" s="1"/>
  <c r="B46" i="2"/>
  <c r="C31" i="1" s="1"/>
  <c r="C46" i="2"/>
  <c r="I31" i="1" s="1"/>
  <c r="B47" i="2"/>
  <c r="C32" i="1" s="1"/>
  <c r="C47" i="2"/>
  <c r="I32" i="1" s="1"/>
  <c r="B48" i="2"/>
  <c r="C33" i="1" s="1"/>
  <c r="C48" i="2"/>
  <c r="I33" i="1" s="1"/>
  <c r="B49" i="2"/>
  <c r="C34" i="1" s="1"/>
  <c r="C49" i="2"/>
  <c r="I34" i="1" s="1"/>
  <c r="B50" i="2"/>
  <c r="C35" i="1" s="1"/>
  <c r="C50" i="2"/>
  <c r="I35" i="1" s="1"/>
  <c r="B51" i="2"/>
  <c r="C36" i="1" s="1"/>
  <c r="C51" i="2"/>
  <c r="I36" i="1" s="1"/>
  <c r="B52" i="2"/>
  <c r="C37" i="1" s="1"/>
  <c r="C52" i="2"/>
  <c r="I37" i="1" s="1"/>
  <c r="B53" i="2"/>
  <c r="C38" i="1" s="1"/>
  <c r="C53" i="2"/>
  <c r="I38" i="1" s="1"/>
  <c r="B54" i="2"/>
  <c r="C39" i="1" s="1"/>
  <c r="C54" i="2"/>
  <c r="I39" i="1" s="1"/>
  <c r="B55" i="2"/>
  <c r="C40" i="1" s="1"/>
  <c r="C55" i="2"/>
  <c r="I40" i="1" s="1"/>
  <c r="B56" i="2"/>
  <c r="C41" i="1" s="1"/>
  <c r="C56" i="2"/>
  <c r="I41" i="1" s="1"/>
  <c r="B31" i="2"/>
  <c r="C16" i="1" s="1"/>
  <c r="C31" i="2"/>
  <c r="I16" i="1" s="1"/>
  <c r="E14" i="1" l="1"/>
  <c r="B69" i="2"/>
  <c r="C54" i="1" s="1"/>
  <c r="B68" i="2"/>
  <c r="C53" i="1" s="1"/>
  <c r="A68" i="2"/>
  <c r="A58" i="9" l="1"/>
  <c r="A5" i="8" s="1"/>
  <c r="A57" i="9"/>
  <c r="A4" i="8" s="1"/>
  <c r="A56" i="9"/>
  <c r="A3" i="8" s="1"/>
  <c r="A4" i="9"/>
  <c r="N2" i="1"/>
  <c r="H2" i="1"/>
  <c r="B2" i="1"/>
  <c r="A70" i="1"/>
  <c r="A9" i="9" s="1"/>
  <c r="A69" i="1"/>
  <c r="A8" i="9" s="1"/>
  <c r="A68" i="1"/>
  <c r="A7" i="9" s="1"/>
  <c r="B11" i="1"/>
  <c r="A12" i="9" l="1"/>
  <c r="A17" i="9"/>
  <c r="A22" i="9"/>
  <c r="A23" i="9"/>
  <c r="A13" i="9"/>
  <c r="A18" i="9"/>
  <c r="A19" i="9"/>
  <c r="A24" i="9"/>
  <c r="A14" i="9"/>
  <c r="E67" i="1" l="1"/>
  <c r="F67" i="1" l="1"/>
  <c r="G67" i="1" s="1"/>
  <c r="C4" i="9"/>
  <c r="C24" i="9" l="1"/>
  <c r="B50" i="9" s="1"/>
  <c r="C23" i="9"/>
  <c r="B49" i="9" s="1"/>
  <c r="C22" i="9"/>
  <c r="B48" i="9" s="1"/>
  <c r="C19" i="9"/>
  <c r="B41" i="9" s="1"/>
  <c r="C18" i="9"/>
  <c r="B40" i="9" s="1"/>
  <c r="C17" i="9"/>
  <c r="B39" i="9" s="1"/>
  <c r="C14" i="9"/>
  <c r="B32" i="9" s="1"/>
  <c r="C13" i="9"/>
  <c r="B31" i="9" s="1"/>
  <c r="C12" i="9"/>
  <c r="B30" i="9" s="1"/>
  <c r="H67" i="1" l="1"/>
  <c r="A67" i="2"/>
  <c r="A66" i="2" s="1"/>
  <c r="I67" i="1" l="1"/>
  <c r="A69" i="2"/>
  <c r="J67" i="1" l="1"/>
  <c r="A70" i="2"/>
  <c r="A65" i="2"/>
  <c r="H11" i="1"/>
  <c r="L11" i="1" s="1"/>
  <c r="N11" i="1"/>
  <c r="R11" i="1" s="1"/>
  <c r="F11" i="1"/>
  <c r="B10" i="1"/>
  <c r="B12" i="1"/>
  <c r="K67" i="1" l="1"/>
  <c r="A64" i="2"/>
  <c r="A71" i="2"/>
  <c r="H12" i="1"/>
  <c r="L12" i="1" s="1"/>
  <c r="N12" i="1"/>
  <c r="R12" i="1" s="1"/>
  <c r="N10" i="1"/>
  <c r="R10" i="1" s="1"/>
  <c r="H10" i="1"/>
  <c r="L10" i="1" s="1"/>
  <c r="F12" i="1"/>
  <c r="F10" i="1"/>
  <c r="B13" i="1"/>
  <c r="B9" i="1"/>
  <c r="L67" i="1" l="1"/>
  <c r="A72" i="2"/>
  <c r="A63" i="2"/>
  <c r="N9" i="1"/>
  <c r="R9" i="1" s="1"/>
  <c r="H9" i="1"/>
  <c r="L9" i="1" s="1"/>
  <c r="N13" i="1"/>
  <c r="R13" i="1" s="1"/>
  <c r="H13" i="1"/>
  <c r="L13" i="1" s="1"/>
  <c r="F13" i="1"/>
  <c r="F9" i="1"/>
  <c r="B8" i="1"/>
  <c r="B14" i="1"/>
  <c r="M67" i="1" l="1"/>
  <c r="A73" i="2"/>
  <c r="A62" i="2"/>
  <c r="H8" i="1"/>
  <c r="L8" i="1" s="1"/>
  <c r="N8" i="1"/>
  <c r="R8" i="1" s="1"/>
  <c r="N14" i="1"/>
  <c r="R14" i="1" s="1"/>
  <c r="H14" i="1"/>
  <c r="L14" i="1" s="1"/>
  <c r="F14" i="1"/>
  <c r="F8" i="1"/>
  <c r="B15" i="1"/>
  <c r="B7" i="1"/>
  <c r="B6" i="1" l="1"/>
  <c r="B5" i="1" s="1"/>
  <c r="N67" i="1"/>
  <c r="A61" i="2"/>
  <c r="A74" i="2"/>
  <c r="N15" i="1"/>
  <c r="R15" i="1" s="1"/>
  <c r="H15" i="1"/>
  <c r="L15" i="1" s="1"/>
  <c r="N7" i="1"/>
  <c r="R7" i="1" s="1"/>
  <c r="H7" i="1"/>
  <c r="L7" i="1" s="1"/>
  <c r="F7" i="1"/>
  <c r="F15" i="1"/>
  <c r="B16" i="1"/>
  <c r="H6" i="1" l="1"/>
  <c r="L6" i="1" s="1"/>
  <c r="N6" i="1"/>
  <c r="R6" i="1" s="1"/>
  <c r="F6" i="1"/>
  <c r="O67" i="1"/>
  <c r="B4" i="1"/>
  <c r="H5" i="1"/>
  <c r="L5" i="1" s="1"/>
  <c r="F5" i="1"/>
  <c r="N5" i="1"/>
  <c r="R5" i="1" s="1"/>
  <c r="A75" i="2"/>
  <c r="A60" i="2"/>
  <c r="N16" i="1"/>
  <c r="R16" i="1" s="1"/>
  <c r="H16" i="1"/>
  <c r="L16" i="1" s="1"/>
  <c r="F16" i="1"/>
  <c r="B17" i="1"/>
  <c r="P67" i="1" l="1"/>
  <c r="F4" i="1"/>
  <c r="N4" i="1"/>
  <c r="H4" i="1"/>
  <c r="A76" i="2"/>
  <c r="A59" i="2"/>
  <c r="N17" i="1"/>
  <c r="R17" i="1" s="1"/>
  <c r="H17" i="1"/>
  <c r="L17" i="1" s="1"/>
  <c r="F17" i="1"/>
  <c r="D6" i="9"/>
  <c r="B18" i="1"/>
  <c r="Q67" i="1" l="1"/>
  <c r="N6" i="9"/>
  <c r="L4" i="1"/>
  <c r="R4" i="1"/>
  <c r="A58" i="2"/>
  <c r="A77" i="2"/>
  <c r="N18" i="1"/>
  <c r="H18" i="1"/>
  <c r="L18" i="1" s="1"/>
  <c r="D47" i="9"/>
  <c r="D29" i="9"/>
  <c r="D55" i="9"/>
  <c r="C2" i="8" s="1"/>
  <c r="D38" i="9"/>
  <c r="F18" i="1"/>
  <c r="E6" i="9"/>
  <c r="B19" i="1"/>
  <c r="R18" i="1" l="1"/>
  <c r="N29" i="9"/>
  <c r="N38" i="9"/>
  <c r="N47" i="9"/>
  <c r="N55" i="9"/>
  <c r="M2" i="8" s="1"/>
  <c r="R67" i="1"/>
  <c r="O6" i="9"/>
  <c r="A78" i="2"/>
  <c r="A57" i="2"/>
  <c r="N19" i="1"/>
  <c r="H19" i="1"/>
  <c r="E47" i="9"/>
  <c r="E29" i="9"/>
  <c r="E55" i="9"/>
  <c r="D2" i="8" s="1"/>
  <c r="E38" i="9"/>
  <c r="F19" i="1"/>
  <c r="F6" i="9"/>
  <c r="B20" i="1"/>
  <c r="P6" i="9" l="1"/>
  <c r="O29" i="9"/>
  <c r="O38" i="9"/>
  <c r="O47" i="9"/>
  <c r="O55" i="9"/>
  <c r="N2" i="8" s="1"/>
  <c r="L19" i="1"/>
  <c r="R19" i="1"/>
  <c r="A56" i="2"/>
  <c r="N20" i="1"/>
  <c r="H20" i="1"/>
  <c r="F55" i="9"/>
  <c r="E2" i="8" s="1"/>
  <c r="F38" i="9"/>
  <c r="F47" i="9"/>
  <c r="F29" i="9"/>
  <c r="H6" i="9"/>
  <c r="F20" i="1"/>
  <c r="G6" i="9"/>
  <c r="B21" i="1"/>
  <c r="P55" i="9" l="1"/>
  <c r="O2" i="8" s="1"/>
  <c r="P29" i="9"/>
  <c r="P38" i="9"/>
  <c r="P47" i="9"/>
  <c r="R20" i="1"/>
  <c r="L20" i="1"/>
  <c r="A55" i="2"/>
  <c r="N21" i="1"/>
  <c r="H21" i="1"/>
  <c r="G47" i="9"/>
  <c r="G29" i="9"/>
  <c r="G55" i="9"/>
  <c r="F2" i="8" s="1"/>
  <c r="G38" i="9"/>
  <c r="H47" i="9"/>
  <c r="H29" i="9"/>
  <c r="H55" i="9"/>
  <c r="G2" i="8" s="1"/>
  <c r="H38" i="9"/>
  <c r="I6" i="9"/>
  <c r="F21" i="1"/>
  <c r="B22" i="1"/>
  <c r="L21" i="1" l="1"/>
  <c r="R21" i="1"/>
  <c r="A54" i="2"/>
  <c r="N22" i="1"/>
  <c r="H22" i="1"/>
  <c r="L22" i="1" s="1"/>
  <c r="I47" i="9"/>
  <c r="I29" i="9"/>
  <c r="I55" i="9"/>
  <c r="H2" i="8" s="1"/>
  <c r="I38" i="9"/>
  <c r="J6" i="9"/>
  <c r="F22" i="1"/>
  <c r="B23" i="1"/>
  <c r="R22" i="1" l="1"/>
  <c r="A53" i="2"/>
  <c r="N23" i="1"/>
  <c r="R23" i="1" s="1"/>
  <c r="H23" i="1"/>
  <c r="J38" i="9"/>
  <c r="J47" i="9"/>
  <c r="J55" i="9"/>
  <c r="I2" i="8" s="1"/>
  <c r="J29" i="9"/>
  <c r="K6" i="9"/>
  <c r="F23" i="1"/>
  <c r="B24" i="1"/>
  <c r="L23" i="1" l="1"/>
  <c r="A52" i="2"/>
  <c r="N24" i="1"/>
  <c r="R24" i="1" s="1"/>
  <c r="H24" i="1"/>
  <c r="L24" i="1" s="1"/>
  <c r="K55" i="9"/>
  <c r="J2" i="8" s="1"/>
  <c r="K38" i="9"/>
  <c r="K47" i="9"/>
  <c r="K29" i="9"/>
  <c r="L6" i="9"/>
  <c r="F24" i="1"/>
  <c r="B25" i="1"/>
  <c r="A51" i="2" l="1"/>
  <c r="N25" i="1"/>
  <c r="R25" i="1" s="1"/>
  <c r="H25" i="1"/>
  <c r="L55" i="9"/>
  <c r="K2" i="8" s="1"/>
  <c r="L38" i="9"/>
  <c r="L47" i="9"/>
  <c r="L29" i="9"/>
  <c r="M6" i="9"/>
  <c r="F25" i="1"/>
  <c r="B26" i="1"/>
  <c r="L25" i="1" l="1"/>
  <c r="A50" i="2"/>
  <c r="N26" i="1"/>
  <c r="R26" i="1" s="1"/>
  <c r="H26" i="1"/>
  <c r="L26" i="1" s="1"/>
  <c r="M55" i="9"/>
  <c r="L2" i="8" s="1"/>
  <c r="M38" i="9"/>
  <c r="M47" i="9"/>
  <c r="M29" i="9"/>
  <c r="F26" i="1"/>
  <c r="B27" i="1"/>
  <c r="A49" i="2" l="1"/>
  <c r="N27" i="1"/>
  <c r="R27" i="1" s="1"/>
  <c r="H27" i="1"/>
  <c r="L27" i="1" s="1"/>
  <c r="F27" i="1"/>
  <c r="B28" i="1"/>
  <c r="A48" i="2" l="1"/>
  <c r="N28" i="1"/>
  <c r="R28" i="1" s="1"/>
  <c r="H28" i="1"/>
  <c r="L28" i="1" s="1"/>
  <c r="F28" i="1"/>
  <c r="B29" i="1"/>
  <c r="A47" i="2" l="1"/>
  <c r="N29" i="1"/>
  <c r="R29" i="1" s="1"/>
  <c r="H29" i="1"/>
  <c r="L29" i="1" s="1"/>
  <c r="F29" i="1"/>
  <c r="B30" i="1"/>
  <c r="A46" i="2" l="1"/>
  <c r="N30" i="1"/>
  <c r="R30" i="1" s="1"/>
  <c r="H30" i="1"/>
  <c r="L30" i="1" s="1"/>
  <c r="F30" i="1"/>
  <c r="B31" i="1"/>
  <c r="A45" i="2" l="1"/>
  <c r="A44" i="2" s="1"/>
  <c r="A43" i="2" s="1"/>
  <c r="A42" i="2" s="1"/>
  <c r="A41" i="2" s="1"/>
  <c r="A40" i="2" s="1"/>
  <c r="A39" i="2" s="1"/>
  <c r="A38" i="2" s="1"/>
  <c r="N31" i="1"/>
  <c r="R31" i="1" s="1"/>
  <c r="H31" i="1"/>
  <c r="L31" i="1" s="1"/>
  <c r="F31" i="1"/>
  <c r="B32" i="1"/>
  <c r="A37" i="2" l="1"/>
  <c r="A36" i="2" s="1"/>
  <c r="A35" i="2" s="1"/>
  <c r="A34" i="2" s="1"/>
  <c r="A33" i="2" s="1"/>
  <c r="A32" i="2" s="1"/>
  <c r="A31" i="2" s="1"/>
  <c r="N32" i="1"/>
  <c r="R32" i="1" s="1"/>
  <c r="H32" i="1"/>
  <c r="L32" i="1" s="1"/>
  <c r="F32" i="1"/>
  <c r="B33" i="1"/>
  <c r="N33" i="1" l="1"/>
  <c r="R33" i="1" s="1"/>
  <c r="H33" i="1"/>
  <c r="L33" i="1" s="1"/>
  <c r="F33" i="1"/>
  <c r="B34" i="1"/>
  <c r="P32" i="1" l="1"/>
  <c r="P25" i="1"/>
  <c r="D24" i="1"/>
  <c r="J19" i="1"/>
  <c r="J13" i="1"/>
  <c r="P18" i="1"/>
  <c r="D16" i="1"/>
  <c r="P10" i="1"/>
  <c r="P11" i="1"/>
  <c r="P31" i="1"/>
  <c r="D28" i="1"/>
  <c r="P30" i="1"/>
  <c r="P29" i="1"/>
  <c r="P27" i="1"/>
  <c r="P22" i="1"/>
  <c r="P15" i="1"/>
  <c r="P28" i="1"/>
  <c r="P26" i="1"/>
  <c r="D25" i="1"/>
  <c r="D23" i="1"/>
  <c r="J22" i="1"/>
  <c r="P21" i="1"/>
  <c r="D19" i="1"/>
  <c r="J10" i="1"/>
  <c r="J11" i="1"/>
  <c r="J12" i="1"/>
  <c r="P12" i="1"/>
  <c r="J15" i="1"/>
  <c r="P14" i="1"/>
  <c r="J26" i="1"/>
  <c r="D21" i="1"/>
  <c r="P17" i="1"/>
  <c r="D26" i="1"/>
  <c r="J24" i="1"/>
  <c r="P23" i="1"/>
  <c r="D22" i="1"/>
  <c r="J20" i="1"/>
  <c r="D20" i="1"/>
  <c r="J18" i="1"/>
  <c r="D17" i="1"/>
  <c r="J16" i="1"/>
  <c r="P16" i="1"/>
  <c r="J14" i="1"/>
  <c r="D27" i="1"/>
  <c r="J25" i="1"/>
  <c r="P24" i="1"/>
  <c r="J23" i="1"/>
  <c r="J21" i="1"/>
  <c r="P20" i="1"/>
  <c r="P19" i="1"/>
  <c r="D18" i="1"/>
  <c r="J17" i="1"/>
  <c r="E15" i="1"/>
  <c r="P13" i="1"/>
  <c r="D32" i="1"/>
  <c r="J32" i="1"/>
  <c r="D30" i="1"/>
  <c r="D31" i="1"/>
  <c r="D29" i="1"/>
  <c r="D33" i="1"/>
  <c r="P33" i="1"/>
  <c r="J31" i="1"/>
  <c r="J27" i="1"/>
  <c r="J28" i="1"/>
  <c r="J29" i="1"/>
  <c r="J30" i="1"/>
  <c r="J33" i="1"/>
  <c r="N34" i="1"/>
  <c r="R34" i="1" s="1"/>
  <c r="H34" i="1"/>
  <c r="L34" i="1" s="1"/>
  <c r="F34" i="1"/>
  <c r="B35" i="1"/>
  <c r="Q14" i="1" l="1"/>
  <c r="K17" i="1"/>
  <c r="K19" i="1"/>
  <c r="G69" i="1" s="1"/>
  <c r="E8" i="9" s="1"/>
  <c r="Q20" i="1"/>
  <c r="E24" i="1"/>
  <c r="E69" i="1"/>
  <c r="F68" i="1"/>
  <c r="E23" i="1"/>
  <c r="Q15" i="1"/>
  <c r="F70" i="1" s="1"/>
  <c r="D9" i="9" s="1"/>
  <c r="E32" i="1"/>
  <c r="Q19" i="1"/>
  <c r="E28" i="1"/>
  <c r="Q22" i="1"/>
  <c r="E20" i="1"/>
  <c r="K23" i="1"/>
  <c r="H69" i="1" s="1"/>
  <c r="Q32" i="1"/>
  <c r="Q29" i="1"/>
  <c r="E16" i="1"/>
  <c r="E31" i="1"/>
  <c r="Q31" i="1"/>
  <c r="K29" i="1"/>
  <c r="K20" i="1"/>
  <c r="K30" i="1"/>
  <c r="E30" i="1"/>
  <c r="E27" i="1"/>
  <c r="E18" i="1"/>
  <c r="E17" i="1"/>
  <c r="K24" i="1"/>
  <c r="Q24" i="1"/>
  <c r="E26" i="1"/>
  <c r="K26" i="1"/>
  <c r="Q16" i="1"/>
  <c r="E25" i="1"/>
  <c r="Q33" i="1"/>
  <c r="K16" i="1"/>
  <c r="Q21" i="1"/>
  <c r="Q26" i="1"/>
  <c r="E21" i="1"/>
  <c r="K15" i="1"/>
  <c r="F69" i="1" s="1"/>
  <c r="D8" i="9" s="1"/>
  <c r="K25" i="1"/>
  <c r="K18" i="1"/>
  <c r="E22" i="1"/>
  <c r="Q17" i="1"/>
  <c r="K14" i="1"/>
  <c r="K22" i="1"/>
  <c r="Q28" i="1"/>
  <c r="Q25" i="1"/>
  <c r="K28" i="1"/>
  <c r="E29" i="1"/>
  <c r="K27" i="1"/>
  <c r="Q30" i="1"/>
  <c r="K21" i="1"/>
  <c r="Q23" i="1"/>
  <c r="Q18" i="1"/>
  <c r="E19" i="1"/>
  <c r="G68" i="1" s="1"/>
  <c r="Q27" i="1"/>
  <c r="K33" i="1"/>
  <c r="E33" i="1"/>
  <c r="D34" i="1"/>
  <c r="E34" i="1" s="1"/>
  <c r="K32" i="1"/>
  <c r="K31" i="1"/>
  <c r="J34" i="1"/>
  <c r="K34" i="1" s="1"/>
  <c r="P34" i="1"/>
  <c r="Q34" i="1" s="1"/>
  <c r="N35" i="1"/>
  <c r="R35" i="1" s="1"/>
  <c r="H35" i="1"/>
  <c r="L35" i="1" s="1"/>
  <c r="F35" i="1"/>
  <c r="B36" i="1"/>
  <c r="D50" i="9" l="1"/>
  <c r="D32" i="9"/>
  <c r="D41" i="9"/>
  <c r="G70" i="1"/>
  <c r="E9" i="9" s="1"/>
  <c r="E70" i="1"/>
  <c r="D35" i="1"/>
  <c r="E35" i="1" s="1"/>
  <c r="P35" i="1"/>
  <c r="Q35" i="1" s="1"/>
  <c r="J35" i="1"/>
  <c r="K35" i="1" s="1"/>
  <c r="N36" i="1"/>
  <c r="R36" i="1" s="1"/>
  <c r="H36" i="1"/>
  <c r="L36" i="1" s="1"/>
  <c r="F36" i="1"/>
  <c r="B37" i="1"/>
  <c r="E50" i="9" l="1"/>
  <c r="E32" i="9"/>
  <c r="E41" i="9"/>
  <c r="D36" i="1"/>
  <c r="E36" i="1" s="1"/>
  <c r="P36" i="1"/>
  <c r="Q36" i="1" s="1"/>
  <c r="J36" i="1"/>
  <c r="K36" i="1" s="1"/>
  <c r="N37" i="1"/>
  <c r="R37" i="1" s="1"/>
  <c r="H37" i="1"/>
  <c r="L37" i="1" s="1"/>
  <c r="F37" i="1"/>
  <c r="B38" i="1"/>
  <c r="P37" i="1" l="1"/>
  <c r="Q37" i="1" s="1"/>
  <c r="D37" i="1"/>
  <c r="E37" i="1" s="1"/>
  <c r="J37" i="1"/>
  <c r="K37" i="1" s="1"/>
  <c r="N38" i="1"/>
  <c r="R38" i="1" s="1"/>
  <c r="H38" i="1"/>
  <c r="L38" i="1" s="1"/>
  <c r="B39" i="1"/>
  <c r="F38" i="1"/>
  <c r="D38" i="1" l="1"/>
  <c r="E38" i="1" s="1"/>
  <c r="P38" i="1"/>
  <c r="Q38" i="1" s="1"/>
  <c r="J38" i="1"/>
  <c r="K38" i="1" s="1"/>
  <c r="B40" i="1"/>
  <c r="N39" i="1"/>
  <c r="R39" i="1" s="1"/>
  <c r="H39" i="1"/>
  <c r="L39" i="1" s="1"/>
  <c r="F39" i="1"/>
  <c r="D39" i="1" l="1"/>
  <c r="E39" i="1" s="1"/>
  <c r="J39" i="1"/>
  <c r="K39" i="1" s="1"/>
  <c r="P39" i="1"/>
  <c r="Q39" i="1" s="1"/>
  <c r="B41" i="1"/>
  <c r="F40" i="1"/>
  <c r="N40" i="1"/>
  <c r="R40" i="1" s="1"/>
  <c r="H40" i="1"/>
  <c r="L40" i="1" s="1"/>
  <c r="D7" i="9"/>
  <c r="D30" i="9" s="1"/>
  <c r="P40" i="1" l="1"/>
  <c r="Q40" i="1" s="1"/>
  <c r="D40" i="1"/>
  <c r="E40" i="1" s="1"/>
  <c r="H41" i="1"/>
  <c r="L41" i="1" s="1"/>
  <c r="N41" i="1"/>
  <c r="R41" i="1" s="1"/>
  <c r="J40" i="1"/>
  <c r="K40" i="1" s="1"/>
  <c r="F41" i="1"/>
  <c r="B42" i="1"/>
  <c r="D48" i="9"/>
  <c r="D39" i="9"/>
  <c r="D49" i="9"/>
  <c r="D31" i="9"/>
  <c r="D33" i="9" s="1"/>
  <c r="D40" i="9"/>
  <c r="D41" i="1" l="1"/>
  <c r="E41" i="1" s="1"/>
  <c r="J41" i="1"/>
  <c r="K41" i="1" s="1"/>
  <c r="P41" i="1"/>
  <c r="Q41" i="1" s="1"/>
  <c r="N42" i="1"/>
  <c r="R42" i="1" s="1"/>
  <c r="F42" i="1"/>
  <c r="B43" i="1"/>
  <c r="H42" i="1"/>
  <c r="L42" i="1" s="1"/>
  <c r="D51" i="9"/>
  <c r="D42" i="9"/>
  <c r="D42" i="1" l="1"/>
  <c r="E42" i="1" s="1"/>
  <c r="P42" i="1"/>
  <c r="Q42" i="1" s="1"/>
  <c r="N43" i="1"/>
  <c r="R43" i="1" s="1"/>
  <c r="J42" i="1"/>
  <c r="K42" i="1" s="1"/>
  <c r="B44" i="1"/>
  <c r="H43" i="1"/>
  <c r="L43" i="1" s="1"/>
  <c r="F43" i="1"/>
  <c r="E7" i="9"/>
  <c r="F44" i="1" l="1"/>
  <c r="J43" i="1"/>
  <c r="K43" i="1" s="1"/>
  <c r="D43" i="1"/>
  <c r="E43" i="1" s="1"/>
  <c r="N44" i="1"/>
  <c r="R44" i="1" s="1"/>
  <c r="P43" i="1"/>
  <c r="Q43" i="1" s="1"/>
  <c r="H44" i="1"/>
  <c r="L44" i="1" s="1"/>
  <c r="B45" i="1"/>
  <c r="E39" i="9"/>
  <c r="E48" i="9"/>
  <c r="E30" i="9"/>
  <c r="P44" i="1" l="1"/>
  <c r="Q44" i="1" s="1"/>
  <c r="D44" i="1"/>
  <c r="E44" i="1" s="1"/>
  <c r="J44" i="1"/>
  <c r="K44" i="1" s="1"/>
  <c r="N45" i="1"/>
  <c r="R45" i="1" s="1"/>
  <c r="F45" i="1"/>
  <c r="B46" i="1"/>
  <c r="H45" i="1"/>
  <c r="L45" i="1" s="1"/>
  <c r="N46" i="1" l="1"/>
  <c r="R46" i="1" s="1"/>
  <c r="D45" i="1"/>
  <c r="E45" i="1" s="1"/>
  <c r="P45" i="1"/>
  <c r="Q45" i="1" s="1"/>
  <c r="F46" i="1"/>
  <c r="J45" i="1"/>
  <c r="K45" i="1" s="1"/>
  <c r="H46" i="1"/>
  <c r="L46" i="1" s="1"/>
  <c r="B47" i="1"/>
  <c r="D46" i="1" l="1"/>
  <c r="E46" i="1" s="1"/>
  <c r="P46" i="1"/>
  <c r="Q46" i="1" s="1"/>
  <c r="J46" i="1"/>
  <c r="K46" i="1" s="1"/>
  <c r="N47" i="1"/>
  <c r="R47" i="1" s="1"/>
  <c r="F47" i="1"/>
  <c r="B48" i="1"/>
  <c r="H47" i="1"/>
  <c r="L47" i="1" s="1"/>
  <c r="J47" i="1" l="1"/>
  <c r="K47" i="1" s="1"/>
  <c r="B49" i="1"/>
  <c r="D47" i="1"/>
  <c r="E47" i="1" s="1"/>
  <c r="P47" i="1"/>
  <c r="Q47" i="1" s="1"/>
  <c r="H48" i="1"/>
  <c r="L48" i="1" s="1"/>
  <c r="N48" i="1"/>
  <c r="R48" i="1" s="1"/>
  <c r="F48" i="1"/>
  <c r="B50" i="1" l="1"/>
  <c r="H49" i="1"/>
  <c r="L49" i="1" s="1"/>
  <c r="N49" i="1"/>
  <c r="R49" i="1" s="1"/>
  <c r="F49" i="1"/>
  <c r="D48" i="1"/>
  <c r="E48" i="1" s="1"/>
  <c r="P48" i="1"/>
  <c r="Q48" i="1" s="1"/>
  <c r="J48" i="1"/>
  <c r="K48" i="1" s="1"/>
  <c r="H50" i="1" l="1"/>
  <c r="L50" i="1" s="1"/>
  <c r="N50" i="1"/>
  <c r="R50" i="1" s="1"/>
  <c r="F50" i="1"/>
  <c r="D50" i="1" s="1"/>
  <c r="E50" i="1" s="1"/>
  <c r="B51" i="1"/>
  <c r="P50" i="1"/>
  <c r="Q50" i="1" s="1"/>
  <c r="J49" i="1"/>
  <c r="K49" i="1" s="1"/>
  <c r="P49" i="1"/>
  <c r="Q49" i="1" s="1"/>
  <c r="D49" i="1"/>
  <c r="E49" i="1" s="1"/>
  <c r="E40" i="9"/>
  <c r="E42" i="9" s="1"/>
  <c r="E49" i="9"/>
  <c r="E51" i="9" s="1"/>
  <c r="E31" i="9"/>
  <c r="E33" i="9" s="1"/>
  <c r="J50" i="1" l="1"/>
  <c r="K50" i="1" s="1"/>
  <c r="H51" i="1"/>
  <c r="N51" i="1"/>
  <c r="R51" i="1" s="1"/>
  <c r="B52" i="1"/>
  <c r="N52" i="1" s="1"/>
  <c r="R52" i="1" s="1"/>
  <c r="P51" i="1"/>
  <c r="Q51" i="1" s="1"/>
  <c r="F51" i="1"/>
  <c r="D51" i="1" s="1"/>
  <c r="E51" i="1" s="1"/>
  <c r="F52" i="1"/>
  <c r="L51" i="1"/>
  <c r="D52" i="1" l="1"/>
  <c r="E52" i="1" s="1"/>
  <c r="P52" i="1"/>
  <c r="Q52" i="1" s="1"/>
  <c r="H52" i="1"/>
  <c r="L52" i="1" s="1"/>
  <c r="B53" i="1"/>
  <c r="N53" i="1" s="1"/>
  <c r="R53" i="1" s="1"/>
  <c r="B54" i="1"/>
  <c r="J51" i="1"/>
  <c r="K51" i="1" s="1"/>
  <c r="H53" i="1" l="1"/>
  <c r="L53" i="1" s="1"/>
  <c r="J52" i="1"/>
  <c r="K52" i="1" s="1"/>
  <c r="J53" i="1"/>
  <c r="K53" i="1" s="1"/>
  <c r="F53" i="1"/>
  <c r="P53" i="1"/>
  <c r="Q53" i="1" s="1"/>
  <c r="H54" i="1"/>
  <c r="L54" i="1" s="1"/>
  <c r="N54" i="1"/>
  <c r="R54" i="1" s="1"/>
  <c r="B55" i="1"/>
  <c r="F54" i="1"/>
  <c r="P54" i="1" l="1"/>
  <c r="Q54" i="1" s="1"/>
  <c r="J54" i="1"/>
  <c r="K54" i="1" s="1"/>
  <c r="H55" i="1"/>
  <c r="L55" i="1" s="1"/>
  <c r="F55" i="1"/>
  <c r="N55" i="1"/>
  <c r="R55" i="1" s="1"/>
  <c r="B56" i="1"/>
  <c r="J55" i="1" l="1"/>
  <c r="K55" i="1" s="1"/>
  <c r="P55" i="1"/>
  <c r="Q55" i="1" s="1"/>
  <c r="H56" i="1"/>
  <c r="L56" i="1" s="1"/>
  <c r="J56" i="1" s="1"/>
  <c r="K56" i="1" s="1"/>
  <c r="N56" i="1"/>
  <c r="R56" i="1" s="1"/>
  <c r="F56" i="1"/>
  <c r="B57" i="1"/>
  <c r="P56" i="1" l="1"/>
  <c r="Q56" i="1" s="1"/>
  <c r="F57" i="1"/>
  <c r="B58" i="1"/>
  <c r="H57" i="1"/>
  <c r="L57" i="1" s="1"/>
  <c r="N57" i="1"/>
  <c r="R57" i="1" s="1"/>
  <c r="J57" i="1"/>
  <c r="K57" i="1" s="1"/>
  <c r="P57" i="1" l="1"/>
  <c r="Q57" i="1" s="1"/>
  <c r="J58" i="1"/>
  <c r="K58" i="1" s="1"/>
  <c r="H58" i="1"/>
  <c r="L58" i="1" s="1"/>
  <c r="N58" i="1"/>
  <c r="R58" i="1" s="1"/>
  <c r="B59" i="1"/>
  <c r="F58" i="1"/>
  <c r="H59" i="1" l="1"/>
  <c r="L59" i="1" s="1"/>
  <c r="F59" i="1"/>
  <c r="B60" i="1"/>
  <c r="N59" i="1"/>
  <c r="R59" i="1" s="1"/>
  <c r="P59" i="1" s="1"/>
  <c r="Q59" i="1" s="1"/>
  <c r="P58" i="1"/>
  <c r="Q58" i="1" s="1"/>
  <c r="J59" i="1" l="1"/>
  <c r="K59" i="1" s="1"/>
  <c r="N60" i="1"/>
  <c r="R60" i="1" s="1"/>
  <c r="F60" i="1"/>
  <c r="H60" i="1"/>
  <c r="L60" i="1" s="1"/>
  <c r="B61" i="1"/>
  <c r="P60" i="1" l="1"/>
  <c r="Q60" i="1" s="1"/>
  <c r="J60" i="1"/>
  <c r="K60" i="1" s="1"/>
  <c r="B62" i="1"/>
  <c r="H61" i="1"/>
  <c r="L61" i="1" s="1"/>
  <c r="N61" i="1"/>
  <c r="R61" i="1" s="1"/>
  <c r="F61" i="1"/>
  <c r="H62" i="1" l="1"/>
  <c r="L62" i="1" s="1"/>
  <c r="J61" i="1"/>
  <c r="K61" i="1" s="1"/>
  <c r="N62" i="1"/>
  <c r="R62" i="1" s="1"/>
  <c r="F62" i="1"/>
  <c r="D62" i="1" s="1"/>
  <c r="P61" i="1"/>
  <c r="Q61" i="1" s="1"/>
  <c r="B63" i="1"/>
  <c r="J62" i="1"/>
  <c r="K62" i="1" s="1"/>
  <c r="P62" i="1"/>
  <c r="Q62" i="1" s="1"/>
  <c r="H63" i="1" l="1"/>
  <c r="L63" i="1" s="1"/>
  <c r="F63" i="1"/>
  <c r="N63" i="1"/>
  <c r="R63" i="1" s="1"/>
  <c r="P63" i="1" s="1"/>
  <c r="Q63" i="1" s="1"/>
  <c r="R70" i="1" s="1"/>
  <c r="P9" i="9" s="1"/>
  <c r="D63" i="1"/>
  <c r="J63" i="1"/>
  <c r="K63" i="1" s="1"/>
  <c r="R69" i="1" s="1"/>
  <c r="P8" i="9" s="1"/>
  <c r="N68" i="1"/>
  <c r="L7" i="9" s="1"/>
  <c r="O68" i="1"/>
  <c r="M7" i="9" s="1"/>
  <c r="J68" i="1"/>
  <c r="H7" i="9" s="1"/>
  <c r="L68" i="1"/>
  <c r="J7" i="9" s="1"/>
  <c r="M68" i="1"/>
  <c r="K7" i="9" s="1"/>
  <c r="H68" i="1"/>
  <c r="F7" i="9" s="1"/>
  <c r="I68" i="1"/>
  <c r="G7" i="9" s="1"/>
  <c r="K68" i="1"/>
  <c r="I7" i="9" s="1"/>
  <c r="J69" i="1"/>
  <c r="H8" i="9" s="1"/>
  <c r="K69" i="1"/>
  <c r="I8" i="9" s="1"/>
  <c r="O69" i="1"/>
  <c r="M8" i="9" s="1"/>
  <c r="F8" i="9"/>
  <c r="M69" i="1"/>
  <c r="K8" i="9" s="1"/>
  <c r="N69" i="1"/>
  <c r="L8" i="9" s="1"/>
  <c r="L69" i="1"/>
  <c r="J8" i="9" s="1"/>
  <c r="I69" i="1"/>
  <c r="G8" i="9" s="1"/>
  <c r="P69" i="1"/>
  <c r="N8" i="9" s="1"/>
  <c r="Q69" i="1"/>
  <c r="O8" i="9" s="1"/>
  <c r="H70" i="1"/>
  <c r="F9" i="9" s="1"/>
  <c r="P70" i="1"/>
  <c r="N9" i="9" s="1"/>
  <c r="M70" i="1"/>
  <c r="K9" i="9" s="1"/>
  <c r="L70" i="1"/>
  <c r="J9" i="9" s="1"/>
  <c r="J70" i="1"/>
  <c r="H9" i="9" s="1"/>
  <c r="I70" i="1"/>
  <c r="G9" i="9" s="1"/>
  <c r="N70" i="1"/>
  <c r="L9" i="9" s="1"/>
  <c r="K70" i="1"/>
  <c r="I9" i="9" s="1"/>
  <c r="O70" i="1"/>
  <c r="M9" i="9" s="1"/>
  <c r="Q70" i="1"/>
  <c r="O9" i="9" s="1"/>
  <c r="L32" i="9" l="1"/>
  <c r="L50" i="9"/>
  <c r="L41" i="9"/>
  <c r="O32" i="9"/>
  <c r="O41" i="9"/>
  <c r="O50" i="9"/>
  <c r="N32" i="9"/>
  <c r="N41" i="9"/>
  <c r="N50" i="9"/>
  <c r="K31" i="9"/>
  <c r="K40" i="9"/>
  <c r="K49" i="9"/>
  <c r="M32" i="9"/>
  <c r="M50" i="9"/>
  <c r="M41" i="9"/>
  <c r="H41" i="9"/>
  <c r="H32" i="9"/>
  <c r="H50" i="9"/>
  <c r="F50" i="9"/>
  <c r="F41" i="9"/>
  <c r="F32" i="9"/>
  <c r="G31" i="9"/>
  <c r="G40" i="9"/>
  <c r="G49" i="9"/>
  <c r="F40" i="9"/>
  <c r="F31" i="9"/>
  <c r="F49" i="9"/>
  <c r="G48" i="9"/>
  <c r="G30" i="9"/>
  <c r="G39" i="9"/>
  <c r="H48" i="9"/>
  <c r="H30" i="9"/>
  <c r="H39" i="9"/>
  <c r="P50" i="9"/>
  <c r="P32" i="9"/>
  <c r="P41" i="9"/>
  <c r="O49" i="9"/>
  <c r="O31" i="9"/>
  <c r="O40" i="9"/>
  <c r="G41" i="9"/>
  <c r="G50" i="9"/>
  <c r="G32" i="9"/>
  <c r="N31" i="9"/>
  <c r="N40" i="9"/>
  <c r="N49" i="9"/>
  <c r="H49" i="9"/>
  <c r="H31" i="9"/>
  <c r="H40" i="9"/>
  <c r="I39" i="9"/>
  <c r="I48" i="9"/>
  <c r="I30" i="9"/>
  <c r="J39" i="9"/>
  <c r="J30" i="9"/>
  <c r="J48" i="9"/>
  <c r="I32" i="9"/>
  <c r="I41" i="9"/>
  <c r="I50" i="9"/>
  <c r="J50" i="9"/>
  <c r="J41" i="9"/>
  <c r="J32" i="9"/>
  <c r="P31" i="9"/>
  <c r="P40" i="9"/>
  <c r="P49" i="9"/>
  <c r="J49" i="9"/>
  <c r="J40" i="9"/>
  <c r="J31" i="9"/>
  <c r="M49" i="9"/>
  <c r="M31" i="9"/>
  <c r="M40" i="9"/>
  <c r="F48" i="9"/>
  <c r="F30" i="9"/>
  <c r="F39" i="9"/>
  <c r="M30" i="9"/>
  <c r="M39" i="9"/>
  <c r="M48" i="9"/>
  <c r="K41" i="9"/>
  <c r="K32" i="9"/>
  <c r="K50" i="9"/>
  <c r="L49" i="9"/>
  <c r="L40" i="9"/>
  <c r="L31" i="9"/>
  <c r="I49" i="9"/>
  <c r="I31" i="9"/>
  <c r="I40" i="9"/>
  <c r="K30" i="9"/>
  <c r="K48" i="9"/>
  <c r="K39" i="9"/>
  <c r="L30" i="9"/>
  <c r="L39" i="9"/>
  <c r="L48" i="9"/>
  <c r="M33" i="9" l="1"/>
  <c r="K42" i="9"/>
  <c r="H42" i="9"/>
  <c r="M42" i="9"/>
  <c r="M51" i="9"/>
  <c r="K33" i="9"/>
  <c r="L42" i="9"/>
  <c r="L33" i="9"/>
  <c r="G42" i="9"/>
  <c r="I42" i="9"/>
  <c r="G33" i="9"/>
  <c r="J33" i="9"/>
  <c r="L51" i="9"/>
  <c r="K51" i="9"/>
  <c r="J42" i="9"/>
  <c r="H33" i="9"/>
  <c r="G51" i="9"/>
  <c r="F51" i="9"/>
  <c r="I33" i="9"/>
  <c r="H51" i="9"/>
  <c r="F33" i="9"/>
  <c r="J51" i="9"/>
  <c r="I51" i="9"/>
  <c r="F42" i="9"/>
  <c r="D61" i="1" l="1"/>
  <c r="D54" i="1" l="1"/>
  <c r="E54" i="1" s="1"/>
  <c r="D59" i="1"/>
  <c r="E63" i="1" s="1"/>
  <c r="R68" i="1" s="1"/>
  <c r="P7" i="9" s="1"/>
  <c r="D53" i="1"/>
  <c r="E53" i="1" s="1"/>
  <c r="D60" i="1"/>
  <c r="D57" i="1"/>
  <c r="D58" i="1"/>
  <c r="D56" i="1"/>
  <c r="E56" i="1" s="1"/>
  <c r="D55" i="1"/>
  <c r="E55" i="1" s="1"/>
  <c r="P68" i="1" s="1"/>
  <c r="N7" i="9" s="1"/>
  <c r="E57" i="1" l="1"/>
  <c r="E62" i="1"/>
  <c r="E58" i="1"/>
  <c r="E61" i="1"/>
  <c r="N30" i="9"/>
  <c r="N33" i="9" s="1"/>
  <c r="N48" i="9"/>
  <c r="N51" i="9" s="1"/>
  <c r="N39" i="9"/>
  <c r="N42" i="9" s="1"/>
  <c r="E60" i="1"/>
  <c r="P30" i="9"/>
  <c r="P33" i="9" s="1"/>
  <c r="P48" i="9"/>
  <c r="P51" i="9" s="1"/>
  <c r="P39" i="9"/>
  <c r="P42" i="9" s="1"/>
  <c r="E59" i="1"/>
  <c r="Q68" i="1" s="1"/>
  <c r="O7" i="9" s="1"/>
  <c r="O48" i="9" l="1"/>
  <c r="O51" i="9" s="1"/>
  <c r="O30" i="9"/>
  <c r="O33" i="9" s="1"/>
  <c r="O39" i="9"/>
  <c r="O42" i="9" s="1"/>
  <c r="M53" i="9" l="1"/>
  <c r="L53" i="9" s="1"/>
  <c r="L58" i="9" s="1"/>
  <c r="K5" i="8" s="1"/>
  <c r="M35" i="9"/>
  <c r="L35" i="9" s="1"/>
  <c r="L56" i="9" s="1"/>
  <c r="K3" i="8" s="1"/>
  <c r="M44" i="9" l="1"/>
  <c r="L44" i="9" s="1"/>
  <c r="K44" i="9" s="1"/>
  <c r="M56" i="9"/>
  <c r="L3" i="8" s="1"/>
  <c r="N35" i="9"/>
  <c r="M58" i="9"/>
  <c r="L5" i="8" s="1"/>
  <c r="N53" i="9"/>
  <c r="L57" i="9" l="1"/>
  <c r="K4" i="8" s="1"/>
  <c r="J44" i="9"/>
  <c r="K57" i="9"/>
  <c r="J4" i="8" s="1"/>
  <c r="O35" i="9"/>
  <c r="N56" i="9"/>
  <c r="M3" i="8" s="1"/>
  <c r="N58" i="9"/>
  <c r="M5" i="8" s="1"/>
  <c r="O53" i="9"/>
  <c r="N44" i="9"/>
  <c r="M57" i="9"/>
  <c r="L4" i="8" s="1"/>
  <c r="J57" i="9" l="1"/>
  <c r="I4" i="8" s="1"/>
  <c r="I44" i="9"/>
  <c r="O58" i="9"/>
  <c r="N5" i="8" s="1"/>
  <c r="P53" i="9"/>
  <c r="P58" i="9" s="1"/>
  <c r="O5" i="8" s="1"/>
  <c r="P35" i="9"/>
  <c r="P56" i="9" s="1"/>
  <c r="O3" i="8" s="1"/>
  <c r="O56" i="9"/>
  <c r="N3" i="8" s="1"/>
  <c r="N57" i="9"/>
  <c r="M4" i="8" s="1"/>
  <c r="O44" i="9"/>
  <c r="I57" i="9" l="1"/>
  <c r="H4" i="8" s="1"/>
  <c r="H44" i="9"/>
  <c r="O57" i="9"/>
  <c r="N4" i="8" s="1"/>
  <c r="P44" i="9"/>
  <c r="P57" i="9" s="1"/>
  <c r="O4" i="8" s="1"/>
  <c r="G44" i="9" l="1"/>
  <c r="H57" i="9"/>
  <c r="G4" i="8" s="1"/>
  <c r="G57" i="9" l="1"/>
  <c r="F4" i="8" s="1"/>
  <c r="F44" i="9"/>
  <c r="E44" i="9" l="1"/>
  <c r="F57" i="9"/>
  <c r="E4" i="8" s="1"/>
  <c r="D44" i="9" l="1"/>
  <c r="E57" i="9"/>
  <c r="D4" i="8" s="1"/>
  <c r="D57" i="9" l="1"/>
  <c r="C4" i="8" s="1"/>
  <c r="K53" i="9"/>
  <c r="J53" i="9" s="1"/>
  <c r="I53" i="9" s="1"/>
  <c r="K35" i="9"/>
  <c r="J35" i="9" s="1"/>
  <c r="K58" i="9" l="1"/>
  <c r="J5" i="8" s="1"/>
  <c r="J58" i="9"/>
  <c r="I5" i="8" s="1"/>
  <c r="I35" i="9"/>
  <c r="J56" i="9"/>
  <c r="I3" i="8" s="1"/>
  <c r="I58" i="9"/>
  <c r="H5" i="8" s="1"/>
  <c r="H53" i="9"/>
  <c r="K56" i="9"/>
  <c r="J3" i="8" s="1"/>
  <c r="H58" i="9" l="1"/>
  <c r="G5" i="8" s="1"/>
  <c r="G53" i="9"/>
  <c r="H35" i="9"/>
  <c r="I56" i="9"/>
  <c r="H3" i="8" s="1"/>
  <c r="H56" i="9" l="1"/>
  <c r="G3" i="8" s="1"/>
  <c r="G35" i="9"/>
  <c r="G58" i="9"/>
  <c r="F5" i="8" s="1"/>
  <c r="F53" i="9"/>
  <c r="E53" i="9" l="1"/>
  <c r="F58" i="9"/>
  <c r="E5" i="8" s="1"/>
  <c r="F35" i="9"/>
  <c r="G56" i="9"/>
  <c r="F3" i="8" s="1"/>
  <c r="F56" i="9" l="1"/>
  <c r="E3" i="8" s="1"/>
  <c r="E35" i="9"/>
  <c r="D53" i="9"/>
  <c r="E58" i="9"/>
  <c r="D5" i="8" s="1"/>
  <c r="D58" i="9" l="1"/>
  <c r="C5" i="8" s="1"/>
  <c r="D35" i="9"/>
  <c r="E56" i="9"/>
  <c r="D3" i="8" s="1"/>
  <c r="D56" i="9" l="1"/>
  <c r="C3" i="8" s="1"/>
</calcChain>
</file>

<file path=xl/sharedStrings.xml><?xml version="1.0" encoding="utf-8"?>
<sst xmlns="http://schemas.openxmlformats.org/spreadsheetml/2006/main" count="113" uniqueCount="62">
  <si>
    <t>Value</t>
  </si>
  <si>
    <t>Outputs</t>
  </si>
  <si>
    <t>Source</t>
  </si>
  <si>
    <t>Index</t>
  </si>
  <si>
    <t>Calculations</t>
  </si>
  <si>
    <t>Inputs</t>
  </si>
  <si>
    <t>Table of Contents</t>
  </si>
  <si>
    <t>Sheet Name</t>
  </si>
  <si>
    <t>Link</t>
  </si>
  <si>
    <t>Description</t>
  </si>
  <si>
    <t>LCI
 (all industries)</t>
  </si>
  <si>
    <t>PPI
 (input - all industries)</t>
  </si>
  <si>
    <t>CGPI
 (all groups)</t>
  </si>
  <si>
    <t>Quarter Ending</t>
  </si>
  <si>
    <t>Weighted Average Index</t>
  </si>
  <si>
    <t>Weighting</t>
  </si>
  <si>
    <t>Index inputs</t>
  </si>
  <si>
    <t>Last quarter in DPP regulatory period</t>
  </si>
  <si>
    <t>Quarter weighting</t>
  </si>
  <si>
    <t>Year ending</t>
  </si>
  <si>
    <t>Inflator calculations</t>
  </si>
  <si>
    <t>Annual growth rate calculations</t>
  </si>
  <si>
    <t>Weighted LCI (all industries) growth rate</t>
  </si>
  <si>
    <t>Weighted PPI (Inputs - all industries) growth rate</t>
  </si>
  <si>
    <t>Weighted CGPI (all groups) growth rate</t>
  </si>
  <si>
    <t>First year data required</t>
  </si>
  <si>
    <t>Growth rates</t>
  </si>
  <si>
    <t>Inflators</t>
  </si>
  <si>
    <t>Index year for expenditure models</t>
  </si>
  <si>
    <t>Date inputs</t>
  </si>
  <si>
    <t>Cost inflators</t>
  </si>
  <si>
    <t xml:space="preserve">Network opex input cost inflator </t>
  </si>
  <si>
    <t xml:space="preserve">Non-network opex input cost inflator </t>
  </si>
  <si>
    <t xml:space="preserve">Capex input cost inflator </t>
  </si>
  <si>
    <t>Network opex index of cost inflator</t>
  </si>
  <si>
    <t>Total weighted growth inflator</t>
  </si>
  <si>
    <t>Non-network opex index of cost inflator</t>
  </si>
  <si>
    <t>Capex index of cost inflator</t>
  </si>
  <si>
    <t>Input cost inflator weights</t>
  </si>
  <si>
    <t>Network opex input cost inflator weights</t>
  </si>
  <si>
    <t>Non-network opex input cost inflator weights</t>
  </si>
  <si>
    <t>Capex input cost inflator weights</t>
  </si>
  <si>
    <t>Network opex index of cost inflators</t>
  </si>
  <si>
    <t>Non-network opex index of cost inflators</t>
  </si>
  <si>
    <t>Capex index of cost inflators</t>
  </si>
  <si>
    <t>General description</t>
  </si>
  <si>
    <t>Input cost inflators model</t>
  </si>
  <si>
    <t>Model suite</t>
  </si>
  <si>
    <t>Change from preceding four quarters</t>
  </si>
  <si>
    <t>Last quarter of Historical indices</t>
  </si>
  <si>
    <t>Historical Index</t>
  </si>
  <si>
    <t>Powerco CPP to DPP</t>
  </si>
  <si>
    <t>1 April 2023 transition</t>
  </si>
  <si>
    <t>Final decision</t>
  </si>
  <si>
    <t>This Excel workbook is one of a suite of models that accompanies the final determination of the Powerco transition from its customised price-quality path to</t>
  </si>
  <si>
    <t>the DPP3 default price-quality path for electricity distribution 2020-2025.</t>
  </si>
  <si>
    <r>
      <t>This model calculates forecast input cost inflators for use in the EDB DPP3 opex and capex models; network opex, non-network opex, and capex.
- All data used in the model are entered into the "Inputs" sheet
- This model has been based on the Input cost inflators model released as part of the draft decision, which was in turn based on the 2019 cost inflators model.
- Quarterly LCI  (all industries), Quarterly PPI  (input - all industries), and Quarterly CGPI  (all groups)forecasts are sourced from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NZIER September 2022</t>
    </r>
    <r>
      <rPr>
        <sz val="11"/>
        <rFont val="Calibri"/>
        <family val="2"/>
        <scheme val="minor"/>
      </rPr>
      <t xml:space="preserve">
- Red text indicates inputs to the model
- Tan text indicates links between sheets within the model
- Where two horizontally adjacent cells containing formulas that differ from one another, a vertical border has been inserted</t>
    </r>
  </si>
  <si>
    <t>A flow chart showing the linkages between the eight models published in the final decision has been added as the sheet 'Flow' in the</t>
  </si>
  <si>
    <t xml:space="preserve">financial model. To see a more comprehensive flow chart including a wider range of models, along with data sources, follow the link </t>
  </si>
  <si>
    <t>Model map – EDB DPP3 final determination – 27 November 2019' on the Commission's EDB 2020-2025 default price-quality path</t>
  </si>
  <si>
    <t xml:space="preserve"> determination web page for a graphical depiction of interconnections between the models and data sources.</t>
  </si>
  <si>
    <t>Published 30 November 2022 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</si>
</sst>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–&quot;???_);_(* @_)"/>
    <numFmt numFmtId="169" formatCode="_(@_)"/>
    <numFmt numFmtId="170" formatCode="_(* #,##0.0%_);_(* \(#,##0.0%\);_(* &quot;–&quot;???_);_(* @_)"/>
    <numFmt numFmtId="171" formatCode="[$-1409]d\ mmm\ yy;@"/>
    <numFmt numFmtId="172" formatCode="_(* 0_);_(* \(0\);_(* &quot;–&quot;??_);_(@_)"/>
    <numFmt numFmtId="173" formatCode="_(* #,##0.0_);_(* \(#,##0.0\);_(* &quot;–&quot;???_);_(* @_)"/>
    <numFmt numFmtId="174" formatCode="_(* #,##0.00_);_(* \(#,##0.00\);_(* &quot;–&quot;???_);_(* @_)"/>
    <numFmt numFmtId="175" formatCode="_(* #,##0.000_);_(* \(#,##0.000\);_(* &quot;–&quot;???_);_(* @_)"/>
    <numFmt numFmtId="176" formatCode="_(* #,##0.0000_);_(* \(#,##0.0000\);_(* &quot;–&quot;??_);_(* @_)"/>
    <numFmt numFmtId="177" formatCode="_(* #,##0%_);_(* \(#,##0%\);_(* &quot;–&quot;???_);_(* @_)"/>
    <numFmt numFmtId="178" formatCode="_(* #,##0%_);_(* \(#,##0%\);_(* &quot;–&quot;??_);_(* @_)"/>
    <numFmt numFmtId="179" formatCode="_(* #,##0.0%_);_(* \(#,##0.0%\);_(* &quot;–&quot;??_);_(* @_)"/>
    <numFmt numFmtId="180" formatCode="_(* #,##0.00%_);_(* \(#,##0.00%\);_(* &quot;–&quot;???_);_(* @_)"/>
    <numFmt numFmtId="181" formatCode="_(* #,##0.000%_);_(* \(#,##0.000%\);_(* &quot;–&quot;???_);_(* @_)"/>
    <numFmt numFmtId="182" formatCode="[$-1409]d\ mmm"/>
    <numFmt numFmtId="183" formatCode="0.0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4"/>
      <scheme val="minor"/>
    </font>
    <font>
      <b/>
      <sz val="18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4"/>
      <scheme val="minor"/>
    </font>
    <font>
      <b/>
      <sz val="20"/>
      <color theme="2"/>
      <name val="Calibri"/>
      <family val="2"/>
      <scheme val="minor"/>
    </font>
    <font>
      <sz val="11"/>
      <name val="Calibri"/>
      <family val="2"/>
    </font>
    <font>
      <sz val="11"/>
      <color theme="9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mbria"/>
      <family val="1"/>
      <scheme val="major"/>
    </font>
    <font>
      <sz val="11"/>
      <color rgb="FF0070C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7"/>
      </top>
      <bottom/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ck">
        <color rgb="FFFF6600"/>
      </right>
      <top style="thin">
        <color theme="7"/>
      </top>
      <bottom style="thin">
        <color theme="7"/>
      </bottom>
      <diagonal/>
    </border>
    <border>
      <left style="thick">
        <color rgb="FFFF6600"/>
      </left>
      <right/>
      <top style="thin">
        <color theme="7"/>
      </top>
      <bottom style="thin">
        <color theme="7"/>
      </bottom>
      <diagonal/>
    </border>
    <border>
      <left style="thick">
        <color rgb="FFFF6600"/>
      </left>
      <right style="thick">
        <color rgb="FFFF6600"/>
      </right>
      <top style="thin">
        <color theme="7"/>
      </top>
      <bottom style="thin">
        <color theme="7"/>
      </bottom>
      <diagonal/>
    </border>
    <border>
      <left style="thick">
        <color rgb="FFFF6600"/>
      </left>
      <right/>
      <top style="thin">
        <color theme="7"/>
      </top>
      <bottom/>
      <diagonal/>
    </border>
    <border>
      <left style="thick">
        <color rgb="FFFF6600"/>
      </left>
      <right style="thick">
        <color rgb="FFFF6600"/>
      </right>
      <top style="thin">
        <color theme="7"/>
      </top>
      <bottom/>
      <diagonal/>
    </border>
    <border>
      <left/>
      <right/>
      <top style="thick">
        <color theme="1"/>
      </top>
      <bottom/>
      <diagonal/>
    </border>
    <border>
      <left style="thick">
        <color rgb="FFFF6600"/>
      </left>
      <right/>
      <top style="thick">
        <color theme="1"/>
      </top>
      <bottom/>
      <diagonal/>
    </border>
    <border>
      <left style="thick">
        <color rgb="FFFF6600"/>
      </left>
      <right style="thick">
        <color rgb="FFFF6600"/>
      </right>
      <top style="thick">
        <color theme="1"/>
      </top>
      <bottom/>
      <diagonal/>
    </border>
    <border>
      <left/>
      <right style="thick">
        <color rgb="FFFF6600"/>
      </right>
      <top style="thin">
        <color theme="7"/>
      </top>
      <bottom/>
      <diagonal/>
    </border>
    <border>
      <left/>
      <right/>
      <top style="thin">
        <color theme="7"/>
      </top>
      <bottom style="thin">
        <color theme="8"/>
      </bottom>
      <diagonal/>
    </border>
    <border>
      <left/>
      <right/>
      <top style="thin">
        <color theme="8"/>
      </top>
      <bottom/>
      <diagonal/>
    </border>
  </borders>
  <cellStyleXfs count="74">
    <xf numFmtId="0" fontId="0" fillId="0" borderId="0"/>
    <xf numFmtId="168" fontId="15" fillId="0" borderId="0" applyFont="0" applyFill="0" applyBorder="0" applyAlignment="0" applyProtection="0"/>
    <xf numFmtId="49" fontId="17" fillId="0" borderId="0" applyFill="0" applyAlignment="0"/>
    <xf numFmtId="49" fontId="28" fillId="0" borderId="0" applyFill="0" applyAlignment="0"/>
    <xf numFmtId="179" fontId="15" fillId="0" borderId="0" applyFont="0" applyFill="0" applyBorder="0" applyAlignment="0" applyProtection="0">
      <alignment horizontal="center" vertical="top" wrapText="1"/>
    </xf>
    <xf numFmtId="49" fontId="21" fillId="0" borderId="0" applyFill="0" applyAlignment="0"/>
    <xf numFmtId="169" fontId="20" fillId="0" borderId="0" applyFill="0" applyProtection="0">
      <alignment horizontal="left" indent="1"/>
    </xf>
    <xf numFmtId="49" fontId="29" fillId="36" borderId="0" applyFill="0" applyBorder="0">
      <alignment horizontal="left"/>
    </xf>
    <xf numFmtId="0" fontId="18" fillId="37" borderId="8" applyNumberFormat="0" applyFill="0" applyAlignment="0">
      <protection locked="0"/>
    </xf>
    <xf numFmtId="169" fontId="22" fillId="0" borderId="0" applyFont="0" applyFill="0" applyBorder="0" applyAlignment="0" applyProtection="0">
      <alignment horizontal="left"/>
      <protection locked="0"/>
    </xf>
    <xf numFmtId="172" fontId="22" fillId="0" borderId="0" applyFont="0" applyFill="0" applyBorder="0" applyAlignment="0" applyProtection="0">
      <alignment horizontal="left"/>
      <protection locked="0"/>
    </xf>
    <xf numFmtId="0" fontId="16" fillId="33" borderId="8" applyNumberFormat="0" applyFill="0">
      <alignment horizontal="centerContinuous" wrapText="1"/>
    </xf>
    <xf numFmtId="0" fontId="30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3" applyNumberFormat="0" applyAlignment="0" applyProtection="0"/>
    <xf numFmtId="0" fontId="1" fillId="34" borderId="8" applyNumberFormat="0" applyFill="0" applyAlignment="0"/>
    <xf numFmtId="0" fontId="9" fillId="6" borderId="3" applyNumberFormat="0" applyAlignment="0" applyProtection="0"/>
    <xf numFmtId="0" fontId="10" fillId="0" borderId="4" applyNumberFormat="0" applyFill="0" applyAlignment="0" applyProtection="0"/>
    <xf numFmtId="0" fontId="11" fillId="7" borderId="5" applyNumberFormat="0" applyAlignment="0" applyProtection="0"/>
    <xf numFmtId="0" fontId="12" fillId="0" borderId="0" applyNumberFormat="0" applyFill="0" applyBorder="0" applyAlignment="0" applyProtection="0"/>
    <xf numFmtId="0" fontId="1" fillId="8" borderId="6" applyNumberFormat="0" applyFont="0" applyAlignment="0" applyProtection="0"/>
    <xf numFmtId="49" fontId="20" fillId="0" borderId="0" applyFill="0" applyProtection="0">
      <alignment horizontal="left" indent="1"/>
    </xf>
    <xf numFmtId="0" fontId="13" fillId="0" borderId="7" applyNumberFormat="0" applyFill="0" applyAlignment="0" applyProtection="0"/>
    <xf numFmtId="0" fontId="1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4" fillId="32" borderId="0" applyNumberFormat="0" applyBorder="0" applyAlignment="0" applyProtection="0"/>
    <xf numFmtId="0" fontId="24" fillId="0" borderId="12" applyNumberFormat="0" applyFill="0" applyAlignment="0" applyProtection="0"/>
    <xf numFmtId="173" fontId="22" fillId="0" borderId="0" applyFont="0" applyFill="0" applyBorder="0" applyAlignment="0" applyProtection="0">
      <protection locked="0"/>
    </xf>
    <xf numFmtId="174" fontId="22" fillId="0" borderId="0" applyFont="0" applyFill="0" applyBorder="0" applyAlignment="0" applyProtection="0">
      <protection locked="0"/>
    </xf>
    <xf numFmtId="175" fontId="1" fillId="0" borderId="8" applyFont="0" applyFill="0" applyBorder="0" applyAlignment="0" applyProtection="0"/>
    <xf numFmtId="176" fontId="22" fillId="0" borderId="0" applyFont="0" applyFill="0" applyBorder="0" applyAlignment="0" applyProtection="0"/>
    <xf numFmtId="171" fontId="22" fillId="0" borderId="0" applyFont="0" applyFill="0" applyBorder="0" applyAlignment="0" applyProtection="0">
      <alignment wrapText="1"/>
    </xf>
    <xf numFmtId="177" fontId="23" fillId="37" borderId="8" applyNumberFormat="0" applyFill="0" applyAlignment="0"/>
    <xf numFmtId="178" fontId="1" fillId="0" borderId="0" applyFont="0" applyFill="0" applyBorder="0" applyAlignment="0" applyProtection="0"/>
    <xf numFmtId="180" fontId="22" fillId="0" borderId="0" applyFont="0" applyFill="0" applyBorder="0" applyAlignment="0" applyProtection="0">
      <protection locked="0"/>
    </xf>
    <xf numFmtId="181" fontId="15" fillId="35" borderId="0" applyFont="0" applyBorder="0"/>
    <xf numFmtId="165" fontId="1" fillId="34" borderId="15" applyNumberFormat="0" applyFont="0" applyFill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169" fontId="33" fillId="0" borderId="0" applyFont="0" applyFill="0" applyBorder="0" applyAlignment="0" applyProtection="0">
      <alignment horizontal="left"/>
      <protection locked="0"/>
    </xf>
    <xf numFmtId="49" fontId="28" fillId="0" borderId="0" applyFill="0" applyAlignment="0"/>
    <xf numFmtId="169" fontId="34" fillId="0" borderId="0" applyFont="0" applyFill="0" applyBorder="0" applyAlignment="0" applyProtection="0">
      <alignment horizontal="left"/>
      <protection locked="0"/>
    </xf>
    <xf numFmtId="49" fontId="20" fillId="0" borderId="0" applyFill="0" applyProtection="0">
      <alignment horizontal="left" indent="1"/>
    </xf>
  </cellStyleXfs>
  <cellXfs count="145">
    <xf numFmtId="0" fontId="0" fillId="0" borderId="0" xfId="0"/>
    <xf numFmtId="169" fontId="15" fillId="0" borderId="8" xfId="9" applyFont="1" applyFill="1" applyBorder="1" applyAlignment="1">
      <alignment horizontal="left"/>
      <protection locked="0"/>
    </xf>
    <xf numFmtId="169" fontId="15" fillId="0" borderId="9" xfId="9" applyFont="1" applyFill="1" applyBorder="1" applyAlignment="1">
      <alignment horizontal="left"/>
      <protection locked="0"/>
    </xf>
    <xf numFmtId="0" fontId="0" fillId="0" borderId="0" xfId="0" applyFill="1"/>
    <xf numFmtId="0" fontId="0" fillId="0" borderId="0" xfId="0" applyBorder="1"/>
    <xf numFmtId="179" fontId="15" fillId="0" borderId="0" xfId="4" applyFont="1" applyFill="1" applyBorder="1" applyAlignment="1" applyProtection="1">
      <protection locked="0"/>
    </xf>
    <xf numFmtId="0" fontId="28" fillId="0" borderId="0" xfId="3" applyNumberFormat="1" applyFill="1" applyBorder="1" applyAlignment="1">
      <alignment horizontal="left"/>
    </xf>
    <xf numFmtId="169" fontId="19" fillId="0" borderId="0" xfId="3" applyNumberFormat="1" applyFont="1" applyFill="1" applyBorder="1" applyAlignment="1">
      <alignment horizontal="left"/>
    </xf>
    <xf numFmtId="169" fontId="21" fillId="0" borderId="0" xfId="5" applyNumberFormat="1" applyFill="1" applyBorder="1" applyAlignment="1">
      <alignment vertical="center"/>
    </xf>
    <xf numFmtId="0" fontId="0" fillId="0" borderId="0" xfId="0"/>
    <xf numFmtId="0" fontId="0" fillId="0" borderId="8" xfId="0" applyBorder="1"/>
    <xf numFmtId="179" fontId="15" fillId="0" borderId="13" xfId="4" applyFont="1" applyFill="1" applyBorder="1" applyAlignment="1" applyProtection="1">
      <protection locked="0"/>
    </xf>
    <xf numFmtId="170" fontId="0" fillId="0" borderId="8" xfId="0" applyNumberFormat="1" applyBorder="1"/>
    <xf numFmtId="49" fontId="0" fillId="0" borderId="8" xfId="0" applyNumberFormat="1" applyBorder="1" applyAlignment="1">
      <alignment horizontal="left" vertical="center" indent="1"/>
    </xf>
    <xf numFmtId="174" fontId="18" fillId="0" borderId="8" xfId="60" applyFont="1" applyBorder="1" applyProtection="1"/>
    <xf numFmtId="171" fontId="18" fillId="0" borderId="8" xfId="63" applyFont="1" applyFill="1" applyBorder="1" applyAlignment="1" applyProtection="1">
      <protection locked="0"/>
    </xf>
    <xf numFmtId="178" fontId="18" fillId="0" borderId="8" xfId="65" applyFont="1" applyFill="1" applyBorder="1" applyAlignment="1" applyProtection="1">
      <alignment horizontal="center"/>
      <protection locked="0"/>
    </xf>
    <xf numFmtId="49" fontId="21" fillId="0" borderId="0" xfId="5" applyBorder="1"/>
    <xf numFmtId="178" fontId="15" fillId="0" borderId="8" xfId="4" applyNumberFormat="1" applyFont="1" applyFill="1" applyBorder="1" applyAlignment="1" applyProtection="1"/>
    <xf numFmtId="169" fontId="21" fillId="0" borderId="0" xfId="5" applyNumberFormat="1" applyFill="1" applyBorder="1" applyAlignment="1">
      <alignment horizontal="left" vertical="top"/>
    </xf>
    <xf numFmtId="178" fontId="18" fillId="0" borderId="8" xfId="4" applyNumberFormat="1" applyFont="1" applyFill="1" applyBorder="1" applyAlignment="1" applyProtection="1">
      <alignment horizontal="center"/>
      <protection locked="0"/>
    </xf>
    <xf numFmtId="171" fontId="15" fillId="0" borderId="8" xfId="63" applyFont="1" applyFill="1" applyBorder="1" applyAlignment="1" applyProtection="1"/>
    <xf numFmtId="171" fontId="26" fillId="0" borderId="8" xfId="63" applyFont="1" applyFill="1" applyBorder="1" applyAlignment="1" applyProtection="1"/>
    <xf numFmtId="171" fontId="15" fillId="0" borderId="8" xfId="63" applyFont="1" applyFill="1" applyBorder="1" applyAlignment="1" applyProtection="1">
      <alignment horizontal="right"/>
    </xf>
    <xf numFmtId="171" fontId="1" fillId="0" borderId="8" xfId="63" applyFont="1" applyFill="1" applyBorder="1" applyAlignment="1">
      <alignment horizontal="right"/>
    </xf>
    <xf numFmtId="182" fontId="15" fillId="0" borderId="8" xfId="63" applyNumberFormat="1" applyFont="1" applyFill="1" applyBorder="1" applyAlignment="1" applyProtection="1">
      <protection locked="0"/>
    </xf>
    <xf numFmtId="181" fontId="0" fillId="0" borderId="8" xfId="0" applyNumberFormat="1" applyBorder="1"/>
    <xf numFmtId="178" fontId="15" fillId="0" borderId="8" xfId="65" applyFont="1" applyFill="1" applyBorder="1" applyAlignment="1" applyProtection="1"/>
    <xf numFmtId="168" fontId="15" fillId="0" borderId="8" xfId="1" applyFont="1" applyFill="1" applyBorder="1" applyAlignment="1" applyProtection="1">
      <alignment horizontal="center"/>
    </xf>
    <xf numFmtId="180" fontId="15" fillId="0" borderId="8" xfId="66" applyFont="1" applyFill="1" applyBorder="1" applyAlignment="1" applyProtection="1"/>
    <xf numFmtId="180" fontId="26" fillId="0" borderId="14" xfId="66" applyFont="1" applyFill="1" applyBorder="1" applyAlignment="1" applyProtection="1"/>
    <xf numFmtId="180" fontId="26" fillId="0" borderId="8" xfId="66" applyFont="1" applyFill="1" applyBorder="1" applyAlignment="1" applyProtection="1"/>
    <xf numFmtId="176" fontId="0" fillId="0" borderId="8" xfId="62" applyFont="1" applyBorder="1" applyProtection="1"/>
    <xf numFmtId="178" fontId="0" fillId="0" borderId="8" xfId="65" applyFont="1" applyBorder="1"/>
    <xf numFmtId="178" fontId="26" fillId="0" borderId="8" xfId="65" applyFont="1" applyFill="1" applyBorder="1" applyAlignment="1" applyProtection="1"/>
    <xf numFmtId="49" fontId="29" fillId="0" borderId="8" xfId="7" applyFill="1" applyBorder="1">
      <alignment horizontal="left"/>
    </xf>
    <xf numFmtId="49" fontId="21" fillId="0" borderId="10" xfId="5" applyFill="1" applyBorder="1" applyAlignment="1">
      <alignment horizontal="centerContinuous"/>
    </xf>
    <xf numFmtId="180" fontId="1" fillId="0" borderId="8" xfId="66" applyFont="1" applyFill="1" applyBorder="1" applyAlignment="1" applyProtection="1">
      <alignment horizontal="right"/>
    </xf>
    <xf numFmtId="168" fontId="23" fillId="0" borderId="8" xfId="1" applyFont="1" applyFill="1" applyBorder="1"/>
    <xf numFmtId="0" fontId="0" fillId="0" borderId="17" xfId="0" applyBorder="1"/>
    <xf numFmtId="0" fontId="0" fillId="0" borderId="18" xfId="0" applyBorder="1"/>
    <xf numFmtId="171" fontId="15" fillId="0" borderId="13" xfId="63" applyFont="1" applyFill="1" applyBorder="1" applyAlignment="1" applyProtection="1">
      <alignment horizontal="right"/>
    </xf>
    <xf numFmtId="176" fontId="0" fillId="0" borderId="8" xfId="62" applyFont="1" applyFill="1" applyBorder="1" applyProtection="1"/>
    <xf numFmtId="49" fontId="17" fillId="0" borderId="13" xfId="2" applyBorder="1"/>
    <xf numFmtId="0" fontId="0" fillId="0" borderId="13" xfId="0" applyBorder="1"/>
    <xf numFmtId="0" fontId="0" fillId="0" borderId="0" xfId="26" applyFont="1" applyFill="1" applyBorder="1" applyAlignment="1">
      <alignment vertical="top"/>
    </xf>
    <xf numFmtId="0" fontId="0" fillId="0" borderId="9" xfId="0" applyBorder="1"/>
    <xf numFmtId="0" fontId="0" fillId="0" borderId="11" xfId="0" applyFill="1" applyBorder="1"/>
    <xf numFmtId="0" fontId="0" fillId="0" borderId="16" xfId="0" applyFill="1" applyBorder="1"/>
    <xf numFmtId="0" fontId="0" fillId="0" borderId="10" xfId="0" applyFill="1" applyBorder="1"/>
    <xf numFmtId="0" fontId="0" fillId="0" borderId="0" xfId="0" applyFill="1" applyBorder="1"/>
    <xf numFmtId="49" fontId="21" fillId="0" borderId="0" xfId="5" applyFill="1" applyBorder="1" applyAlignment="1">
      <alignment horizontal="centerContinuous"/>
    </xf>
    <xf numFmtId="0" fontId="31" fillId="0" borderId="10" xfId="0" applyFont="1" applyFill="1" applyBorder="1" applyAlignment="1">
      <alignment horizontal="centerContinuous"/>
    </xf>
    <xf numFmtId="0" fontId="27" fillId="0" borderId="0" xfId="0" applyFont="1" applyFill="1" applyBorder="1" applyAlignment="1">
      <alignment horizontal="centerContinuous"/>
    </xf>
    <xf numFmtId="0" fontId="0" fillId="0" borderId="0" xfId="0" applyFont="1" applyBorder="1"/>
    <xf numFmtId="49" fontId="20" fillId="0" borderId="0" xfId="32" applyBorder="1">
      <alignment horizontal="left" indent="1"/>
    </xf>
    <xf numFmtId="49" fontId="17" fillId="0" borderId="9" xfId="2" applyFill="1" applyBorder="1" applyAlignment="1">
      <alignment horizontal="left" indent="1"/>
    </xf>
    <xf numFmtId="0" fontId="0" fillId="0" borderId="0" xfId="0" quotePrefix="1" applyBorder="1"/>
    <xf numFmtId="0" fontId="0" fillId="0" borderId="19" xfId="0" applyBorder="1"/>
    <xf numFmtId="0" fontId="25" fillId="33" borderId="20" xfId="0" applyFont="1" applyFill="1" applyBorder="1"/>
    <xf numFmtId="49" fontId="0" fillId="37" borderId="16" xfId="0" applyNumberFormat="1" applyFill="1" applyBorder="1"/>
    <xf numFmtId="49" fontId="0" fillId="37" borderId="21" xfId="0" applyNumberFormat="1" applyFill="1" applyBorder="1"/>
    <xf numFmtId="0" fontId="30" fillId="37" borderId="21" xfId="12" applyFill="1" applyBorder="1" applyAlignment="1" applyProtection="1"/>
    <xf numFmtId="49" fontId="0" fillId="34" borderId="16" xfId="0" applyNumberFormat="1" applyFill="1" applyBorder="1"/>
    <xf numFmtId="0" fontId="30" fillId="34" borderId="16" xfId="12" applyFill="1" applyBorder="1" applyAlignment="1" applyProtection="1"/>
    <xf numFmtId="49" fontId="0" fillId="34" borderId="18" xfId="0" applyNumberFormat="1" applyFill="1" applyBorder="1"/>
    <xf numFmtId="0" fontId="30" fillId="34" borderId="18" xfId="12" applyFill="1" applyBorder="1" applyAlignment="1" applyProtection="1">
      <alignment horizontal="left" indent="1"/>
    </xf>
    <xf numFmtId="0" fontId="30" fillId="37" borderId="16" xfId="12" applyFill="1" applyBorder="1" applyAlignment="1" applyProtection="1"/>
    <xf numFmtId="49" fontId="0" fillId="37" borderId="0" xfId="0" applyNumberFormat="1" applyFill="1" applyBorder="1"/>
    <xf numFmtId="0" fontId="30" fillId="37" borderId="0" xfId="12" applyFill="1" applyBorder="1" applyAlignment="1" applyProtection="1">
      <alignment horizontal="left" indent="1"/>
    </xf>
    <xf numFmtId="49" fontId="0" fillId="37" borderId="18" xfId="0" applyNumberFormat="1" applyFill="1" applyBorder="1"/>
    <xf numFmtId="0" fontId="30" fillId="37" borderId="18" xfId="12" applyFill="1" applyBorder="1" applyAlignment="1" applyProtection="1">
      <alignment horizontal="left" indent="1"/>
    </xf>
    <xf numFmtId="49" fontId="0" fillId="34" borderId="22" xfId="0" applyNumberFormat="1" applyFill="1" applyBorder="1"/>
    <xf numFmtId="0" fontId="30" fillId="34" borderId="22" xfId="12" applyFill="1" applyBorder="1" applyAlignment="1" applyProtection="1"/>
    <xf numFmtId="49" fontId="21" fillId="0" borderId="0" xfId="5" applyFill="1" applyBorder="1" applyAlignment="1">
      <alignment vertical="center"/>
    </xf>
    <xf numFmtId="49" fontId="28" fillId="0" borderId="9" xfId="3" applyFill="1" applyBorder="1" applyAlignment="1">
      <alignment horizontal="left"/>
    </xf>
    <xf numFmtId="0" fontId="28" fillId="0" borderId="9" xfId="3" applyNumberFormat="1" applyFill="1" applyBorder="1" applyAlignment="1">
      <alignment horizontal="left"/>
    </xf>
    <xf numFmtId="0" fontId="0" fillId="0" borderId="0" xfId="0" applyFont="1" applyFill="1" applyBorder="1" applyAlignment="1"/>
    <xf numFmtId="49" fontId="28" fillId="0" borderId="13" xfId="3" applyFill="1" applyBorder="1" applyAlignment="1">
      <alignment horizontal="left"/>
    </xf>
    <xf numFmtId="0" fontId="28" fillId="0" borderId="8" xfId="3" applyNumberFormat="1" applyFill="1" applyBorder="1" applyAlignment="1">
      <alignment horizontal="left"/>
    </xf>
    <xf numFmtId="0" fontId="16" fillId="0" borderId="8" xfId="11" applyFill="1" applyBorder="1">
      <alignment horizontal="centerContinuous" wrapText="1"/>
    </xf>
    <xf numFmtId="179" fontId="0" fillId="0" borderId="8" xfId="4" applyFont="1" applyFill="1" applyBorder="1" applyAlignment="1"/>
    <xf numFmtId="169" fontId="15" fillId="0" borderId="13" xfId="9" applyFont="1" applyFill="1" applyBorder="1" applyAlignment="1">
      <alignment horizontal="left"/>
      <protection locked="0"/>
    </xf>
    <xf numFmtId="0" fontId="0" fillId="0" borderId="13" xfId="0" applyFill="1" applyBorder="1"/>
    <xf numFmtId="0" fontId="0" fillId="0" borderId="9" xfId="0" applyFill="1" applyBorder="1"/>
    <xf numFmtId="49" fontId="28" fillId="0" borderId="0" xfId="3" applyFill="1" applyBorder="1" applyAlignment="1">
      <alignment horizontal="left"/>
    </xf>
    <xf numFmtId="168" fontId="0" fillId="0" borderId="0" xfId="0" applyNumberFormat="1" applyBorder="1"/>
    <xf numFmtId="168" fontId="0" fillId="0" borderId="9" xfId="0" applyNumberFormat="1" applyBorder="1"/>
    <xf numFmtId="168" fontId="18" fillId="0" borderId="24" xfId="8" applyNumberFormat="1" applyFill="1" applyBorder="1">
      <protection locked="0"/>
    </xf>
    <xf numFmtId="168" fontId="18" fillId="0" borderId="25" xfId="8" applyNumberFormat="1" applyFill="1" applyBorder="1">
      <protection locked="0"/>
    </xf>
    <xf numFmtId="168" fontId="18" fillId="0" borderId="26" xfId="8" applyNumberFormat="1" applyFill="1" applyBorder="1">
      <protection locked="0"/>
    </xf>
    <xf numFmtId="168" fontId="18" fillId="0" borderId="27" xfId="8" applyNumberFormat="1" applyFill="1" applyBorder="1">
      <protection locked="0"/>
    </xf>
    <xf numFmtId="171" fontId="1" fillId="0" borderId="13" xfId="63" applyFont="1" applyFill="1" applyBorder="1" applyAlignment="1">
      <alignment horizontal="right"/>
    </xf>
    <xf numFmtId="171" fontId="15" fillId="0" borderId="28" xfId="63" applyFont="1" applyFill="1" applyBorder="1" applyAlignment="1" applyProtection="1">
      <alignment horizontal="right"/>
    </xf>
    <xf numFmtId="168" fontId="35" fillId="0" borderId="29" xfId="8" applyNumberFormat="1" applyFont="1" applyFill="1" applyBorder="1">
      <protection locked="0"/>
    </xf>
    <xf numFmtId="168" fontId="18" fillId="0" borderId="30" xfId="8" applyNumberFormat="1" applyFill="1" applyBorder="1">
      <protection locked="0"/>
    </xf>
    <xf numFmtId="168" fontId="35" fillId="0" borderId="26" xfId="8" applyNumberFormat="1" applyFont="1" applyFill="1" applyBorder="1">
      <protection locked="0"/>
    </xf>
    <xf numFmtId="49" fontId="28" fillId="0" borderId="9" xfId="3" applyFill="1" applyBorder="1"/>
    <xf numFmtId="0" fontId="16" fillId="0" borderId="8" xfId="11" applyFill="1" applyBorder="1" applyAlignment="1">
      <alignment horizontal="left" vertical="top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Protection="1"/>
    <xf numFmtId="171" fontId="15" fillId="0" borderId="13" xfId="63" applyFont="1" applyFill="1" applyBorder="1" applyAlignment="1" applyProtection="1"/>
    <xf numFmtId="168" fontId="23" fillId="0" borderId="24" xfId="1" applyFont="1" applyFill="1" applyBorder="1"/>
    <xf numFmtId="171" fontId="15" fillId="0" borderId="31" xfId="63" applyFont="1" applyFill="1" applyBorder="1" applyAlignment="1" applyProtection="1"/>
    <xf numFmtId="168" fontId="23" fillId="0" borderId="26" xfId="1" applyFont="1" applyFill="1" applyBorder="1"/>
    <xf numFmtId="168" fontId="15" fillId="0" borderId="24" xfId="1" applyFont="1" applyFill="1" applyBorder="1" applyAlignment="1" applyProtection="1">
      <alignment horizontal="center"/>
    </xf>
    <xf numFmtId="168" fontId="23" fillId="0" borderId="27" xfId="1" applyFont="1" applyFill="1" applyBorder="1"/>
    <xf numFmtId="168" fontId="15" fillId="0" borderId="26" xfId="1" applyFont="1" applyFill="1" applyBorder="1" applyAlignment="1" applyProtection="1">
      <alignment horizontal="center"/>
    </xf>
    <xf numFmtId="180" fontId="15" fillId="0" borderId="13" xfId="66" applyFont="1" applyFill="1" applyBorder="1" applyAlignment="1" applyProtection="1"/>
    <xf numFmtId="180" fontId="15" fillId="0" borderId="25" xfId="66" applyFont="1" applyFill="1" applyBorder="1" applyAlignment="1" applyProtection="1"/>
    <xf numFmtId="178" fontId="15" fillId="0" borderId="24" xfId="4" applyNumberFormat="1" applyFont="1" applyFill="1" applyBorder="1" applyAlignment="1" applyProtection="1"/>
    <xf numFmtId="178" fontId="15" fillId="0" borderId="24" xfId="65" applyFont="1" applyFill="1" applyBorder="1" applyAlignment="1" applyProtection="1"/>
    <xf numFmtId="180" fontId="15" fillId="0" borderId="27" xfId="66" applyFont="1" applyFill="1" applyBorder="1" applyAlignment="1" applyProtection="1"/>
    <xf numFmtId="180" fontId="15" fillId="0" borderId="25" xfId="66" applyNumberFormat="1" applyFont="1" applyFill="1" applyBorder="1" applyAlignment="1" applyProtection="1"/>
    <xf numFmtId="180" fontId="15" fillId="0" borderId="27" xfId="66" applyNumberFormat="1" applyFont="1" applyFill="1" applyBorder="1" applyAlignment="1" applyProtection="1"/>
    <xf numFmtId="168" fontId="0" fillId="0" borderId="0" xfId="0" applyNumberFormat="1" applyFill="1" applyBorder="1" applyProtection="1"/>
    <xf numFmtId="168" fontId="0" fillId="0" borderId="13" xfId="0" applyNumberFormat="1" applyFill="1" applyBorder="1"/>
    <xf numFmtId="49" fontId="17" fillId="0" borderId="9" xfId="2" applyFill="1" applyBorder="1"/>
    <xf numFmtId="1" fontId="0" fillId="0" borderId="9" xfId="0" applyNumberFormat="1" applyFill="1" applyBorder="1"/>
    <xf numFmtId="0" fontId="1" fillId="0" borderId="8" xfId="26" applyFill="1" applyBorder="1" applyAlignment="1">
      <alignment horizontal="centerContinuous" wrapText="1"/>
    </xf>
    <xf numFmtId="0" fontId="1" fillId="0" borderId="8" xfId="26" applyFill="1" applyBorder="1"/>
    <xf numFmtId="0" fontId="16" fillId="0" borderId="13" xfId="11" applyFill="1" applyBorder="1">
      <alignment horizontal="centerContinuous" wrapText="1"/>
    </xf>
    <xf numFmtId="171" fontId="1" fillId="0" borderId="23" xfId="63" applyFont="1" applyFill="1" applyBorder="1" applyAlignment="1">
      <alignment horizontal="right"/>
    </xf>
    <xf numFmtId="171" fontId="1" fillId="0" borderId="24" xfId="63" applyFont="1" applyFill="1" applyBorder="1" applyAlignment="1">
      <alignment horizontal="right"/>
    </xf>
    <xf numFmtId="169" fontId="16" fillId="0" borderId="8" xfId="11" applyNumberFormat="1" applyFill="1" applyBorder="1">
      <alignment horizontal="centerContinuous" wrapText="1"/>
    </xf>
    <xf numFmtId="49" fontId="0" fillId="0" borderId="8" xfId="26" applyNumberFormat="1" applyFont="1" applyFill="1" applyBorder="1"/>
    <xf numFmtId="179" fontId="15" fillId="0" borderId="8" xfId="4" applyFont="1" applyFill="1" applyBorder="1" applyAlignment="1" applyProtection="1">
      <protection locked="0"/>
    </xf>
    <xf numFmtId="179" fontId="15" fillId="0" borderId="9" xfId="4" applyFont="1" applyFill="1" applyBorder="1" applyAlignment="1" applyProtection="1">
      <protection locked="0"/>
    </xf>
    <xf numFmtId="49" fontId="16" fillId="0" borderId="32" xfId="11" applyNumberFormat="1" applyFill="1" applyBorder="1">
      <alignment horizontal="centerContinuous" wrapText="1"/>
    </xf>
    <xf numFmtId="49" fontId="16" fillId="0" borderId="8" xfId="11" applyNumberFormat="1" applyFill="1" applyBorder="1">
      <alignment horizontal="centerContinuous" wrapText="1"/>
    </xf>
    <xf numFmtId="0" fontId="0" fillId="0" borderId="33" xfId="0" applyBorder="1"/>
    <xf numFmtId="49" fontId="29" fillId="0" borderId="9" xfId="7" applyFill="1" applyBorder="1">
      <alignment horizontal="left"/>
    </xf>
    <xf numFmtId="178" fontId="23" fillId="0" borderId="13" xfId="65" applyFont="1" applyBorder="1" applyProtection="1"/>
    <xf numFmtId="178" fontId="23" fillId="0" borderId="9" xfId="65" applyFont="1" applyBorder="1" applyProtection="1"/>
    <xf numFmtId="49" fontId="17" fillId="0" borderId="0" xfId="2" applyFill="1" applyBorder="1"/>
    <xf numFmtId="169" fontId="16" fillId="0" borderId="8" xfId="11" applyNumberFormat="1" applyFill="1" applyBorder="1" applyAlignment="1">
      <alignment horizontal="right" wrapText="1"/>
    </xf>
    <xf numFmtId="0" fontId="0" fillId="0" borderId="8" xfId="0" applyFill="1" applyBorder="1"/>
    <xf numFmtId="183" fontId="0" fillId="0" borderId="13" xfId="0" applyNumberFormat="1" applyFill="1" applyBorder="1"/>
    <xf numFmtId="183" fontId="0" fillId="0" borderId="13" xfId="0" applyNumberFormat="1" applyBorder="1"/>
    <xf numFmtId="49" fontId="17" fillId="0" borderId="8" xfId="2" applyFill="1" applyBorder="1"/>
    <xf numFmtId="183" fontId="0" fillId="0" borderId="8" xfId="0" applyNumberFormat="1" applyFill="1" applyBorder="1"/>
    <xf numFmtId="183" fontId="0" fillId="0" borderId="8" xfId="0" applyNumberFormat="1" applyBorder="1"/>
    <xf numFmtId="49" fontId="21" fillId="0" borderId="0" xfId="5" applyFill="1" applyBorder="1" applyAlignment="1">
      <alignment horizontal="left" vertical="center"/>
    </xf>
    <xf numFmtId="183" fontId="0" fillId="0" borderId="0" xfId="0" applyNumberFormat="1" applyBorder="1"/>
    <xf numFmtId="0" fontId="15" fillId="0" borderId="8" xfId="26" applyFont="1" applyFill="1" applyBorder="1" applyAlignment="1">
      <alignment horizontal="left" vertical="top" wrapText="1"/>
    </xf>
  </cellXfs>
  <cellStyles count="74">
    <cellStyle name="20% - Accent1" xfId="35" builtinId="30" hidden="1"/>
    <cellStyle name="20% - Accent2" xfId="39" builtinId="34" hidden="1"/>
    <cellStyle name="20% - Accent3" xfId="43" builtinId="38" hidden="1"/>
    <cellStyle name="20% - Accent4" xfId="47" builtinId="42" hidden="1"/>
    <cellStyle name="20% - Accent5" xfId="51" builtinId="46" hidden="1"/>
    <cellStyle name="20% - Accent6" xfId="55" builtinId="50" hidden="1"/>
    <cellStyle name="40% - Accent1" xfId="36" builtinId="31" hidden="1"/>
    <cellStyle name="40% - Accent2" xfId="40" builtinId="35" hidden="1"/>
    <cellStyle name="40% - Accent3" xfId="44" builtinId="39" hidden="1"/>
    <cellStyle name="40% - Accent4" xfId="48" builtinId="43" hidden="1"/>
    <cellStyle name="40% - Accent5" xfId="52" builtinId="47" hidden="1"/>
    <cellStyle name="40% - Accent6" xfId="56" builtinId="51" hidden="1"/>
    <cellStyle name="60% - Accent1" xfId="37" builtinId="32" hidden="1"/>
    <cellStyle name="60% - Accent2" xfId="41" builtinId="36" hidden="1"/>
    <cellStyle name="60% - Accent3" xfId="45" builtinId="40" hidden="1"/>
    <cellStyle name="60% - Accent4" xfId="49" builtinId="44" hidden="1"/>
    <cellStyle name="60% - Accent5" xfId="53" builtinId="48" hidden="1"/>
    <cellStyle name="60% - Accent6" xfId="57" builtinId="52" hidden="1"/>
    <cellStyle name="Accent1" xfId="34" builtinId="29" hidden="1"/>
    <cellStyle name="Accent2" xfId="38" builtinId="33" hidden="1"/>
    <cellStyle name="Accent3" xfId="42" builtinId="37" hidden="1"/>
    <cellStyle name="Accent4" xfId="46" builtinId="41" hidden="1"/>
    <cellStyle name="Accent5" xfId="50" builtinId="45" hidden="1"/>
    <cellStyle name="Accent6" xfId="54" builtinId="49" hidden="1"/>
    <cellStyle name="Bad" xfId="23" builtinId="27" hidden="1"/>
    <cellStyle name="Calculation" xfId="27" builtinId="22" hidden="1"/>
    <cellStyle name="Check Cell" xfId="29" builtinId="23" hidden="1"/>
    <cellStyle name="Comma" xfId="13" builtinId="3" hidden="1"/>
    <cellStyle name="Comma [0]" xfId="15" builtinId="6" hidden="1"/>
    <cellStyle name="Comma [0]" xfId="1" xr:uid="{00000000-0005-0000-0000-00001D000000}"/>
    <cellStyle name="Comma [1]" xfId="59" xr:uid="{00000000-0005-0000-0000-00001E000000}"/>
    <cellStyle name="Comma [2]" xfId="60" xr:uid="{00000000-0005-0000-0000-00001F000000}"/>
    <cellStyle name="Comma [3]" xfId="61" xr:uid="{00000000-0005-0000-0000-000020000000}"/>
    <cellStyle name="Comma [4]" xfId="62" xr:uid="{00000000-0005-0000-0000-000021000000}"/>
    <cellStyle name="Currency" xfId="16" builtinId="4" hidden="1"/>
    <cellStyle name="Currency [0]" xfId="17" builtinId="7" hidden="1"/>
    <cellStyle name="Date (short)" xfId="63" xr:uid="{00000000-0005-0000-0000-000024000000}"/>
    <cellStyle name="Explanatory Text" xfId="32" builtinId="53" customBuiltin="1"/>
    <cellStyle name="Explanatory Text 16" xfId="6" xr:uid="{00000000-0005-0000-0000-000026000000}"/>
    <cellStyle name="Explanatory Text 3" xfId="73" xr:uid="{72D67869-4DC4-4693-A569-E0A0136A6DD4}"/>
    <cellStyle name="Good" xfId="22" builtinId="26" hidden="1"/>
    <cellStyle name="Heading 1" xfId="19" builtinId="16" hidden="1"/>
    <cellStyle name="Heading 1" xfId="2" xr:uid="{00000000-0005-0000-0000-000029000000}"/>
    <cellStyle name="Heading 2" xfId="58" builtinId="17" hidden="1"/>
    <cellStyle name="Heading 2" xfId="3" xr:uid="{00000000-0005-0000-0000-00002B000000}"/>
    <cellStyle name="Heading 2 2" xfId="71" xr:uid="{75EFA7F1-2764-4EE6-99F6-FB0C014CDFF9}"/>
    <cellStyle name="Heading 3" xfId="20" builtinId="18" hidden="1"/>
    <cellStyle name="Heading 3" xfId="7" xr:uid="{00000000-0005-0000-0000-00002D000000}"/>
    <cellStyle name="Heading 4" xfId="21" builtinId="19" hidden="1"/>
    <cellStyle name="Hyperlink" xfId="12" builtinId="8" customBuiltin="1"/>
    <cellStyle name="Hyperlink 4" xfId="69" xr:uid="{0B214221-DAC3-4B3D-8B9E-F2F7A7E89834}"/>
    <cellStyle name="Input" xfId="25" builtinId="20" hidden="1"/>
    <cellStyle name="Input" xfId="8" xr:uid="{00000000-0005-0000-0000-000031000000}"/>
    <cellStyle name="Label" xfId="11" xr:uid="{00000000-0005-0000-0000-000032000000}"/>
    <cellStyle name="Link" xfId="64" xr:uid="{00000000-0005-0000-0000-000033000000}"/>
    <cellStyle name="Linked Cell" xfId="28" builtinId="24" hidden="1"/>
    <cellStyle name="Neutral" xfId="24" builtinId="28" hidden="1"/>
    <cellStyle name="Normal" xfId="0" builtinId="0"/>
    <cellStyle name="Note" xfId="31" builtinId="10" hidden="1"/>
    <cellStyle name="Output" xfId="26" builtinId="21" customBuiltin="1"/>
    <cellStyle name="Percent" xfId="14" builtinId="5" hidden="1"/>
    <cellStyle name="Percent [0]" xfId="65" xr:uid="{00000000-0005-0000-0000-00003A000000}"/>
    <cellStyle name="Percent [1]" xfId="4" xr:uid="{00000000-0005-0000-0000-00003B000000}"/>
    <cellStyle name="Percent [2]" xfId="66" xr:uid="{00000000-0005-0000-0000-00003C000000}"/>
    <cellStyle name="Percent [3]" xfId="67" xr:uid="{00000000-0005-0000-0000-00003D000000}"/>
    <cellStyle name="Rt border" xfId="68" xr:uid="{00000000-0005-0000-0000-00003E000000}"/>
    <cellStyle name="Text" xfId="9" xr:uid="{00000000-0005-0000-0000-00003F000000}"/>
    <cellStyle name="Text 2" xfId="70" xr:uid="{0F00DD78-207C-49DF-88D5-2567892BC8FD}"/>
    <cellStyle name="Text 2 2" xfId="72" xr:uid="{0DC01B64-4AF5-41A8-A08E-AB12AEE63E3B}"/>
    <cellStyle name="Title" xfId="18" builtinId="15" hidden="1"/>
    <cellStyle name="Title" xfId="5" xr:uid="{00000000-0005-0000-0000-000041000000}"/>
    <cellStyle name="Total" xfId="33" builtinId="25" hidden="1"/>
    <cellStyle name="Warning Text" xfId="30" builtinId="11" hidden="1"/>
    <cellStyle name="Year" xfId="10" xr:uid="{00000000-0005-0000-0000-000044000000}"/>
  </cellStyles>
  <dxfs count="0"/>
  <tableStyles count="0" defaultTableStyle="TableStyleMedium2" defaultPivotStyle="PivotStyleLight16"/>
  <colors>
    <mruColors>
      <color rgb="FF2E66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PPI</a:t>
            </a:r>
            <a:r>
              <a:rPr lang="en-NZ" baseline="0"/>
              <a:t> Inputs</a:t>
            </a:r>
            <a:endParaRPr lang="en-N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'Growth rates'!$B$34:$B$63</c:f>
              <c:numCache>
                <c:formatCode>[$-1409]d\ mmm\ yy;@</c:formatCode>
                <c:ptCount val="30"/>
                <c:pt idx="0">
                  <c:v>43100</c:v>
                </c:pt>
                <c:pt idx="1">
                  <c:v>43190</c:v>
                </c:pt>
                <c:pt idx="2">
                  <c:v>43281</c:v>
                </c:pt>
                <c:pt idx="3">
                  <c:v>43373</c:v>
                </c:pt>
                <c:pt idx="4">
                  <c:v>43465</c:v>
                </c:pt>
                <c:pt idx="5">
                  <c:v>43555</c:v>
                </c:pt>
                <c:pt idx="6">
                  <c:v>43646</c:v>
                </c:pt>
                <c:pt idx="7">
                  <c:v>43738</c:v>
                </c:pt>
                <c:pt idx="8">
                  <c:v>43830</c:v>
                </c:pt>
                <c:pt idx="9">
                  <c:v>43921</c:v>
                </c:pt>
                <c:pt idx="10">
                  <c:v>44012</c:v>
                </c:pt>
                <c:pt idx="11">
                  <c:v>44104</c:v>
                </c:pt>
                <c:pt idx="12">
                  <c:v>44196</c:v>
                </c:pt>
                <c:pt idx="13">
                  <c:v>44286</c:v>
                </c:pt>
                <c:pt idx="14">
                  <c:v>44377</c:v>
                </c:pt>
                <c:pt idx="15">
                  <c:v>44469</c:v>
                </c:pt>
                <c:pt idx="16">
                  <c:v>44561</c:v>
                </c:pt>
                <c:pt idx="17">
                  <c:v>44651</c:v>
                </c:pt>
                <c:pt idx="18">
                  <c:v>44742</c:v>
                </c:pt>
                <c:pt idx="19">
                  <c:v>44834</c:v>
                </c:pt>
                <c:pt idx="20">
                  <c:v>44926</c:v>
                </c:pt>
                <c:pt idx="21">
                  <c:v>45016</c:v>
                </c:pt>
                <c:pt idx="22">
                  <c:v>45107</c:v>
                </c:pt>
                <c:pt idx="23">
                  <c:v>45199</c:v>
                </c:pt>
                <c:pt idx="24">
                  <c:v>45291</c:v>
                </c:pt>
                <c:pt idx="25">
                  <c:v>45382</c:v>
                </c:pt>
                <c:pt idx="26">
                  <c:v>45473</c:v>
                </c:pt>
                <c:pt idx="27">
                  <c:v>45565</c:v>
                </c:pt>
                <c:pt idx="28">
                  <c:v>45657</c:v>
                </c:pt>
                <c:pt idx="29">
                  <c:v>45747</c:v>
                </c:pt>
              </c:numCache>
            </c:numRef>
          </c:cat>
          <c:val>
            <c:numRef>
              <c:f>'Growth rates'!$K$34:$K$63</c:f>
              <c:numCache>
                <c:formatCode>_(* #,##0.00%_);_(* \(#,##0.00%\);_(* "–"???_);_(* @_)</c:formatCode>
                <c:ptCount val="30"/>
                <c:pt idx="0">
                  <c:v>4.4876409887209021E-2</c:v>
                </c:pt>
                <c:pt idx="1">
                  <c:v>4.4893111638954868E-2</c:v>
                </c:pt>
                <c:pt idx="2">
                  <c:v>4.2018779342723002E-2</c:v>
                </c:pt>
                <c:pt idx="3">
                  <c:v>4.0863710239145576E-2</c:v>
                </c:pt>
                <c:pt idx="4">
                  <c:v>4.2259990813045475E-2</c:v>
                </c:pt>
                <c:pt idx="5">
                  <c:v>4.0236417367583543E-2</c:v>
                </c:pt>
                <c:pt idx="6">
                  <c:v>3.7621085830141926E-2</c:v>
                </c:pt>
                <c:pt idx="7">
                  <c:v>3.3236671871514613E-2</c:v>
                </c:pt>
                <c:pt idx="8">
                  <c:v>2.2256500661084179E-2</c:v>
                </c:pt>
                <c:pt idx="9">
                  <c:v>1.6826923076923076E-2</c:v>
                </c:pt>
                <c:pt idx="10">
                  <c:v>1.020408163265306E-2</c:v>
                </c:pt>
                <c:pt idx="11">
                  <c:v>3.4542314335060447E-3</c:v>
                </c:pt>
                <c:pt idx="12">
                  <c:v>6.4669109721922824E-4</c:v>
                </c:pt>
                <c:pt idx="13">
                  <c:v>2.149151085321298E-3</c:v>
                </c:pt>
                <c:pt idx="14">
                  <c:v>1.6763378465506126E-2</c:v>
                </c:pt>
                <c:pt idx="15">
                  <c:v>3.5283993115318414E-2</c:v>
                </c:pt>
                <c:pt idx="16">
                  <c:v>5.7087462300732444E-2</c:v>
                </c:pt>
                <c:pt idx="17">
                  <c:v>7.6774608621059406E-2</c:v>
                </c:pt>
                <c:pt idx="18">
                  <c:v>8.6239695624603679E-2</c:v>
                </c:pt>
                <c:pt idx="19">
                  <c:v>9.4351539437034643E-2</c:v>
                </c:pt>
                <c:pt idx="20">
                  <c:v>0.10166256636622917</c:v>
                </c:pt>
                <c:pt idx="21">
                  <c:v>0.10189105274419197</c:v>
                </c:pt>
                <c:pt idx="22">
                  <c:v>9.8537478798486747E-2</c:v>
                </c:pt>
                <c:pt idx="23">
                  <c:v>9.2450048059545972E-2</c:v>
                </c:pt>
                <c:pt idx="24">
                  <c:v>8.2774562155280756E-2</c:v>
                </c:pt>
                <c:pt idx="25">
                  <c:v>7.4344183810427095E-2</c:v>
                </c:pt>
                <c:pt idx="26">
                  <c:v>6.7398621931057431E-2</c:v>
                </c:pt>
                <c:pt idx="27">
                  <c:v>6.061949133809353E-2</c:v>
                </c:pt>
                <c:pt idx="28">
                  <c:v>5.427044377145776E-2</c:v>
                </c:pt>
                <c:pt idx="29">
                  <c:v>4.890457932357771E-2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DC-407F-96BF-908618FBC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8560367"/>
        <c:axId val="1978568687"/>
      </c:lineChart>
      <c:dateAx>
        <c:axId val="1978560367"/>
        <c:scaling>
          <c:orientation val="minMax"/>
        </c:scaling>
        <c:delete val="0"/>
        <c:axPos val="b"/>
        <c:numFmt formatCode="[$-1409]d\ mmm\ 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568687"/>
        <c:crosses val="autoZero"/>
        <c:auto val="1"/>
        <c:lblOffset val="100"/>
        <c:baseTimeUnit val="months"/>
      </c:dateAx>
      <c:valAx>
        <c:axId val="1978568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%_);_(* \(#,##0.00%\);_(* &quot;–&quot;???_);_(* 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5603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CGPI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'Growth rates'!$B$34:$B$63</c:f>
              <c:numCache>
                <c:formatCode>[$-1409]d\ mmm\ yy;@</c:formatCode>
                <c:ptCount val="30"/>
                <c:pt idx="0">
                  <c:v>43100</c:v>
                </c:pt>
                <c:pt idx="1">
                  <c:v>43190</c:v>
                </c:pt>
                <c:pt idx="2">
                  <c:v>43281</c:v>
                </c:pt>
                <c:pt idx="3">
                  <c:v>43373</c:v>
                </c:pt>
                <c:pt idx="4">
                  <c:v>43465</c:v>
                </c:pt>
                <c:pt idx="5">
                  <c:v>43555</c:v>
                </c:pt>
                <c:pt idx="6">
                  <c:v>43646</c:v>
                </c:pt>
                <c:pt idx="7">
                  <c:v>43738</c:v>
                </c:pt>
                <c:pt idx="8">
                  <c:v>43830</c:v>
                </c:pt>
                <c:pt idx="9">
                  <c:v>43921</c:v>
                </c:pt>
                <c:pt idx="10">
                  <c:v>44012</c:v>
                </c:pt>
                <c:pt idx="11">
                  <c:v>44104</c:v>
                </c:pt>
                <c:pt idx="12">
                  <c:v>44196</c:v>
                </c:pt>
                <c:pt idx="13">
                  <c:v>44286</c:v>
                </c:pt>
                <c:pt idx="14">
                  <c:v>44377</c:v>
                </c:pt>
                <c:pt idx="15">
                  <c:v>44469</c:v>
                </c:pt>
                <c:pt idx="16">
                  <c:v>44561</c:v>
                </c:pt>
                <c:pt idx="17">
                  <c:v>44651</c:v>
                </c:pt>
                <c:pt idx="18">
                  <c:v>44742</c:v>
                </c:pt>
                <c:pt idx="19">
                  <c:v>44834</c:v>
                </c:pt>
                <c:pt idx="20">
                  <c:v>44926</c:v>
                </c:pt>
                <c:pt idx="21">
                  <c:v>45016</c:v>
                </c:pt>
                <c:pt idx="22">
                  <c:v>45107</c:v>
                </c:pt>
                <c:pt idx="23">
                  <c:v>45199</c:v>
                </c:pt>
                <c:pt idx="24">
                  <c:v>45291</c:v>
                </c:pt>
                <c:pt idx="25">
                  <c:v>45382</c:v>
                </c:pt>
                <c:pt idx="26">
                  <c:v>45473</c:v>
                </c:pt>
                <c:pt idx="27">
                  <c:v>45565</c:v>
                </c:pt>
                <c:pt idx="28">
                  <c:v>45657</c:v>
                </c:pt>
                <c:pt idx="29">
                  <c:v>45747</c:v>
                </c:pt>
              </c:numCache>
            </c:numRef>
          </c:cat>
          <c:val>
            <c:numRef>
              <c:f>'Growth rates'!$Q$34:$Q$63</c:f>
              <c:numCache>
                <c:formatCode>_(* #,##0.00%_);_(* \(#,##0.00%\);_(* "–"???_);_(* @_)</c:formatCode>
                <c:ptCount val="30"/>
                <c:pt idx="0">
                  <c:v>3.0162810625535563E-2</c:v>
                </c:pt>
                <c:pt idx="1">
                  <c:v>2.8391703502210132E-2</c:v>
                </c:pt>
                <c:pt idx="2">
                  <c:v>2.6480013493000505E-2</c:v>
                </c:pt>
                <c:pt idx="3">
                  <c:v>2.6959142665773612E-2</c:v>
                </c:pt>
                <c:pt idx="4">
                  <c:v>2.7283313924471801E-2</c:v>
                </c:pt>
                <c:pt idx="5">
                  <c:v>2.8269135394280047E-2</c:v>
                </c:pt>
                <c:pt idx="6">
                  <c:v>2.9740387775221821E-2</c:v>
                </c:pt>
                <c:pt idx="7">
                  <c:v>2.8697211804989402E-2</c:v>
                </c:pt>
                <c:pt idx="8">
                  <c:v>2.8663967611336032E-2</c:v>
                </c:pt>
                <c:pt idx="9">
                  <c:v>2.8456591639871381E-2</c:v>
                </c:pt>
                <c:pt idx="10">
                  <c:v>2.6487952768469762E-2</c:v>
                </c:pt>
                <c:pt idx="11">
                  <c:v>2.409256617530512E-2</c:v>
                </c:pt>
                <c:pt idx="12">
                  <c:v>2.1882871536523931E-2</c:v>
                </c:pt>
                <c:pt idx="13">
                  <c:v>1.938408629044865E-2</c:v>
                </c:pt>
                <c:pt idx="14">
                  <c:v>2.5027203482045703E-2</c:v>
                </c:pt>
                <c:pt idx="15">
                  <c:v>3.7610277046896762E-2</c:v>
                </c:pt>
                <c:pt idx="16">
                  <c:v>5.6077645971344937E-2</c:v>
                </c:pt>
                <c:pt idx="17">
                  <c:v>8.0509124367428311E-2</c:v>
                </c:pt>
                <c:pt idx="18">
                  <c:v>0.1005459508644222</c:v>
                </c:pt>
                <c:pt idx="19">
                  <c:v>0.11291521008585004</c:v>
                </c:pt>
                <c:pt idx="20">
                  <c:v>0.11562800149986739</c:v>
                </c:pt>
                <c:pt idx="21">
                  <c:v>0.10921193519668602</c:v>
                </c:pt>
                <c:pt idx="22">
                  <c:v>9.4606639665867354E-2</c:v>
                </c:pt>
                <c:pt idx="23">
                  <c:v>8.0199539859557564E-2</c:v>
                </c:pt>
                <c:pt idx="24">
                  <c:v>6.7267343940658489E-2</c:v>
                </c:pt>
                <c:pt idx="25">
                  <c:v>5.5904287899969034E-2</c:v>
                </c:pt>
                <c:pt idx="26">
                  <c:v>4.8844845884478988E-2</c:v>
                </c:pt>
                <c:pt idx="27">
                  <c:v>4.2726781295991834E-2</c:v>
                </c:pt>
                <c:pt idx="28">
                  <c:v>3.7665596198499587E-2</c:v>
                </c:pt>
                <c:pt idx="29">
                  <c:v>3.363548606078106E-2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DC-407F-96BF-908618FBC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8560367"/>
        <c:axId val="1978568687"/>
      </c:lineChart>
      <c:dateAx>
        <c:axId val="1978560367"/>
        <c:scaling>
          <c:orientation val="minMax"/>
        </c:scaling>
        <c:delete val="0"/>
        <c:axPos val="b"/>
        <c:numFmt formatCode="[$-1409]d\ mmm\ 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568687"/>
        <c:crosses val="autoZero"/>
        <c:auto val="1"/>
        <c:lblOffset val="100"/>
        <c:baseTimeUnit val="months"/>
      </c:dateAx>
      <c:valAx>
        <c:axId val="1978568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%_);_(* \(#,##0.00%\);_(* &quot;–&quot;???_);_(* 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5603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LCI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'Growth rates'!$B$34:$B$63</c:f>
              <c:numCache>
                <c:formatCode>[$-1409]d\ mmm\ yy;@</c:formatCode>
                <c:ptCount val="30"/>
                <c:pt idx="0">
                  <c:v>43100</c:v>
                </c:pt>
                <c:pt idx="1">
                  <c:v>43190</c:v>
                </c:pt>
                <c:pt idx="2">
                  <c:v>43281</c:v>
                </c:pt>
                <c:pt idx="3">
                  <c:v>43373</c:v>
                </c:pt>
                <c:pt idx="4">
                  <c:v>43465</c:v>
                </c:pt>
                <c:pt idx="5">
                  <c:v>43555</c:v>
                </c:pt>
                <c:pt idx="6">
                  <c:v>43646</c:v>
                </c:pt>
                <c:pt idx="7">
                  <c:v>43738</c:v>
                </c:pt>
                <c:pt idx="8">
                  <c:v>43830</c:v>
                </c:pt>
                <c:pt idx="9">
                  <c:v>43921</c:v>
                </c:pt>
                <c:pt idx="10">
                  <c:v>44012</c:v>
                </c:pt>
                <c:pt idx="11">
                  <c:v>44104</c:v>
                </c:pt>
                <c:pt idx="12">
                  <c:v>44196</c:v>
                </c:pt>
                <c:pt idx="13">
                  <c:v>44286</c:v>
                </c:pt>
                <c:pt idx="14">
                  <c:v>44377</c:v>
                </c:pt>
                <c:pt idx="15">
                  <c:v>44469</c:v>
                </c:pt>
                <c:pt idx="16">
                  <c:v>44561</c:v>
                </c:pt>
                <c:pt idx="17">
                  <c:v>44651</c:v>
                </c:pt>
                <c:pt idx="18">
                  <c:v>44742</c:v>
                </c:pt>
                <c:pt idx="19">
                  <c:v>44834</c:v>
                </c:pt>
                <c:pt idx="20">
                  <c:v>44926</c:v>
                </c:pt>
                <c:pt idx="21">
                  <c:v>45016</c:v>
                </c:pt>
                <c:pt idx="22">
                  <c:v>45107</c:v>
                </c:pt>
                <c:pt idx="23">
                  <c:v>45199</c:v>
                </c:pt>
                <c:pt idx="24">
                  <c:v>45291</c:v>
                </c:pt>
                <c:pt idx="25">
                  <c:v>45382</c:v>
                </c:pt>
                <c:pt idx="26">
                  <c:v>45473</c:v>
                </c:pt>
                <c:pt idx="27">
                  <c:v>45565</c:v>
                </c:pt>
                <c:pt idx="28">
                  <c:v>45657</c:v>
                </c:pt>
                <c:pt idx="29">
                  <c:v>45747</c:v>
                </c:pt>
              </c:numCache>
            </c:numRef>
          </c:cat>
          <c:val>
            <c:numRef>
              <c:f>'Growth rates'!$E$34:$E$63</c:f>
              <c:numCache>
                <c:formatCode>_(* #,##0.00%_);_(* \(#,##0.00%\);_(* "–"???_);_(* @_)</c:formatCode>
                <c:ptCount val="30"/>
                <c:pt idx="0">
                  <c:v>1.7481743748616951E-2</c:v>
                </c:pt>
                <c:pt idx="1">
                  <c:v>1.8073616927485121E-2</c:v>
                </c:pt>
                <c:pt idx="2">
                  <c:v>1.8656716417910446E-2</c:v>
                </c:pt>
                <c:pt idx="3">
                  <c:v>1.857111645182434E-2</c:v>
                </c:pt>
                <c:pt idx="4">
                  <c:v>1.8703784254023487E-2</c:v>
                </c:pt>
                <c:pt idx="5">
                  <c:v>1.905174280147218E-2</c:v>
                </c:pt>
                <c:pt idx="6">
                  <c:v>1.9607843137254902E-2</c:v>
                </c:pt>
                <c:pt idx="7">
                  <c:v>2.1021021021021023E-2</c:v>
                </c:pt>
                <c:pt idx="8">
                  <c:v>2.2843723313407345E-2</c:v>
                </c:pt>
                <c:pt idx="9">
                  <c:v>2.4219247928616953E-2</c:v>
                </c:pt>
                <c:pt idx="10">
                  <c:v>2.4091293322062553E-2</c:v>
                </c:pt>
                <c:pt idx="11">
                  <c:v>2.2899159663865545E-2</c:v>
                </c:pt>
                <c:pt idx="12">
                  <c:v>2.0246295136714672E-2</c:v>
                </c:pt>
                <c:pt idx="13">
                  <c:v>1.8046048537647789E-2</c:v>
                </c:pt>
                <c:pt idx="14">
                  <c:v>1.8159306644655385E-2</c:v>
                </c:pt>
                <c:pt idx="15">
                  <c:v>1.9305812281782707E-2</c:v>
                </c:pt>
                <c:pt idx="16">
                  <c:v>2.1890343698854339E-2</c:v>
                </c:pt>
                <c:pt idx="17">
                  <c:v>2.526487367563162E-2</c:v>
                </c:pt>
                <c:pt idx="18">
                  <c:v>2.837454398054317E-2</c:v>
                </c:pt>
                <c:pt idx="19">
                  <c:v>3.0948810153387022E-2</c:v>
                </c:pt>
                <c:pt idx="20">
                  <c:v>3.3392759634390257E-2</c:v>
                </c:pt>
                <c:pt idx="21">
                  <c:v>3.4896035124999267E-2</c:v>
                </c:pt>
                <c:pt idx="22">
                  <c:v>3.5196037115071056E-2</c:v>
                </c:pt>
                <c:pt idx="23">
                  <c:v>3.5875877216593376E-2</c:v>
                </c:pt>
                <c:pt idx="24">
                  <c:v>3.6524141565890254E-2</c:v>
                </c:pt>
                <c:pt idx="25">
                  <c:v>3.7537756167781107E-2</c:v>
                </c:pt>
                <c:pt idx="26">
                  <c:v>3.811030189876722E-2</c:v>
                </c:pt>
                <c:pt idx="27">
                  <c:v>3.7587045042738729E-2</c:v>
                </c:pt>
                <c:pt idx="28">
                  <c:v>3.5997977796129781E-2</c:v>
                </c:pt>
                <c:pt idx="29">
                  <c:v>3.3375679523553178E-2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DC-407F-96BF-908618FBC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8560367"/>
        <c:axId val="1978568687"/>
      </c:lineChart>
      <c:dateAx>
        <c:axId val="1978560367"/>
        <c:scaling>
          <c:orientation val="minMax"/>
        </c:scaling>
        <c:delete val="0"/>
        <c:axPos val="b"/>
        <c:numFmt formatCode="[$-1409]d\ mmm\ 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568687"/>
        <c:crosses val="autoZero"/>
        <c:auto val="1"/>
        <c:lblOffset val="100"/>
        <c:baseTimeUnit val="months"/>
      </c:dateAx>
      <c:valAx>
        <c:axId val="1978568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%_);_(* \(#,##0.00%\);_(* &quot;–&quot;???_);_(* 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5603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142875</xdr:rowOff>
    </xdr:from>
    <xdr:to>
      <xdr:col>1</xdr:col>
      <xdr:colOff>884522</xdr:colOff>
      <xdr:row>1</xdr:row>
      <xdr:rowOff>657975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E0FFF49-91CC-4005-A83E-FFFD3FB6FA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42875"/>
          <a:ext cx="2344718" cy="7108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4</xdr:col>
      <xdr:colOff>0</xdr:colOff>
      <xdr:row>16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0800"/>
          <a:ext cx="8982075" cy="3390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20</xdr:row>
      <xdr:rowOff>0</xdr:rowOff>
    </xdr:from>
    <xdr:to>
      <xdr:col>31</xdr:col>
      <xdr:colOff>0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D971AF-FCDC-326F-E12D-18190E01CF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36</xdr:row>
      <xdr:rowOff>1</xdr:rowOff>
    </xdr:from>
    <xdr:to>
      <xdr:col>31</xdr:col>
      <xdr:colOff>0</xdr:colOff>
      <xdr:row>51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EAD2494-E862-4278-B25C-1C0420B5A6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0</xdr:colOff>
      <xdr:row>3</xdr:row>
      <xdr:rowOff>180108</xdr:rowOff>
    </xdr:from>
    <xdr:to>
      <xdr:col>31</xdr:col>
      <xdr:colOff>0</xdr:colOff>
      <xdr:row>19</xdr:row>
      <xdr:rowOff>-1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489FC2C-CFBB-2956-70F5-E695A3FAAB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%20Pco%20DPP3/inflators/Summary_Q32022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%20Pco%20DPP3/inflators/ComCom_CGPI_Q3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Table 1"/>
      <sheetName val="A1(F)"/>
      <sheetName val="A2(H)"/>
      <sheetName val="A3 QGDP"/>
      <sheetName val="A4 NatSav"/>
      <sheetName val="A5 &amp; 6 Mone"/>
      <sheetName val="A7 Prices"/>
      <sheetName val="A8 Govt"/>
      <sheetName val="A9 &amp; A10 Intl"/>
      <sheetName val="A11 ToT"/>
      <sheetName val="A12 MerX"/>
      <sheetName val="A13 MerM"/>
      <sheetName val="A14 BoP"/>
      <sheetName val="A15 &amp; A16 Agric"/>
      <sheetName val=" A17 Labour"/>
      <sheetName val="A18 Wges &amp; A19 Hhld"/>
      <sheetName val="A20 HI&amp;O"/>
      <sheetName val="A21 GFKF &amp; A22 Stocks"/>
      <sheetName val="A23 Industry outlook"/>
      <sheetName val="A24 Industry shares"/>
      <sheetName val="A25 Regional outlook"/>
      <sheetName val="A26 Regional shares"/>
      <sheetName val="AFOSHEET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6">
          <cell r="I46">
            <v>1022</v>
          </cell>
        </row>
        <row r="47">
          <cell r="I47">
            <v>1031</v>
          </cell>
        </row>
        <row r="48">
          <cell r="I48">
            <v>1037</v>
          </cell>
        </row>
        <row r="49">
          <cell r="I49">
            <v>1042</v>
          </cell>
        </row>
        <row r="50">
          <cell r="I50">
            <v>1045</v>
          </cell>
        </row>
        <row r="51">
          <cell r="I51">
            <v>1051</v>
          </cell>
        </row>
        <row r="52">
          <cell r="I52">
            <v>1040</v>
          </cell>
        </row>
        <row r="53">
          <cell r="I53">
            <v>1037</v>
          </cell>
        </row>
        <row r="54">
          <cell r="I54">
            <v>1045</v>
          </cell>
        </row>
        <row r="55">
          <cell r="I55">
            <v>1051</v>
          </cell>
        </row>
        <row r="56">
          <cell r="I56">
            <v>1074</v>
          </cell>
        </row>
        <row r="57">
          <cell r="I57">
            <v>1066</v>
          </cell>
        </row>
        <row r="58">
          <cell r="I58">
            <v>1077</v>
          </cell>
        </row>
        <row r="59">
          <cell r="I59">
            <v>1066</v>
          </cell>
        </row>
        <row r="60">
          <cell r="I60">
            <v>1050</v>
          </cell>
        </row>
        <row r="61">
          <cell r="I61">
            <v>1046</v>
          </cell>
        </row>
        <row r="62">
          <cell r="I62">
            <v>1034</v>
          </cell>
        </row>
        <row r="63">
          <cell r="I63">
            <v>1031</v>
          </cell>
        </row>
        <row r="64">
          <cell r="I64">
            <v>1048</v>
          </cell>
        </row>
        <row r="65">
          <cell r="I65">
            <v>1035</v>
          </cell>
        </row>
        <row r="66">
          <cell r="I66">
            <v>1025</v>
          </cell>
        </row>
        <row r="67">
          <cell r="I67">
            <v>1034</v>
          </cell>
        </row>
        <row r="68">
          <cell r="I68">
            <v>1049</v>
          </cell>
        </row>
        <row r="69">
          <cell r="I69">
            <v>1059</v>
          </cell>
        </row>
        <row r="70">
          <cell r="I70">
            <v>1068</v>
          </cell>
        </row>
        <row r="71">
          <cell r="I71">
            <v>1084</v>
          </cell>
        </row>
        <row r="72">
          <cell r="I72">
            <v>1096</v>
          </cell>
        </row>
        <row r="73">
          <cell r="I73">
            <v>1106</v>
          </cell>
        </row>
        <row r="74">
          <cell r="I74">
            <v>1113</v>
          </cell>
        </row>
        <row r="75">
          <cell r="I75">
            <v>1124</v>
          </cell>
        </row>
        <row r="76">
          <cell r="I76">
            <v>1140</v>
          </cell>
        </row>
        <row r="77">
          <cell r="I77">
            <v>1161</v>
          </cell>
        </row>
        <row r="78">
          <cell r="I78">
            <v>1151</v>
          </cell>
        </row>
        <row r="79">
          <cell r="I79">
            <v>1154</v>
          </cell>
        </row>
        <row r="80">
          <cell r="I80">
            <v>1166</v>
          </cell>
        </row>
        <row r="81">
          <cell r="I81">
            <v>1168</v>
          </cell>
        </row>
        <row r="82">
          <cell r="I82">
            <v>1165</v>
          </cell>
        </row>
        <row r="83">
          <cell r="I83">
            <v>1154</v>
          </cell>
        </row>
        <row r="84">
          <cell r="I84">
            <v>1161</v>
          </cell>
        </row>
        <row r="85">
          <cell r="I85">
            <v>1162</v>
          </cell>
        </row>
        <row r="86">
          <cell r="I86">
            <v>1186</v>
          </cell>
        </row>
        <row r="87">
          <cell r="I87">
            <v>1222</v>
          </cell>
        </row>
        <row r="88">
          <cell r="I88">
            <v>1242</v>
          </cell>
        </row>
        <row r="89">
          <cell r="I89">
            <v>1257</v>
          </cell>
        </row>
        <row r="90">
          <cell r="I90">
            <v>1300</v>
          </cell>
        </row>
        <row r="91">
          <cell r="I91">
            <v>1340</v>
          </cell>
        </row>
        <row r="93">
          <cell r="I93">
            <v>1369.0196077710109</v>
          </cell>
        </row>
        <row r="94">
          <cell r="I94">
            <v>1396.8386053880761</v>
          </cell>
        </row>
        <row r="95">
          <cell r="I95">
            <v>1426.7367626695016</v>
          </cell>
        </row>
        <row r="96">
          <cell r="I96">
            <v>1452.7891277168344</v>
          </cell>
        </row>
        <row r="97">
          <cell r="I97">
            <v>1476.4988778175402</v>
          </cell>
        </row>
        <row r="98">
          <cell r="I98">
            <v>1497.3009916229823</v>
          </cell>
        </row>
        <row r="99">
          <cell r="I99">
            <v>1517.3222365028764</v>
          </cell>
        </row>
        <row r="100">
          <cell r="I100">
            <v>1534.753106452484</v>
          </cell>
        </row>
        <row r="101">
          <cell r="I101">
            <v>1552.2226904583017</v>
          </cell>
        </row>
        <row r="102">
          <cell r="I102">
            <v>1566.6903129379039</v>
          </cell>
        </row>
        <row r="103">
          <cell r="I103">
            <v>1580.9296022303865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3">
          <cell r="H43">
            <v>1031</v>
          </cell>
        </row>
        <row r="44">
          <cell r="H44">
            <v>1035</v>
          </cell>
        </row>
        <row r="45">
          <cell r="H45">
            <v>1041</v>
          </cell>
        </row>
        <row r="46">
          <cell r="H46">
            <v>1047</v>
          </cell>
        </row>
        <row r="47">
          <cell r="H47">
            <v>1052</v>
          </cell>
        </row>
        <row r="48">
          <cell r="H48">
            <v>1056</v>
          </cell>
        </row>
        <row r="49">
          <cell r="H49">
            <v>1061</v>
          </cell>
        </row>
        <row r="50">
          <cell r="H50">
            <v>1066</v>
          </cell>
        </row>
        <row r="51">
          <cell r="H51">
            <v>1070</v>
          </cell>
        </row>
        <row r="52">
          <cell r="H52">
            <v>1074</v>
          </cell>
        </row>
        <row r="53">
          <cell r="H53">
            <v>1079</v>
          </cell>
        </row>
        <row r="54">
          <cell r="H54">
            <v>1083</v>
          </cell>
        </row>
        <row r="55">
          <cell r="H55">
            <v>1087</v>
          </cell>
        </row>
        <row r="56">
          <cell r="H56">
            <v>1092</v>
          </cell>
        </row>
        <row r="57">
          <cell r="H57">
            <v>1096</v>
          </cell>
        </row>
        <row r="58">
          <cell r="H58">
            <v>1102</v>
          </cell>
        </row>
        <row r="59">
          <cell r="H59">
            <v>1105</v>
          </cell>
        </row>
        <row r="60">
          <cell r="H60">
            <v>1110</v>
          </cell>
        </row>
        <row r="61">
          <cell r="H61">
            <v>1114</v>
          </cell>
        </row>
        <row r="62">
          <cell r="H62">
            <v>1119</v>
          </cell>
        </row>
        <row r="63">
          <cell r="H63">
            <v>1123</v>
          </cell>
        </row>
        <row r="64">
          <cell r="H64">
            <v>1127</v>
          </cell>
        </row>
        <row r="65">
          <cell r="H65">
            <v>1132</v>
          </cell>
        </row>
        <row r="66">
          <cell r="H66">
            <v>1137</v>
          </cell>
        </row>
        <row r="67">
          <cell r="H67">
            <v>1141</v>
          </cell>
        </row>
        <row r="68">
          <cell r="H68">
            <v>1146</v>
          </cell>
        </row>
        <row r="69">
          <cell r="H69">
            <v>1153</v>
          </cell>
        </row>
        <row r="70">
          <cell r="H70">
            <v>1158</v>
          </cell>
        </row>
        <row r="71">
          <cell r="H71">
            <v>1162</v>
          </cell>
        </row>
        <row r="72">
          <cell r="H72">
            <v>1168</v>
          </cell>
        </row>
        <row r="73">
          <cell r="H73">
            <v>1174</v>
          </cell>
        </row>
        <row r="74">
          <cell r="H74">
            <v>1180</v>
          </cell>
        </row>
        <row r="75">
          <cell r="H75">
            <v>1185</v>
          </cell>
        </row>
        <row r="76">
          <cell r="H76">
            <v>1193</v>
          </cell>
        </row>
        <row r="77">
          <cell r="H77">
            <v>1202</v>
          </cell>
        </row>
        <row r="78">
          <cell r="H78">
            <v>1211</v>
          </cell>
        </row>
        <row r="79">
          <cell r="H79">
            <v>1215</v>
          </cell>
        </row>
        <row r="80">
          <cell r="H80">
            <v>1218</v>
          </cell>
        </row>
        <row r="81">
          <cell r="H81">
            <v>1225</v>
          </cell>
        </row>
        <row r="82">
          <cell r="H82">
            <v>1230</v>
          </cell>
        </row>
        <row r="83">
          <cell r="H83">
            <v>1235</v>
          </cell>
        </row>
        <row r="84">
          <cell r="H84">
            <v>1244</v>
          </cell>
        </row>
        <row r="85">
          <cell r="H85">
            <v>1254</v>
          </cell>
        </row>
        <row r="86">
          <cell r="H86">
            <v>1262</v>
          </cell>
        </row>
        <row r="87">
          <cell r="H87">
            <v>1272</v>
          </cell>
        </row>
        <row r="88">
          <cell r="H88">
            <v>1286</v>
          </cell>
        </row>
        <row r="91">
          <cell r="H91">
            <v>1317.800014375217</v>
          </cell>
        </row>
        <row r="92">
          <cell r="H92">
            <v>1370.5513311658465</v>
          </cell>
        </row>
        <row r="93">
          <cell r="H93">
            <v>1411.0331056645919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</sheetNames>
    <sheetDataSet>
      <sheetData sheetId="0">
        <row r="252">
          <cell r="B252">
            <v>1307</v>
          </cell>
        </row>
        <row r="253">
          <cell r="B253">
            <v>1314</v>
          </cell>
        </row>
        <row r="254">
          <cell r="B254">
            <v>1314</v>
          </cell>
        </row>
        <row r="255">
          <cell r="B255">
            <v>1319</v>
          </cell>
        </row>
        <row r="256">
          <cell r="B256">
            <v>1319</v>
          </cell>
        </row>
        <row r="257">
          <cell r="B257">
            <v>1327</v>
          </cell>
        </row>
        <row r="258">
          <cell r="B258">
            <v>1331</v>
          </cell>
        </row>
        <row r="259">
          <cell r="B259">
            <v>1331</v>
          </cell>
        </row>
        <row r="260">
          <cell r="B260">
            <v>1330</v>
          </cell>
        </row>
        <row r="261">
          <cell r="B261">
            <v>1337</v>
          </cell>
        </row>
        <row r="262">
          <cell r="B262">
            <v>1343</v>
          </cell>
        </row>
        <row r="263">
          <cell r="B263">
            <v>1350</v>
          </cell>
        </row>
        <row r="264">
          <cell r="B264">
            <v>1358</v>
          </cell>
        </row>
        <row r="265">
          <cell r="B265">
            <v>1367</v>
          </cell>
        </row>
        <row r="266">
          <cell r="B266">
            <v>1374</v>
          </cell>
        </row>
        <row r="267">
          <cell r="B267">
            <v>1388</v>
          </cell>
        </row>
        <row r="268">
          <cell r="B268">
            <v>1396</v>
          </cell>
        </row>
        <row r="269">
          <cell r="B269">
            <v>1404</v>
          </cell>
        </row>
        <row r="270">
          <cell r="B270">
            <v>1423</v>
          </cell>
        </row>
        <row r="271">
          <cell r="B271">
            <v>1432</v>
          </cell>
        </row>
        <row r="272">
          <cell r="B272">
            <v>1439</v>
          </cell>
        </row>
        <row r="273">
          <cell r="B273">
            <v>1452</v>
          </cell>
        </row>
        <row r="274">
          <cell r="B274">
            <v>1464</v>
          </cell>
        </row>
        <row r="275">
          <cell r="B275">
            <v>1480</v>
          </cell>
        </row>
        <row r="276">
          <cell r="B276">
            <v>1486</v>
          </cell>
        </row>
        <row r="277">
          <cell r="B277">
            <v>1499</v>
          </cell>
        </row>
        <row r="278">
          <cell r="B278">
            <v>1507</v>
          </cell>
        </row>
        <row r="279">
          <cell r="B279">
            <v>1519</v>
          </cell>
        </row>
        <row r="280">
          <cell r="B280">
            <v>1524</v>
          </cell>
        </row>
        <row r="281">
          <cell r="B281">
            <v>1536</v>
          </cell>
        </row>
        <row r="282">
          <cell r="B282">
            <v>1554</v>
          </cell>
        </row>
        <row r="283">
          <cell r="B283">
            <v>1561</v>
          </cell>
        </row>
        <row r="284">
          <cell r="B284">
            <v>1569</v>
          </cell>
        </row>
        <row r="285">
          <cell r="B285">
            <v>1583</v>
          </cell>
        </row>
        <row r="286">
          <cell r="B286">
            <v>1596</v>
          </cell>
        </row>
        <row r="287">
          <cell r="B287">
            <v>1604</v>
          </cell>
        </row>
        <row r="288">
          <cell r="B288">
            <v>1614</v>
          </cell>
        </row>
        <row r="289">
          <cell r="B289">
            <v>1619</v>
          </cell>
        </row>
        <row r="290">
          <cell r="B290">
            <v>1624</v>
          </cell>
        </row>
        <row r="291">
          <cell r="B291">
            <v>1634</v>
          </cell>
        </row>
        <row r="292">
          <cell r="B292">
            <v>1644</v>
          </cell>
        </row>
        <row r="293">
          <cell r="B293">
            <v>1692</v>
          </cell>
        </row>
        <row r="294">
          <cell r="B294">
            <v>1734</v>
          </cell>
        </row>
        <row r="295">
          <cell r="B295">
            <v>1785</v>
          </cell>
        </row>
        <row r="296">
          <cell r="B296">
            <v>1835</v>
          </cell>
        </row>
        <row r="297">
          <cell r="B297">
            <v>1903</v>
          </cell>
        </row>
        <row r="298">
          <cell r="B298">
            <v>1937.9835684155389</v>
          </cell>
        </row>
        <row r="299">
          <cell r="B299">
            <v>1971.646381866052</v>
          </cell>
        </row>
        <row r="300">
          <cell r="B300">
            <v>2002.8773451142588</v>
          </cell>
        </row>
        <row r="301">
          <cell r="B301">
            <v>2031.0530886593494</v>
          </cell>
        </row>
        <row r="302">
          <cell r="B302">
            <v>2053.774201862524</v>
          </cell>
        </row>
        <row r="303">
          <cell r="B303">
            <v>2074.3610688419317</v>
          </cell>
        </row>
        <row r="304">
          <cell r="B304">
            <v>2093.2393059581623</v>
          </cell>
        </row>
        <row r="305">
          <cell r="B305">
            <v>2110.1877901258113</v>
          </cell>
        </row>
        <row r="306">
          <cell r="B306">
            <v>2125.9129808887246</v>
          </cell>
        </row>
        <row r="307">
          <cell r="B307">
            <v>2140.1546984758593</v>
          </cell>
        </row>
        <row r="308">
          <cell r="B308">
            <v>2153.7466115361121</v>
          </cell>
        </row>
      </sheetData>
    </sheetDataSet>
  </externalBook>
</externalLink>
</file>

<file path=xl/theme/theme1.xml><?xml version="1.0" encoding="utf-8"?>
<a:theme xmlns:a="http://schemas.openxmlformats.org/drawingml/2006/main" name="Financial Model Theme">
  <a:themeElements>
    <a:clrScheme name="Office">
      <a:dk1>
        <a:srgbClr val="000000"/>
      </a:dk1>
      <a:lt1>
        <a:srgbClr val="FFFFFF"/>
      </a:lt1>
      <a:dk2>
        <a:srgbClr val="F9F9F5"/>
      </a:dk2>
      <a:lt2>
        <a:srgbClr val="C00000"/>
      </a:lt2>
      <a:accent1>
        <a:srgbClr val="EAE8DA"/>
      </a:accent1>
      <a:accent2>
        <a:srgbClr val="D7D3BB"/>
      </a:accent2>
      <a:accent3>
        <a:srgbClr val="C9C4A3"/>
      </a:accent3>
      <a:accent4>
        <a:srgbClr val="B0A978"/>
      </a:accent4>
      <a:accent5>
        <a:srgbClr val="968F58"/>
      </a:accent5>
      <a:accent6>
        <a:srgbClr val="645F3A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18"/>
  <sheetViews>
    <sheetView showGridLines="0" tabSelected="1" view="pageBreakPreview" zoomScaleNormal="100" zoomScaleSheetLayoutView="100" workbookViewId="0"/>
  </sheetViews>
  <sheetFormatPr defaultColWidth="9.109375" defaultRowHeight="15" customHeight="1" x14ac:dyDescent="0.3"/>
  <cols>
    <col min="1" max="1" width="26.5546875" customWidth="1"/>
    <col min="2" max="2" width="43.109375" customWidth="1"/>
    <col min="3" max="3" width="32.6640625" customWidth="1"/>
    <col min="4" max="4" width="32.33203125" customWidth="1"/>
  </cols>
  <sheetData>
    <row r="1" spans="1:5" ht="15" customHeight="1" x14ac:dyDescent="0.3">
      <c r="A1" s="47"/>
      <c r="B1" s="48"/>
      <c r="C1" s="48"/>
      <c r="D1" s="48"/>
      <c r="E1" s="4"/>
    </row>
    <row r="2" spans="1:5" ht="189" customHeight="1" x14ac:dyDescent="0.3">
      <c r="A2" s="49"/>
      <c r="B2" s="50"/>
      <c r="C2" s="50"/>
      <c r="D2" s="50"/>
      <c r="E2" s="4"/>
    </row>
    <row r="3" spans="1:5" ht="22.5" customHeight="1" x14ac:dyDescent="0.5">
      <c r="A3" s="36" t="s">
        <v>51</v>
      </c>
      <c r="B3" s="51"/>
      <c r="C3" s="51"/>
      <c r="D3" s="51"/>
      <c r="E3" s="17"/>
    </row>
    <row r="4" spans="1:5" ht="22.5" customHeight="1" x14ac:dyDescent="0.5">
      <c r="A4" s="36" t="s">
        <v>52</v>
      </c>
      <c r="B4" s="51"/>
      <c r="C4" s="51"/>
      <c r="D4" s="51"/>
      <c r="E4" s="4"/>
    </row>
    <row r="5" spans="1:5" ht="22.5" customHeight="1" x14ac:dyDescent="0.5">
      <c r="A5" s="36" t="s">
        <v>46</v>
      </c>
      <c r="B5" s="51"/>
      <c r="C5" s="51"/>
      <c r="D5" s="51"/>
      <c r="E5" s="17"/>
    </row>
    <row r="6" spans="1:5" ht="22.5" customHeight="1" x14ac:dyDescent="0.5">
      <c r="A6" s="36" t="s">
        <v>53</v>
      </c>
      <c r="B6" s="51"/>
      <c r="C6" s="51"/>
      <c r="D6" s="51"/>
      <c r="E6" s="17"/>
    </row>
    <row r="7" spans="1:5" ht="42" customHeight="1" x14ac:dyDescent="0.3">
      <c r="A7" s="49"/>
      <c r="B7" s="50"/>
      <c r="C7" s="50"/>
      <c r="D7" s="50"/>
      <c r="E7" s="4"/>
    </row>
    <row r="8" spans="1:5" ht="15" customHeight="1" x14ac:dyDescent="0.3">
      <c r="A8" s="49"/>
      <c r="B8" s="50"/>
      <c r="C8" s="50"/>
      <c r="D8" s="50"/>
      <c r="E8" s="4"/>
    </row>
    <row r="9" spans="1:5" ht="15" customHeight="1" x14ac:dyDescent="0.3">
      <c r="A9" s="49"/>
      <c r="B9" s="50"/>
      <c r="C9" s="50"/>
      <c r="D9" s="50"/>
      <c r="E9" s="4"/>
    </row>
    <row r="10" spans="1:5" ht="15" customHeight="1" x14ac:dyDescent="0.3">
      <c r="A10" s="49"/>
      <c r="B10" s="50"/>
      <c r="C10" s="50"/>
      <c r="D10" s="50"/>
      <c r="E10" s="4"/>
    </row>
    <row r="11" spans="1:5" ht="15" customHeight="1" x14ac:dyDescent="0.3">
      <c r="A11" s="49"/>
      <c r="B11" s="50"/>
      <c r="C11" s="50"/>
      <c r="D11" s="50"/>
      <c r="E11" s="4"/>
    </row>
    <row r="12" spans="1:5" ht="15" customHeight="1" x14ac:dyDescent="0.3">
      <c r="A12" s="49"/>
      <c r="B12" s="50"/>
      <c r="C12" s="50"/>
      <c r="D12" s="50"/>
      <c r="E12" s="4"/>
    </row>
    <row r="13" spans="1:5" ht="15" customHeight="1" x14ac:dyDescent="0.3">
      <c r="A13" s="49"/>
      <c r="B13" s="50"/>
      <c r="C13" s="50"/>
      <c r="D13" s="50"/>
      <c r="E13" s="4"/>
    </row>
    <row r="14" spans="1:5" ht="15" customHeight="1" x14ac:dyDescent="0.3">
      <c r="A14" s="49"/>
      <c r="B14" s="50"/>
      <c r="C14" s="50"/>
      <c r="D14" s="50"/>
      <c r="E14" s="4"/>
    </row>
    <row r="15" spans="1:5" ht="15" customHeight="1" x14ac:dyDescent="0.3">
      <c r="A15" s="49"/>
      <c r="B15" s="50"/>
      <c r="C15" s="50"/>
      <c r="D15" s="50"/>
      <c r="E15" s="4"/>
    </row>
    <row r="16" spans="1:5" ht="15" customHeight="1" x14ac:dyDescent="0.3">
      <c r="A16" s="49"/>
      <c r="B16" s="50"/>
      <c r="C16" s="50"/>
      <c r="D16" s="50"/>
      <c r="E16" s="4"/>
    </row>
    <row r="17" spans="1:5" ht="15" customHeight="1" x14ac:dyDescent="0.3">
      <c r="A17" s="52" t="s">
        <v>61</v>
      </c>
      <c r="B17" s="53"/>
      <c r="C17" s="53"/>
      <c r="D17" s="53"/>
      <c r="E17" s="54"/>
    </row>
    <row r="18" spans="1:5" ht="15" customHeight="1" x14ac:dyDescent="0.3">
      <c r="A18" s="39"/>
      <c r="B18" s="40"/>
      <c r="C18" s="40"/>
      <c r="D18" s="40"/>
      <c r="E18" s="4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97" fitToHeight="0" orientation="landscape" r:id="rId1"/>
  <headerFooter>
    <oddHeader>&amp;R&amp;D &amp;T</oddHeader>
    <oddFooter>&amp;L&amp;F&amp;C&amp;A&amp;R&amp;P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70340-C1EC-4CBB-BE1F-E0E865A68F6A}">
  <sheetPr codeName="Sheet3">
    <pageSetUpPr fitToPage="1"/>
  </sheetPr>
  <dimension ref="A1:E11"/>
  <sheetViews>
    <sheetView showGridLines="0" view="pageBreakPreview" zoomScaleNormal="100" zoomScaleSheetLayoutView="100" workbookViewId="0"/>
  </sheetViews>
  <sheetFormatPr defaultColWidth="9.109375" defaultRowHeight="15" customHeight="1" x14ac:dyDescent="0.3"/>
  <cols>
    <col min="1" max="1" width="2.6640625" customWidth="1"/>
    <col min="2" max="2" width="23.33203125" customWidth="1"/>
    <col min="3" max="3" width="100.6640625" customWidth="1"/>
    <col min="4" max="5" width="14.6640625" customWidth="1"/>
    <col min="6" max="6" width="9.109375" customWidth="1"/>
  </cols>
  <sheetData>
    <row r="1" spans="1:5" ht="25.8" x14ac:dyDescent="0.5">
      <c r="A1" s="17" t="s">
        <v>9</v>
      </c>
      <c r="B1" s="4"/>
      <c r="C1" s="4"/>
      <c r="D1" s="4"/>
      <c r="E1" s="4"/>
    </row>
    <row r="2" spans="1:5" ht="14.4" x14ac:dyDescent="0.3">
      <c r="A2" s="4"/>
      <c r="B2" s="55" t="s">
        <v>54</v>
      </c>
      <c r="C2" s="4"/>
      <c r="D2" s="4"/>
      <c r="E2" s="4"/>
    </row>
    <row r="3" spans="1:5" ht="14.4" x14ac:dyDescent="0.3">
      <c r="A3" s="4"/>
      <c r="B3" s="55" t="s">
        <v>55</v>
      </c>
      <c r="C3" s="4"/>
      <c r="D3" s="4"/>
      <c r="E3" s="4"/>
    </row>
    <row r="4" spans="1:5" ht="14.4" x14ac:dyDescent="0.3">
      <c r="A4" s="4"/>
      <c r="B4" s="4"/>
      <c r="C4" s="4"/>
      <c r="D4" s="4"/>
      <c r="E4" s="4"/>
    </row>
    <row r="5" spans="1:5" ht="23.4" x14ac:dyDescent="0.45">
      <c r="A5" s="4"/>
      <c r="B5" s="56" t="s">
        <v>45</v>
      </c>
      <c r="C5" s="46"/>
      <c r="D5" s="46"/>
      <c r="E5" s="46"/>
    </row>
    <row r="6" spans="1:5" ht="116.4" customHeight="1" x14ac:dyDescent="0.3">
      <c r="A6" s="4"/>
      <c r="B6" s="144" t="s">
        <v>56</v>
      </c>
      <c r="C6" s="144"/>
      <c r="D6" s="144"/>
      <c r="E6" s="144"/>
    </row>
    <row r="7" spans="1:5" ht="23.4" x14ac:dyDescent="0.45">
      <c r="A7" s="4"/>
      <c r="B7" s="43" t="s">
        <v>47</v>
      </c>
      <c r="C7" s="44"/>
      <c r="D7" s="44"/>
      <c r="E7" s="44"/>
    </row>
    <row r="8" spans="1:5" ht="15" customHeight="1" x14ac:dyDescent="0.3">
      <c r="A8" s="4"/>
      <c r="B8" s="45" t="s">
        <v>57</v>
      </c>
      <c r="C8" s="4"/>
      <c r="D8" s="4"/>
      <c r="E8" s="4"/>
    </row>
    <row r="9" spans="1:5" ht="15" customHeight="1" x14ac:dyDescent="0.3">
      <c r="A9" s="4"/>
      <c r="B9" s="4" t="s">
        <v>58</v>
      </c>
      <c r="C9" s="4"/>
      <c r="D9" s="4"/>
      <c r="E9" s="4"/>
    </row>
    <row r="10" spans="1:5" ht="15" customHeight="1" x14ac:dyDescent="0.3">
      <c r="A10" s="4"/>
      <c r="B10" s="57" t="s">
        <v>59</v>
      </c>
      <c r="C10" s="4"/>
      <c r="D10" s="4"/>
      <c r="E10" s="4"/>
    </row>
    <row r="11" spans="1:5" ht="15" customHeight="1" x14ac:dyDescent="0.3">
      <c r="A11" s="4"/>
      <c r="B11" s="46" t="s">
        <v>60</v>
      </c>
      <c r="C11" s="46"/>
      <c r="D11" s="46"/>
      <c r="E11" s="46"/>
    </row>
  </sheetData>
  <sheetProtection formatColumns="0" formatRows="0"/>
  <mergeCells count="1">
    <mergeCell ref="B6:E6"/>
  </mergeCells>
  <pageMargins left="0.70866141732283505" right="0.70866141732283505" top="0.74803149606299202" bottom="0.74803149606299202" header="0.31496062992126" footer="0.31496062992126"/>
  <pageSetup paperSize="9" scale="79" fitToHeight="0" orientation="landscape" r:id="rId1"/>
  <headerFooter>
    <oddHeader>&amp;R&amp;D &amp;T</oddHeader>
    <oddFooter>&amp;L&amp;F&amp;C&amp;A&amp;R&amp;P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C12"/>
  <sheetViews>
    <sheetView showGridLines="0" view="pageBreakPreview" zoomScaleNormal="100" zoomScaleSheetLayoutView="100" workbookViewId="0"/>
  </sheetViews>
  <sheetFormatPr defaultColWidth="9.109375" defaultRowHeight="15" customHeight="1" x14ac:dyDescent="0.3"/>
  <cols>
    <col min="2" max="2" width="19.88671875" customWidth="1"/>
    <col min="3" max="3" width="88.44140625" customWidth="1"/>
    <col min="4" max="4" width="9.109375" customWidth="1"/>
  </cols>
  <sheetData>
    <row r="1" spans="1:3" ht="39.9" customHeight="1" x14ac:dyDescent="0.3">
      <c r="A1" s="8" t="s">
        <v>6</v>
      </c>
      <c r="B1" s="4"/>
      <c r="C1" s="4"/>
    </row>
    <row r="2" spans="1:3" ht="14.4" x14ac:dyDescent="0.3">
      <c r="A2" s="4"/>
      <c r="B2" s="4"/>
      <c r="C2" s="4"/>
    </row>
    <row r="3" spans="1:3" thickBot="1" x14ac:dyDescent="0.35">
      <c r="A3" s="4"/>
      <c r="B3" s="58"/>
      <c r="C3" s="58"/>
    </row>
    <row r="4" spans="1:3" ht="15.6" x14ac:dyDescent="0.3">
      <c r="A4" s="4"/>
      <c r="B4" s="59" t="s">
        <v>7</v>
      </c>
      <c r="C4" s="59" t="s">
        <v>8</v>
      </c>
    </row>
    <row r="5" spans="1:3" ht="14.4" x14ac:dyDescent="0.3">
      <c r="A5" s="4"/>
      <c r="B5" s="61" t="s">
        <v>5</v>
      </c>
      <c r="C5" s="62" t="s">
        <v>5</v>
      </c>
    </row>
    <row r="6" spans="1:3" ht="14.4" x14ac:dyDescent="0.3">
      <c r="A6" s="4"/>
      <c r="B6" s="63" t="s">
        <v>26</v>
      </c>
      <c r="C6" s="64" t="s">
        <v>21</v>
      </c>
    </row>
    <row r="7" spans="1:3" ht="14.4" x14ac:dyDescent="0.3">
      <c r="A7" s="4"/>
      <c r="B7" s="65"/>
      <c r="C7" s="66" t="s">
        <v>1</v>
      </c>
    </row>
    <row r="8" spans="1:3" ht="14.4" x14ac:dyDescent="0.3">
      <c r="A8" s="4"/>
      <c r="B8" s="60" t="s">
        <v>27</v>
      </c>
      <c r="C8" s="67" t="s">
        <v>20</v>
      </c>
    </row>
    <row r="9" spans="1:3" ht="14.4" x14ac:dyDescent="0.3">
      <c r="A9" s="4"/>
      <c r="B9" s="68"/>
      <c r="C9" s="69" t="s">
        <v>5</v>
      </c>
    </row>
    <row r="10" spans="1:3" ht="14.4" x14ac:dyDescent="0.3">
      <c r="A10" s="4"/>
      <c r="B10" s="68"/>
      <c r="C10" s="69" t="s">
        <v>4</v>
      </c>
    </row>
    <row r="11" spans="1:3" ht="14.4" x14ac:dyDescent="0.3">
      <c r="A11" s="4"/>
      <c r="B11" s="70"/>
      <c r="C11" s="71" t="s">
        <v>1</v>
      </c>
    </row>
    <row r="12" spans="1:3" thickBot="1" x14ac:dyDescent="0.35">
      <c r="A12" s="4"/>
      <c r="B12" s="72" t="s">
        <v>1</v>
      </c>
      <c r="C12" s="73" t="s">
        <v>1</v>
      </c>
    </row>
  </sheetData>
  <sheetProtection formatColumns="0" formatRows="0"/>
  <hyperlinks>
    <hyperlink ref="C5" location="'Inputs'!$A$1" tooltip="Section title. Click once to follow" display="Inputs" xr:uid="{80F90F67-DA84-4D64-9ED0-12C6B86D7C25}"/>
    <hyperlink ref="C6" location="'Growth rates'!$A$1" tooltip="Section title. Click once to follow" display="Annual growth rate calculations" xr:uid="{5AA36426-5F75-41C4-9843-DEBDA82017C2}"/>
    <hyperlink ref="C7" location="'Growth rates'!$A$65" tooltip="Section subtitle. Click once to follow" display="Outputs" xr:uid="{5DE69B0F-180D-49D1-8A6E-FC08862C1F78}"/>
    <hyperlink ref="C8" location="'Inflators'!$A$1" tooltip="Section title. Click once to follow" display="Inflator calculations" xr:uid="{2ABDF8AD-84F1-4B7B-90D0-F698AAD52F1F}"/>
    <hyperlink ref="C9" location="'Inflators'!$A$2" tooltip="Section subtitle. Click once to follow" display="Inputs" xr:uid="{3EEFA362-6197-4B9D-BBAD-3E9965731529}"/>
    <hyperlink ref="C10" location="'Inflators'!$A$26" tooltip="Section subtitle. Click once to follow" display="Calculations" xr:uid="{0D6FED57-0300-43A0-9DFF-EE18BA9964A2}"/>
    <hyperlink ref="C11" location="'Inflators'!$A$54" tooltip="Section subtitle. Click once to follow" display="Outputs" xr:uid="{B68BA03A-BEAC-45A7-B022-DBB32F6AAD61}"/>
    <hyperlink ref="C12" location="'Outputs'!$A$1" tooltip="Section title. Click once to follow" display="Outputs" xr:uid="{F4F56683-3CC5-40B5-9797-A291172B915A}"/>
  </hyperlinks>
  <pageMargins left="0.70866141732283505" right="0.70866141732283505" top="0.74803149606299202" bottom="0.74803149606299202" header="0.31496062992126" footer="0.31496062992126"/>
  <pageSetup paperSize="9" fitToHeight="0" orientation="landscape" r:id="rId1"/>
  <headerFooter>
    <oddHeader>&amp;R&amp;D &amp;T</oddHeader>
    <oddFooter>&amp;L&amp;F&amp;C&amp;A&amp;R&amp;P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2" tint="0.39997558519241921"/>
    <pageSetUpPr fitToPage="1"/>
  </sheetPr>
  <dimension ref="A1:D93"/>
  <sheetViews>
    <sheetView showGridLines="0" view="pageBreakPreview" zoomScaleNormal="100" zoomScaleSheetLayoutView="100" workbookViewId="0"/>
  </sheetViews>
  <sheetFormatPr defaultColWidth="9.109375" defaultRowHeight="15" customHeight="1" x14ac:dyDescent="0.3"/>
  <cols>
    <col min="1" max="1" width="36" bestFit="1" customWidth="1"/>
    <col min="2" max="4" width="15.6640625" customWidth="1"/>
    <col min="5" max="5" width="9.109375" customWidth="1"/>
  </cols>
  <sheetData>
    <row r="1" spans="1:4" ht="25.8" x14ac:dyDescent="0.3">
      <c r="A1" s="74" t="s">
        <v>5</v>
      </c>
      <c r="B1" s="50"/>
      <c r="C1" s="50"/>
      <c r="D1" s="50"/>
    </row>
    <row r="2" spans="1:4" ht="21" x14ac:dyDescent="0.4">
      <c r="A2" s="75" t="s">
        <v>29</v>
      </c>
      <c r="B2" s="76"/>
      <c r="C2" s="6"/>
      <c r="D2" s="6"/>
    </row>
    <row r="3" spans="1:4" ht="14.4" x14ac:dyDescent="0.3">
      <c r="A3" s="13" t="s">
        <v>25</v>
      </c>
      <c r="B3" s="15">
        <v>40999</v>
      </c>
      <c r="C3" s="77"/>
      <c r="D3" s="77"/>
    </row>
    <row r="4" spans="1:4" ht="14.4" x14ac:dyDescent="0.3">
      <c r="A4" s="13" t="s">
        <v>28</v>
      </c>
      <c r="B4" s="15">
        <v>44651</v>
      </c>
      <c r="C4" s="77"/>
      <c r="D4" s="77"/>
    </row>
    <row r="5" spans="1:4" ht="14.4" x14ac:dyDescent="0.3">
      <c r="A5" s="13" t="s">
        <v>17</v>
      </c>
      <c r="B5" s="15">
        <v>45747</v>
      </c>
      <c r="C5" s="77"/>
      <c r="D5" s="77"/>
    </row>
    <row r="6" spans="1:4" ht="14.4" x14ac:dyDescent="0.3">
      <c r="A6" s="13" t="s">
        <v>49</v>
      </c>
      <c r="B6" s="15">
        <v>44742</v>
      </c>
      <c r="C6" s="77"/>
      <c r="D6" s="77"/>
    </row>
    <row r="7" spans="1:4" ht="39.9" customHeight="1" x14ac:dyDescent="0.4">
      <c r="A7" s="78" t="s">
        <v>16</v>
      </c>
      <c r="B7" s="79"/>
      <c r="C7" s="76"/>
      <c r="D7" s="76"/>
    </row>
    <row r="8" spans="1:4" ht="41.4" x14ac:dyDescent="0.3">
      <c r="A8" s="2" t="s">
        <v>3</v>
      </c>
      <c r="B8" s="80" t="s">
        <v>10</v>
      </c>
      <c r="C8" s="80" t="s">
        <v>11</v>
      </c>
      <c r="D8" s="80" t="s">
        <v>12</v>
      </c>
    </row>
    <row r="9" spans="1:4" ht="14.4" x14ac:dyDescent="0.3">
      <c r="A9" s="1" t="s">
        <v>38</v>
      </c>
      <c r="B9" s="81"/>
      <c r="C9" s="81"/>
      <c r="D9" s="81"/>
    </row>
    <row r="10" spans="1:4" ht="14.4" x14ac:dyDescent="0.3">
      <c r="A10" s="1" t="s">
        <v>31</v>
      </c>
      <c r="B10" s="20">
        <v>0.6</v>
      </c>
      <c r="C10" s="20">
        <v>0.4</v>
      </c>
      <c r="D10" s="20">
        <v>0</v>
      </c>
    </row>
    <row r="11" spans="1:4" ht="14.4" x14ac:dyDescent="0.3">
      <c r="A11" s="1" t="s">
        <v>32</v>
      </c>
      <c r="B11" s="20">
        <v>0.6</v>
      </c>
      <c r="C11" s="20">
        <v>0.4</v>
      </c>
      <c r="D11" s="20">
        <v>0</v>
      </c>
    </row>
    <row r="12" spans="1:4" ht="14.4" x14ac:dyDescent="0.3">
      <c r="A12" s="1" t="s">
        <v>33</v>
      </c>
      <c r="B12" s="20">
        <v>0</v>
      </c>
      <c r="C12" s="20">
        <v>0</v>
      </c>
      <c r="D12" s="20">
        <v>1</v>
      </c>
    </row>
    <row r="13" spans="1:4" ht="14.4" x14ac:dyDescent="0.3">
      <c r="A13" s="82"/>
      <c r="B13" s="83"/>
      <c r="C13" s="83"/>
      <c r="D13" s="83"/>
    </row>
    <row r="14" spans="1:4" ht="21" x14ac:dyDescent="0.4">
      <c r="A14" s="75" t="s">
        <v>18</v>
      </c>
      <c r="B14" s="84"/>
      <c r="C14" s="84"/>
      <c r="D14" s="84"/>
    </row>
    <row r="15" spans="1:4" ht="14.4" x14ac:dyDescent="0.3">
      <c r="A15" s="25">
        <v>43555</v>
      </c>
      <c r="B15" s="16">
        <v>0.25</v>
      </c>
      <c r="C15" s="16">
        <v>0.25</v>
      </c>
      <c r="D15" s="16">
        <v>0.25</v>
      </c>
    </row>
    <row r="16" spans="1:4" ht="14.4" x14ac:dyDescent="0.3">
      <c r="A16" s="25">
        <v>43646</v>
      </c>
      <c r="B16" s="16">
        <v>0.25</v>
      </c>
      <c r="C16" s="16">
        <v>0.25</v>
      </c>
      <c r="D16" s="16">
        <v>0.25</v>
      </c>
    </row>
    <row r="17" spans="1:4" ht="14.4" x14ac:dyDescent="0.3">
      <c r="A17" s="25">
        <v>43738</v>
      </c>
      <c r="B17" s="16">
        <v>0.25</v>
      </c>
      <c r="C17" s="16">
        <v>0.25</v>
      </c>
      <c r="D17" s="16">
        <v>0.25</v>
      </c>
    </row>
    <row r="18" spans="1:4" ht="14.4" x14ac:dyDescent="0.3">
      <c r="A18" s="25">
        <v>43830</v>
      </c>
      <c r="B18" s="16">
        <v>0.25</v>
      </c>
      <c r="C18" s="16">
        <v>0.25</v>
      </c>
      <c r="D18" s="16">
        <v>0.25</v>
      </c>
    </row>
    <row r="19" spans="1:4" ht="14.4" x14ac:dyDescent="0.3">
      <c r="A19" s="82"/>
      <c r="B19" s="83"/>
      <c r="C19" s="83"/>
      <c r="D19" s="83"/>
    </row>
    <row r="20" spans="1:4" ht="21" x14ac:dyDescent="0.4">
      <c r="A20" s="85" t="s">
        <v>50</v>
      </c>
      <c r="B20" s="86"/>
      <c r="C20" s="86"/>
      <c r="D20" s="86"/>
    </row>
    <row r="21" spans="1:4" s="9" customFormat="1" ht="14.4" customHeight="1" x14ac:dyDescent="0.4">
      <c r="A21" s="85"/>
      <c r="B21" s="86"/>
      <c r="C21" s="86"/>
      <c r="D21" s="87"/>
    </row>
    <row r="22" spans="1:4" s="9" customFormat="1" ht="14.4" customHeight="1" x14ac:dyDescent="0.3">
      <c r="A22" s="41">
        <f t="shared" ref="A22:A30" si="0">EOMONTH(A23,-3)</f>
        <v>40633</v>
      </c>
      <c r="B22" s="90">
        <f>'[1]A18 Wges &amp; A19 Hhld'!H43</f>
        <v>1031</v>
      </c>
      <c r="C22" s="91">
        <f>'[1]A7 Prices'!I46</f>
        <v>1022</v>
      </c>
      <c r="D22" s="88">
        <f>[2]MAIN!B252</f>
        <v>1307</v>
      </c>
    </row>
    <row r="23" spans="1:4" s="9" customFormat="1" ht="14.4" customHeight="1" x14ac:dyDescent="0.3">
      <c r="A23" s="41">
        <f t="shared" si="0"/>
        <v>40724</v>
      </c>
      <c r="B23" s="90">
        <f>'[1]A18 Wges &amp; A19 Hhld'!H44</f>
        <v>1035</v>
      </c>
      <c r="C23" s="91">
        <f>'[1]A7 Prices'!I47</f>
        <v>1031</v>
      </c>
      <c r="D23" s="88">
        <f>[2]MAIN!B253</f>
        <v>1314</v>
      </c>
    </row>
    <row r="24" spans="1:4" s="9" customFormat="1" ht="14.4" customHeight="1" x14ac:dyDescent="0.3">
      <c r="A24" s="41">
        <f t="shared" si="0"/>
        <v>40816</v>
      </c>
      <c r="B24" s="90">
        <f>'[1]A18 Wges &amp; A19 Hhld'!H45</f>
        <v>1041</v>
      </c>
      <c r="C24" s="91">
        <f>'[1]A7 Prices'!I48</f>
        <v>1037</v>
      </c>
      <c r="D24" s="88">
        <f>[2]MAIN!B254</f>
        <v>1314</v>
      </c>
    </row>
    <row r="25" spans="1:4" s="9" customFormat="1" ht="14.4" customHeight="1" x14ac:dyDescent="0.3">
      <c r="A25" s="41">
        <f t="shared" si="0"/>
        <v>40908</v>
      </c>
      <c r="B25" s="90">
        <f>'[1]A18 Wges &amp; A19 Hhld'!H46</f>
        <v>1047</v>
      </c>
      <c r="C25" s="91">
        <f>'[1]A7 Prices'!I49</f>
        <v>1042</v>
      </c>
      <c r="D25" s="88">
        <f>[2]MAIN!B255</f>
        <v>1319</v>
      </c>
    </row>
    <row r="26" spans="1:4" s="9" customFormat="1" ht="14.4" customHeight="1" x14ac:dyDescent="0.3">
      <c r="A26" s="41">
        <f t="shared" si="0"/>
        <v>40999</v>
      </c>
      <c r="B26" s="90">
        <f>'[1]A18 Wges &amp; A19 Hhld'!H47</f>
        <v>1052</v>
      </c>
      <c r="C26" s="91">
        <f>'[1]A7 Prices'!I50</f>
        <v>1045</v>
      </c>
      <c r="D26" s="88">
        <f>[2]MAIN!B256</f>
        <v>1319</v>
      </c>
    </row>
    <row r="27" spans="1:4" s="9" customFormat="1" ht="14.4" customHeight="1" x14ac:dyDescent="0.3">
      <c r="A27" s="41">
        <f t="shared" si="0"/>
        <v>41090</v>
      </c>
      <c r="B27" s="90">
        <f>'[1]A18 Wges &amp; A19 Hhld'!H48</f>
        <v>1056</v>
      </c>
      <c r="C27" s="91">
        <f>'[1]A7 Prices'!I51</f>
        <v>1051</v>
      </c>
      <c r="D27" s="88">
        <f>[2]MAIN!B257</f>
        <v>1327</v>
      </c>
    </row>
    <row r="28" spans="1:4" s="9" customFormat="1" ht="14.4" customHeight="1" x14ac:dyDescent="0.3">
      <c r="A28" s="41">
        <f t="shared" si="0"/>
        <v>41182</v>
      </c>
      <c r="B28" s="90">
        <f>'[1]A18 Wges &amp; A19 Hhld'!H49</f>
        <v>1061</v>
      </c>
      <c r="C28" s="91">
        <f>'[1]A7 Prices'!I52</f>
        <v>1040</v>
      </c>
      <c r="D28" s="88">
        <f>[2]MAIN!B258</f>
        <v>1331</v>
      </c>
    </row>
    <row r="29" spans="1:4" s="9" customFormat="1" ht="14.4" customHeight="1" x14ac:dyDescent="0.3">
      <c r="A29" s="41">
        <f t="shared" si="0"/>
        <v>41274</v>
      </c>
      <c r="B29" s="90">
        <f>'[1]A18 Wges &amp; A19 Hhld'!H50</f>
        <v>1066</v>
      </c>
      <c r="C29" s="91">
        <f>'[1]A7 Prices'!I53</f>
        <v>1037</v>
      </c>
      <c r="D29" s="88">
        <f>[2]MAIN!B259</f>
        <v>1331</v>
      </c>
    </row>
    <row r="30" spans="1:4" s="9" customFormat="1" ht="14.4" customHeight="1" x14ac:dyDescent="0.3">
      <c r="A30" s="41">
        <f t="shared" si="0"/>
        <v>41364</v>
      </c>
      <c r="B30" s="90">
        <f>'[1]A18 Wges &amp; A19 Hhld'!H51</f>
        <v>1070</v>
      </c>
      <c r="C30" s="91">
        <f>'[1]A7 Prices'!I54</f>
        <v>1045</v>
      </c>
      <c r="D30" s="88">
        <f>[2]MAIN!B260</f>
        <v>1330</v>
      </c>
    </row>
    <row r="31" spans="1:4" ht="14.4" x14ac:dyDescent="0.3">
      <c r="A31" s="41">
        <f t="shared" ref="A31:A44" si="1">EOMONTH(A32,-3)</f>
        <v>41455</v>
      </c>
      <c r="B31" s="90">
        <f>'[1]A18 Wges &amp; A19 Hhld'!H52</f>
        <v>1074</v>
      </c>
      <c r="C31" s="91">
        <f>'[1]A7 Prices'!I55</f>
        <v>1051</v>
      </c>
      <c r="D31" s="88">
        <f>[2]MAIN!B261</f>
        <v>1337</v>
      </c>
    </row>
    <row r="32" spans="1:4" ht="14.4" x14ac:dyDescent="0.3">
      <c r="A32" s="41">
        <f t="shared" si="1"/>
        <v>41547</v>
      </c>
      <c r="B32" s="90">
        <f>'[1]A18 Wges &amp; A19 Hhld'!H53</f>
        <v>1079</v>
      </c>
      <c r="C32" s="91">
        <f>'[1]A7 Prices'!I56</f>
        <v>1074</v>
      </c>
      <c r="D32" s="88">
        <f>[2]MAIN!B262</f>
        <v>1343</v>
      </c>
    </row>
    <row r="33" spans="1:4" ht="14.4" x14ac:dyDescent="0.3">
      <c r="A33" s="41">
        <f t="shared" si="1"/>
        <v>41639</v>
      </c>
      <c r="B33" s="90">
        <f>'[1]A18 Wges &amp; A19 Hhld'!H54</f>
        <v>1083</v>
      </c>
      <c r="C33" s="91">
        <f>'[1]A7 Prices'!I57</f>
        <v>1066</v>
      </c>
      <c r="D33" s="88">
        <f>[2]MAIN!B263</f>
        <v>1350</v>
      </c>
    </row>
    <row r="34" spans="1:4" ht="14.4" x14ac:dyDescent="0.3">
      <c r="A34" s="41">
        <f t="shared" si="1"/>
        <v>41729</v>
      </c>
      <c r="B34" s="90">
        <f>'[1]A18 Wges &amp; A19 Hhld'!H55</f>
        <v>1087</v>
      </c>
      <c r="C34" s="91">
        <f>'[1]A7 Prices'!I58</f>
        <v>1077</v>
      </c>
      <c r="D34" s="88">
        <f>[2]MAIN!B264</f>
        <v>1358</v>
      </c>
    </row>
    <row r="35" spans="1:4" ht="14.4" x14ac:dyDescent="0.3">
      <c r="A35" s="41">
        <f t="shared" si="1"/>
        <v>41820</v>
      </c>
      <c r="B35" s="90">
        <f>'[1]A18 Wges &amp; A19 Hhld'!H56</f>
        <v>1092</v>
      </c>
      <c r="C35" s="91">
        <f>'[1]A7 Prices'!I59</f>
        <v>1066</v>
      </c>
      <c r="D35" s="88">
        <f>[2]MAIN!B265</f>
        <v>1367</v>
      </c>
    </row>
    <row r="36" spans="1:4" ht="14.4" x14ac:dyDescent="0.3">
      <c r="A36" s="41">
        <f t="shared" si="1"/>
        <v>41912</v>
      </c>
      <c r="B36" s="90">
        <f>'[1]A18 Wges &amp; A19 Hhld'!H57</f>
        <v>1096</v>
      </c>
      <c r="C36" s="91">
        <f>'[1]A7 Prices'!I60</f>
        <v>1050</v>
      </c>
      <c r="D36" s="88">
        <f>[2]MAIN!B266</f>
        <v>1374</v>
      </c>
    </row>
    <row r="37" spans="1:4" ht="14.4" x14ac:dyDescent="0.3">
      <c r="A37" s="41">
        <f>EOMONTH(A38,-3)</f>
        <v>42004</v>
      </c>
      <c r="B37" s="90">
        <f>'[1]A18 Wges &amp; A19 Hhld'!H58</f>
        <v>1102</v>
      </c>
      <c r="C37" s="91">
        <f>'[1]A7 Prices'!I61</f>
        <v>1046</v>
      </c>
      <c r="D37" s="88">
        <f>[2]MAIN!B267</f>
        <v>1388</v>
      </c>
    </row>
    <row r="38" spans="1:4" ht="14.4" x14ac:dyDescent="0.3">
      <c r="A38" s="41">
        <f t="shared" si="1"/>
        <v>42094</v>
      </c>
      <c r="B38" s="90">
        <f>'[1]A18 Wges &amp; A19 Hhld'!H59</f>
        <v>1105</v>
      </c>
      <c r="C38" s="91">
        <f>'[1]A7 Prices'!I62</f>
        <v>1034</v>
      </c>
      <c r="D38" s="88">
        <f>[2]MAIN!B268</f>
        <v>1396</v>
      </c>
    </row>
    <row r="39" spans="1:4" ht="14.4" x14ac:dyDescent="0.3">
      <c r="A39" s="41">
        <f t="shared" si="1"/>
        <v>42185</v>
      </c>
      <c r="B39" s="90">
        <f>'[1]A18 Wges &amp; A19 Hhld'!H60</f>
        <v>1110</v>
      </c>
      <c r="C39" s="91">
        <f>'[1]A7 Prices'!I63</f>
        <v>1031</v>
      </c>
      <c r="D39" s="88">
        <f>[2]MAIN!B269</f>
        <v>1404</v>
      </c>
    </row>
    <row r="40" spans="1:4" ht="14.4" x14ac:dyDescent="0.3">
      <c r="A40" s="41">
        <f t="shared" si="1"/>
        <v>42277</v>
      </c>
      <c r="B40" s="90">
        <f>'[1]A18 Wges &amp; A19 Hhld'!H61</f>
        <v>1114</v>
      </c>
      <c r="C40" s="91">
        <f>'[1]A7 Prices'!I64</f>
        <v>1048</v>
      </c>
      <c r="D40" s="88">
        <f>[2]MAIN!B270</f>
        <v>1423</v>
      </c>
    </row>
    <row r="41" spans="1:4" ht="14.4" x14ac:dyDescent="0.3">
      <c r="A41" s="41">
        <f t="shared" si="1"/>
        <v>42369</v>
      </c>
      <c r="B41" s="90">
        <f>'[1]A18 Wges &amp; A19 Hhld'!H62</f>
        <v>1119</v>
      </c>
      <c r="C41" s="91">
        <f>'[1]A7 Prices'!I65</f>
        <v>1035</v>
      </c>
      <c r="D41" s="88">
        <f>[2]MAIN!B271</f>
        <v>1432</v>
      </c>
    </row>
    <row r="42" spans="1:4" ht="14.4" x14ac:dyDescent="0.3">
      <c r="A42" s="41">
        <f t="shared" si="1"/>
        <v>42460</v>
      </c>
      <c r="B42" s="90">
        <f>'[1]A18 Wges &amp; A19 Hhld'!H63</f>
        <v>1123</v>
      </c>
      <c r="C42" s="91">
        <f>'[1]A7 Prices'!I66</f>
        <v>1025</v>
      </c>
      <c r="D42" s="88">
        <f>[2]MAIN!B272</f>
        <v>1439</v>
      </c>
    </row>
    <row r="43" spans="1:4" ht="14.4" x14ac:dyDescent="0.3">
      <c r="A43" s="41">
        <f t="shared" si="1"/>
        <v>42551</v>
      </c>
      <c r="B43" s="90">
        <f>'[1]A18 Wges &amp; A19 Hhld'!H64</f>
        <v>1127</v>
      </c>
      <c r="C43" s="91">
        <f>'[1]A7 Prices'!I67</f>
        <v>1034</v>
      </c>
      <c r="D43" s="88">
        <f>[2]MAIN!B273</f>
        <v>1452</v>
      </c>
    </row>
    <row r="44" spans="1:4" ht="14.4" x14ac:dyDescent="0.3">
      <c r="A44" s="41">
        <f t="shared" si="1"/>
        <v>42643</v>
      </c>
      <c r="B44" s="90">
        <f>'[1]A18 Wges &amp; A19 Hhld'!H65</f>
        <v>1132</v>
      </c>
      <c r="C44" s="91">
        <f>'[1]A7 Prices'!I68</f>
        <v>1049</v>
      </c>
      <c r="D44" s="88">
        <f>[2]MAIN!B274</f>
        <v>1464</v>
      </c>
    </row>
    <row r="45" spans="1:4" ht="14.4" x14ac:dyDescent="0.3">
      <c r="A45" s="41">
        <f t="shared" ref="A45:A48" si="2">EOMONTH(A46,-3)</f>
        <v>42735</v>
      </c>
      <c r="B45" s="90">
        <f>'[1]A18 Wges &amp; A19 Hhld'!H66</f>
        <v>1137</v>
      </c>
      <c r="C45" s="91">
        <f>'[1]A7 Prices'!I69</f>
        <v>1059</v>
      </c>
      <c r="D45" s="88">
        <f>[2]MAIN!B275</f>
        <v>1480</v>
      </c>
    </row>
    <row r="46" spans="1:4" ht="14.4" x14ac:dyDescent="0.3">
      <c r="A46" s="41">
        <f t="shared" si="2"/>
        <v>42825</v>
      </c>
      <c r="B46" s="90">
        <f>'[1]A18 Wges &amp; A19 Hhld'!H67</f>
        <v>1141</v>
      </c>
      <c r="C46" s="91">
        <f>'[1]A7 Prices'!I70</f>
        <v>1068</v>
      </c>
      <c r="D46" s="88">
        <f>[2]MAIN!B276</f>
        <v>1486</v>
      </c>
    </row>
    <row r="47" spans="1:4" ht="14.4" x14ac:dyDescent="0.3">
      <c r="A47" s="41">
        <f t="shared" si="2"/>
        <v>42916</v>
      </c>
      <c r="B47" s="90">
        <f>'[1]A18 Wges &amp; A19 Hhld'!H68</f>
        <v>1146</v>
      </c>
      <c r="C47" s="91">
        <f>'[1]A7 Prices'!I71</f>
        <v>1084</v>
      </c>
      <c r="D47" s="88">
        <f>[2]MAIN!B277</f>
        <v>1499</v>
      </c>
    </row>
    <row r="48" spans="1:4" ht="14.4" x14ac:dyDescent="0.3">
      <c r="A48" s="41">
        <f t="shared" si="2"/>
        <v>43008</v>
      </c>
      <c r="B48" s="90">
        <f>'[1]A18 Wges &amp; A19 Hhld'!H69</f>
        <v>1153</v>
      </c>
      <c r="C48" s="91">
        <f>'[1]A7 Prices'!I72</f>
        <v>1096</v>
      </c>
      <c r="D48" s="88">
        <f>[2]MAIN!B278</f>
        <v>1507</v>
      </c>
    </row>
    <row r="49" spans="1:4" ht="14.4" x14ac:dyDescent="0.3">
      <c r="A49" s="41">
        <f t="shared" ref="A49:A65" si="3">EOMONTH(A50,-3)</f>
        <v>43100</v>
      </c>
      <c r="B49" s="90">
        <f>'[1]A18 Wges &amp; A19 Hhld'!H70</f>
        <v>1158</v>
      </c>
      <c r="C49" s="91">
        <f>'[1]A7 Prices'!I73</f>
        <v>1106</v>
      </c>
      <c r="D49" s="88">
        <f>[2]MAIN!B279</f>
        <v>1519</v>
      </c>
    </row>
    <row r="50" spans="1:4" ht="14.4" x14ac:dyDescent="0.3">
      <c r="A50" s="41">
        <f t="shared" si="3"/>
        <v>43190</v>
      </c>
      <c r="B50" s="90">
        <f>'[1]A18 Wges &amp; A19 Hhld'!H71</f>
        <v>1162</v>
      </c>
      <c r="C50" s="91">
        <f>'[1]A7 Prices'!I74</f>
        <v>1113</v>
      </c>
      <c r="D50" s="88">
        <f>[2]MAIN!B280</f>
        <v>1524</v>
      </c>
    </row>
    <row r="51" spans="1:4" ht="14.4" x14ac:dyDescent="0.3">
      <c r="A51" s="41">
        <f t="shared" si="3"/>
        <v>43281</v>
      </c>
      <c r="B51" s="90">
        <f>'[1]A18 Wges &amp; A19 Hhld'!H72</f>
        <v>1168</v>
      </c>
      <c r="C51" s="91">
        <f>'[1]A7 Prices'!I75</f>
        <v>1124</v>
      </c>
      <c r="D51" s="88">
        <f>[2]MAIN!B281</f>
        <v>1536</v>
      </c>
    </row>
    <row r="52" spans="1:4" ht="14.4" x14ac:dyDescent="0.3">
      <c r="A52" s="41">
        <f t="shared" si="3"/>
        <v>43373</v>
      </c>
      <c r="B52" s="90">
        <f>'[1]A18 Wges &amp; A19 Hhld'!H73</f>
        <v>1174</v>
      </c>
      <c r="C52" s="91">
        <f>'[1]A7 Prices'!I76</f>
        <v>1140</v>
      </c>
      <c r="D52" s="88">
        <f>[2]MAIN!B282</f>
        <v>1554</v>
      </c>
    </row>
    <row r="53" spans="1:4" ht="14.4" x14ac:dyDescent="0.3">
      <c r="A53" s="41">
        <f t="shared" si="3"/>
        <v>43465</v>
      </c>
      <c r="B53" s="90">
        <f>'[1]A18 Wges &amp; A19 Hhld'!H74</f>
        <v>1180</v>
      </c>
      <c r="C53" s="91">
        <f>'[1]A7 Prices'!I77</f>
        <v>1161</v>
      </c>
      <c r="D53" s="88">
        <f>[2]MAIN!B283</f>
        <v>1561</v>
      </c>
    </row>
    <row r="54" spans="1:4" ht="14.4" x14ac:dyDescent="0.3">
      <c r="A54" s="41">
        <f t="shared" si="3"/>
        <v>43555</v>
      </c>
      <c r="B54" s="90">
        <f>'[1]A18 Wges &amp; A19 Hhld'!H75</f>
        <v>1185</v>
      </c>
      <c r="C54" s="91">
        <f>'[1]A7 Prices'!I78</f>
        <v>1151</v>
      </c>
      <c r="D54" s="88">
        <f>[2]MAIN!B284</f>
        <v>1569</v>
      </c>
    </row>
    <row r="55" spans="1:4" ht="14.4" x14ac:dyDescent="0.3">
      <c r="A55" s="41">
        <f t="shared" si="3"/>
        <v>43646</v>
      </c>
      <c r="B55" s="90">
        <f>'[1]A18 Wges &amp; A19 Hhld'!H76</f>
        <v>1193</v>
      </c>
      <c r="C55" s="91">
        <f>'[1]A7 Prices'!I79</f>
        <v>1154</v>
      </c>
      <c r="D55" s="88">
        <f>[2]MAIN!B285</f>
        <v>1583</v>
      </c>
    </row>
    <row r="56" spans="1:4" ht="14.4" x14ac:dyDescent="0.3">
      <c r="A56" s="41">
        <f t="shared" si="3"/>
        <v>43738</v>
      </c>
      <c r="B56" s="90">
        <f>'[1]A18 Wges &amp; A19 Hhld'!H77</f>
        <v>1202</v>
      </c>
      <c r="C56" s="91">
        <f>'[1]A7 Prices'!I80</f>
        <v>1166</v>
      </c>
      <c r="D56" s="88">
        <f>[2]MAIN!B286</f>
        <v>1596</v>
      </c>
    </row>
    <row r="57" spans="1:4" ht="14.4" x14ac:dyDescent="0.3">
      <c r="A57" s="41">
        <f t="shared" si="3"/>
        <v>43830</v>
      </c>
      <c r="B57" s="90">
        <f>'[1]A18 Wges &amp; A19 Hhld'!H78</f>
        <v>1211</v>
      </c>
      <c r="C57" s="91">
        <f>'[1]A7 Prices'!I81</f>
        <v>1168</v>
      </c>
      <c r="D57" s="88">
        <f>[2]MAIN!B287</f>
        <v>1604</v>
      </c>
    </row>
    <row r="58" spans="1:4" ht="14.4" x14ac:dyDescent="0.3">
      <c r="A58" s="41">
        <f t="shared" si="3"/>
        <v>43921</v>
      </c>
      <c r="B58" s="90">
        <f>'[1]A18 Wges &amp; A19 Hhld'!H79</f>
        <v>1215</v>
      </c>
      <c r="C58" s="91">
        <f>'[1]A7 Prices'!I82</f>
        <v>1165</v>
      </c>
      <c r="D58" s="88">
        <f>[2]MAIN!B288</f>
        <v>1614</v>
      </c>
    </row>
    <row r="59" spans="1:4" ht="14.4" x14ac:dyDescent="0.3">
      <c r="A59" s="41">
        <f t="shared" si="3"/>
        <v>44012</v>
      </c>
      <c r="B59" s="90">
        <f>'[1]A18 Wges &amp; A19 Hhld'!H80</f>
        <v>1218</v>
      </c>
      <c r="C59" s="91">
        <f>'[1]A7 Prices'!I83</f>
        <v>1154</v>
      </c>
      <c r="D59" s="88">
        <f>[2]MAIN!B289</f>
        <v>1619</v>
      </c>
    </row>
    <row r="60" spans="1:4" ht="14.4" x14ac:dyDescent="0.3">
      <c r="A60" s="41">
        <f t="shared" si="3"/>
        <v>44104</v>
      </c>
      <c r="B60" s="90">
        <f>'[1]A18 Wges &amp; A19 Hhld'!H81</f>
        <v>1225</v>
      </c>
      <c r="C60" s="91">
        <f>'[1]A7 Prices'!I84</f>
        <v>1161</v>
      </c>
      <c r="D60" s="88">
        <f>[2]MAIN!B290</f>
        <v>1624</v>
      </c>
    </row>
    <row r="61" spans="1:4" ht="14.4" x14ac:dyDescent="0.3">
      <c r="A61" s="41">
        <f t="shared" si="3"/>
        <v>44196</v>
      </c>
      <c r="B61" s="90">
        <f>'[1]A18 Wges &amp; A19 Hhld'!H82</f>
        <v>1230</v>
      </c>
      <c r="C61" s="91">
        <f>'[1]A7 Prices'!I85</f>
        <v>1162</v>
      </c>
      <c r="D61" s="88">
        <f>[2]MAIN!B291</f>
        <v>1634</v>
      </c>
    </row>
    <row r="62" spans="1:4" ht="14.4" x14ac:dyDescent="0.3">
      <c r="A62" s="41">
        <f t="shared" si="3"/>
        <v>44286</v>
      </c>
      <c r="B62" s="90">
        <f>'[1]A18 Wges &amp; A19 Hhld'!H83</f>
        <v>1235</v>
      </c>
      <c r="C62" s="91">
        <f>'[1]A7 Prices'!I86</f>
        <v>1186</v>
      </c>
      <c r="D62" s="88">
        <f>[2]MAIN!B292</f>
        <v>1644</v>
      </c>
    </row>
    <row r="63" spans="1:4" ht="14.4" x14ac:dyDescent="0.3">
      <c r="A63" s="41">
        <f t="shared" si="3"/>
        <v>44377</v>
      </c>
      <c r="B63" s="90">
        <f>'[1]A18 Wges &amp; A19 Hhld'!H84</f>
        <v>1244</v>
      </c>
      <c r="C63" s="91">
        <f>'[1]A7 Prices'!I87</f>
        <v>1222</v>
      </c>
      <c r="D63" s="88">
        <f>[2]MAIN!B293</f>
        <v>1692</v>
      </c>
    </row>
    <row r="64" spans="1:4" ht="14.4" x14ac:dyDescent="0.3">
      <c r="A64" s="41">
        <f t="shared" si="3"/>
        <v>44469</v>
      </c>
      <c r="B64" s="90">
        <f>'[1]A18 Wges &amp; A19 Hhld'!H85</f>
        <v>1254</v>
      </c>
      <c r="C64" s="91">
        <f>'[1]A7 Prices'!I88</f>
        <v>1242</v>
      </c>
      <c r="D64" s="88">
        <f>[2]MAIN!B294</f>
        <v>1734</v>
      </c>
    </row>
    <row r="65" spans="1:4" ht="14.4" x14ac:dyDescent="0.3">
      <c r="A65" s="41">
        <f t="shared" si="3"/>
        <v>44561</v>
      </c>
      <c r="B65" s="90">
        <f>'[1]A18 Wges &amp; A19 Hhld'!H86</f>
        <v>1262</v>
      </c>
      <c r="C65" s="91">
        <f>'[1]A7 Prices'!I89</f>
        <v>1257</v>
      </c>
      <c r="D65" s="88">
        <f>[2]MAIN!B295</f>
        <v>1785</v>
      </c>
    </row>
    <row r="66" spans="1:4" ht="14.4" x14ac:dyDescent="0.3">
      <c r="A66" s="41">
        <f>EOMONTH(A67,-3)</f>
        <v>44651</v>
      </c>
      <c r="B66" s="90">
        <f>'[1]A18 Wges &amp; A19 Hhld'!H87</f>
        <v>1272</v>
      </c>
      <c r="C66" s="91">
        <f>'[1]A7 Prices'!I90</f>
        <v>1300</v>
      </c>
      <c r="D66" s="88">
        <f>[2]MAIN!B296</f>
        <v>1835</v>
      </c>
    </row>
    <row r="67" spans="1:4" thickBot="1" x14ac:dyDescent="0.35">
      <c r="A67" s="92">
        <f>EOMONTH($B$6,0)</f>
        <v>44742</v>
      </c>
      <c r="B67" s="90">
        <f>'[1]A18 Wges &amp; A19 Hhld'!H88</f>
        <v>1286</v>
      </c>
      <c r="C67" s="91">
        <f>'[1]A7 Prices'!I91</f>
        <v>1340</v>
      </c>
      <c r="D67" s="88">
        <f>[2]MAIN!B297</f>
        <v>1903</v>
      </c>
    </row>
    <row r="68" spans="1:4" thickTop="1" x14ac:dyDescent="0.3">
      <c r="A68" s="93">
        <f>EOMONTH($B$6,3)</f>
        <v>44834</v>
      </c>
      <c r="B68" s="94">
        <f>$B$67+(B$70-B$67)*0.3333</f>
        <v>1296.5989447912598</v>
      </c>
      <c r="C68" s="95">
        <f>'[1]A7 Prices'!I93</f>
        <v>1369.0196077710109</v>
      </c>
      <c r="D68" s="88">
        <f>[2]MAIN!B298</f>
        <v>1937.9835684155389</v>
      </c>
    </row>
    <row r="69" spans="1:4" ht="14.4" x14ac:dyDescent="0.3">
      <c r="A69" s="41">
        <f>EOMONTH(A68,3)</f>
        <v>44926</v>
      </c>
      <c r="B69" s="96">
        <f>$B$67+(B$70-B$67)*0.6666</f>
        <v>1307.1978895825196</v>
      </c>
      <c r="C69" s="91">
        <f>'[1]A7 Prices'!I94</f>
        <v>1396.8386053880761</v>
      </c>
      <c r="D69" s="88">
        <f>[2]MAIN!B299</f>
        <v>1971.646381866052</v>
      </c>
    </row>
    <row r="70" spans="1:4" ht="14.4" x14ac:dyDescent="0.3">
      <c r="A70" s="41">
        <f t="shared" ref="A70:A78" si="4">EOMONTH(A69,3)</f>
        <v>45016</v>
      </c>
      <c r="B70" s="90">
        <f>'[1]A18 Wges &amp; A19 Hhld'!$H$91</f>
        <v>1317.800014375217</v>
      </c>
      <c r="C70" s="91">
        <f>'[1]A7 Prices'!I95</f>
        <v>1426.7367626695016</v>
      </c>
      <c r="D70" s="88">
        <f>[2]MAIN!B300</f>
        <v>2002.8773451142588</v>
      </c>
    </row>
    <row r="71" spans="1:4" ht="14.4" x14ac:dyDescent="0.3">
      <c r="A71" s="41">
        <f t="shared" si="4"/>
        <v>45107</v>
      </c>
      <c r="B71" s="96">
        <f>$B$70+(B$74-B$70)*0.25</f>
        <v>1330.9878435728742</v>
      </c>
      <c r="C71" s="91">
        <f>'[1]A7 Prices'!I96</f>
        <v>1452.7891277168344</v>
      </c>
      <c r="D71" s="88">
        <f>[2]MAIN!B301</f>
        <v>2031.0530886593494</v>
      </c>
    </row>
    <row r="72" spans="1:4" ht="14.4" x14ac:dyDescent="0.3">
      <c r="A72" s="41">
        <f t="shared" si="4"/>
        <v>45199</v>
      </c>
      <c r="B72" s="96">
        <f>$B$70+(B$74-B$70)*0.5</f>
        <v>1344.1756727705317</v>
      </c>
      <c r="C72" s="91">
        <f>'[1]A7 Prices'!I97</f>
        <v>1476.4988778175402</v>
      </c>
      <c r="D72" s="88">
        <f>[2]MAIN!B302</f>
        <v>2053.774201862524</v>
      </c>
    </row>
    <row r="73" spans="1:4" ht="14.4" x14ac:dyDescent="0.3">
      <c r="A73" s="41">
        <f t="shared" si="4"/>
        <v>45291</v>
      </c>
      <c r="B73" s="96">
        <f>$B$70+(B$74-B$70)*0.75</f>
        <v>1357.3635019681892</v>
      </c>
      <c r="C73" s="91">
        <f>'[1]A7 Prices'!I98</f>
        <v>1497.3009916229823</v>
      </c>
      <c r="D73" s="88">
        <f>[2]MAIN!B303</f>
        <v>2074.3610688419317</v>
      </c>
    </row>
    <row r="74" spans="1:4" ht="14.4" x14ac:dyDescent="0.3">
      <c r="A74" s="41">
        <f t="shared" si="4"/>
        <v>45382</v>
      </c>
      <c r="B74" s="90">
        <f>'[1]A18 Wges &amp; A19 Hhld'!H92</f>
        <v>1370.5513311658465</v>
      </c>
      <c r="C74" s="91">
        <f>'[1]A7 Prices'!I99</f>
        <v>1517.3222365028764</v>
      </c>
      <c r="D74" s="88">
        <f>[2]MAIN!B304</f>
        <v>2093.2393059581623</v>
      </c>
    </row>
    <row r="75" spans="1:4" ht="14.4" x14ac:dyDescent="0.3">
      <c r="A75" s="41">
        <f t="shared" si="4"/>
        <v>45473</v>
      </c>
      <c r="B75" s="96">
        <f>$B$74+(B$78-B$74)*0.25</f>
        <v>1380.6717747905327</v>
      </c>
      <c r="C75" s="91">
        <f>'[1]A7 Prices'!I100</f>
        <v>1534.753106452484</v>
      </c>
      <c r="D75" s="88">
        <f>[2]MAIN!B305</f>
        <v>2110.1877901258113</v>
      </c>
    </row>
    <row r="76" spans="1:4" ht="14.4" x14ac:dyDescent="0.3">
      <c r="A76" s="41">
        <f t="shared" si="4"/>
        <v>45565</v>
      </c>
      <c r="B76" s="96">
        <f>$B$74+(B$78-B$74)*0.5</f>
        <v>1390.7922184152192</v>
      </c>
      <c r="C76" s="91">
        <f>'[1]A7 Prices'!I101</f>
        <v>1552.2226904583017</v>
      </c>
      <c r="D76" s="88">
        <f>[2]MAIN!B306</f>
        <v>2125.9129808887246</v>
      </c>
    </row>
    <row r="77" spans="1:4" ht="14.4" x14ac:dyDescent="0.3">
      <c r="A77" s="41">
        <f t="shared" si="4"/>
        <v>45657</v>
      </c>
      <c r="B77" s="96">
        <f t="shared" ref="B77" si="5">$B$74+(B$78-B$74)*0.75</f>
        <v>1400.9126620399056</v>
      </c>
      <c r="C77" s="91">
        <f>'[1]A7 Prices'!I102</f>
        <v>1566.6903129379039</v>
      </c>
      <c r="D77" s="88">
        <f>[2]MAIN!B307</f>
        <v>2140.1546984758593</v>
      </c>
    </row>
    <row r="78" spans="1:4" ht="14.4" x14ac:dyDescent="0.3">
      <c r="A78" s="23">
        <f t="shared" si="4"/>
        <v>45747</v>
      </c>
      <c r="B78" s="88">
        <f>'[1]A18 Wges &amp; A19 Hhld'!H93</f>
        <v>1411.0331056645919</v>
      </c>
      <c r="C78" s="89">
        <f>'[1]A7 Prices'!I103</f>
        <v>1580.9296022303865</v>
      </c>
      <c r="D78" s="88">
        <f>[2]MAIN!B308</f>
        <v>2153.7466115361121</v>
      </c>
    </row>
    <row r="79" spans="1:4" ht="14.4" x14ac:dyDescent="0.3">
      <c r="A79" s="44"/>
      <c r="B79" s="44"/>
      <c r="C79" s="44"/>
      <c r="D79" s="44"/>
    </row>
    <row r="80" spans="1:4" ht="14.4" x14ac:dyDescent="0.3">
      <c r="A80" s="4"/>
      <c r="B80" s="4"/>
      <c r="C80" s="4"/>
      <c r="D80" s="4"/>
    </row>
    <row r="81" spans="1:4" ht="14.4" x14ac:dyDescent="0.3">
      <c r="A81" s="4"/>
      <c r="B81" s="4"/>
      <c r="C81" s="4"/>
      <c r="D81" s="4"/>
    </row>
    <row r="82" spans="1:4" ht="14.4" x14ac:dyDescent="0.3">
      <c r="A82" s="4"/>
      <c r="B82" s="4"/>
      <c r="C82" s="4"/>
      <c r="D82" s="4"/>
    </row>
    <row r="83" spans="1:4" ht="14.4" x14ac:dyDescent="0.3">
      <c r="A83" s="4"/>
      <c r="B83" s="4"/>
      <c r="C83" s="4"/>
      <c r="D83" s="4"/>
    </row>
    <row r="84" spans="1:4" ht="14.4" x14ac:dyDescent="0.3">
      <c r="A84" s="4"/>
      <c r="B84" s="4"/>
      <c r="C84" s="4"/>
      <c r="D84" s="4"/>
    </row>
    <row r="85" spans="1:4" ht="14.4" x14ac:dyDescent="0.3">
      <c r="A85" s="4"/>
      <c r="B85" s="4"/>
      <c r="C85" s="4"/>
      <c r="D85" s="4"/>
    </row>
    <row r="86" spans="1:4" ht="14.4" x14ac:dyDescent="0.3">
      <c r="A86" s="4"/>
      <c r="B86" s="4"/>
      <c r="C86" s="4"/>
      <c r="D86" s="4"/>
    </row>
    <row r="87" spans="1:4" ht="14.4" x14ac:dyDescent="0.3">
      <c r="A87" s="4"/>
      <c r="B87" s="4"/>
      <c r="C87" s="4"/>
      <c r="D87" s="4"/>
    </row>
    <row r="88" spans="1:4" ht="14.4" x14ac:dyDescent="0.3">
      <c r="A88" s="4"/>
      <c r="B88" s="4"/>
      <c r="C88" s="4"/>
      <c r="D88" s="4"/>
    </row>
    <row r="89" spans="1:4" ht="14.4" x14ac:dyDescent="0.3">
      <c r="A89" s="4"/>
      <c r="B89" s="4"/>
      <c r="C89" s="4"/>
      <c r="D89" s="4"/>
    </row>
    <row r="90" spans="1:4" ht="14.4" x14ac:dyDescent="0.3">
      <c r="A90" s="4"/>
      <c r="B90" s="4"/>
      <c r="C90" s="4"/>
      <c r="D90" s="4"/>
    </row>
    <row r="91" spans="1:4" ht="14.4" x14ac:dyDescent="0.3">
      <c r="A91" s="4"/>
      <c r="B91" s="4"/>
      <c r="C91" s="4"/>
      <c r="D91" s="4"/>
    </row>
    <row r="92" spans="1:4" ht="14.4" x14ac:dyDescent="0.3">
      <c r="A92" s="4"/>
      <c r="B92" s="4"/>
      <c r="C92" s="4"/>
      <c r="D92" s="4"/>
    </row>
    <row r="93" spans="1:4" ht="14.4" x14ac:dyDescent="0.3">
      <c r="A93" s="4"/>
      <c r="B93" s="4"/>
      <c r="C93" s="4"/>
      <c r="D93" s="4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94" fitToHeight="0" orientation="portrait" r:id="rId1"/>
  <headerFooter>
    <oddHeader>&amp;R&amp;D &amp;T</oddHeader>
    <oddFooter>&amp;L&amp;F&amp;C&amp;A&amp;R&amp;P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9988E"/>
    <pageSetUpPr fitToPage="1"/>
  </sheetPr>
  <dimension ref="A1:R70"/>
  <sheetViews>
    <sheetView showGridLines="0" view="pageBreakPreview" zoomScaleNormal="70" zoomScaleSheetLayoutView="100" workbookViewId="0"/>
  </sheetViews>
  <sheetFormatPr defaultColWidth="9.109375" defaultRowHeight="15" customHeight="1" x14ac:dyDescent="0.3"/>
  <cols>
    <col min="1" max="1" width="5.88671875" customWidth="1"/>
    <col min="2" max="4" width="11.6640625" customWidth="1"/>
    <col min="5" max="5" width="12.6640625" customWidth="1"/>
    <col min="6" max="10" width="11.6640625" customWidth="1"/>
    <col min="11" max="11" width="13" customWidth="1"/>
    <col min="12" max="16" width="11.6640625" customWidth="1"/>
    <col min="17" max="17" width="12.6640625" customWidth="1"/>
    <col min="18" max="18" width="11.6640625" customWidth="1"/>
    <col min="19" max="19" width="9.109375" customWidth="1"/>
  </cols>
  <sheetData>
    <row r="1" spans="1:18" ht="39.9" customHeight="1" x14ac:dyDescent="0.3">
      <c r="A1" s="19" t="s">
        <v>21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4"/>
    </row>
    <row r="2" spans="1:18" ht="27.75" customHeight="1" x14ac:dyDescent="0.4">
      <c r="A2" s="4"/>
      <c r="B2" s="97" t="str">
        <f>_xlfn.CONCAT("Quarterly ",Inputs!B8)</f>
        <v>Quarterly LCI
 (all industries)</v>
      </c>
      <c r="C2" s="84"/>
      <c r="D2" s="84"/>
      <c r="E2" s="84"/>
      <c r="F2" s="84"/>
      <c r="G2" s="50"/>
      <c r="H2" s="97" t="str">
        <f>_xlfn.CONCAT("Quarterly ",Inputs!C8)</f>
        <v>Quarterly PPI
 (input - all industries)</v>
      </c>
      <c r="I2" s="84"/>
      <c r="J2" s="84"/>
      <c r="K2" s="84"/>
      <c r="L2" s="84"/>
      <c r="M2" s="50"/>
      <c r="N2" s="97" t="str">
        <f>_xlfn.CONCAT("Quarterly ",Inputs!D8)</f>
        <v>Quarterly CGPI
 (all groups)</v>
      </c>
      <c r="O2" s="84"/>
      <c r="P2" s="84"/>
      <c r="Q2" s="84"/>
      <c r="R2" s="46"/>
    </row>
    <row r="3" spans="1:18" ht="69.75" customHeight="1" x14ac:dyDescent="0.3">
      <c r="A3" s="4"/>
      <c r="B3" s="98" t="s">
        <v>13</v>
      </c>
      <c r="C3" s="98" t="s">
        <v>3</v>
      </c>
      <c r="D3" s="98" t="s">
        <v>14</v>
      </c>
      <c r="E3" s="98" t="s">
        <v>48</v>
      </c>
      <c r="F3" s="98" t="s">
        <v>15</v>
      </c>
      <c r="G3" s="99"/>
      <c r="H3" s="98" t="s">
        <v>13</v>
      </c>
      <c r="I3" s="98" t="s">
        <v>3</v>
      </c>
      <c r="J3" s="98" t="s">
        <v>14</v>
      </c>
      <c r="K3" s="98" t="s">
        <v>48</v>
      </c>
      <c r="L3" s="98" t="s">
        <v>15</v>
      </c>
      <c r="M3" s="99"/>
      <c r="N3" s="98" t="s">
        <v>13</v>
      </c>
      <c r="O3" s="98" t="s">
        <v>3</v>
      </c>
      <c r="P3" s="98" t="s">
        <v>14</v>
      </c>
      <c r="Q3" s="98" t="s">
        <v>48</v>
      </c>
      <c r="R3" s="98" t="s">
        <v>15</v>
      </c>
    </row>
    <row r="4" spans="1:18" ht="14.4" x14ac:dyDescent="0.3">
      <c r="A4" s="4"/>
      <c r="B4" s="21">
        <f t="shared" ref="B4" si="0">EOMONTH(B5,-3)</f>
        <v>40359</v>
      </c>
      <c r="C4" s="38"/>
      <c r="D4" s="28"/>
      <c r="E4" s="29"/>
      <c r="F4" s="18">
        <f t="shared" ref="F4" si="1">INDEX(Qtr_Wgt,MONTH(B4)/3,1)</f>
        <v>0.25</v>
      </c>
      <c r="G4" s="50"/>
      <c r="H4" s="21">
        <f t="shared" ref="H4" si="2">B4</f>
        <v>40359</v>
      </c>
      <c r="I4" s="38"/>
      <c r="J4" s="28"/>
      <c r="K4" s="29"/>
      <c r="L4" s="27">
        <f t="shared" ref="L4" si="3">INDEX(Qtr_Wgt,MONTH(H4)/3,2)</f>
        <v>0.25</v>
      </c>
      <c r="M4" s="100"/>
      <c r="N4" s="21">
        <f t="shared" ref="N4" si="4">B4</f>
        <v>40359</v>
      </c>
      <c r="O4" s="38"/>
      <c r="P4" s="28"/>
      <c r="Q4" s="29"/>
      <c r="R4" s="27">
        <f t="shared" ref="R4" si="5">INDEX(Qtr_Wgt,MONTH(N4)/3,3)</f>
        <v>0.25</v>
      </c>
    </row>
    <row r="5" spans="1:18" ht="14.4" x14ac:dyDescent="0.3">
      <c r="A5" s="4"/>
      <c r="B5" s="21">
        <f t="shared" ref="B5:B10" si="6">EOMONTH(B6,-3)</f>
        <v>40451</v>
      </c>
      <c r="C5" s="38"/>
      <c r="D5" s="28"/>
      <c r="E5" s="29"/>
      <c r="F5" s="18">
        <f t="shared" ref="F5:F51" si="7">INDEX(Qtr_Wgt,MONTH(B5)/3,1)</f>
        <v>0.25</v>
      </c>
      <c r="G5" s="50"/>
      <c r="H5" s="21">
        <f t="shared" ref="H5:H51" si="8">B5</f>
        <v>40451</v>
      </c>
      <c r="I5" s="38"/>
      <c r="J5" s="28"/>
      <c r="K5" s="29"/>
      <c r="L5" s="27">
        <f t="shared" ref="L5:L51" si="9">INDEX(Qtr_Wgt,MONTH(H5)/3,2)</f>
        <v>0.25</v>
      </c>
      <c r="M5" s="100"/>
      <c r="N5" s="21">
        <f t="shared" ref="N5:N51" si="10">B5</f>
        <v>40451</v>
      </c>
      <c r="O5" s="38"/>
      <c r="P5" s="28"/>
      <c r="Q5" s="29"/>
      <c r="R5" s="27">
        <f t="shared" ref="R5:R51" si="11">INDEX(Qtr_Wgt,MONTH(N5)/3,3)</f>
        <v>0.25</v>
      </c>
    </row>
    <row r="6" spans="1:18" ht="14.4" x14ac:dyDescent="0.3">
      <c r="A6" s="4"/>
      <c r="B6" s="101">
        <f t="shared" si="6"/>
        <v>40543</v>
      </c>
      <c r="C6" s="38"/>
      <c r="D6" s="28">
        <f t="shared" ref="D6:D50" si="12">SUMPRODUCT(C3:C6,F3:F6)</f>
        <v>0</v>
      </c>
      <c r="E6" s="29"/>
      <c r="F6" s="18">
        <f t="shared" si="7"/>
        <v>0.25</v>
      </c>
      <c r="G6" s="50"/>
      <c r="H6" s="101">
        <f t="shared" si="8"/>
        <v>40543</v>
      </c>
      <c r="I6" s="38"/>
      <c r="J6" s="28"/>
      <c r="K6" s="29"/>
      <c r="L6" s="27">
        <f t="shared" si="9"/>
        <v>0.25</v>
      </c>
      <c r="M6" s="100"/>
      <c r="N6" s="101">
        <f t="shared" si="10"/>
        <v>40543</v>
      </c>
      <c r="O6" s="38"/>
      <c r="P6" s="28"/>
      <c r="Q6" s="29"/>
      <c r="R6" s="27">
        <f t="shared" si="11"/>
        <v>0.25</v>
      </c>
    </row>
    <row r="7" spans="1:18" ht="14.4" x14ac:dyDescent="0.3">
      <c r="A7" s="4"/>
      <c r="B7" s="103">
        <f t="shared" si="6"/>
        <v>40633</v>
      </c>
      <c r="C7" s="102">
        <f>VLOOKUP(B7,Inputs!$A$22:$D$93,2,FALSE)</f>
        <v>1031</v>
      </c>
      <c r="D7" s="28"/>
      <c r="E7" s="29"/>
      <c r="F7" s="18">
        <f t="shared" si="7"/>
        <v>0.25</v>
      </c>
      <c r="G7" s="50"/>
      <c r="H7" s="103">
        <f t="shared" si="8"/>
        <v>40633</v>
      </c>
      <c r="I7" s="102">
        <f>VLOOKUP(B7,Inputs!$A$22:$D$93,3,FALSE)</f>
        <v>1022</v>
      </c>
      <c r="J7" s="28"/>
      <c r="K7" s="29"/>
      <c r="L7" s="27">
        <f t="shared" si="9"/>
        <v>0.25</v>
      </c>
      <c r="M7" s="100"/>
      <c r="N7" s="103">
        <f t="shared" si="10"/>
        <v>40633</v>
      </c>
      <c r="O7" s="102">
        <f>VLOOKUP(B7,Inputs!$A$22:$D$93,4,FALSE)</f>
        <v>1307</v>
      </c>
      <c r="P7" s="28"/>
      <c r="Q7" s="29"/>
      <c r="R7" s="27">
        <f t="shared" si="11"/>
        <v>0.25</v>
      </c>
    </row>
    <row r="8" spans="1:18" ht="14.4" x14ac:dyDescent="0.3">
      <c r="A8" s="4"/>
      <c r="B8" s="103">
        <f t="shared" si="6"/>
        <v>40724</v>
      </c>
      <c r="C8" s="102">
        <f>VLOOKUP(B8,Inputs!$A$22:$D$93,2,FALSE)</f>
        <v>1035</v>
      </c>
      <c r="D8" s="28"/>
      <c r="E8" s="29"/>
      <c r="F8" s="18">
        <f t="shared" si="7"/>
        <v>0.25</v>
      </c>
      <c r="G8" s="50"/>
      <c r="H8" s="103">
        <f t="shared" si="8"/>
        <v>40724</v>
      </c>
      <c r="I8" s="102">
        <f>VLOOKUP(B8,Inputs!$A$22:$D$93,3,FALSE)</f>
        <v>1031</v>
      </c>
      <c r="J8" s="28"/>
      <c r="K8" s="29"/>
      <c r="L8" s="27">
        <f t="shared" si="9"/>
        <v>0.25</v>
      </c>
      <c r="M8" s="100"/>
      <c r="N8" s="103">
        <f t="shared" si="10"/>
        <v>40724</v>
      </c>
      <c r="O8" s="102">
        <f>VLOOKUP(B8,Inputs!$A$22:$D$93,4,FALSE)</f>
        <v>1314</v>
      </c>
      <c r="P8" s="28"/>
      <c r="Q8" s="29"/>
      <c r="R8" s="27">
        <f t="shared" si="11"/>
        <v>0.25</v>
      </c>
    </row>
    <row r="9" spans="1:18" ht="14.4" x14ac:dyDescent="0.3">
      <c r="A9" s="4"/>
      <c r="B9" s="103">
        <f t="shared" si="6"/>
        <v>40816</v>
      </c>
      <c r="C9" s="104">
        <f>VLOOKUP(B9,Inputs!$A$22:$D$93,2,FALSE)</f>
        <v>1041</v>
      </c>
      <c r="D9" s="28"/>
      <c r="E9" s="29"/>
      <c r="F9" s="18">
        <f t="shared" si="7"/>
        <v>0.25</v>
      </c>
      <c r="G9" s="50"/>
      <c r="H9" s="103">
        <f t="shared" si="8"/>
        <v>40816</v>
      </c>
      <c r="I9" s="104">
        <f>VLOOKUP(B9,Inputs!$A$22:$D$93,3,FALSE)</f>
        <v>1037</v>
      </c>
      <c r="J9" s="28"/>
      <c r="K9" s="29"/>
      <c r="L9" s="27">
        <f t="shared" si="9"/>
        <v>0.25</v>
      </c>
      <c r="M9" s="100"/>
      <c r="N9" s="103">
        <f t="shared" si="10"/>
        <v>40816</v>
      </c>
      <c r="O9" s="104">
        <f>VLOOKUP(B9,Inputs!$A$22:$D$93,4,FALSE)</f>
        <v>1314</v>
      </c>
      <c r="P9" s="28"/>
      <c r="Q9" s="29"/>
      <c r="R9" s="27">
        <f t="shared" si="11"/>
        <v>0.25</v>
      </c>
    </row>
    <row r="10" spans="1:18" ht="14.4" x14ac:dyDescent="0.3">
      <c r="A10" s="4"/>
      <c r="B10" s="101">
        <f t="shared" si="6"/>
        <v>40908</v>
      </c>
      <c r="C10" s="106">
        <f>VLOOKUP(B10,Inputs!$A$22:$D$93,2,FALSE)</f>
        <v>1047</v>
      </c>
      <c r="D10" s="105">
        <f t="shared" si="12"/>
        <v>1038.5</v>
      </c>
      <c r="E10" s="29"/>
      <c r="F10" s="18">
        <f t="shared" si="7"/>
        <v>0.25</v>
      </c>
      <c r="G10" s="50"/>
      <c r="H10" s="101">
        <f t="shared" si="8"/>
        <v>40908</v>
      </c>
      <c r="I10" s="106">
        <f>VLOOKUP(B10,Inputs!$A$22:$D$93,3,FALSE)</f>
        <v>1042</v>
      </c>
      <c r="J10" s="105">
        <f t="shared" ref="J10:J43" si="13">SUMPRODUCT(I7:I10,L7:L10)</f>
        <v>1033</v>
      </c>
      <c r="K10" s="29"/>
      <c r="L10" s="27">
        <f t="shared" si="9"/>
        <v>0.25</v>
      </c>
      <c r="M10" s="100"/>
      <c r="N10" s="101">
        <f t="shared" si="10"/>
        <v>40908</v>
      </c>
      <c r="O10" s="106">
        <f>VLOOKUP(B10,Inputs!$A$22:$D$93,4,FALSE)</f>
        <v>1319</v>
      </c>
      <c r="P10" s="105">
        <f t="shared" ref="P10:P51" si="14">SUMPRODUCT(O7:O10,R7:R10)</f>
        <v>1313.5</v>
      </c>
      <c r="Q10" s="29"/>
      <c r="R10" s="27">
        <f t="shared" si="11"/>
        <v>0.25</v>
      </c>
    </row>
    <row r="11" spans="1:18" ht="14.4" x14ac:dyDescent="0.3">
      <c r="A11" s="4"/>
      <c r="B11" s="101">
        <f>EOMONTH(Inputs!$B$3,0)</f>
        <v>40999</v>
      </c>
      <c r="C11" s="106">
        <f>VLOOKUP(B11,Inputs!$A$22:$D$93,2,FALSE)</f>
        <v>1052</v>
      </c>
      <c r="D11" s="105">
        <f t="shared" si="12"/>
        <v>1043.75</v>
      </c>
      <c r="E11" s="29"/>
      <c r="F11" s="18">
        <f t="shared" si="7"/>
        <v>0.25</v>
      </c>
      <c r="G11" s="50"/>
      <c r="H11" s="101">
        <f t="shared" si="8"/>
        <v>40999</v>
      </c>
      <c r="I11" s="106">
        <f>VLOOKUP(B11,Inputs!$A$22:$D$93,3,FALSE)</f>
        <v>1045</v>
      </c>
      <c r="J11" s="105">
        <f t="shared" si="13"/>
        <v>1038.75</v>
      </c>
      <c r="K11" s="29"/>
      <c r="L11" s="27">
        <f t="shared" si="9"/>
        <v>0.25</v>
      </c>
      <c r="M11" s="100"/>
      <c r="N11" s="101">
        <f t="shared" si="10"/>
        <v>40999</v>
      </c>
      <c r="O11" s="106">
        <f>VLOOKUP(B11,Inputs!$A$22:$D$93,4,FALSE)</f>
        <v>1319</v>
      </c>
      <c r="P11" s="105">
        <f t="shared" si="14"/>
        <v>1316.5</v>
      </c>
      <c r="Q11" s="29"/>
      <c r="R11" s="27">
        <f t="shared" si="11"/>
        <v>0.25</v>
      </c>
    </row>
    <row r="12" spans="1:18" ht="14.4" x14ac:dyDescent="0.3">
      <c r="A12" s="4"/>
      <c r="B12" s="101">
        <f>IF(EOMONTH(B11,3)&gt;Inputs!$B$5,"",EOMONTH(B11,3))</f>
        <v>41090</v>
      </c>
      <c r="C12" s="106">
        <f>VLOOKUP(B12,Inputs!$A$22:$D$93,2,FALSE)</f>
        <v>1056</v>
      </c>
      <c r="D12" s="105">
        <f t="shared" si="12"/>
        <v>1049</v>
      </c>
      <c r="E12" s="29"/>
      <c r="F12" s="18">
        <f t="shared" si="7"/>
        <v>0.25</v>
      </c>
      <c r="G12" s="50"/>
      <c r="H12" s="101">
        <f t="shared" si="8"/>
        <v>41090</v>
      </c>
      <c r="I12" s="106">
        <f>VLOOKUP(B12,Inputs!$A$22:$D$93,3,FALSE)</f>
        <v>1051</v>
      </c>
      <c r="J12" s="105">
        <f t="shared" si="13"/>
        <v>1043.75</v>
      </c>
      <c r="K12" s="29"/>
      <c r="L12" s="27">
        <f t="shared" si="9"/>
        <v>0.25</v>
      </c>
      <c r="M12" s="100"/>
      <c r="N12" s="101">
        <f t="shared" si="10"/>
        <v>41090</v>
      </c>
      <c r="O12" s="106">
        <f>VLOOKUP(B12,Inputs!$A$22:$D$93,4,FALSE)</f>
        <v>1327</v>
      </c>
      <c r="P12" s="105">
        <f t="shared" si="14"/>
        <v>1319.75</v>
      </c>
      <c r="Q12" s="29"/>
      <c r="R12" s="27">
        <f t="shared" si="11"/>
        <v>0.25</v>
      </c>
    </row>
    <row r="13" spans="1:18" ht="14.4" x14ac:dyDescent="0.3">
      <c r="A13" s="4"/>
      <c r="B13" s="101">
        <f>IF(EOMONTH(B12,3)&gt;Inputs!$B$5,"",EOMONTH(B12,3))</f>
        <v>41182</v>
      </c>
      <c r="C13" s="106">
        <f>VLOOKUP(B13,Inputs!$A$22:$D$93,2,FALSE)</f>
        <v>1061</v>
      </c>
      <c r="D13" s="107">
        <f t="shared" si="12"/>
        <v>1054</v>
      </c>
      <c r="E13" s="108"/>
      <c r="F13" s="18">
        <f t="shared" si="7"/>
        <v>0.25</v>
      </c>
      <c r="G13" s="50"/>
      <c r="H13" s="101">
        <f t="shared" si="8"/>
        <v>41182</v>
      </c>
      <c r="I13" s="106">
        <f>VLOOKUP(B13,Inputs!$A$22:$D$93,3,FALSE)</f>
        <v>1040</v>
      </c>
      <c r="J13" s="107">
        <f t="shared" si="13"/>
        <v>1044.5</v>
      </c>
      <c r="K13" s="108"/>
      <c r="L13" s="27">
        <f t="shared" si="9"/>
        <v>0.25</v>
      </c>
      <c r="M13" s="100"/>
      <c r="N13" s="101">
        <f t="shared" si="10"/>
        <v>41182</v>
      </c>
      <c r="O13" s="106">
        <f>VLOOKUP(B13,Inputs!$A$22:$D$93,4,FALSE)</f>
        <v>1331</v>
      </c>
      <c r="P13" s="107">
        <f t="shared" si="14"/>
        <v>1324</v>
      </c>
      <c r="Q13" s="108"/>
      <c r="R13" s="27">
        <f t="shared" si="11"/>
        <v>0.25</v>
      </c>
    </row>
    <row r="14" spans="1:18" ht="14.4" x14ac:dyDescent="0.3">
      <c r="A14" s="4"/>
      <c r="B14" s="101">
        <f>IF(EOMONTH(B13,3)&gt;Inputs!$B$5,"",EOMONTH(B13,3))</f>
        <v>41274</v>
      </c>
      <c r="C14" s="104">
        <f>VLOOKUP(B14,Inputs!$A$22:$D$93,2,FALSE)</f>
        <v>1066</v>
      </c>
      <c r="D14" s="107">
        <f t="shared" si="12"/>
        <v>1058.75</v>
      </c>
      <c r="E14" s="112">
        <f t="shared" ref="E14" si="15">(D14-D10)/D10</f>
        <v>1.9499277804525757E-2</v>
      </c>
      <c r="F14" s="110">
        <f t="shared" si="7"/>
        <v>0.25</v>
      </c>
      <c r="G14" s="50"/>
      <c r="H14" s="101">
        <f t="shared" si="8"/>
        <v>41274</v>
      </c>
      <c r="I14" s="104">
        <f>VLOOKUP(B14,Inputs!$A$22:$D$93,3,FALSE)</f>
        <v>1037</v>
      </c>
      <c r="J14" s="107">
        <f t="shared" si="13"/>
        <v>1043.25</v>
      </c>
      <c r="K14" s="112">
        <f t="shared" ref="K14:K51" si="16">(J14-J10)/J10</f>
        <v>9.9225556631171354E-3</v>
      </c>
      <c r="L14" s="111">
        <f t="shared" si="9"/>
        <v>0.25</v>
      </c>
      <c r="M14" s="100"/>
      <c r="N14" s="101">
        <f t="shared" si="10"/>
        <v>41274</v>
      </c>
      <c r="O14" s="104">
        <f>VLOOKUP(B14,Inputs!$A$22:$D$93,4,FALSE)</f>
        <v>1331</v>
      </c>
      <c r="P14" s="107">
        <f t="shared" si="14"/>
        <v>1327</v>
      </c>
      <c r="Q14" s="112">
        <f t="shared" ref="Q14:Q51" si="17">(P14-P10)/P10</f>
        <v>1.0277883517320136E-2</v>
      </c>
      <c r="R14" s="111">
        <f t="shared" si="11"/>
        <v>0.25</v>
      </c>
    </row>
    <row r="15" spans="1:18" ht="14.4" x14ac:dyDescent="0.3">
      <c r="A15" s="4"/>
      <c r="B15" s="101">
        <f>IF(EOMONTH(B14,3)&gt;Inputs!$B$5,"",EOMONTH(B14,3))</f>
        <v>41364</v>
      </c>
      <c r="C15" s="104">
        <f>VLOOKUP(B15,Inputs!$A$22:$D$93,2,FALSE)</f>
        <v>1070</v>
      </c>
      <c r="D15" s="107">
        <f t="shared" si="12"/>
        <v>1063.25</v>
      </c>
      <c r="E15" s="112">
        <f>(D15-D11)/D11</f>
        <v>1.8682634730538921E-2</v>
      </c>
      <c r="F15" s="110">
        <f t="shared" si="7"/>
        <v>0.25</v>
      </c>
      <c r="G15" s="50"/>
      <c r="H15" s="101">
        <f t="shared" si="8"/>
        <v>41364</v>
      </c>
      <c r="I15" s="104">
        <f>VLOOKUP(B15,Inputs!$A$22:$D$93,3,FALSE)</f>
        <v>1045</v>
      </c>
      <c r="J15" s="107">
        <f t="shared" si="13"/>
        <v>1043.25</v>
      </c>
      <c r="K15" s="112">
        <f t="shared" si="16"/>
        <v>4.3321299638989169E-3</v>
      </c>
      <c r="L15" s="111">
        <f t="shared" si="9"/>
        <v>0.25</v>
      </c>
      <c r="M15" s="100"/>
      <c r="N15" s="101">
        <f t="shared" si="10"/>
        <v>41364</v>
      </c>
      <c r="O15" s="104">
        <f>VLOOKUP(B15,Inputs!$A$22:$D$93,4,FALSE)</f>
        <v>1330</v>
      </c>
      <c r="P15" s="107">
        <f t="shared" si="14"/>
        <v>1329.75</v>
      </c>
      <c r="Q15" s="112">
        <f t="shared" si="17"/>
        <v>1.0064565134827194E-2</v>
      </c>
      <c r="R15" s="111">
        <f t="shared" si="11"/>
        <v>0.25</v>
      </c>
    </row>
    <row r="16" spans="1:18" ht="14.4" x14ac:dyDescent="0.3">
      <c r="A16" s="4"/>
      <c r="B16" s="101">
        <f>IF(EOMONTH(B15,3)&gt;Inputs!$B$5,"",EOMONTH(B15,3))</f>
        <v>41455</v>
      </c>
      <c r="C16" s="104">
        <f>VLOOKUP(B16,Inputs!$A$22:$D$93,2,FALSE)</f>
        <v>1074</v>
      </c>
      <c r="D16" s="107">
        <f t="shared" si="12"/>
        <v>1067.75</v>
      </c>
      <c r="E16" s="112">
        <f t="shared" ref="E16:E51" si="18">(D16-D12)/D12</f>
        <v>1.7874165872259293E-2</v>
      </c>
      <c r="F16" s="110">
        <f t="shared" si="7"/>
        <v>0.25</v>
      </c>
      <c r="G16" s="50"/>
      <c r="H16" s="101">
        <f t="shared" si="8"/>
        <v>41455</v>
      </c>
      <c r="I16" s="104">
        <f>VLOOKUP(B16,Inputs!$A$22:$D$93,3,FALSE)</f>
        <v>1051</v>
      </c>
      <c r="J16" s="107">
        <f t="shared" si="13"/>
        <v>1043.25</v>
      </c>
      <c r="K16" s="112">
        <f t="shared" si="16"/>
        <v>-4.7904191616766467E-4</v>
      </c>
      <c r="L16" s="111">
        <f t="shared" si="9"/>
        <v>0.25</v>
      </c>
      <c r="M16" s="100"/>
      <c r="N16" s="101">
        <f t="shared" si="10"/>
        <v>41455</v>
      </c>
      <c r="O16" s="104">
        <f>VLOOKUP(B16,Inputs!$A$22:$D$93,4,FALSE)</f>
        <v>1337</v>
      </c>
      <c r="P16" s="107">
        <f t="shared" si="14"/>
        <v>1332.25</v>
      </c>
      <c r="Q16" s="112">
        <f t="shared" si="17"/>
        <v>9.471490812653912E-3</v>
      </c>
      <c r="R16" s="111">
        <f t="shared" si="11"/>
        <v>0.25</v>
      </c>
    </row>
    <row r="17" spans="1:18" ht="14.4" x14ac:dyDescent="0.3">
      <c r="A17" s="4"/>
      <c r="B17" s="101">
        <f>IF(EOMONTH(B16,3)&gt;Inputs!$B$5,"",EOMONTH(B16,3))</f>
        <v>41547</v>
      </c>
      <c r="C17" s="104">
        <f>VLOOKUP(B17,Inputs!$A$22:$D$93,2,FALSE)</f>
        <v>1079</v>
      </c>
      <c r="D17" s="107">
        <f t="shared" si="12"/>
        <v>1072.25</v>
      </c>
      <c r="E17" s="112">
        <f t="shared" si="18"/>
        <v>1.7314990512333966E-2</v>
      </c>
      <c r="F17" s="110">
        <f t="shared" si="7"/>
        <v>0.25</v>
      </c>
      <c r="G17" s="50"/>
      <c r="H17" s="101">
        <f t="shared" si="8"/>
        <v>41547</v>
      </c>
      <c r="I17" s="104">
        <f>VLOOKUP(B17,Inputs!$A$22:$D$93,3,FALSE)</f>
        <v>1074</v>
      </c>
      <c r="J17" s="107">
        <f t="shared" si="13"/>
        <v>1051.75</v>
      </c>
      <c r="K17" s="112">
        <f t="shared" si="16"/>
        <v>6.9411201531833413E-3</v>
      </c>
      <c r="L17" s="111">
        <f t="shared" si="9"/>
        <v>0.25</v>
      </c>
      <c r="M17" s="100"/>
      <c r="N17" s="101">
        <f t="shared" si="10"/>
        <v>41547</v>
      </c>
      <c r="O17" s="104">
        <f>VLOOKUP(B17,Inputs!$A$22:$D$93,4,FALSE)</f>
        <v>1343</v>
      </c>
      <c r="P17" s="107">
        <f t="shared" si="14"/>
        <v>1335.25</v>
      </c>
      <c r="Q17" s="112">
        <f t="shared" si="17"/>
        <v>8.4969788519637466E-3</v>
      </c>
      <c r="R17" s="111">
        <f t="shared" si="11"/>
        <v>0.25</v>
      </c>
    </row>
    <row r="18" spans="1:18" ht="14.4" x14ac:dyDescent="0.3">
      <c r="A18" s="4"/>
      <c r="B18" s="101">
        <f>IF(EOMONTH(B17,3)&gt;Inputs!$B$5,"",EOMONTH(B17,3))</f>
        <v>41639</v>
      </c>
      <c r="C18" s="104">
        <f>VLOOKUP(B18,Inputs!$A$22:$D$93,2,FALSE)</f>
        <v>1083</v>
      </c>
      <c r="D18" s="107">
        <f t="shared" si="12"/>
        <v>1076.5</v>
      </c>
      <c r="E18" s="112">
        <f t="shared" si="18"/>
        <v>1.6765053128689492E-2</v>
      </c>
      <c r="F18" s="110">
        <f t="shared" si="7"/>
        <v>0.25</v>
      </c>
      <c r="G18" s="50"/>
      <c r="H18" s="101">
        <f t="shared" si="8"/>
        <v>41639</v>
      </c>
      <c r="I18" s="104">
        <f>VLOOKUP(B18,Inputs!$A$22:$D$93,3,FALSE)</f>
        <v>1066</v>
      </c>
      <c r="J18" s="107">
        <f t="shared" si="13"/>
        <v>1059</v>
      </c>
      <c r="K18" s="112">
        <f t="shared" si="16"/>
        <v>1.509705248023005E-2</v>
      </c>
      <c r="L18" s="111">
        <f t="shared" si="9"/>
        <v>0.25</v>
      </c>
      <c r="M18" s="100"/>
      <c r="N18" s="101">
        <f t="shared" si="10"/>
        <v>41639</v>
      </c>
      <c r="O18" s="104">
        <f>VLOOKUP(B18,Inputs!$A$22:$D$93,4,FALSE)</f>
        <v>1350</v>
      </c>
      <c r="P18" s="107">
        <f t="shared" si="14"/>
        <v>1340</v>
      </c>
      <c r="Q18" s="112">
        <f t="shared" si="17"/>
        <v>9.7965335342878671E-3</v>
      </c>
      <c r="R18" s="111">
        <f t="shared" si="11"/>
        <v>0.25</v>
      </c>
    </row>
    <row r="19" spans="1:18" s="3" customFormat="1" ht="14.4" x14ac:dyDescent="0.3">
      <c r="A19" s="50"/>
      <c r="B19" s="101">
        <f>IF(EOMONTH(B18,3)&gt;Inputs!$B$5,"",EOMONTH(B18,3))</f>
        <v>41729</v>
      </c>
      <c r="C19" s="104">
        <f>VLOOKUP(B19,Inputs!$A$22:$D$93,2,FALSE)</f>
        <v>1087</v>
      </c>
      <c r="D19" s="107">
        <f t="shared" si="12"/>
        <v>1080.75</v>
      </c>
      <c r="E19" s="112">
        <f t="shared" si="18"/>
        <v>1.6458970138725604E-2</v>
      </c>
      <c r="F19" s="110">
        <f t="shared" si="7"/>
        <v>0.25</v>
      </c>
      <c r="G19" s="50"/>
      <c r="H19" s="101">
        <f t="shared" si="8"/>
        <v>41729</v>
      </c>
      <c r="I19" s="104">
        <f>VLOOKUP(B19,Inputs!$A$22:$D$93,3,FALSE)</f>
        <v>1077</v>
      </c>
      <c r="J19" s="107">
        <f t="shared" si="13"/>
        <v>1067</v>
      </c>
      <c r="K19" s="112">
        <f t="shared" si="16"/>
        <v>2.2765396597172298E-2</v>
      </c>
      <c r="L19" s="111">
        <f t="shared" si="9"/>
        <v>0.25</v>
      </c>
      <c r="M19" s="100"/>
      <c r="N19" s="101">
        <f t="shared" si="10"/>
        <v>41729</v>
      </c>
      <c r="O19" s="104">
        <f>VLOOKUP(B19,Inputs!$A$22:$D$93,4,FALSE)</f>
        <v>1358</v>
      </c>
      <c r="P19" s="107">
        <f t="shared" si="14"/>
        <v>1347</v>
      </c>
      <c r="Q19" s="112">
        <f t="shared" si="17"/>
        <v>1.2972363226170333E-2</v>
      </c>
      <c r="R19" s="111">
        <f t="shared" si="11"/>
        <v>0.25</v>
      </c>
    </row>
    <row r="20" spans="1:18" ht="14.4" x14ac:dyDescent="0.3">
      <c r="A20" s="4"/>
      <c r="B20" s="101">
        <f>IF(EOMONTH(B19,3)&gt;Inputs!$B$5,"",EOMONTH(B19,3))</f>
        <v>41820</v>
      </c>
      <c r="C20" s="104">
        <f>VLOOKUP(B20,Inputs!$A$22:$D$93,2,FALSE)</f>
        <v>1092</v>
      </c>
      <c r="D20" s="107">
        <f t="shared" si="12"/>
        <v>1085.25</v>
      </c>
      <c r="E20" s="112">
        <f t="shared" si="18"/>
        <v>1.6389604308124563E-2</v>
      </c>
      <c r="F20" s="110">
        <f t="shared" si="7"/>
        <v>0.25</v>
      </c>
      <c r="G20" s="50"/>
      <c r="H20" s="101">
        <f t="shared" si="8"/>
        <v>41820</v>
      </c>
      <c r="I20" s="104">
        <f>VLOOKUP(B20,Inputs!$A$22:$D$93,3,FALSE)</f>
        <v>1066</v>
      </c>
      <c r="J20" s="107">
        <f t="shared" si="13"/>
        <v>1070.75</v>
      </c>
      <c r="K20" s="112">
        <f t="shared" si="16"/>
        <v>2.6359932901988976E-2</v>
      </c>
      <c r="L20" s="111">
        <f t="shared" si="9"/>
        <v>0.25</v>
      </c>
      <c r="M20" s="100"/>
      <c r="N20" s="101">
        <f t="shared" si="10"/>
        <v>41820</v>
      </c>
      <c r="O20" s="104">
        <f>VLOOKUP(B20,Inputs!$A$22:$D$93,4,FALSE)</f>
        <v>1367</v>
      </c>
      <c r="P20" s="107">
        <f t="shared" si="14"/>
        <v>1354.5</v>
      </c>
      <c r="Q20" s="112">
        <f t="shared" si="17"/>
        <v>1.6701069619065492E-2</v>
      </c>
      <c r="R20" s="111">
        <f t="shared" si="11"/>
        <v>0.25</v>
      </c>
    </row>
    <row r="21" spans="1:18" ht="14.4" x14ac:dyDescent="0.3">
      <c r="A21" s="4"/>
      <c r="B21" s="101">
        <f>IF(EOMONTH(B20,3)&gt;Inputs!$B$5,"",EOMONTH(B20,3))</f>
        <v>41912</v>
      </c>
      <c r="C21" s="104">
        <f>VLOOKUP(B21,Inputs!$A$22:$D$93,2,FALSE)</f>
        <v>1096</v>
      </c>
      <c r="D21" s="107">
        <f t="shared" si="12"/>
        <v>1089.5</v>
      </c>
      <c r="E21" s="112">
        <f t="shared" si="18"/>
        <v>1.6087666122639309E-2</v>
      </c>
      <c r="F21" s="110">
        <f t="shared" si="7"/>
        <v>0.25</v>
      </c>
      <c r="G21" s="50"/>
      <c r="H21" s="101">
        <f t="shared" si="8"/>
        <v>41912</v>
      </c>
      <c r="I21" s="104">
        <f>VLOOKUP(B21,Inputs!$A$22:$D$93,3,FALSE)</f>
        <v>1050</v>
      </c>
      <c r="J21" s="107">
        <f t="shared" si="13"/>
        <v>1064.75</v>
      </c>
      <c r="K21" s="112">
        <f t="shared" si="16"/>
        <v>1.2360351794628001E-2</v>
      </c>
      <c r="L21" s="111">
        <f t="shared" si="9"/>
        <v>0.25</v>
      </c>
      <c r="M21" s="100"/>
      <c r="N21" s="101">
        <f t="shared" si="10"/>
        <v>41912</v>
      </c>
      <c r="O21" s="104">
        <f>VLOOKUP(B21,Inputs!$A$22:$D$93,4,FALSE)</f>
        <v>1374</v>
      </c>
      <c r="P21" s="107">
        <f t="shared" si="14"/>
        <v>1362.25</v>
      </c>
      <c r="Q21" s="112">
        <f t="shared" si="17"/>
        <v>2.0220932409661111E-2</v>
      </c>
      <c r="R21" s="111">
        <f t="shared" si="11"/>
        <v>0.25</v>
      </c>
    </row>
    <row r="22" spans="1:18" ht="14.4" x14ac:dyDescent="0.3">
      <c r="A22" s="4"/>
      <c r="B22" s="101">
        <f>IF(EOMONTH(B21,3)&gt;Inputs!$B$5,"",EOMONTH(B21,3))</f>
        <v>42004</v>
      </c>
      <c r="C22" s="104">
        <f>VLOOKUP(B22,Inputs!$A$22:$D$93,2,FALSE)</f>
        <v>1102</v>
      </c>
      <c r="D22" s="107">
        <f t="shared" si="12"/>
        <v>1094.25</v>
      </c>
      <c r="E22" s="112">
        <f t="shared" si="18"/>
        <v>1.6488620529493729E-2</v>
      </c>
      <c r="F22" s="110">
        <f t="shared" si="7"/>
        <v>0.25</v>
      </c>
      <c r="G22" s="50"/>
      <c r="H22" s="101">
        <f t="shared" si="8"/>
        <v>42004</v>
      </c>
      <c r="I22" s="104">
        <f>VLOOKUP(B22,Inputs!$A$22:$D$93,3,FALSE)</f>
        <v>1046</v>
      </c>
      <c r="J22" s="107">
        <f t="shared" si="13"/>
        <v>1059.75</v>
      </c>
      <c r="K22" s="112">
        <f t="shared" si="16"/>
        <v>7.0821529745042496E-4</v>
      </c>
      <c r="L22" s="111">
        <f t="shared" si="9"/>
        <v>0.25</v>
      </c>
      <c r="M22" s="100"/>
      <c r="N22" s="101">
        <f t="shared" si="10"/>
        <v>42004</v>
      </c>
      <c r="O22" s="104">
        <f>VLOOKUP(B22,Inputs!$A$22:$D$93,4,FALSE)</f>
        <v>1388</v>
      </c>
      <c r="P22" s="107">
        <f t="shared" si="14"/>
        <v>1371.75</v>
      </c>
      <c r="Q22" s="112">
        <f t="shared" si="17"/>
        <v>2.3694029850746267E-2</v>
      </c>
      <c r="R22" s="111">
        <f t="shared" si="11"/>
        <v>0.25</v>
      </c>
    </row>
    <row r="23" spans="1:18" ht="14.4" x14ac:dyDescent="0.3">
      <c r="A23" s="4"/>
      <c r="B23" s="101">
        <f>IF(EOMONTH(B22,3)&gt;Inputs!$B$5,"",EOMONTH(B22,3))</f>
        <v>42094</v>
      </c>
      <c r="C23" s="104">
        <f>VLOOKUP(B23,Inputs!$A$22:$D$93,2,FALSE)</f>
        <v>1105</v>
      </c>
      <c r="D23" s="107">
        <f t="shared" si="12"/>
        <v>1098.75</v>
      </c>
      <c r="E23" s="112">
        <f t="shared" si="18"/>
        <v>1.6655100624566273E-2</v>
      </c>
      <c r="F23" s="110">
        <f t="shared" si="7"/>
        <v>0.25</v>
      </c>
      <c r="G23" s="50"/>
      <c r="H23" s="101">
        <f t="shared" si="8"/>
        <v>42094</v>
      </c>
      <c r="I23" s="104">
        <f>VLOOKUP(B23,Inputs!$A$22:$D$93,3,FALSE)</f>
        <v>1034</v>
      </c>
      <c r="J23" s="107">
        <f t="shared" si="13"/>
        <v>1049</v>
      </c>
      <c r="K23" s="112">
        <f t="shared" si="16"/>
        <v>-1.6869728209934397E-2</v>
      </c>
      <c r="L23" s="111">
        <f t="shared" si="9"/>
        <v>0.25</v>
      </c>
      <c r="M23" s="100"/>
      <c r="N23" s="101">
        <f t="shared" si="10"/>
        <v>42094</v>
      </c>
      <c r="O23" s="104">
        <f>VLOOKUP(B23,Inputs!$A$22:$D$93,4,FALSE)</f>
        <v>1396</v>
      </c>
      <c r="P23" s="107">
        <f t="shared" si="14"/>
        <v>1381.25</v>
      </c>
      <c r="Q23" s="112">
        <f t="shared" si="17"/>
        <v>2.542687453600594E-2</v>
      </c>
      <c r="R23" s="111">
        <f t="shared" si="11"/>
        <v>0.25</v>
      </c>
    </row>
    <row r="24" spans="1:18" ht="14.4" x14ac:dyDescent="0.3">
      <c r="A24" s="4"/>
      <c r="B24" s="101">
        <f>IF(EOMONTH(B23,3)&gt;Inputs!$B$5,"",EOMONTH(B23,3))</f>
        <v>42185</v>
      </c>
      <c r="C24" s="104">
        <f>VLOOKUP(B24,Inputs!$A$22:$D$93,2,FALSE)</f>
        <v>1110</v>
      </c>
      <c r="D24" s="107">
        <f t="shared" si="12"/>
        <v>1103.25</v>
      </c>
      <c r="E24" s="112">
        <f>(D24-D20)/D20</f>
        <v>1.6586040082930201E-2</v>
      </c>
      <c r="F24" s="110">
        <f t="shared" si="7"/>
        <v>0.25</v>
      </c>
      <c r="G24" s="50"/>
      <c r="H24" s="101">
        <f t="shared" si="8"/>
        <v>42185</v>
      </c>
      <c r="I24" s="104">
        <f>VLOOKUP(B24,Inputs!$A$22:$D$93,3,FALSE)</f>
        <v>1031</v>
      </c>
      <c r="J24" s="107">
        <f t="shared" si="13"/>
        <v>1040.25</v>
      </c>
      <c r="K24" s="112">
        <f t="shared" si="16"/>
        <v>-2.8484706981088022E-2</v>
      </c>
      <c r="L24" s="111">
        <f t="shared" si="9"/>
        <v>0.25</v>
      </c>
      <c r="M24" s="100"/>
      <c r="N24" s="101">
        <f t="shared" si="10"/>
        <v>42185</v>
      </c>
      <c r="O24" s="104">
        <f>VLOOKUP(B24,Inputs!$A$22:$D$93,4,FALSE)</f>
        <v>1404</v>
      </c>
      <c r="P24" s="107">
        <f t="shared" si="14"/>
        <v>1390.5</v>
      </c>
      <c r="Q24" s="112">
        <f t="shared" si="17"/>
        <v>2.6578073089700997E-2</v>
      </c>
      <c r="R24" s="111">
        <f t="shared" si="11"/>
        <v>0.25</v>
      </c>
    </row>
    <row r="25" spans="1:18" ht="14.4" x14ac:dyDescent="0.3">
      <c r="A25" s="4"/>
      <c r="B25" s="101">
        <f>IF(EOMONTH(B24,3)&gt;Inputs!$B$5,"",EOMONTH(B24,3))</f>
        <v>42277</v>
      </c>
      <c r="C25" s="104">
        <f>VLOOKUP(B25,Inputs!$A$22:$D$93,2,FALSE)</f>
        <v>1114</v>
      </c>
      <c r="D25" s="107">
        <f t="shared" si="12"/>
        <v>1107.75</v>
      </c>
      <c r="E25" s="112">
        <f t="shared" si="18"/>
        <v>1.6750803120697568E-2</v>
      </c>
      <c r="F25" s="110">
        <f t="shared" si="7"/>
        <v>0.25</v>
      </c>
      <c r="G25" s="50"/>
      <c r="H25" s="101">
        <f t="shared" si="8"/>
        <v>42277</v>
      </c>
      <c r="I25" s="104">
        <f>VLOOKUP(B25,Inputs!$A$22:$D$93,3,FALSE)</f>
        <v>1048</v>
      </c>
      <c r="J25" s="107">
        <f t="shared" si="13"/>
        <v>1039.75</v>
      </c>
      <c r="K25" s="112">
        <f t="shared" si="16"/>
        <v>-2.34796900680911E-2</v>
      </c>
      <c r="L25" s="111">
        <f t="shared" si="9"/>
        <v>0.25</v>
      </c>
      <c r="M25" s="100"/>
      <c r="N25" s="101">
        <f t="shared" si="10"/>
        <v>42277</v>
      </c>
      <c r="O25" s="104">
        <f>VLOOKUP(B25,Inputs!$A$22:$D$93,4,FALSE)</f>
        <v>1423</v>
      </c>
      <c r="P25" s="107">
        <f t="shared" si="14"/>
        <v>1402.75</v>
      </c>
      <c r="Q25" s="112">
        <f t="shared" si="17"/>
        <v>2.973022572949165E-2</v>
      </c>
      <c r="R25" s="111">
        <f t="shared" si="11"/>
        <v>0.25</v>
      </c>
    </row>
    <row r="26" spans="1:18" ht="14.4" x14ac:dyDescent="0.3">
      <c r="A26" s="4"/>
      <c r="B26" s="101">
        <f>IF(EOMONTH(B25,3)&gt;Inputs!$B$5,"",EOMONTH(B25,3))</f>
        <v>42369</v>
      </c>
      <c r="C26" s="104">
        <f>VLOOKUP(B26,Inputs!$A$22:$D$93,2,FALSE)</f>
        <v>1119</v>
      </c>
      <c r="D26" s="107">
        <f t="shared" si="12"/>
        <v>1112</v>
      </c>
      <c r="E26" s="112">
        <f t="shared" si="18"/>
        <v>1.6221156042951792E-2</v>
      </c>
      <c r="F26" s="110">
        <f t="shared" si="7"/>
        <v>0.25</v>
      </c>
      <c r="G26" s="50"/>
      <c r="H26" s="101">
        <f t="shared" si="8"/>
        <v>42369</v>
      </c>
      <c r="I26" s="104">
        <f>VLOOKUP(B26,Inputs!$A$22:$D$93,3,FALSE)</f>
        <v>1035</v>
      </c>
      <c r="J26" s="107">
        <f t="shared" si="13"/>
        <v>1037</v>
      </c>
      <c r="K26" s="112">
        <f t="shared" si="16"/>
        <v>-2.1467327199811276E-2</v>
      </c>
      <c r="L26" s="111">
        <f t="shared" si="9"/>
        <v>0.25</v>
      </c>
      <c r="M26" s="100"/>
      <c r="N26" s="101">
        <f t="shared" si="10"/>
        <v>42369</v>
      </c>
      <c r="O26" s="104">
        <f>VLOOKUP(B26,Inputs!$A$22:$D$93,4,FALSE)</f>
        <v>1432</v>
      </c>
      <c r="P26" s="107">
        <f t="shared" si="14"/>
        <v>1413.75</v>
      </c>
      <c r="Q26" s="112">
        <f t="shared" si="17"/>
        <v>3.06178239475123E-2</v>
      </c>
      <c r="R26" s="111">
        <f t="shared" si="11"/>
        <v>0.25</v>
      </c>
    </row>
    <row r="27" spans="1:18" ht="14.4" x14ac:dyDescent="0.3">
      <c r="A27" s="4"/>
      <c r="B27" s="101">
        <f>IF(EOMONTH(B26,3)&gt;Inputs!$B$5,"",EOMONTH(B26,3))</f>
        <v>42460</v>
      </c>
      <c r="C27" s="104">
        <f>VLOOKUP(B27,Inputs!$A$22:$D$93,2,FALSE)</f>
        <v>1123</v>
      </c>
      <c r="D27" s="107">
        <f>SUMPRODUCT(C24:C27,F24:F27)</f>
        <v>1116.5</v>
      </c>
      <c r="E27" s="114">
        <f>(D27-D23)/D23</f>
        <v>1.61547212741752E-2</v>
      </c>
      <c r="F27" s="110">
        <f t="shared" si="7"/>
        <v>0.25</v>
      </c>
      <c r="G27" s="50"/>
      <c r="H27" s="101">
        <f t="shared" si="8"/>
        <v>42460</v>
      </c>
      <c r="I27" s="104">
        <f>VLOOKUP(B27,Inputs!$A$22:$D$93,3,FALSE)</f>
        <v>1025</v>
      </c>
      <c r="J27" s="107">
        <f t="shared" si="13"/>
        <v>1034.75</v>
      </c>
      <c r="K27" s="112">
        <f t="shared" si="16"/>
        <v>-1.3584366062917064E-2</v>
      </c>
      <c r="L27" s="111">
        <f t="shared" si="9"/>
        <v>0.25</v>
      </c>
      <c r="M27" s="100"/>
      <c r="N27" s="101">
        <f t="shared" si="10"/>
        <v>42460</v>
      </c>
      <c r="O27" s="104">
        <f>VLOOKUP(B27,Inputs!$A$22:$D$93,4,FALSE)</f>
        <v>1439</v>
      </c>
      <c r="P27" s="107">
        <f t="shared" si="14"/>
        <v>1424.5</v>
      </c>
      <c r="Q27" s="112">
        <f t="shared" si="17"/>
        <v>3.1312217194570134E-2</v>
      </c>
      <c r="R27" s="111">
        <f t="shared" si="11"/>
        <v>0.25</v>
      </c>
    </row>
    <row r="28" spans="1:18" ht="14.4" x14ac:dyDescent="0.3">
      <c r="A28" s="4"/>
      <c r="B28" s="101">
        <f>IF(EOMONTH(B27,3)&gt;Inputs!$B$5,"",EOMONTH(B27,3))</f>
        <v>42551</v>
      </c>
      <c r="C28" s="104">
        <f>VLOOKUP(B28,Inputs!$A$22:$D$93,2,FALSE)</f>
        <v>1127</v>
      </c>
      <c r="D28" s="107">
        <f t="shared" si="12"/>
        <v>1120.75</v>
      </c>
      <c r="E28" s="114">
        <f t="shared" si="18"/>
        <v>1.5862225243598458E-2</v>
      </c>
      <c r="F28" s="110">
        <f t="shared" si="7"/>
        <v>0.25</v>
      </c>
      <c r="G28" s="50"/>
      <c r="H28" s="101">
        <f t="shared" si="8"/>
        <v>42551</v>
      </c>
      <c r="I28" s="104">
        <f>VLOOKUP(B28,Inputs!$A$22:$D$93,3,FALSE)</f>
        <v>1034</v>
      </c>
      <c r="J28" s="107">
        <f t="shared" si="13"/>
        <v>1035.5</v>
      </c>
      <c r="K28" s="112">
        <f t="shared" si="16"/>
        <v>-4.5662100456621002E-3</v>
      </c>
      <c r="L28" s="111">
        <f t="shared" si="9"/>
        <v>0.25</v>
      </c>
      <c r="M28" s="100"/>
      <c r="N28" s="101">
        <f t="shared" si="10"/>
        <v>42551</v>
      </c>
      <c r="O28" s="104">
        <f>VLOOKUP(B28,Inputs!$A$22:$D$93,4,FALSE)</f>
        <v>1452</v>
      </c>
      <c r="P28" s="107">
        <f t="shared" si="14"/>
        <v>1436.5</v>
      </c>
      <c r="Q28" s="112">
        <f t="shared" si="17"/>
        <v>3.3081625314635023E-2</v>
      </c>
      <c r="R28" s="111">
        <f t="shared" si="11"/>
        <v>0.25</v>
      </c>
    </row>
    <row r="29" spans="1:18" ht="14.4" x14ac:dyDescent="0.3">
      <c r="A29" s="4"/>
      <c r="B29" s="101">
        <f>IF(EOMONTH(B28,3)&gt;Inputs!$B$5,"",EOMONTH(B28,3))</f>
        <v>42643</v>
      </c>
      <c r="C29" s="104">
        <f>VLOOKUP(B29,Inputs!$A$22:$D$93,2,FALSE)</f>
        <v>1132</v>
      </c>
      <c r="D29" s="107">
        <f t="shared" si="12"/>
        <v>1125.25</v>
      </c>
      <c r="E29" s="114">
        <f t="shared" si="18"/>
        <v>1.579778830963665E-2</v>
      </c>
      <c r="F29" s="110">
        <f t="shared" si="7"/>
        <v>0.25</v>
      </c>
      <c r="G29" s="50"/>
      <c r="H29" s="101">
        <f t="shared" si="8"/>
        <v>42643</v>
      </c>
      <c r="I29" s="104">
        <f>VLOOKUP(B29,Inputs!$A$22:$D$93,3,FALSE)</f>
        <v>1049</v>
      </c>
      <c r="J29" s="107">
        <f t="shared" si="13"/>
        <v>1035.75</v>
      </c>
      <c r="K29" s="112">
        <f t="shared" si="16"/>
        <v>-3.8470786246693916E-3</v>
      </c>
      <c r="L29" s="111">
        <f t="shared" si="9"/>
        <v>0.25</v>
      </c>
      <c r="M29" s="100"/>
      <c r="N29" s="101">
        <f t="shared" si="10"/>
        <v>42643</v>
      </c>
      <c r="O29" s="104">
        <f>VLOOKUP(B29,Inputs!$A$22:$D$93,4,FALSE)</f>
        <v>1464</v>
      </c>
      <c r="P29" s="107">
        <f t="shared" si="14"/>
        <v>1446.75</v>
      </c>
      <c r="Q29" s="112">
        <f t="shared" si="17"/>
        <v>3.1366957761539832E-2</v>
      </c>
      <c r="R29" s="111">
        <f t="shared" si="11"/>
        <v>0.25</v>
      </c>
    </row>
    <row r="30" spans="1:18" ht="14.4" x14ac:dyDescent="0.3">
      <c r="A30" s="4"/>
      <c r="B30" s="101">
        <f>IF(EOMONTH(B29,3)&gt;Inputs!$B$5,"",EOMONTH(B29,3))</f>
        <v>42735</v>
      </c>
      <c r="C30" s="104">
        <f>VLOOKUP(B30,Inputs!$A$22:$D$93,2,FALSE)</f>
        <v>1137</v>
      </c>
      <c r="D30" s="107">
        <f t="shared" si="12"/>
        <v>1129.75</v>
      </c>
      <c r="E30" s="114">
        <f t="shared" si="18"/>
        <v>1.596223021582734E-2</v>
      </c>
      <c r="F30" s="110">
        <f t="shared" si="7"/>
        <v>0.25</v>
      </c>
      <c r="G30" s="50"/>
      <c r="H30" s="101">
        <f t="shared" si="8"/>
        <v>42735</v>
      </c>
      <c r="I30" s="104">
        <f>VLOOKUP(B30,Inputs!$A$22:$D$93,3,FALSE)</f>
        <v>1059</v>
      </c>
      <c r="J30" s="107">
        <f t="shared" si="13"/>
        <v>1041.75</v>
      </c>
      <c r="K30" s="112">
        <f t="shared" si="16"/>
        <v>4.5805207328833177E-3</v>
      </c>
      <c r="L30" s="111">
        <f t="shared" si="9"/>
        <v>0.25</v>
      </c>
      <c r="M30" s="100"/>
      <c r="N30" s="101">
        <f t="shared" si="10"/>
        <v>42735</v>
      </c>
      <c r="O30" s="104">
        <f>VLOOKUP(B30,Inputs!$A$22:$D$93,4,FALSE)</f>
        <v>1480</v>
      </c>
      <c r="P30" s="107">
        <f t="shared" si="14"/>
        <v>1458.75</v>
      </c>
      <c r="Q30" s="112">
        <f t="shared" si="17"/>
        <v>3.1830238726790451E-2</v>
      </c>
      <c r="R30" s="111">
        <f t="shared" si="11"/>
        <v>0.25</v>
      </c>
    </row>
    <row r="31" spans="1:18" ht="14.4" x14ac:dyDescent="0.3">
      <c r="A31" s="4"/>
      <c r="B31" s="101">
        <f>IF(EOMONTH(B30,3)&gt;Inputs!$B$5,"",EOMONTH(B30,3))</f>
        <v>42825</v>
      </c>
      <c r="C31" s="104">
        <f>VLOOKUP(B31,Inputs!$A$22:$D$93,2,FALSE)</f>
        <v>1141</v>
      </c>
      <c r="D31" s="107">
        <f t="shared" si="12"/>
        <v>1134.25</v>
      </c>
      <c r="E31" s="114">
        <f t="shared" si="18"/>
        <v>1.5897895208240035E-2</v>
      </c>
      <c r="F31" s="110">
        <f t="shared" si="7"/>
        <v>0.25</v>
      </c>
      <c r="G31" s="50"/>
      <c r="H31" s="101">
        <f t="shared" si="8"/>
        <v>42825</v>
      </c>
      <c r="I31" s="104">
        <f>VLOOKUP(B31,Inputs!$A$22:$D$93,3,FALSE)</f>
        <v>1068</v>
      </c>
      <c r="J31" s="107">
        <f t="shared" si="13"/>
        <v>1052.5</v>
      </c>
      <c r="K31" s="112">
        <f t="shared" si="16"/>
        <v>1.7153901908673594E-2</v>
      </c>
      <c r="L31" s="111">
        <f t="shared" si="9"/>
        <v>0.25</v>
      </c>
      <c r="M31" s="100"/>
      <c r="N31" s="101">
        <f t="shared" si="10"/>
        <v>42825</v>
      </c>
      <c r="O31" s="104">
        <f>VLOOKUP(B31,Inputs!$A$22:$D$93,4,FALSE)</f>
        <v>1486</v>
      </c>
      <c r="P31" s="107">
        <f t="shared" si="14"/>
        <v>1470.5</v>
      </c>
      <c r="Q31" s="112">
        <f t="shared" si="17"/>
        <v>3.2292032292032292E-2</v>
      </c>
      <c r="R31" s="111">
        <f t="shared" si="11"/>
        <v>0.25</v>
      </c>
    </row>
    <row r="32" spans="1:18" ht="14.4" x14ac:dyDescent="0.3">
      <c r="A32" s="4"/>
      <c r="B32" s="101">
        <f>IF(EOMONTH(B31,3)&gt;Inputs!$B$5,"",EOMONTH(B31,3))</f>
        <v>42916</v>
      </c>
      <c r="C32" s="104">
        <f>VLOOKUP(B32,Inputs!$A$22:$D$93,2,FALSE)</f>
        <v>1146</v>
      </c>
      <c r="D32" s="107">
        <f t="shared" si="12"/>
        <v>1139</v>
      </c>
      <c r="E32" s="114">
        <f t="shared" si="18"/>
        <v>1.6283738567923266E-2</v>
      </c>
      <c r="F32" s="110">
        <f t="shared" si="7"/>
        <v>0.25</v>
      </c>
      <c r="G32" s="50"/>
      <c r="H32" s="101">
        <f t="shared" si="8"/>
        <v>42916</v>
      </c>
      <c r="I32" s="104">
        <f>VLOOKUP(B32,Inputs!$A$22:$D$93,3,FALSE)</f>
        <v>1084</v>
      </c>
      <c r="J32" s="107">
        <f t="shared" si="13"/>
        <v>1065</v>
      </c>
      <c r="K32" s="112">
        <f t="shared" si="16"/>
        <v>2.8488652824722356E-2</v>
      </c>
      <c r="L32" s="111">
        <f t="shared" si="9"/>
        <v>0.25</v>
      </c>
      <c r="M32" s="115"/>
      <c r="N32" s="101">
        <f t="shared" si="10"/>
        <v>42916</v>
      </c>
      <c r="O32" s="104">
        <f>VLOOKUP(B32,Inputs!$A$22:$D$93,4,FALSE)</f>
        <v>1499</v>
      </c>
      <c r="P32" s="107">
        <f t="shared" si="14"/>
        <v>1482.25</v>
      </c>
      <c r="Q32" s="112">
        <f t="shared" si="17"/>
        <v>3.1848242255482072E-2</v>
      </c>
      <c r="R32" s="111">
        <f t="shared" si="11"/>
        <v>0.25</v>
      </c>
    </row>
    <row r="33" spans="1:18" ht="14.4" x14ac:dyDescent="0.3">
      <c r="A33" s="4"/>
      <c r="B33" s="101">
        <f>IF(EOMONTH(B32,3)&gt;Inputs!$B$5,"",EOMONTH(B32,3))</f>
        <v>43008</v>
      </c>
      <c r="C33" s="104">
        <f>VLOOKUP(B33,Inputs!$A$22:$D$93,2,FALSE)</f>
        <v>1153</v>
      </c>
      <c r="D33" s="107">
        <f t="shared" si="12"/>
        <v>1144.25</v>
      </c>
      <c r="E33" s="114">
        <f t="shared" si="18"/>
        <v>1.6885136636303043E-2</v>
      </c>
      <c r="F33" s="110">
        <f t="shared" si="7"/>
        <v>0.25</v>
      </c>
      <c r="G33" s="50"/>
      <c r="H33" s="101">
        <f t="shared" si="8"/>
        <v>43008</v>
      </c>
      <c r="I33" s="104">
        <f>VLOOKUP(B33,Inputs!$A$22:$D$93,3,FALSE)</f>
        <v>1096</v>
      </c>
      <c r="J33" s="107">
        <f t="shared" si="13"/>
        <v>1076.75</v>
      </c>
      <c r="K33" s="112">
        <f t="shared" si="16"/>
        <v>3.9584841902003377E-2</v>
      </c>
      <c r="L33" s="111">
        <f t="shared" si="9"/>
        <v>0.25</v>
      </c>
      <c r="M33" s="115"/>
      <c r="N33" s="101">
        <f t="shared" si="10"/>
        <v>43008</v>
      </c>
      <c r="O33" s="104">
        <f>VLOOKUP(B33,Inputs!$A$22:$D$93,4,FALSE)</f>
        <v>1507</v>
      </c>
      <c r="P33" s="107">
        <f t="shared" si="14"/>
        <v>1493</v>
      </c>
      <c r="Q33" s="112">
        <f t="shared" si="17"/>
        <v>3.1968204596509418E-2</v>
      </c>
      <c r="R33" s="111">
        <f t="shared" si="11"/>
        <v>0.25</v>
      </c>
    </row>
    <row r="34" spans="1:18" ht="14.4" x14ac:dyDescent="0.3">
      <c r="A34" s="4"/>
      <c r="B34" s="101">
        <f>IF(EOMONTH(B33,3)&gt;Inputs!$B$5,"",EOMONTH(B33,3))</f>
        <v>43100</v>
      </c>
      <c r="C34" s="104">
        <f>VLOOKUP(B34,Inputs!$A$22:$D$93,2,FALSE)</f>
        <v>1158</v>
      </c>
      <c r="D34" s="107">
        <f t="shared" si="12"/>
        <v>1149.5</v>
      </c>
      <c r="E34" s="114">
        <f t="shared" si="18"/>
        <v>1.7481743748616951E-2</v>
      </c>
      <c r="F34" s="110">
        <f t="shared" si="7"/>
        <v>0.25</v>
      </c>
      <c r="G34" s="50"/>
      <c r="H34" s="101">
        <f t="shared" si="8"/>
        <v>43100</v>
      </c>
      <c r="I34" s="104">
        <f>VLOOKUP(B34,Inputs!$A$22:$D$93,3,FALSE)</f>
        <v>1106</v>
      </c>
      <c r="J34" s="107">
        <f t="shared" si="13"/>
        <v>1088.5</v>
      </c>
      <c r="K34" s="112">
        <f t="shared" si="16"/>
        <v>4.4876409887209021E-2</v>
      </c>
      <c r="L34" s="111">
        <f t="shared" si="9"/>
        <v>0.25</v>
      </c>
      <c r="M34" s="115"/>
      <c r="N34" s="101">
        <f t="shared" si="10"/>
        <v>43100</v>
      </c>
      <c r="O34" s="104">
        <f>VLOOKUP(B34,Inputs!$A$22:$D$93,4,FALSE)</f>
        <v>1519</v>
      </c>
      <c r="P34" s="107">
        <f t="shared" si="14"/>
        <v>1502.75</v>
      </c>
      <c r="Q34" s="112">
        <f t="shared" si="17"/>
        <v>3.0162810625535563E-2</v>
      </c>
      <c r="R34" s="111">
        <f t="shared" si="11"/>
        <v>0.25</v>
      </c>
    </row>
    <row r="35" spans="1:18" ht="14.4" x14ac:dyDescent="0.3">
      <c r="A35" s="4"/>
      <c r="B35" s="101">
        <f>IF(EOMONTH(B34,3)&gt;Inputs!$B$5,"",EOMONTH(B34,3))</f>
        <v>43190</v>
      </c>
      <c r="C35" s="104">
        <f>VLOOKUP(B35,Inputs!$A$22:$D$93,2,FALSE)</f>
        <v>1162</v>
      </c>
      <c r="D35" s="107">
        <f t="shared" si="12"/>
        <v>1154.75</v>
      </c>
      <c r="E35" s="114">
        <f t="shared" si="18"/>
        <v>1.8073616927485121E-2</v>
      </c>
      <c r="F35" s="110">
        <f t="shared" si="7"/>
        <v>0.25</v>
      </c>
      <c r="G35" s="50"/>
      <c r="H35" s="101">
        <f t="shared" si="8"/>
        <v>43190</v>
      </c>
      <c r="I35" s="104">
        <f>VLOOKUP(B35,Inputs!$A$22:$D$93,3,FALSE)</f>
        <v>1113</v>
      </c>
      <c r="J35" s="107">
        <f t="shared" si="13"/>
        <v>1099.75</v>
      </c>
      <c r="K35" s="112">
        <f t="shared" si="16"/>
        <v>4.4893111638954868E-2</v>
      </c>
      <c r="L35" s="111">
        <f t="shared" si="9"/>
        <v>0.25</v>
      </c>
      <c r="M35" s="115"/>
      <c r="N35" s="101">
        <f t="shared" si="10"/>
        <v>43190</v>
      </c>
      <c r="O35" s="104">
        <f>VLOOKUP(B35,Inputs!$A$22:$D$93,4,FALSE)</f>
        <v>1524</v>
      </c>
      <c r="P35" s="107">
        <f t="shared" si="14"/>
        <v>1512.25</v>
      </c>
      <c r="Q35" s="112">
        <f t="shared" si="17"/>
        <v>2.8391703502210132E-2</v>
      </c>
      <c r="R35" s="111">
        <f t="shared" si="11"/>
        <v>0.25</v>
      </c>
    </row>
    <row r="36" spans="1:18" ht="14.4" x14ac:dyDescent="0.3">
      <c r="A36" s="4"/>
      <c r="B36" s="101">
        <f>IF(EOMONTH(B35,3)&gt;Inputs!$B$5,"",EOMONTH(B35,3))</f>
        <v>43281</v>
      </c>
      <c r="C36" s="104">
        <f>VLOOKUP(B36,Inputs!$A$22:$D$93,2,FALSE)</f>
        <v>1168</v>
      </c>
      <c r="D36" s="107">
        <f t="shared" si="12"/>
        <v>1160.25</v>
      </c>
      <c r="E36" s="114">
        <f t="shared" si="18"/>
        <v>1.8656716417910446E-2</v>
      </c>
      <c r="F36" s="110">
        <f t="shared" si="7"/>
        <v>0.25</v>
      </c>
      <c r="G36" s="50"/>
      <c r="H36" s="101">
        <f t="shared" si="8"/>
        <v>43281</v>
      </c>
      <c r="I36" s="104">
        <f>VLOOKUP(B36,Inputs!$A$22:$D$93,3,FALSE)</f>
        <v>1124</v>
      </c>
      <c r="J36" s="107">
        <f t="shared" si="13"/>
        <v>1109.75</v>
      </c>
      <c r="K36" s="112">
        <f t="shared" si="16"/>
        <v>4.2018779342723002E-2</v>
      </c>
      <c r="L36" s="111">
        <f t="shared" si="9"/>
        <v>0.25</v>
      </c>
      <c r="M36" s="115"/>
      <c r="N36" s="101">
        <f t="shared" si="10"/>
        <v>43281</v>
      </c>
      <c r="O36" s="104">
        <f>VLOOKUP(B36,Inputs!$A$22:$D$93,4,FALSE)</f>
        <v>1536</v>
      </c>
      <c r="P36" s="107">
        <f t="shared" si="14"/>
        <v>1521.5</v>
      </c>
      <c r="Q36" s="112">
        <f t="shared" si="17"/>
        <v>2.6480013493000505E-2</v>
      </c>
      <c r="R36" s="111">
        <f t="shared" si="11"/>
        <v>0.25</v>
      </c>
    </row>
    <row r="37" spans="1:18" ht="14.4" x14ac:dyDescent="0.3">
      <c r="A37" s="4"/>
      <c r="B37" s="101">
        <f>IF(EOMONTH(B36,3)&gt;Inputs!$B$5,"",EOMONTH(B36,3))</f>
        <v>43373</v>
      </c>
      <c r="C37" s="104">
        <f>VLOOKUP(B37,Inputs!$A$22:$D$93,2,FALSE)</f>
        <v>1174</v>
      </c>
      <c r="D37" s="107">
        <f t="shared" si="12"/>
        <v>1165.5</v>
      </c>
      <c r="E37" s="114">
        <f t="shared" si="18"/>
        <v>1.857111645182434E-2</v>
      </c>
      <c r="F37" s="110">
        <f t="shared" si="7"/>
        <v>0.25</v>
      </c>
      <c r="G37" s="50"/>
      <c r="H37" s="101">
        <f t="shared" si="8"/>
        <v>43373</v>
      </c>
      <c r="I37" s="104">
        <f>VLOOKUP(B37,Inputs!$A$22:$D$93,3,FALSE)</f>
        <v>1140</v>
      </c>
      <c r="J37" s="107">
        <f t="shared" si="13"/>
        <v>1120.75</v>
      </c>
      <c r="K37" s="112">
        <f t="shared" si="16"/>
        <v>4.0863710239145576E-2</v>
      </c>
      <c r="L37" s="111">
        <f t="shared" si="9"/>
        <v>0.25</v>
      </c>
      <c r="M37" s="115"/>
      <c r="N37" s="101">
        <f t="shared" si="10"/>
        <v>43373</v>
      </c>
      <c r="O37" s="104">
        <f>VLOOKUP(B37,Inputs!$A$22:$D$93,4,FALSE)</f>
        <v>1554</v>
      </c>
      <c r="P37" s="107">
        <f t="shared" si="14"/>
        <v>1533.25</v>
      </c>
      <c r="Q37" s="112">
        <f t="shared" si="17"/>
        <v>2.6959142665773612E-2</v>
      </c>
      <c r="R37" s="111">
        <f t="shared" si="11"/>
        <v>0.25</v>
      </c>
    </row>
    <row r="38" spans="1:18" ht="14.4" x14ac:dyDescent="0.3">
      <c r="A38" s="4"/>
      <c r="B38" s="101">
        <f>IF(EOMONTH(B37,3)&gt;Inputs!$B$5,"",EOMONTH(B37,3))</f>
        <v>43465</v>
      </c>
      <c r="C38" s="104">
        <f>VLOOKUP(B38,Inputs!$A$22:$D$93,2,FALSE)</f>
        <v>1180</v>
      </c>
      <c r="D38" s="107">
        <f t="shared" si="12"/>
        <v>1171</v>
      </c>
      <c r="E38" s="114">
        <f t="shared" si="18"/>
        <v>1.8703784254023487E-2</v>
      </c>
      <c r="F38" s="110">
        <f t="shared" si="7"/>
        <v>0.25</v>
      </c>
      <c r="G38" s="50"/>
      <c r="H38" s="101">
        <f t="shared" si="8"/>
        <v>43465</v>
      </c>
      <c r="I38" s="104">
        <f>VLOOKUP(B38,Inputs!$A$22:$D$93,3,FALSE)</f>
        <v>1161</v>
      </c>
      <c r="J38" s="107">
        <f t="shared" si="13"/>
        <v>1134.5</v>
      </c>
      <c r="K38" s="112">
        <f t="shared" si="16"/>
        <v>4.2259990813045475E-2</v>
      </c>
      <c r="L38" s="111">
        <f t="shared" si="9"/>
        <v>0.25</v>
      </c>
      <c r="M38" s="115"/>
      <c r="N38" s="101">
        <f t="shared" si="10"/>
        <v>43465</v>
      </c>
      <c r="O38" s="104">
        <f>VLOOKUP(B38,Inputs!$A$22:$D$93,4,FALSE)</f>
        <v>1561</v>
      </c>
      <c r="P38" s="107">
        <f t="shared" si="14"/>
        <v>1543.75</v>
      </c>
      <c r="Q38" s="112">
        <f t="shared" si="17"/>
        <v>2.7283313924471801E-2</v>
      </c>
      <c r="R38" s="111">
        <f t="shared" si="11"/>
        <v>0.25</v>
      </c>
    </row>
    <row r="39" spans="1:18" ht="14.4" x14ac:dyDescent="0.3">
      <c r="A39" s="4"/>
      <c r="B39" s="101">
        <f>IF(EOMONTH(B38,3)&gt;Inputs!$B$5,"",EOMONTH(B38,3))</f>
        <v>43555</v>
      </c>
      <c r="C39" s="104">
        <f>VLOOKUP(B39,Inputs!$A$22:$D$93,2,FALSE)</f>
        <v>1185</v>
      </c>
      <c r="D39" s="107">
        <f t="shared" si="12"/>
        <v>1176.75</v>
      </c>
      <c r="E39" s="114">
        <f t="shared" si="18"/>
        <v>1.905174280147218E-2</v>
      </c>
      <c r="F39" s="110">
        <f t="shared" si="7"/>
        <v>0.25</v>
      </c>
      <c r="G39" s="50"/>
      <c r="H39" s="101">
        <f t="shared" si="8"/>
        <v>43555</v>
      </c>
      <c r="I39" s="104">
        <f>VLOOKUP(B39,Inputs!$A$22:$D$93,3,FALSE)</f>
        <v>1151</v>
      </c>
      <c r="J39" s="107">
        <f t="shared" si="13"/>
        <v>1144</v>
      </c>
      <c r="K39" s="112">
        <f t="shared" si="16"/>
        <v>4.0236417367583543E-2</v>
      </c>
      <c r="L39" s="111">
        <f t="shared" si="9"/>
        <v>0.25</v>
      </c>
      <c r="M39" s="115"/>
      <c r="N39" s="101">
        <f t="shared" si="10"/>
        <v>43555</v>
      </c>
      <c r="O39" s="104">
        <f>VLOOKUP(B39,Inputs!$A$22:$D$93,4,FALSE)</f>
        <v>1569</v>
      </c>
      <c r="P39" s="107">
        <f t="shared" si="14"/>
        <v>1555</v>
      </c>
      <c r="Q39" s="112">
        <f t="shared" si="17"/>
        <v>2.8269135394280047E-2</v>
      </c>
      <c r="R39" s="111">
        <f t="shared" si="11"/>
        <v>0.25</v>
      </c>
    </row>
    <row r="40" spans="1:18" ht="14.4" x14ac:dyDescent="0.3">
      <c r="A40" s="4"/>
      <c r="B40" s="101">
        <f>IF(EOMONTH(B39,3)&gt;Inputs!$B$5,"",EOMONTH(B39,3))</f>
        <v>43646</v>
      </c>
      <c r="C40" s="104">
        <f>VLOOKUP(B40,Inputs!$A$22:$D$93,2,FALSE)</f>
        <v>1193</v>
      </c>
      <c r="D40" s="107">
        <f t="shared" si="12"/>
        <v>1183</v>
      </c>
      <c r="E40" s="114">
        <f t="shared" si="18"/>
        <v>1.9607843137254902E-2</v>
      </c>
      <c r="F40" s="110">
        <f t="shared" si="7"/>
        <v>0.25</v>
      </c>
      <c r="G40" s="50"/>
      <c r="H40" s="101">
        <f t="shared" si="8"/>
        <v>43646</v>
      </c>
      <c r="I40" s="104">
        <f>VLOOKUP(B40,Inputs!$A$22:$D$93,3,FALSE)</f>
        <v>1154</v>
      </c>
      <c r="J40" s="107">
        <f t="shared" si="13"/>
        <v>1151.5</v>
      </c>
      <c r="K40" s="112">
        <f t="shared" si="16"/>
        <v>3.7621085830141926E-2</v>
      </c>
      <c r="L40" s="111">
        <f t="shared" si="9"/>
        <v>0.25</v>
      </c>
      <c r="M40" s="115"/>
      <c r="N40" s="101">
        <f t="shared" si="10"/>
        <v>43646</v>
      </c>
      <c r="O40" s="104">
        <f>VLOOKUP(B40,Inputs!$A$22:$D$93,4,FALSE)</f>
        <v>1583</v>
      </c>
      <c r="P40" s="107">
        <f t="shared" si="14"/>
        <v>1566.75</v>
      </c>
      <c r="Q40" s="112">
        <f t="shared" si="17"/>
        <v>2.9740387775221821E-2</v>
      </c>
      <c r="R40" s="111">
        <f t="shared" si="11"/>
        <v>0.25</v>
      </c>
    </row>
    <row r="41" spans="1:18" ht="14.4" x14ac:dyDescent="0.3">
      <c r="A41" s="4"/>
      <c r="B41" s="101">
        <f>IF(EOMONTH(B40,3)&gt;Inputs!$B$5,"",EOMONTH(B40,3))</f>
        <v>43738</v>
      </c>
      <c r="C41" s="104">
        <f>VLOOKUP(B41,Inputs!$A$22:$D$93,2,FALSE)</f>
        <v>1202</v>
      </c>
      <c r="D41" s="107">
        <f t="shared" si="12"/>
        <v>1190</v>
      </c>
      <c r="E41" s="114">
        <f t="shared" si="18"/>
        <v>2.1021021021021023E-2</v>
      </c>
      <c r="F41" s="110">
        <f t="shared" si="7"/>
        <v>0.25</v>
      </c>
      <c r="G41" s="50"/>
      <c r="H41" s="101">
        <f t="shared" si="8"/>
        <v>43738</v>
      </c>
      <c r="I41" s="104">
        <f>VLOOKUP(B41,Inputs!$A$22:$D$93,3,FALSE)</f>
        <v>1166</v>
      </c>
      <c r="J41" s="107">
        <f t="shared" si="13"/>
        <v>1158</v>
      </c>
      <c r="K41" s="112">
        <f t="shared" si="16"/>
        <v>3.3236671871514613E-2</v>
      </c>
      <c r="L41" s="111">
        <f t="shared" si="9"/>
        <v>0.25</v>
      </c>
      <c r="M41" s="115"/>
      <c r="N41" s="101">
        <f t="shared" si="10"/>
        <v>43738</v>
      </c>
      <c r="O41" s="104">
        <f>VLOOKUP(B41,Inputs!$A$22:$D$93,4,FALSE)</f>
        <v>1596</v>
      </c>
      <c r="P41" s="107">
        <f t="shared" si="14"/>
        <v>1577.25</v>
      </c>
      <c r="Q41" s="112">
        <f t="shared" si="17"/>
        <v>2.8697211804989402E-2</v>
      </c>
      <c r="R41" s="111">
        <f t="shared" si="11"/>
        <v>0.25</v>
      </c>
    </row>
    <row r="42" spans="1:18" ht="14.4" x14ac:dyDescent="0.3">
      <c r="A42" s="4"/>
      <c r="B42" s="101">
        <f>IF(EOMONTH(B41,3)&gt;Inputs!$B$5,"",EOMONTH(B41,3))</f>
        <v>43830</v>
      </c>
      <c r="C42" s="104">
        <f>VLOOKUP(B42,Inputs!$A$22:$D$93,2,FALSE)</f>
        <v>1211</v>
      </c>
      <c r="D42" s="107">
        <f t="shared" si="12"/>
        <v>1197.75</v>
      </c>
      <c r="E42" s="114">
        <f t="shared" si="18"/>
        <v>2.2843723313407345E-2</v>
      </c>
      <c r="F42" s="110">
        <f t="shared" si="7"/>
        <v>0.25</v>
      </c>
      <c r="G42" s="50"/>
      <c r="H42" s="101">
        <f t="shared" si="8"/>
        <v>43830</v>
      </c>
      <c r="I42" s="104">
        <f>VLOOKUP(B42,Inputs!$A$22:$D$93,3,FALSE)</f>
        <v>1168</v>
      </c>
      <c r="J42" s="107">
        <f t="shared" si="13"/>
        <v>1159.75</v>
      </c>
      <c r="K42" s="112">
        <f t="shared" si="16"/>
        <v>2.2256500661084179E-2</v>
      </c>
      <c r="L42" s="111">
        <f t="shared" si="9"/>
        <v>0.25</v>
      </c>
      <c r="M42" s="115"/>
      <c r="N42" s="101">
        <f t="shared" si="10"/>
        <v>43830</v>
      </c>
      <c r="O42" s="104">
        <f>VLOOKUP(B42,Inputs!$A$22:$D$93,4,FALSE)</f>
        <v>1604</v>
      </c>
      <c r="P42" s="107">
        <f t="shared" si="14"/>
        <v>1588</v>
      </c>
      <c r="Q42" s="112">
        <f t="shared" si="17"/>
        <v>2.8663967611336032E-2</v>
      </c>
      <c r="R42" s="111">
        <f t="shared" si="11"/>
        <v>0.25</v>
      </c>
    </row>
    <row r="43" spans="1:18" ht="14.4" x14ac:dyDescent="0.3">
      <c r="A43" s="4"/>
      <c r="B43" s="101">
        <f>IF(EOMONTH(B42,3)&gt;Inputs!$B$5,"",EOMONTH(B42,3))</f>
        <v>43921</v>
      </c>
      <c r="C43" s="104">
        <f>VLOOKUP(B43,Inputs!$A$22:$D$93,2,FALSE)</f>
        <v>1215</v>
      </c>
      <c r="D43" s="107">
        <f t="shared" si="12"/>
        <v>1205.25</v>
      </c>
      <c r="E43" s="114">
        <f t="shared" si="18"/>
        <v>2.4219247928616953E-2</v>
      </c>
      <c r="F43" s="110">
        <f t="shared" si="7"/>
        <v>0.25</v>
      </c>
      <c r="G43" s="50"/>
      <c r="H43" s="101">
        <f t="shared" si="8"/>
        <v>43921</v>
      </c>
      <c r="I43" s="104">
        <f>VLOOKUP(B43,Inputs!$A$22:$D$93,3,FALSE)</f>
        <v>1165</v>
      </c>
      <c r="J43" s="107">
        <f t="shared" si="13"/>
        <v>1163.25</v>
      </c>
      <c r="K43" s="112">
        <f t="shared" si="16"/>
        <v>1.6826923076923076E-2</v>
      </c>
      <c r="L43" s="111">
        <f t="shared" si="9"/>
        <v>0.25</v>
      </c>
      <c r="M43" s="115"/>
      <c r="N43" s="101">
        <f t="shared" si="10"/>
        <v>43921</v>
      </c>
      <c r="O43" s="104">
        <f>VLOOKUP(B43,Inputs!$A$22:$D$93,4,FALSE)</f>
        <v>1614</v>
      </c>
      <c r="P43" s="107">
        <f t="shared" si="14"/>
        <v>1599.25</v>
      </c>
      <c r="Q43" s="112">
        <f t="shared" si="17"/>
        <v>2.8456591639871381E-2</v>
      </c>
      <c r="R43" s="111">
        <f t="shared" si="11"/>
        <v>0.25</v>
      </c>
    </row>
    <row r="44" spans="1:18" ht="14.4" x14ac:dyDescent="0.3">
      <c r="A44" s="4"/>
      <c r="B44" s="101">
        <f>IF(EOMONTH(B43,3)&gt;Inputs!$B$5,"",EOMONTH(B43,3))</f>
        <v>44012</v>
      </c>
      <c r="C44" s="104">
        <f>VLOOKUP(B44,Inputs!$A$22:$D$93,2,FALSE)</f>
        <v>1218</v>
      </c>
      <c r="D44" s="107">
        <f t="shared" si="12"/>
        <v>1211.5</v>
      </c>
      <c r="E44" s="114">
        <f>(D44-D40)/D40</f>
        <v>2.4091293322062553E-2</v>
      </c>
      <c r="F44" s="110">
        <f t="shared" si="7"/>
        <v>0.25</v>
      </c>
      <c r="G44" s="50"/>
      <c r="H44" s="101">
        <f t="shared" si="8"/>
        <v>44012</v>
      </c>
      <c r="I44" s="104">
        <f>VLOOKUP(B44,Inputs!$A$22:$D$93,3,FALSE)</f>
        <v>1154</v>
      </c>
      <c r="J44" s="107">
        <f t="shared" ref="J44:J51" si="19">SUMPRODUCT(I41:I44,L41:L44)</f>
        <v>1163.25</v>
      </c>
      <c r="K44" s="112">
        <f t="shared" si="16"/>
        <v>1.020408163265306E-2</v>
      </c>
      <c r="L44" s="111">
        <f t="shared" si="9"/>
        <v>0.25</v>
      </c>
      <c r="M44" s="115"/>
      <c r="N44" s="101">
        <f t="shared" si="10"/>
        <v>44012</v>
      </c>
      <c r="O44" s="104">
        <f>VLOOKUP(B44,Inputs!$A$22:$D$93,4,FALSE)</f>
        <v>1619</v>
      </c>
      <c r="P44" s="107">
        <f t="shared" si="14"/>
        <v>1608.25</v>
      </c>
      <c r="Q44" s="112">
        <f t="shared" si="17"/>
        <v>2.6487952768469762E-2</v>
      </c>
      <c r="R44" s="111">
        <f t="shared" si="11"/>
        <v>0.25</v>
      </c>
    </row>
    <row r="45" spans="1:18" ht="14.4" x14ac:dyDescent="0.3">
      <c r="A45" s="4"/>
      <c r="B45" s="101">
        <f>IF(EOMONTH(B44,3)&gt;Inputs!$B$5,"",EOMONTH(B44,3))</f>
        <v>44104</v>
      </c>
      <c r="C45" s="104">
        <f>VLOOKUP(B45,Inputs!$A$22:$D$93,2,FALSE)</f>
        <v>1225</v>
      </c>
      <c r="D45" s="107">
        <f t="shared" si="12"/>
        <v>1217.25</v>
      </c>
      <c r="E45" s="114">
        <f t="shared" si="18"/>
        <v>2.2899159663865545E-2</v>
      </c>
      <c r="F45" s="110">
        <f t="shared" si="7"/>
        <v>0.25</v>
      </c>
      <c r="G45" s="50"/>
      <c r="H45" s="101">
        <f t="shared" si="8"/>
        <v>44104</v>
      </c>
      <c r="I45" s="104">
        <f>VLOOKUP(B45,Inputs!$A$22:$D$93,3,FALSE)</f>
        <v>1161</v>
      </c>
      <c r="J45" s="107">
        <f t="shared" si="19"/>
        <v>1162</v>
      </c>
      <c r="K45" s="112">
        <f t="shared" si="16"/>
        <v>3.4542314335060447E-3</v>
      </c>
      <c r="L45" s="111">
        <f t="shared" si="9"/>
        <v>0.25</v>
      </c>
      <c r="M45" s="115"/>
      <c r="N45" s="101">
        <f t="shared" si="10"/>
        <v>44104</v>
      </c>
      <c r="O45" s="104">
        <f>VLOOKUP(B45,Inputs!$A$22:$D$93,4,FALSE)</f>
        <v>1624</v>
      </c>
      <c r="P45" s="107">
        <f t="shared" si="14"/>
        <v>1615.25</v>
      </c>
      <c r="Q45" s="112">
        <f t="shared" si="17"/>
        <v>2.409256617530512E-2</v>
      </c>
      <c r="R45" s="111">
        <f t="shared" si="11"/>
        <v>0.25</v>
      </c>
    </row>
    <row r="46" spans="1:18" ht="14.4" x14ac:dyDescent="0.3">
      <c r="A46" s="4"/>
      <c r="B46" s="101">
        <f>IF(EOMONTH(B45,3)&gt;Inputs!$B$5,"",EOMONTH(B45,3))</f>
        <v>44196</v>
      </c>
      <c r="C46" s="104">
        <f>VLOOKUP(B46,Inputs!$A$22:$D$93,2,FALSE)</f>
        <v>1230</v>
      </c>
      <c r="D46" s="107">
        <f t="shared" si="12"/>
        <v>1222</v>
      </c>
      <c r="E46" s="114">
        <f t="shared" si="18"/>
        <v>2.0246295136714672E-2</v>
      </c>
      <c r="F46" s="110">
        <f t="shared" si="7"/>
        <v>0.25</v>
      </c>
      <c r="G46" s="50"/>
      <c r="H46" s="101">
        <f t="shared" si="8"/>
        <v>44196</v>
      </c>
      <c r="I46" s="104">
        <f>VLOOKUP(B46,Inputs!$A$22:$D$93,3,FALSE)</f>
        <v>1162</v>
      </c>
      <c r="J46" s="107">
        <f t="shared" si="19"/>
        <v>1160.5</v>
      </c>
      <c r="K46" s="112">
        <f t="shared" si="16"/>
        <v>6.4669109721922824E-4</v>
      </c>
      <c r="L46" s="111">
        <f t="shared" si="9"/>
        <v>0.25</v>
      </c>
      <c r="M46" s="115"/>
      <c r="N46" s="101">
        <f t="shared" si="10"/>
        <v>44196</v>
      </c>
      <c r="O46" s="104">
        <f>VLOOKUP(B46,Inputs!$A$22:$D$93,4,FALSE)</f>
        <v>1634</v>
      </c>
      <c r="P46" s="107">
        <f t="shared" si="14"/>
        <v>1622.75</v>
      </c>
      <c r="Q46" s="112">
        <f t="shared" si="17"/>
        <v>2.1882871536523931E-2</v>
      </c>
      <c r="R46" s="111">
        <f t="shared" si="11"/>
        <v>0.25</v>
      </c>
    </row>
    <row r="47" spans="1:18" ht="14.4" x14ac:dyDescent="0.3">
      <c r="A47" s="4"/>
      <c r="B47" s="101">
        <f>IF(EOMONTH(B46,3)&gt;Inputs!$B$5,"",EOMONTH(B46,3))</f>
        <v>44286</v>
      </c>
      <c r="C47" s="104">
        <f>VLOOKUP(B47,Inputs!$A$22:$D$93,2,FALSE)</f>
        <v>1235</v>
      </c>
      <c r="D47" s="107">
        <f t="shared" si="12"/>
        <v>1227</v>
      </c>
      <c r="E47" s="114">
        <f t="shared" si="18"/>
        <v>1.8046048537647789E-2</v>
      </c>
      <c r="F47" s="110">
        <f t="shared" si="7"/>
        <v>0.25</v>
      </c>
      <c r="G47" s="50"/>
      <c r="H47" s="101">
        <f t="shared" si="8"/>
        <v>44286</v>
      </c>
      <c r="I47" s="104">
        <f>VLOOKUP(B47,Inputs!$A$22:$D$93,3,FALSE)</f>
        <v>1186</v>
      </c>
      <c r="J47" s="107">
        <f>SUMPRODUCT(I44:I47,L44:L47)</f>
        <v>1165.75</v>
      </c>
      <c r="K47" s="112">
        <f t="shared" si="16"/>
        <v>2.149151085321298E-3</v>
      </c>
      <c r="L47" s="111">
        <f t="shared" si="9"/>
        <v>0.25</v>
      </c>
      <c r="M47" s="115"/>
      <c r="N47" s="101">
        <f t="shared" si="10"/>
        <v>44286</v>
      </c>
      <c r="O47" s="104">
        <f>VLOOKUP(B47,Inputs!$A$22:$D$93,4,FALSE)</f>
        <v>1644</v>
      </c>
      <c r="P47" s="107">
        <f t="shared" si="14"/>
        <v>1630.25</v>
      </c>
      <c r="Q47" s="112">
        <f t="shared" si="17"/>
        <v>1.938408629044865E-2</v>
      </c>
      <c r="R47" s="111">
        <f t="shared" si="11"/>
        <v>0.25</v>
      </c>
    </row>
    <row r="48" spans="1:18" ht="14.4" x14ac:dyDescent="0.3">
      <c r="A48" s="4"/>
      <c r="B48" s="101">
        <f>IF(EOMONTH(B47,3)&gt;Inputs!$B$5,"",EOMONTH(B47,3))</f>
        <v>44377</v>
      </c>
      <c r="C48" s="104">
        <f>VLOOKUP(B48,Inputs!$A$22:$D$93,2,FALSE)</f>
        <v>1244</v>
      </c>
      <c r="D48" s="107">
        <f t="shared" si="12"/>
        <v>1233.5</v>
      </c>
      <c r="E48" s="114">
        <f t="shared" si="18"/>
        <v>1.8159306644655385E-2</v>
      </c>
      <c r="F48" s="110">
        <f t="shared" si="7"/>
        <v>0.25</v>
      </c>
      <c r="G48" s="50"/>
      <c r="H48" s="101">
        <f t="shared" si="8"/>
        <v>44377</v>
      </c>
      <c r="I48" s="104">
        <f>VLOOKUP(B48,Inputs!$A$22:$D$93,3,FALSE)</f>
        <v>1222</v>
      </c>
      <c r="J48" s="107">
        <f t="shared" si="19"/>
        <v>1182.75</v>
      </c>
      <c r="K48" s="112">
        <f t="shared" si="16"/>
        <v>1.6763378465506126E-2</v>
      </c>
      <c r="L48" s="111">
        <f t="shared" si="9"/>
        <v>0.25</v>
      </c>
      <c r="M48" s="115"/>
      <c r="N48" s="101">
        <f t="shared" si="10"/>
        <v>44377</v>
      </c>
      <c r="O48" s="104">
        <f>VLOOKUP(B48,Inputs!$A$22:$D$93,4,FALSE)</f>
        <v>1692</v>
      </c>
      <c r="P48" s="107">
        <f t="shared" si="14"/>
        <v>1648.5</v>
      </c>
      <c r="Q48" s="112">
        <f t="shared" si="17"/>
        <v>2.5027203482045703E-2</v>
      </c>
      <c r="R48" s="111">
        <f t="shared" si="11"/>
        <v>0.25</v>
      </c>
    </row>
    <row r="49" spans="1:18" ht="14.4" x14ac:dyDescent="0.3">
      <c r="A49" s="4"/>
      <c r="B49" s="101">
        <f>IF(EOMONTH(B48,3)&gt;Inputs!$B$5,"",EOMONTH(B48,3))</f>
        <v>44469</v>
      </c>
      <c r="C49" s="104">
        <f>VLOOKUP(B49,Inputs!$A$22:$D$93,2,FALSE)</f>
        <v>1254</v>
      </c>
      <c r="D49" s="107">
        <f t="shared" si="12"/>
        <v>1240.75</v>
      </c>
      <c r="E49" s="114">
        <f t="shared" si="18"/>
        <v>1.9305812281782707E-2</v>
      </c>
      <c r="F49" s="110">
        <f t="shared" si="7"/>
        <v>0.25</v>
      </c>
      <c r="G49" s="50"/>
      <c r="H49" s="101">
        <f t="shared" si="8"/>
        <v>44469</v>
      </c>
      <c r="I49" s="104">
        <f>VLOOKUP(B49,Inputs!$A$22:$D$93,3,FALSE)</f>
        <v>1242</v>
      </c>
      <c r="J49" s="107">
        <f t="shared" si="19"/>
        <v>1203</v>
      </c>
      <c r="K49" s="112">
        <f t="shared" si="16"/>
        <v>3.5283993115318414E-2</v>
      </c>
      <c r="L49" s="111">
        <f t="shared" si="9"/>
        <v>0.25</v>
      </c>
      <c r="M49" s="115"/>
      <c r="N49" s="101">
        <f t="shared" si="10"/>
        <v>44469</v>
      </c>
      <c r="O49" s="104">
        <f>VLOOKUP(B49,Inputs!$A$22:$D$93,4,FALSE)</f>
        <v>1734</v>
      </c>
      <c r="P49" s="107">
        <f t="shared" si="14"/>
        <v>1676</v>
      </c>
      <c r="Q49" s="112">
        <f t="shared" si="17"/>
        <v>3.7610277046896762E-2</v>
      </c>
      <c r="R49" s="111">
        <f t="shared" si="11"/>
        <v>0.25</v>
      </c>
    </row>
    <row r="50" spans="1:18" ht="14.4" x14ac:dyDescent="0.3">
      <c r="A50" s="4"/>
      <c r="B50" s="101">
        <f>IF(EOMONTH(B49,3)&gt;Inputs!$B$5,"",EOMONTH(B49,3))</f>
        <v>44561</v>
      </c>
      <c r="C50" s="104">
        <f>VLOOKUP(B50,Inputs!$A$22:$D$93,2,FALSE)</f>
        <v>1262</v>
      </c>
      <c r="D50" s="107">
        <f t="shared" si="12"/>
        <v>1248.75</v>
      </c>
      <c r="E50" s="114">
        <f t="shared" si="18"/>
        <v>2.1890343698854339E-2</v>
      </c>
      <c r="F50" s="110">
        <f t="shared" si="7"/>
        <v>0.25</v>
      </c>
      <c r="G50" s="50"/>
      <c r="H50" s="101">
        <f t="shared" si="8"/>
        <v>44561</v>
      </c>
      <c r="I50" s="104">
        <f>VLOOKUP(B50,Inputs!$A$22:$D$93,3,FALSE)</f>
        <v>1257</v>
      </c>
      <c r="J50" s="107">
        <f t="shared" si="19"/>
        <v>1226.75</v>
      </c>
      <c r="K50" s="112">
        <f t="shared" si="16"/>
        <v>5.7087462300732444E-2</v>
      </c>
      <c r="L50" s="111">
        <f t="shared" si="9"/>
        <v>0.25</v>
      </c>
      <c r="M50" s="115"/>
      <c r="N50" s="101">
        <f t="shared" si="10"/>
        <v>44561</v>
      </c>
      <c r="O50" s="104">
        <f>VLOOKUP(B50,Inputs!$A$22:$D$93,4,FALSE)</f>
        <v>1785</v>
      </c>
      <c r="P50" s="107">
        <f t="shared" si="14"/>
        <v>1713.75</v>
      </c>
      <c r="Q50" s="112">
        <f t="shared" si="17"/>
        <v>5.6077645971344937E-2</v>
      </c>
      <c r="R50" s="111">
        <f t="shared" si="11"/>
        <v>0.25</v>
      </c>
    </row>
    <row r="51" spans="1:18" ht="14.4" x14ac:dyDescent="0.3">
      <c r="A51" s="4"/>
      <c r="B51" s="101">
        <f>IF(EOMONTH(B50,3)&gt;Inputs!$B$5,"",EOMONTH(B50,3))</f>
        <v>44651</v>
      </c>
      <c r="C51" s="104">
        <f>VLOOKUP(B51,Inputs!$A$22:$D$93,2,FALSE)</f>
        <v>1272</v>
      </c>
      <c r="D51" s="107">
        <f>SUMPRODUCT(C48:C51,F48:F51)</f>
        <v>1258</v>
      </c>
      <c r="E51" s="114">
        <f t="shared" si="18"/>
        <v>2.526487367563162E-2</v>
      </c>
      <c r="F51" s="110">
        <f t="shared" si="7"/>
        <v>0.25</v>
      </c>
      <c r="G51" s="50"/>
      <c r="H51" s="101">
        <f t="shared" si="8"/>
        <v>44651</v>
      </c>
      <c r="I51" s="104">
        <f>VLOOKUP(B51,Inputs!$A$22:$D$93,3,FALSE)</f>
        <v>1300</v>
      </c>
      <c r="J51" s="107">
        <f t="shared" si="19"/>
        <v>1255.25</v>
      </c>
      <c r="K51" s="112">
        <f t="shared" si="16"/>
        <v>7.6774608621059406E-2</v>
      </c>
      <c r="L51" s="111">
        <f t="shared" si="9"/>
        <v>0.25</v>
      </c>
      <c r="M51" s="115"/>
      <c r="N51" s="101">
        <f t="shared" si="10"/>
        <v>44651</v>
      </c>
      <c r="O51" s="104">
        <f>VLOOKUP(B51,Inputs!$A$22:$D$93,4,FALSE)</f>
        <v>1835</v>
      </c>
      <c r="P51" s="107">
        <f t="shared" si="14"/>
        <v>1761.5</v>
      </c>
      <c r="Q51" s="112">
        <f t="shared" si="17"/>
        <v>8.0509124367428311E-2</v>
      </c>
      <c r="R51" s="111">
        <f t="shared" si="11"/>
        <v>0.25</v>
      </c>
    </row>
    <row r="52" spans="1:18" ht="14.4" x14ac:dyDescent="0.3">
      <c r="A52" s="4"/>
      <c r="B52" s="101">
        <f>IF(EOMONTH(B51,3)&gt;Inputs!$B$5,"",EOMONTH(B51,3))</f>
        <v>44742</v>
      </c>
      <c r="C52" s="104">
        <f>VLOOKUP(B52,Inputs!$A$22:$D$93,2,FALSE)</f>
        <v>1286</v>
      </c>
      <c r="D52" s="107">
        <f t="shared" ref="D52:D63" si="20">SUMPRODUCT(C49:C52,F49:F52)</f>
        <v>1268.5</v>
      </c>
      <c r="E52" s="114">
        <f t="shared" ref="E52:E63" si="21">(D52-D48)/D48</f>
        <v>2.837454398054317E-2</v>
      </c>
      <c r="F52" s="110">
        <f t="shared" ref="F52:F63" si="22">INDEX(Qtr_Wgt,MONTH(B52)/3,1)</f>
        <v>0.25</v>
      </c>
      <c r="G52" s="50"/>
      <c r="H52" s="101">
        <f t="shared" ref="H52:H63" si="23">B52</f>
        <v>44742</v>
      </c>
      <c r="I52" s="104">
        <f>VLOOKUP(B52,Inputs!$A$22:$D$93,3,FALSE)</f>
        <v>1340</v>
      </c>
      <c r="J52" s="107">
        <f t="shared" ref="J52:J63" si="24">SUMPRODUCT(I49:I52,L49:L52)</f>
        <v>1284.75</v>
      </c>
      <c r="K52" s="112">
        <f t="shared" ref="K52:K63" si="25">(J52-J48)/J48</f>
        <v>8.6239695624603679E-2</v>
      </c>
      <c r="L52" s="111">
        <f t="shared" ref="L52:L63" si="26">INDEX(Qtr_Wgt,MONTH(H52)/3,2)</f>
        <v>0.25</v>
      </c>
      <c r="M52" s="115"/>
      <c r="N52" s="101">
        <f t="shared" ref="N52:N63" si="27">B52</f>
        <v>44742</v>
      </c>
      <c r="O52" s="104">
        <f>VLOOKUP(B52,Inputs!$A$22:$D$93,4,FALSE)</f>
        <v>1903</v>
      </c>
      <c r="P52" s="107">
        <f t="shared" ref="P52:P63" si="28">SUMPRODUCT(O49:O52,R49:R52)</f>
        <v>1814.25</v>
      </c>
      <c r="Q52" s="112">
        <f t="shared" ref="Q52:Q63" si="29">(P52-P48)/P48</f>
        <v>0.1005459508644222</v>
      </c>
      <c r="R52" s="111">
        <f t="shared" ref="R52:R63" si="30">INDEX(Qtr_Wgt,MONTH(N52)/3,3)</f>
        <v>0.25</v>
      </c>
    </row>
    <row r="53" spans="1:18" ht="14.4" x14ac:dyDescent="0.3">
      <c r="A53" s="4"/>
      <c r="B53" s="101">
        <f>IF(EOMONTH(B52,3)&gt;Inputs!$B$5,"",EOMONTH(B52,3))</f>
        <v>44834</v>
      </c>
      <c r="C53" s="104">
        <f>VLOOKUP(B53,Inputs!$A$22:$D$93,2,FALSE)</f>
        <v>1296.5989447912598</v>
      </c>
      <c r="D53" s="107">
        <f t="shared" si="20"/>
        <v>1279.1497361978149</v>
      </c>
      <c r="E53" s="114">
        <f t="shared" si="21"/>
        <v>3.0948810153387022E-2</v>
      </c>
      <c r="F53" s="110">
        <f t="shared" si="22"/>
        <v>0.25</v>
      </c>
      <c r="G53" s="50"/>
      <c r="H53" s="101">
        <f t="shared" si="23"/>
        <v>44834</v>
      </c>
      <c r="I53" s="104">
        <f>VLOOKUP(B53,Inputs!$A$22:$D$93,3,FALSE)</f>
        <v>1369.0196077710109</v>
      </c>
      <c r="J53" s="107">
        <f t="shared" si="24"/>
        <v>1316.5049019427527</v>
      </c>
      <c r="K53" s="112">
        <f t="shared" si="25"/>
        <v>9.4351539437034643E-2</v>
      </c>
      <c r="L53" s="111">
        <f t="shared" si="26"/>
        <v>0.25</v>
      </c>
      <c r="M53" s="100"/>
      <c r="N53" s="101">
        <f t="shared" si="27"/>
        <v>44834</v>
      </c>
      <c r="O53" s="104">
        <f>VLOOKUP(B53,Inputs!$A$22:$D$93,4,FALSE)</f>
        <v>1937.9835684155389</v>
      </c>
      <c r="P53" s="107">
        <f t="shared" si="28"/>
        <v>1865.2458921038847</v>
      </c>
      <c r="Q53" s="112">
        <f t="shared" si="29"/>
        <v>0.11291521008585004</v>
      </c>
      <c r="R53" s="111">
        <f t="shared" si="30"/>
        <v>0.25</v>
      </c>
    </row>
    <row r="54" spans="1:18" ht="14.4" x14ac:dyDescent="0.3">
      <c r="A54" s="4"/>
      <c r="B54" s="101">
        <f>IF(EOMONTH(B53,3)&gt;Inputs!$B$5,"",EOMONTH(B53,3))</f>
        <v>44926</v>
      </c>
      <c r="C54" s="104">
        <f>VLOOKUP(B54,Inputs!$A$22:$D$93,2,FALSE)</f>
        <v>1307.1978895825196</v>
      </c>
      <c r="D54" s="107">
        <f t="shared" si="20"/>
        <v>1290.4492085934448</v>
      </c>
      <c r="E54" s="114">
        <f t="shared" si="21"/>
        <v>3.3392759634390257E-2</v>
      </c>
      <c r="F54" s="110">
        <f t="shared" si="22"/>
        <v>0.25</v>
      </c>
      <c r="G54" s="50"/>
      <c r="H54" s="101">
        <f t="shared" si="23"/>
        <v>44926</v>
      </c>
      <c r="I54" s="104">
        <f>VLOOKUP(B54,Inputs!$A$22:$D$93,3,FALSE)</f>
        <v>1396.8386053880761</v>
      </c>
      <c r="J54" s="107">
        <f t="shared" si="24"/>
        <v>1351.4645532897716</v>
      </c>
      <c r="K54" s="112">
        <f t="shared" si="25"/>
        <v>0.10166256636622917</v>
      </c>
      <c r="L54" s="111">
        <f t="shared" si="26"/>
        <v>0.25</v>
      </c>
      <c r="M54" s="100"/>
      <c r="N54" s="101">
        <f t="shared" si="27"/>
        <v>44926</v>
      </c>
      <c r="O54" s="104">
        <f>VLOOKUP(B54,Inputs!$A$22:$D$93,4,FALSE)</f>
        <v>1971.646381866052</v>
      </c>
      <c r="P54" s="107">
        <f t="shared" si="28"/>
        <v>1911.9074875703977</v>
      </c>
      <c r="Q54" s="112">
        <f t="shared" si="29"/>
        <v>0.11562800149986739</v>
      </c>
      <c r="R54" s="111">
        <f t="shared" si="30"/>
        <v>0.25</v>
      </c>
    </row>
    <row r="55" spans="1:18" s="3" customFormat="1" ht="14.4" x14ac:dyDescent="0.3">
      <c r="A55" s="50"/>
      <c r="B55" s="101">
        <f>IF(EOMONTH(B54,3)&gt;Inputs!$B$5,"",EOMONTH(B54,3))</f>
        <v>45016</v>
      </c>
      <c r="C55" s="104">
        <f>VLOOKUP(B55,Inputs!$A$22:$D$93,2,FALSE)</f>
        <v>1317.800014375217</v>
      </c>
      <c r="D55" s="107">
        <f t="shared" si="20"/>
        <v>1301.8992121872491</v>
      </c>
      <c r="E55" s="114">
        <f t="shared" si="21"/>
        <v>3.4896035124999267E-2</v>
      </c>
      <c r="F55" s="110">
        <f t="shared" si="22"/>
        <v>0.25</v>
      </c>
      <c r="G55" s="50"/>
      <c r="H55" s="101">
        <f t="shared" si="23"/>
        <v>45016</v>
      </c>
      <c r="I55" s="104">
        <f>VLOOKUP(B55,Inputs!$A$22:$D$93,3,FALSE)</f>
        <v>1426.7367626695016</v>
      </c>
      <c r="J55" s="107">
        <f t="shared" si="24"/>
        <v>1383.148743957147</v>
      </c>
      <c r="K55" s="112">
        <f t="shared" si="25"/>
        <v>0.10189105274419197</v>
      </c>
      <c r="L55" s="111">
        <f t="shared" si="26"/>
        <v>0.25</v>
      </c>
      <c r="M55" s="100"/>
      <c r="N55" s="101">
        <f t="shared" si="27"/>
        <v>45016</v>
      </c>
      <c r="O55" s="104">
        <f>VLOOKUP(B55,Inputs!$A$22:$D$93,4,FALSE)</f>
        <v>2002.8773451142588</v>
      </c>
      <c r="P55" s="107">
        <f t="shared" si="28"/>
        <v>1953.8768238489624</v>
      </c>
      <c r="Q55" s="112">
        <f t="shared" si="29"/>
        <v>0.10921193519668602</v>
      </c>
      <c r="R55" s="111">
        <f t="shared" si="30"/>
        <v>0.25</v>
      </c>
    </row>
    <row r="56" spans="1:18" ht="14.4" x14ac:dyDescent="0.3">
      <c r="A56" s="4"/>
      <c r="B56" s="101">
        <f>IF(EOMONTH(B55,3)&gt;Inputs!$B$5,"",EOMONTH(B55,3))</f>
        <v>45107</v>
      </c>
      <c r="C56" s="104">
        <f>VLOOKUP(B56,Inputs!$A$22:$D$93,2,FALSE)</f>
        <v>1330.9878435728742</v>
      </c>
      <c r="D56" s="107">
        <f t="shared" si="20"/>
        <v>1313.1461730804676</v>
      </c>
      <c r="E56" s="114">
        <f t="shared" si="21"/>
        <v>3.5196037115071056E-2</v>
      </c>
      <c r="F56" s="110">
        <f t="shared" si="22"/>
        <v>0.25</v>
      </c>
      <c r="G56" s="50"/>
      <c r="H56" s="101">
        <f t="shared" si="23"/>
        <v>45107</v>
      </c>
      <c r="I56" s="104">
        <f>VLOOKUP(B56,Inputs!$A$22:$D$93,3,FALSE)</f>
        <v>1452.7891277168344</v>
      </c>
      <c r="J56" s="107">
        <f t="shared" si="24"/>
        <v>1411.3460258863558</v>
      </c>
      <c r="K56" s="112">
        <f t="shared" si="25"/>
        <v>9.8537478798486747E-2</v>
      </c>
      <c r="L56" s="111">
        <f t="shared" si="26"/>
        <v>0.25</v>
      </c>
      <c r="M56" s="100"/>
      <c r="N56" s="101">
        <f t="shared" si="27"/>
        <v>45107</v>
      </c>
      <c r="O56" s="104">
        <f>VLOOKUP(B56,Inputs!$A$22:$D$93,4,FALSE)</f>
        <v>2031.0530886593494</v>
      </c>
      <c r="P56" s="107">
        <f t="shared" si="28"/>
        <v>1985.8900960137998</v>
      </c>
      <c r="Q56" s="112">
        <f t="shared" si="29"/>
        <v>9.4606639665867354E-2</v>
      </c>
      <c r="R56" s="111">
        <f t="shared" si="30"/>
        <v>0.25</v>
      </c>
    </row>
    <row r="57" spans="1:18" ht="14.4" x14ac:dyDescent="0.3">
      <c r="A57" s="4"/>
      <c r="B57" s="101">
        <f>IF(EOMONTH(B56,3)&gt;Inputs!$B$5,"",EOMONTH(B56,3))</f>
        <v>45199</v>
      </c>
      <c r="C57" s="104">
        <f>VLOOKUP(B57,Inputs!$A$22:$D$93,2,FALSE)</f>
        <v>1344.1756727705317</v>
      </c>
      <c r="D57" s="107">
        <f t="shared" si="20"/>
        <v>1325.0403550752856</v>
      </c>
      <c r="E57" s="114">
        <f t="shared" si="21"/>
        <v>3.5875877216593376E-2</v>
      </c>
      <c r="F57" s="110">
        <f t="shared" si="22"/>
        <v>0.25</v>
      </c>
      <c r="G57" s="50"/>
      <c r="H57" s="101">
        <f t="shared" si="23"/>
        <v>45199</v>
      </c>
      <c r="I57" s="104">
        <f>VLOOKUP(B57,Inputs!$A$22:$D$93,3,FALSE)</f>
        <v>1476.4988778175402</v>
      </c>
      <c r="J57" s="107">
        <f t="shared" si="24"/>
        <v>1438.215843397988</v>
      </c>
      <c r="K57" s="112">
        <f t="shared" si="25"/>
        <v>9.2450048059545972E-2</v>
      </c>
      <c r="L57" s="111">
        <f t="shared" si="26"/>
        <v>0.25</v>
      </c>
      <c r="M57" s="100"/>
      <c r="N57" s="101">
        <f t="shared" si="27"/>
        <v>45199</v>
      </c>
      <c r="O57" s="104">
        <f>VLOOKUP(B57,Inputs!$A$22:$D$93,4,FALSE)</f>
        <v>2053.774201862524</v>
      </c>
      <c r="P57" s="107">
        <f t="shared" si="28"/>
        <v>2014.8377543755462</v>
      </c>
      <c r="Q57" s="112">
        <f t="shared" si="29"/>
        <v>8.0199539859557564E-2</v>
      </c>
      <c r="R57" s="111">
        <f t="shared" si="30"/>
        <v>0.25</v>
      </c>
    </row>
    <row r="58" spans="1:18" ht="14.4" x14ac:dyDescent="0.3">
      <c r="A58" s="4"/>
      <c r="B58" s="101">
        <f>IF(EOMONTH(B57,3)&gt;Inputs!$B$5,"",EOMONTH(B57,3))</f>
        <v>45291</v>
      </c>
      <c r="C58" s="104">
        <f>VLOOKUP(B58,Inputs!$A$22:$D$93,2,FALSE)</f>
        <v>1357.3635019681892</v>
      </c>
      <c r="D58" s="107">
        <f t="shared" si="20"/>
        <v>1337.5817581717029</v>
      </c>
      <c r="E58" s="114">
        <f t="shared" si="21"/>
        <v>3.6524141565890254E-2</v>
      </c>
      <c r="F58" s="110">
        <f t="shared" si="22"/>
        <v>0.25</v>
      </c>
      <c r="G58" s="50"/>
      <c r="H58" s="101">
        <f t="shared" si="23"/>
        <v>45291</v>
      </c>
      <c r="I58" s="104">
        <f>VLOOKUP(B58,Inputs!$A$22:$D$93,3,FALSE)</f>
        <v>1497.3009916229823</v>
      </c>
      <c r="J58" s="107">
        <f t="shared" si="24"/>
        <v>1463.3314399567146</v>
      </c>
      <c r="K58" s="112">
        <f t="shared" si="25"/>
        <v>8.2774562155280756E-2</v>
      </c>
      <c r="L58" s="111">
        <f t="shared" si="26"/>
        <v>0.25</v>
      </c>
      <c r="M58" s="100"/>
      <c r="N58" s="101">
        <f t="shared" si="27"/>
        <v>45291</v>
      </c>
      <c r="O58" s="104">
        <f>VLOOKUP(B58,Inputs!$A$22:$D$93,4,FALSE)</f>
        <v>2074.3610688419317</v>
      </c>
      <c r="P58" s="107">
        <f t="shared" si="28"/>
        <v>2040.5164261195159</v>
      </c>
      <c r="Q58" s="112">
        <f t="shared" si="29"/>
        <v>6.7267343940658489E-2</v>
      </c>
      <c r="R58" s="111">
        <f t="shared" si="30"/>
        <v>0.25</v>
      </c>
    </row>
    <row r="59" spans="1:18" ht="14.4" x14ac:dyDescent="0.3">
      <c r="A59" s="4"/>
      <c r="B59" s="101">
        <f>IF(EOMONTH(B58,3)&gt;Inputs!$B$5,"",EOMONTH(B58,3))</f>
        <v>45382</v>
      </c>
      <c r="C59" s="104">
        <f>VLOOKUP(B59,Inputs!$A$22:$D$93,2,FALSE)</f>
        <v>1370.5513311658465</v>
      </c>
      <c r="D59" s="107">
        <f t="shared" si="20"/>
        <v>1350.7695873693604</v>
      </c>
      <c r="E59" s="114">
        <f t="shared" si="21"/>
        <v>3.7537756167781107E-2</v>
      </c>
      <c r="F59" s="110">
        <f t="shared" si="22"/>
        <v>0.25</v>
      </c>
      <c r="G59" s="50"/>
      <c r="H59" s="101">
        <f t="shared" si="23"/>
        <v>45382</v>
      </c>
      <c r="I59" s="104">
        <f>VLOOKUP(B59,Inputs!$A$22:$D$93,3,FALSE)</f>
        <v>1517.3222365028764</v>
      </c>
      <c r="J59" s="107">
        <f t="shared" si="24"/>
        <v>1485.9778084150585</v>
      </c>
      <c r="K59" s="112">
        <f t="shared" si="25"/>
        <v>7.4344183810427095E-2</v>
      </c>
      <c r="L59" s="111">
        <f t="shared" si="26"/>
        <v>0.25</v>
      </c>
      <c r="M59" s="100"/>
      <c r="N59" s="101">
        <f t="shared" si="27"/>
        <v>45382</v>
      </c>
      <c r="O59" s="104">
        <f>VLOOKUP(B59,Inputs!$A$22:$D$93,4,FALSE)</f>
        <v>2093.2393059581623</v>
      </c>
      <c r="P59" s="107">
        <f t="shared" si="28"/>
        <v>2063.1069163304919</v>
      </c>
      <c r="Q59" s="112">
        <f t="shared" si="29"/>
        <v>5.5904287899969034E-2</v>
      </c>
      <c r="R59" s="111">
        <f t="shared" si="30"/>
        <v>0.25</v>
      </c>
    </row>
    <row r="60" spans="1:18" ht="14.4" x14ac:dyDescent="0.3">
      <c r="A60" s="4"/>
      <c r="B60" s="101">
        <f>IF(EOMONTH(B59,3)&gt;Inputs!$B$5,"",EOMONTH(B59,3))</f>
        <v>45473</v>
      </c>
      <c r="C60" s="104">
        <f>VLOOKUP(B60,Inputs!$A$22:$D$93,2,FALSE)</f>
        <v>1380.6717747905327</v>
      </c>
      <c r="D60" s="107">
        <f t="shared" si="20"/>
        <v>1363.1905701737751</v>
      </c>
      <c r="E60" s="114">
        <f t="shared" si="21"/>
        <v>3.811030189876722E-2</v>
      </c>
      <c r="F60" s="110">
        <f t="shared" si="22"/>
        <v>0.25</v>
      </c>
      <c r="G60" s="50"/>
      <c r="H60" s="101">
        <f t="shared" si="23"/>
        <v>45473</v>
      </c>
      <c r="I60" s="104">
        <f>VLOOKUP(B60,Inputs!$A$22:$D$93,3,FALSE)</f>
        <v>1534.753106452484</v>
      </c>
      <c r="J60" s="107">
        <f t="shared" si="24"/>
        <v>1506.4688030989707</v>
      </c>
      <c r="K60" s="112">
        <f t="shared" si="25"/>
        <v>6.7398621931057431E-2</v>
      </c>
      <c r="L60" s="111">
        <f t="shared" si="26"/>
        <v>0.25</v>
      </c>
      <c r="M60" s="100"/>
      <c r="N60" s="101">
        <f t="shared" si="27"/>
        <v>45473</v>
      </c>
      <c r="O60" s="104">
        <f>VLOOKUP(B60,Inputs!$A$22:$D$93,4,FALSE)</f>
        <v>2110.1877901258113</v>
      </c>
      <c r="P60" s="107">
        <f t="shared" si="28"/>
        <v>2082.8905916971071</v>
      </c>
      <c r="Q60" s="112">
        <f t="shared" si="29"/>
        <v>4.8844845884478988E-2</v>
      </c>
      <c r="R60" s="111">
        <f t="shared" si="30"/>
        <v>0.25</v>
      </c>
    </row>
    <row r="61" spans="1:18" ht="14.4" x14ac:dyDescent="0.3">
      <c r="A61" s="4"/>
      <c r="B61" s="101">
        <f>IF(EOMONTH(B60,3)&gt;Inputs!$B$5,"",EOMONTH(B60,3))</f>
        <v>45565</v>
      </c>
      <c r="C61" s="104">
        <f>VLOOKUP(B61,Inputs!$A$22:$D$93,2,FALSE)</f>
        <v>1390.7922184152192</v>
      </c>
      <c r="D61" s="107">
        <f t="shared" si="20"/>
        <v>1374.8447065849468</v>
      </c>
      <c r="E61" s="114">
        <f t="shared" si="21"/>
        <v>3.7587045042738729E-2</v>
      </c>
      <c r="F61" s="110">
        <f t="shared" si="22"/>
        <v>0.25</v>
      </c>
      <c r="G61" s="50"/>
      <c r="H61" s="101">
        <f t="shared" si="23"/>
        <v>45565</v>
      </c>
      <c r="I61" s="104">
        <f>VLOOKUP(B61,Inputs!$A$22:$D$93,3,FALSE)</f>
        <v>1552.2226904583017</v>
      </c>
      <c r="J61" s="107">
        <f t="shared" si="24"/>
        <v>1525.3997562591612</v>
      </c>
      <c r="K61" s="112">
        <f t="shared" si="25"/>
        <v>6.061949133809353E-2</v>
      </c>
      <c r="L61" s="111">
        <f t="shared" si="26"/>
        <v>0.25</v>
      </c>
      <c r="M61" s="100"/>
      <c r="N61" s="101">
        <f t="shared" si="27"/>
        <v>45565</v>
      </c>
      <c r="O61" s="104">
        <f>VLOOKUP(B61,Inputs!$A$22:$D$93,4,FALSE)</f>
        <v>2125.9129808887246</v>
      </c>
      <c r="P61" s="107">
        <f t="shared" si="28"/>
        <v>2100.9252864536575</v>
      </c>
      <c r="Q61" s="112">
        <f t="shared" si="29"/>
        <v>4.2726781295991834E-2</v>
      </c>
      <c r="R61" s="111">
        <f t="shared" si="30"/>
        <v>0.25</v>
      </c>
    </row>
    <row r="62" spans="1:18" ht="14.4" x14ac:dyDescent="0.3">
      <c r="A62" s="4"/>
      <c r="B62" s="101">
        <f>IF(EOMONTH(B61,3)&gt;Inputs!$B$5,"",EOMONTH(B61,3))</f>
        <v>45657</v>
      </c>
      <c r="C62" s="104">
        <f>VLOOKUP(B62,Inputs!$A$22:$D$93,2,FALSE)</f>
        <v>1400.9126620399056</v>
      </c>
      <c r="D62" s="107">
        <f t="shared" si="20"/>
        <v>1385.7319966028761</v>
      </c>
      <c r="E62" s="114">
        <f t="shared" si="21"/>
        <v>3.5997977796129781E-2</v>
      </c>
      <c r="F62" s="110">
        <f t="shared" si="22"/>
        <v>0.25</v>
      </c>
      <c r="G62" s="50"/>
      <c r="H62" s="101">
        <f t="shared" si="23"/>
        <v>45657</v>
      </c>
      <c r="I62" s="104">
        <f>VLOOKUP(B62,Inputs!$A$22:$D$93,3,FALSE)</f>
        <v>1566.6903129379039</v>
      </c>
      <c r="J62" s="107">
        <f t="shared" si="24"/>
        <v>1542.7470865878918</v>
      </c>
      <c r="K62" s="112">
        <f t="shared" si="25"/>
        <v>5.427044377145776E-2</v>
      </c>
      <c r="L62" s="111">
        <f t="shared" si="26"/>
        <v>0.25</v>
      </c>
      <c r="M62" s="100"/>
      <c r="N62" s="101">
        <f t="shared" si="27"/>
        <v>45657</v>
      </c>
      <c r="O62" s="104">
        <f>VLOOKUP(B62,Inputs!$A$22:$D$93,4,FALSE)</f>
        <v>2140.1546984758593</v>
      </c>
      <c r="P62" s="107">
        <f t="shared" si="28"/>
        <v>2117.3736938621391</v>
      </c>
      <c r="Q62" s="112">
        <f t="shared" si="29"/>
        <v>3.7665596198499587E-2</v>
      </c>
      <c r="R62" s="111">
        <f t="shared" si="30"/>
        <v>0.25</v>
      </c>
    </row>
    <row r="63" spans="1:18" ht="14.4" x14ac:dyDescent="0.3">
      <c r="A63" s="4"/>
      <c r="B63" s="21">
        <f>IF(EOMONTH(B62,3)&gt;Inputs!$B$5,"",EOMONTH(B62,3))</f>
        <v>45747</v>
      </c>
      <c r="C63" s="102">
        <f>VLOOKUP(B63,Inputs!$A$22:$D$93,2,FALSE)</f>
        <v>1411.0331056645919</v>
      </c>
      <c r="D63" s="105">
        <f t="shared" si="20"/>
        <v>1395.8524402275623</v>
      </c>
      <c r="E63" s="113">
        <f t="shared" si="21"/>
        <v>3.3375679523553178E-2</v>
      </c>
      <c r="F63" s="110">
        <f t="shared" si="22"/>
        <v>0.25</v>
      </c>
      <c r="G63" s="50"/>
      <c r="H63" s="21">
        <f t="shared" si="23"/>
        <v>45747</v>
      </c>
      <c r="I63" s="102">
        <f>VLOOKUP(B63,Inputs!$A$22:$D$93,3,FALSE)</f>
        <v>1580.9296022303865</v>
      </c>
      <c r="J63" s="105">
        <f t="shared" si="24"/>
        <v>1558.6489280197688</v>
      </c>
      <c r="K63" s="109">
        <f t="shared" si="25"/>
        <v>4.890457932357771E-2</v>
      </c>
      <c r="L63" s="111">
        <f t="shared" si="26"/>
        <v>0.25</v>
      </c>
      <c r="M63" s="100"/>
      <c r="N63" s="21">
        <f t="shared" si="27"/>
        <v>45747</v>
      </c>
      <c r="O63" s="102">
        <f>VLOOKUP(B63,Inputs!$A$22:$D$93,4,FALSE)</f>
        <v>2153.7466115361121</v>
      </c>
      <c r="P63" s="105">
        <f t="shared" si="28"/>
        <v>2132.5005202566272</v>
      </c>
      <c r="Q63" s="109">
        <f t="shared" si="29"/>
        <v>3.363548606078106E-2</v>
      </c>
      <c r="R63" s="111">
        <f t="shared" si="30"/>
        <v>0.25</v>
      </c>
    </row>
    <row r="64" spans="1:18" ht="14.4" x14ac:dyDescent="0.3">
      <c r="A64" s="4"/>
      <c r="B64" s="83"/>
      <c r="C64" s="116"/>
      <c r="D64" s="83"/>
      <c r="E64" s="83"/>
      <c r="F64" s="83"/>
      <c r="G64" s="50"/>
      <c r="H64" s="83"/>
      <c r="I64" s="116"/>
      <c r="J64" s="83"/>
      <c r="K64" s="83"/>
      <c r="L64" s="83"/>
      <c r="M64" s="50"/>
      <c r="N64" s="83"/>
      <c r="O64" s="116"/>
      <c r="P64" s="83"/>
      <c r="Q64" s="83"/>
      <c r="R64" s="44"/>
    </row>
    <row r="65" spans="1:18" ht="23.4" x14ac:dyDescent="0.45">
      <c r="A65" s="117" t="s">
        <v>1</v>
      </c>
      <c r="B65" s="84"/>
      <c r="C65" s="118"/>
      <c r="D65" s="84"/>
      <c r="E65" s="84"/>
      <c r="F65" s="84"/>
      <c r="G65" s="84"/>
      <c r="H65" s="84"/>
      <c r="I65" s="118"/>
      <c r="J65" s="118"/>
      <c r="K65" s="118"/>
      <c r="L65" s="118"/>
      <c r="M65" s="118"/>
      <c r="N65" s="118"/>
      <c r="O65" s="118"/>
      <c r="P65" s="84"/>
      <c r="Q65" s="84"/>
      <c r="R65" s="46"/>
    </row>
    <row r="66" spans="1:18" ht="14.4" x14ac:dyDescent="0.3">
      <c r="A66" s="80" t="s">
        <v>0</v>
      </c>
      <c r="B66" s="119"/>
      <c r="C66" s="120"/>
      <c r="D66" s="120"/>
      <c r="E66" s="121">
        <v>2012</v>
      </c>
      <c r="F66" s="80">
        <v>2013</v>
      </c>
      <c r="G66" s="80">
        <v>2014</v>
      </c>
      <c r="H66" s="80">
        <v>2015</v>
      </c>
      <c r="I66" s="80">
        <v>2016</v>
      </c>
      <c r="J66" s="80">
        <v>2017</v>
      </c>
      <c r="K66" s="80">
        <v>2018</v>
      </c>
      <c r="L66" s="80">
        <v>2019</v>
      </c>
      <c r="M66" s="80">
        <v>2020</v>
      </c>
      <c r="N66" s="80">
        <v>2021</v>
      </c>
      <c r="O66" s="80">
        <v>2022</v>
      </c>
      <c r="P66" s="80">
        <v>2023</v>
      </c>
      <c r="Q66" s="80">
        <v>2024</v>
      </c>
      <c r="R66" s="80">
        <v>2025</v>
      </c>
    </row>
    <row r="67" spans="1:18" ht="14.4" x14ac:dyDescent="0.3">
      <c r="A67" s="120" t="s">
        <v>19</v>
      </c>
      <c r="B67" s="120"/>
      <c r="C67" s="120"/>
      <c r="D67" s="120"/>
      <c r="E67" s="122">
        <f>Inputs!$B$3</f>
        <v>40999</v>
      </c>
      <c r="F67" s="123">
        <f>IF(OR(EOMONTH(E67,12)&gt;Inputs!$B$5,E67=""),"",EOMONTH(E67,12))</f>
        <v>41364</v>
      </c>
      <c r="G67" s="24">
        <f>IF(OR(EOMONTH(F67,12)&gt;Inputs!$B$5,F67=""),"",EOMONTH(F67,12))</f>
        <v>41729</v>
      </c>
      <c r="H67" s="24">
        <f>IF(OR(EOMONTH(G67,12)&gt;Inputs!$B$5,G67=""),"",EOMONTH(G67,12))</f>
        <v>42094</v>
      </c>
      <c r="I67" s="24">
        <f>IF(OR(EOMONTH(H67,12)&gt;Inputs!$B$5,H67=""),"",EOMONTH(H67,12))</f>
        <v>42460</v>
      </c>
      <c r="J67" s="24">
        <f>IF(OR(EOMONTH(I67,12)&gt;Inputs!$B$5,I67=""),"",EOMONTH(I67,12))</f>
        <v>42825</v>
      </c>
      <c r="K67" s="24">
        <f>IF(OR(EOMONTH(J67,12)&gt;Inputs!$B$5,J67=""),"",EOMONTH(J67,12))</f>
        <v>43190</v>
      </c>
      <c r="L67" s="24">
        <f>IF(OR(EOMONTH(K67,12)&gt;Inputs!$B$5,K67=""),"",EOMONTH(K67,12))</f>
        <v>43555</v>
      </c>
      <c r="M67" s="24">
        <f>IF(OR(EOMONTH(L67,12)&gt;Inputs!$B$5,L67=""),"",EOMONTH(L67,12))</f>
        <v>43921</v>
      </c>
      <c r="N67" s="24">
        <f>IF(OR(EOMONTH(M67,12)&gt;Inputs!$B$5,M67=""),"",EOMONTH(M67,12))</f>
        <v>44286</v>
      </c>
      <c r="O67" s="24">
        <f>IF(OR(EOMONTH(N67,12)&gt;Inputs!$B$5,N67=""),"",EOMONTH(N67,12))</f>
        <v>44651</v>
      </c>
      <c r="P67" s="24">
        <f>IF(OR(EOMONTH(O67,12)&gt;Inputs!$B$5,O67=""),"",EOMONTH(O67,12))</f>
        <v>45016</v>
      </c>
      <c r="Q67" s="24">
        <f>IF(OR(EOMONTH(P67,12)&gt;Inputs!$B$5,P67=""),"",EOMONTH(P67,12))</f>
        <v>45382</v>
      </c>
      <c r="R67" s="24">
        <f>IF(OR(EOMONTH(Q67,12)&gt;Inputs!$B$5,Q67=""),"",EOMONTH(Q67,12))</f>
        <v>45747</v>
      </c>
    </row>
    <row r="68" spans="1:18" ht="14.4" x14ac:dyDescent="0.3">
      <c r="A68" s="120" t="str">
        <f>Inputs!B8</f>
        <v>LCI
 (all industries)</v>
      </c>
      <c r="B68" s="120"/>
      <c r="C68" s="120"/>
      <c r="D68" s="120"/>
      <c r="E68" s="37">
        <f t="shared" ref="E68:R68" si="31">IFERROR(VLOOKUP(E$67,$B$4:$F$63,4,FALSE),"")</f>
        <v>0</v>
      </c>
      <c r="F68" s="37">
        <f t="shared" si="31"/>
        <v>1.8682634730538921E-2</v>
      </c>
      <c r="G68" s="37">
        <f t="shared" si="31"/>
        <v>1.6458970138725604E-2</v>
      </c>
      <c r="H68" s="37">
        <f t="shared" si="31"/>
        <v>1.6655100624566273E-2</v>
      </c>
      <c r="I68" s="37">
        <f t="shared" si="31"/>
        <v>1.61547212741752E-2</v>
      </c>
      <c r="J68" s="37">
        <f t="shared" si="31"/>
        <v>1.5897895208240035E-2</v>
      </c>
      <c r="K68" s="37">
        <f t="shared" si="31"/>
        <v>1.8073616927485121E-2</v>
      </c>
      <c r="L68" s="37">
        <f t="shared" si="31"/>
        <v>1.905174280147218E-2</v>
      </c>
      <c r="M68" s="37">
        <f t="shared" si="31"/>
        <v>2.4219247928616953E-2</v>
      </c>
      <c r="N68" s="37">
        <f t="shared" si="31"/>
        <v>1.8046048537647789E-2</v>
      </c>
      <c r="O68" s="37">
        <f t="shared" si="31"/>
        <v>2.526487367563162E-2</v>
      </c>
      <c r="P68" s="37">
        <f t="shared" si="31"/>
        <v>3.4896035124999267E-2</v>
      </c>
      <c r="Q68" s="37">
        <f t="shared" si="31"/>
        <v>3.7537756167781107E-2</v>
      </c>
      <c r="R68" s="37">
        <f t="shared" si="31"/>
        <v>3.3375679523553178E-2</v>
      </c>
    </row>
    <row r="69" spans="1:18" ht="14.4" x14ac:dyDescent="0.3">
      <c r="A69" s="120" t="str">
        <f>Inputs!C8</f>
        <v>PPI
 (input - all industries)</v>
      </c>
      <c r="B69" s="120"/>
      <c r="C69" s="120"/>
      <c r="D69" s="120"/>
      <c r="E69" s="37">
        <f>IFERROR(VLOOKUP(E$67,$H$4:$L$63,4,FALSE),"")</f>
        <v>0</v>
      </c>
      <c r="F69" s="37">
        <f t="shared" ref="F69:R69" si="32">IFERROR(VLOOKUP(F$67,$H$4:$L$63,4,FALSE),"")</f>
        <v>4.3321299638989169E-3</v>
      </c>
      <c r="G69" s="37">
        <f t="shared" si="32"/>
        <v>2.2765396597172298E-2</v>
      </c>
      <c r="H69" s="37">
        <f>IFERROR(VLOOKUP(H$67,$H$4:$L$63,4,FALSE),"")</f>
        <v>-1.6869728209934397E-2</v>
      </c>
      <c r="I69" s="37">
        <f t="shared" si="32"/>
        <v>-1.3584366062917064E-2</v>
      </c>
      <c r="J69" s="37">
        <f t="shared" si="32"/>
        <v>1.7153901908673594E-2</v>
      </c>
      <c r="K69" s="37">
        <f t="shared" si="32"/>
        <v>4.4893111638954868E-2</v>
      </c>
      <c r="L69" s="37">
        <f t="shared" si="32"/>
        <v>4.0236417367583543E-2</v>
      </c>
      <c r="M69" s="37">
        <f t="shared" si="32"/>
        <v>1.6826923076923076E-2</v>
      </c>
      <c r="N69" s="37">
        <f t="shared" si="32"/>
        <v>2.149151085321298E-3</v>
      </c>
      <c r="O69" s="37">
        <f t="shared" si="32"/>
        <v>7.6774608621059406E-2</v>
      </c>
      <c r="P69" s="37">
        <f t="shared" si="32"/>
        <v>0.10189105274419197</v>
      </c>
      <c r="Q69" s="37">
        <f t="shared" si="32"/>
        <v>7.4344183810427095E-2</v>
      </c>
      <c r="R69" s="37">
        <f t="shared" si="32"/>
        <v>4.890457932357771E-2</v>
      </c>
    </row>
    <row r="70" spans="1:18" ht="14.4" x14ac:dyDescent="0.3">
      <c r="A70" s="120" t="str">
        <f>Inputs!D8</f>
        <v>CGPI
 (all groups)</v>
      </c>
      <c r="B70" s="120"/>
      <c r="C70" s="120"/>
      <c r="D70" s="120"/>
      <c r="E70" s="37">
        <f>IFERROR(VLOOKUP(E$67,$N$4:$R$63,4,FALSE),"")</f>
        <v>0</v>
      </c>
      <c r="F70" s="37">
        <f t="shared" ref="F70:R70" si="33">IFERROR(VLOOKUP(F$67,$N$4:$R$63,4,FALSE),"")</f>
        <v>1.0064565134827194E-2</v>
      </c>
      <c r="G70" s="37">
        <f t="shared" si="33"/>
        <v>1.2972363226170333E-2</v>
      </c>
      <c r="H70" s="37">
        <f t="shared" si="33"/>
        <v>2.542687453600594E-2</v>
      </c>
      <c r="I70" s="37">
        <f t="shared" si="33"/>
        <v>3.1312217194570134E-2</v>
      </c>
      <c r="J70" s="37">
        <f t="shared" si="33"/>
        <v>3.2292032292032292E-2</v>
      </c>
      <c r="K70" s="37">
        <f t="shared" si="33"/>
        <v>2.8391703502210132E-2</v>
      </c>
      <c r="L70" s="37">
        <f t="shared" si="33"/>
        <v>2.8269135394280047E-2</v>
      </c>
      <c r="M70" s="37">
        <f t="shared" si="33"/>
        <v>2.8456591639871381E-2</v>
      </c>
      <c r="N70" s="37">
        <f t="shared" si="33"/>
        <v>1.938408629044865E-2</v>
      </c>
      <c r="O70" s="37">
        <f t="shared" si="33"/>
        <v>8.0509124367428311E-2</v>
      </c>
      <c r="P70" s="37">
        <f t="shared" si="33"/>
        <v>0.10921193519668602</v>
      </c>
      <c r="Q70" s="37">
        <f t="shared" si="33"/>
        <v>5.5904287899969034E-2</v>
      </c>
      <c r="R70" s="37">
        <f t="shared" si="33"/>
        <v>3.363548606078106E-2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60" fitToHeight="0" orientation="landscape" r:id="rId1"/>
  <headerFooter>
    <oddHeader>&amp;R&amp;D &amp;T</oddHeader>
    <oddFooter>&amp;L&amp;F&amp;C&amp;A&amp;R&amp;P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P58"/>
  <sheetViews>
    <sheetView showGridLines="0" view="pageBreakPreview" zoomScaleNormal="70" zoomScaleSheetLayoutView="100" workbookViewId="0"/>
  </sheetViews>
  <sheetFormatPr defaultRowHeight="15" customHeight="1" x14ac:dyDescent="0.3"/>
  <cols>
    <col min="1" max="1" width="51.44140625" bestFit="1" customWidth="1"/>
    <col min="2" max="2" width="12.44140625" bestFit="1" customWidth="1"/>
    <col min="3" max="16" width="10" customWidth="1"/>
    <col min="17" max="18" width="9.109375" customWidth="1"/>
  </cols>
  <sheetData>
    <row r="1" spans="1:16" ht="25.8" x14ac:dyDescent="0.3">
      <c r="A1" s="74" t="s">
        <v>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39.75" customHeight="1" x14ac:dyDescent="0.45">
      <c r="A2" s="117" t="s">
        <v>5</v>
      </c>
      <c r="B2" s="46"/>
      <c r="C2" s="4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4.4" x14ac:dyDescent="0.3">
      <c r="A3" s="120"/>
      <c r="B3" s="124" t="s">
        <v>2</v>
      </c>
      <c r="C3" s="124" t="s">
        <v>0</v>
      </c>
      <c r="D3" s="5"/>
      <c r="E3" s="5"/>
      <c r="F3" s="5"/>
      <c r="G3" s="5"/>
      <c r="H3" s="5"/>
      <c r="I3" s="5"/>
      <c r="J3" s="5"/>
      <c r="K3" s="5"/>
      <c r="L3" s="4"/>
      <c r="M3" s="4"/>
      <c r="N3" s="4"/>
      <c r="O3" s="4"/>
      <c r="P3" s="4"/>
    </row>
    <row r="4" spans="1:16" ht="14.4" x14ac:dyDescent="0.3">
      <c r="A4" s="125" t="str">
        <f>Inputs!A4</f>
        <v>Index year for expenditure models</v>
      </c>
      <c r="B4" s="10" t="s">
        <v>5</v>
      </c>
      <c r="C4" s="22">
        <f>Inputs!B4</f>
        <v>44651</v>
      </c>
      <c r="D4" s="5"/>
      <c r="E4" s="5"/>
      <c r="F4" s="5"/>
      <c r="G4" s="5"/>
      <c r="H4" s="5"/>
      <c r="I4" s="5"/>
      <c r="J4" s="5"/>
      <c r="K4" s="5"/>
      <c r="L4" s="4"/>
      <c r="M4" s="4"/>
      <c r="N4" s="4"/>
      <c r="O4" s="4"/>
      <c r="P4" s="4"/>
    </row>
    <row r="5" spans="1:16" ht="14.4" x14ac:dyDescent="0.3">
      <c r="A5" s="10"/>
      <c r="B5" s="10"/>
      <c r="C5" s="126"/>
      <c r="D5" s="127"/>
      <c r="E5" s="127"/>
      <c r="F5" s="127"/>
      <c r="G5" s="127"/>
      <c r="H5" s="127"/>
      <c r="I5" s="127"/>
      <c r="J5" s="127"/>
      <c r="K5" s="127"/>
      <c r="L5" s="46"/>
      <c r="M5" s="46"/>
      <c r="N5" s="46"/>
      <c r="O5" s="46"/>
      <c r="P5" s="46"/>
    </row>
    <row r="6" spans="1:16" ht="18" x14ac:dyDescent="0.35">
      <c r="A6" s="35" t="s">
        <v>26</v>
      </c>
      <c r="B6" s="124" t="s">
        <v>2</v>
      </c>
      <c r="C6" s="128"/>
      <c r="D6" s="129">
        <f>'Growth rates'!F66</f>
        <v>2013</v>
      </c>
      <c r="E6" s="129">
        <f>'Growth rates'!G66</f>
        <v>2014</v>
      </c>
      <c r="F6" s="129">
        <f>'Growth rates'!H66</f>
        <v>2015</v>
      </c>
      <c r="G6" s="129">
        <f>'Growth rates'!I66</f>
        <v>2016</v>
      </c>
      <c r="H6" s="129">
        <f>'Growth rates'!J66</f>
        <v>2017</v>
      </c>
      <c r="I6" s="129">
        <f>'Growth rates'!K66</f>
        <v>2018</v>
      </c>
      <c r="J6" s="129">
        <f>'Growth rates'!L66</f>
        <v>2019</v>
      </c>
      <c r="K6" s="129">
        <f>'Growth rates'!M66</f>
        <v>2020</v>
      </c>
      <c r="L6" s="129">
        <f>'Growth rates'!N66</f>
        <v>2021</v>
      </c>
      <c r="M6" s="129">
        <f>'Growth rates'!O66</f>
        <v>2022</v>
      </c>
      <c r="N6" s="129">
        <f>'Growth rates'!P66</f>
        <v>2023</v>
      </c>
      <c r="O6" s="129">
        <f>'Growth rates'!Q66</f>
        <v>2024</v>
      </c>
      <c r="P6" s="129">
        <f>'Growth rates'!R66</f>
        <v>2025</v>
      </c>
    </row>
    <row r="7" spans="1:16" ht="14.4" x14ac:dyDescent="0.3">
      <c r="A7" s="120" t="str">
        <f>'Growth rates'!A68</f>
        <v>LCI
 (all industries)</v>
      </c>
      <c r="B7" s="10" t="s">
        <v>26</v>
      </c>
      <c r="C7" s="30"/>
      <c r="D7" s="31">
        <f>'Growth rates'!F68</f>
        <v>1.8682634730538921E-2</v>
      </c>
      <c r="E7" s="31">
        <f>'Growth rates'!G68</f>
        <v>1.6458970138725604E-2</v>
      </c>
      <c r="F7" s="31">
        <f>'Growth rates'!H68</f>
        <v>1.6655100624566273E-2</v>
      </c>
      <c r="G7" s="31">
        <f>'Growth rates'!I68</f>
        <v>1.61547212741752E-2</v>
      </c>
      <c r="H7" s="31">
        <f>'Growth rates'!J68</f>
        <v>1.5897895208240035E-2</v>
      </c>
      <c r="I7" s="31">
        <f>'Growth rates'!K68</f>
        <v>1.8073616927485121E-2</v>
      </c>
      <c r="J7" s="31">
        <f>'Growth rates'!L68</f>
        <v>1.905174280147218E-2</v>
      </c>
      <c r="K7" s="31">
        <f>'Growth rates'!M68</f>
        <v>2.4219247928616953E-2</v>
      </c>
      <c r="L7" s="31">
        <f>'Growth rates'!N68</f>
        <v>1.8046048537647789E-2</v>
      </c>
      <c r="M7" s="31">
        <f>'Growth rates'!O68</f>
        <v>2.526487367563162E-2</v>
      </c>
      <c r="N7" s="31">
        <f>'Growth rates'!P68</f>
        <v>3.4896035124999267E-2</v>
      </c>
      <c r="O7" s="31">
        <f>'Growth rates'!Q68</f>
        <v>3.7537756167781107E-2</v>
      </c>
      <c r="P7" s="31">
        <f>'Growth rates'!R68</f>
        <v>3.3375679523553178E-2</v>
      </c>
    </row>
    <row r="8" spans="1:16" ht="14.4" x14ac:dyDescent="0.3">
      <c r="A8" s="120" t="str">
        <f>'Growth rates'!A69</f>
        <v>PPI
 (input - all industries)</v>
      </c>
      <c r="B8" s="10" t="s">
        <v>26</v>
      </c>
      <c r="C8" s="30"/>
      <c r="D8" s="31">
        <f>'Growth rates'!F69</f>
        <v>4.3321299638989169E-3</v>
      </c>
      <c r="E8" s="31">
        <f>'Growth rates'!G69</f>
        <v>2.2765396597172298E-2</v>
      </c>
      <c r="F8" s="31">
        <f>'Growth rates'!H69</f>
        <v>-1.6869728209934397E-2</v>
      </c>
      <c r="G8" s="31">
        <f>'Growth rates'!I69</f>
        <v>-1.3584366062917064E-2</v>
      </c>
      <c r="H8" s="31">
        <f>'Growth rates'!J69</f>
        <v>1.7153901908673594E-2</v>
      </c>
      <c r="I8" s="31">
        <f>'Growth rates'!K69</f>
        <v>4.4893111638954868E-2</v>
      </c>
      <c r="J8" s="31">
        <f>'Growth rates'!L69</f>
        <v>4.0236417367583543E-2</v>
      </c>
      <c r="K8" s="31">
        <f>'Growth rates'!M69</f>
        <v>1.6826923076923076E-2</v>
      </c>
      <c r="L8" s="31">
        <f>'Growth rates'!N69</f>
        <v>2.149151085321298E-3</v>
      </c>
      <c r="M8" s="31">
        <f>'Growth rates'!O69</f>
        <v>7.6774608621059406E-2</v>
      </c>
      <c r="N8" s="31">
        <f>'Growth rates'!P69</f>
        <v>0.10189105274419197</v>
      </c>
      <c r="O8" s="31">
        <f>'Growth rates'!Q69</f>
        <v>7.4344183810427095E-2</v>
      </c>
      <c r="P8" s="31">
        <f>'Growth rates'!R69</f>
        <v>4.890457932357771E-2</v>
      </c>
    </row>
    <row r="9" spans="1:16" ht="14.4" x14ac:dyDescent="0.3">
      <c r="A9" s="120" t="str">
        <f>'Growth rates'!A70</f>
        <v>CGPI
 (all groups)</v>
      </c>
      <c r="B9" s="10" t="s">
        <v>26</v>
      </c>
      <c r="C9" s="30"/>
      <c r="D9" s="31">
        <f>'Growth rates'!F70</f>
        <v>1.0064565134827194E-2</v>
      </c>
      <c r="E9" s="31">
        <f>'Growth rates'!G70</f>
        <v>1.2972363226170333E-2</v>
      </c>
      <c r="F9" s="31">
        <f>'Growth rates'!H70</f>
        <v>2.542687453600594E-2</v>
      </c>
      <c r="G9" s="31">
        <f>'Growth rates'!I70</f>
        <v>3.1312217194570134E-2</v>
      </c>
      <c r="H9" s="31">
        <f>'Growth rates'!J70</f>
        <v>3.2292032292032292E-2</v>
      </c>
      <c r="I9" s="31">
        <f>'Growth rates'!K70</f>
        <v>2.8391703502210132E-2</v>
      </c>
      <c r="J9" s="31">
        <f>'Growth rates'!L70</f>
        <v>2.8269135394280047E-2</v>
      </c>
      <c r="K9" s="31">
        <f>'Growth rates'!M70</f>
        <v>2.8456591639871381E-2</v>
      </c>
      <c r="L9" s="31">
        <f>'Growth rates'!N70</f>
        <v>1.938408629044865E-2</v>
      </c>
      <c r="M9" s="31">
        <f>'Growth rates'!O70</f>
        <v>8.0509124367428311E-2</v>
      </c>
      <c r="N9" s="31">
        <f>'Growth rates'!P70</f>
        <v>0.10921193519668602</v>
      </c>
      <c r="O9" s="31">
        <f>'Growth rates'!Q70</f>
        <v>5.5904287899969034E-2</v>
      </c>
      <c r="P9" s="31">
        <f>'Growth rates'!R70</f>
        <v>3.363548606078106E-2</v>
      </c>
    </row>
    <row r="10" spans="1:16" ht="14.4" x14ac:dyDescent="0.3">
      <c r="A10" s="44"/>
      <c r="B10" s="44"/>
      <c r="C10" s="130"/>
      <c r="D10" s="11"/>
      <c r="E10" s="11"/>
      <c r="F10" s="11"/>
      <c r="G10" s="11"/>
      <c r="H10" s="11"/>
      <c r="I10" s="11"/>
      <c r="J10" s="11"/>
      <c r="K10" s="11"/>
      <c r="L10" s="44"/>
      <c r="M10" s="44"/>
      <c r="N10" s="44"/>
      <c r="O10" s="44"/>
      <c r="P10" s="44"/>
    </row>
    <row r="11" spans="1:16" ht="18" x14ac:dyDescent="0.35">
      <c r="A11" s="131" t="s">
        <v>39</v>
      </c>
      <c r="B11" s="46"/>
      <c r="C11" s="46"/>
      <c r="D11" s="5"/>
      <c r="E11" s="5"/>
      <c r="F11" s="5"/>
      <c r="G11" s="5"/>
      <c r="H11" s="5"/>
      <c r="I11" s="5"/>
      <c r="J11" s="5"/>
      <c r="K11" s="5"/>
      <c r="L11" s="4"/>
      <c r="M11" s="4"/>
      <c r="N11" s="4"/>
      <c r="O11" s="4"/>
      <c r="P11" s="4"/>
    </row>
    <row r="12" spans="1:16" ht="14.4" x14ac:dyDescent="0.3">
      <c r="A12" s="120" t="str">
        <f>A7</f>
        <v>LCI
 (all industries)</v>
      </c>
      <c r="B12" s="10" t="s">
        <v>5</v>
      </c>
      <c r="C12" s="34">
        <f>Inputs!B$10</f>
        <v>0.6</v>
      </c>
      <c r="D12" s="5"/>
      <c r="E12" s="5"/>
      <c r="F12" s="5"/>
      <c r="G12" s="5"/>
      <c r="H12" s="5"/>
      <c r="I12" s="5"/>
      <c r="J12" s="5"/>
      <c r="K12" s="5"/>
      <c r="L12" s="4"/>
      <c r="M12" s="4"/>
      <c r="N12" s="4"/>
      <c r="O12" s="4"/>
      <c r="P12" s="4"/>
    </row>
    <row r="13" spans="1:16" ht="14.4" x14ac:dyDescent="0.3">
      <c r="A13" s="120" t="str">
        <f t="shared" ref="A13:A14" si="0">A8</f>
        <v>PPI
 (input - all industries)</v>
      </c>
      <c r="B13" s="10" t="s">
        <v>5</v>
      </c>
      <c r="C13" s="34">
        <f>Inputs!C$10</f>
        <v>0.4</v>
      </c>
      <c r="D13" s="5"/>
      <c r="E13" s="5"/>
      <c r="F13" s="5"/>
      <c r="G13" s="5"/>
      <c r="H13" s="5"/>
      <c r="I13" s="5"/>
      <c r="J13" s="5"/>
      <c r="K13" s="5"/>
      <c r="L13" s="4"/>
      <c r="M13" s="4"/>
      <c r="N13" s="4"/>
      <c r="O13" s="4"/>
      <c r="P13" s="4"/>
    </row>
    <row r="14" spans="1:16" ht="14.4" x14ac:dyDescent="0.3">
      <c r="A14" s="120" t="str">
        <f t="shared" si="0"/>
        <v>CGPI
 (all groups)</v>
      </c>
      <c r="B14" s="10" t="s">
        <v>5</v>
      </c>
      <c r="C14" s="34">
        <f>Inputs!D$10</f>
        <v>0</v>
      </c>
      <c r="D14" s="5"/>
      <c r="E14" s="5"/>
      <c r="F14" s="5"/>
      <c r="G14" s="5"/>
      <c r="H14" s="5"/>
      <c r="I14" s="5"/>
      <c r="J14" s="5"/>
      <c r="K14" s="5"/>
      <c r="L14" s="4"/>
      <c r="M14" s="4"/>
      <c r="N14" s="4"/>
      <c r="O14" s="4"/>
      <c r="P14" s="4"/>
    </row>
    <row r="15" spans="1:16" ht="14.4" x14ac:dyDescent="0.3">
      <c r="A15" s="44"/>
      <c r="B15" s="44"/>
      <c r="C15" s="132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8" x14ac:dyDescent="0.35">
      <c r="A16" s="131" t="s">
        <v>40</v>
      </c>
      <c r="B16" s="46"/>
      <c r="C16" s="133"/>
      <c r="D16" s="5"/>
      <c r="E16" s="5"/>
      <c r="F16" s="5"/>
      <c r="G16" s="5"/>
      <c r="H16" s="5"/>
      <c r="I16" s="5"/>
      <c r="J16" s="5"/>
      <c r="K16" s="5"/>
      <c r="L16" s="4"/>
      <c r="M16" s="4"/>
      <c r="N16" s="4"/>
      <c r="O16" s="4"/>
      <c r="P16" s="4"/>
    </row>
    <row r="17" spans="1:16" ht="14.4" x14ac:dyDescent="0.3">
      <c r="A17" s="120" t="str">
        <f>A7</f>
        <v>LCI
 (all industries)</v>
      </c>
      <c r="B17" s="10" t="s">
        <v>5</v>
      </c>
      <c r="C17" s="34">
        <f>Inputs!B$11</f>
        <v>0.6</v>
      </c>
      <c r="D17" s="5"/>
      <c r="E17" s="5"/>
      <c r="F17" s="5"/>
      <c r="G17" s="5"/>
      <c r="H17" s="5"/>
      <c r="I17" s="5"/>
      <c r="J17" s="5"/>
      <c r="K17" s="5"/>
      <c r="L17" s="4"/>
      <c r="M17" s="4"/>
      <c r="N17" s="4"/>
      <c r="O17" s="4"/>
      <c r="P17" s="4"/>
    </row>
    <row r="18" spans="1:16" ht="14.4" x14ac:dyDescent="0.3">
      <c r="A18" s="120" t="str">
        <f t="shared" ref="A18:A19" si="1">A8</f>
        <v>PPI
 (input - all industries)</v>
      </c>
      <c r="B18" s="10" t="s">
        <v>5</v>
      </c>
      <c r="C18" s="34">
        <f>Inputs!C$11</f>
        <v>0.4</v>
      </c>
      <c r="D18" s="5"/>
      <c r="E18" s="5"/>
      <c r="F18" s="5"/>
      <c r="G18" s="5"/>
      <c r="H18" s="5"/>
      <c r="I18" s="5"/>
      <c r="J18" s="5"/>
      <c r="K18" s="5"/>
      <c r="L18" s="4"/>
      <c r="M18" s="4"/>
      <c r="N18" s="4"/>
      <c r="O18" s="4"/>
      <c r="P18" s="4"/>
    </row>
    <row r="19" spans="1:16" ht="14.4" x14ac:dyDescent="0.3">
      <c r="A19" s="120" t="str">
        <f t="shared" si="1"/>
        <v>CGPI
 (all groups)</v>
      </c>
      <c r="B19" s="10" t="s">
        <v>5</v>
      </c>
      <c r="C19" s="34">
        <f>Inputs!D$11</f>
        <v>0</v>
      </c>
      <c r="D19" s="5"/>
      <c r="E19" s="5"/>
      <c r="F19" s="5"/>
      <c r="G19" s="5"/>
      <c r="H19" s="5"/>
      <c r="I19" s="5"/>
      <c r="J19" s="5"/>
      <c r="K19" s="5"/>
      <c r="L19" s="4"/>
      <c r="M19" s="4"/>
      <c r="N19" s="4"/>
      <c r="O19" s="4"/>
      <c r="P19" s="4"/>
    </row>
    <row r="20" spans="1:16" ht="14.4" x14ac:dyDescent="0.3">
      <c r="A20" s="44"/>
      <c r="B20" s="44"/>
      <c r="C20" s="132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8" x14ac:dyDescent="0.35">
      <c r="A21" s="131" t="s">
        <v>41</v>
      </c>
      <c r="B21" s="46"/>
      <c r="C21" s="133"/>
      <c r="D21" s="5"/>
      <c r="E21" s="5"/>
      <c r="F21" s="5"/>
      <c r="G21" s="5"/>
      <c r="H21" s="5"/>
      <c r="I21" s="5"/>
      <c r="J21" s="5"/>
      <c r="K21" s="5"/>
      <c r="L21" s="4"/>
      <c r="M21" s="4"/>
      <c r="N21" s="4"/>
      <c r="O21" s="4"/>
      <c r="P21" s="4"/>
    </row>
    <row r="22" spans="1:16" ht="14.4" x14ac:dyDescent="0.3">
      <c r="A22" s="120" t="str">
        <f>A7</f>
        <v>LCI
 (all industries)</v>
      </c>
      <c r="B22" s="10" t="s">
        <v>5</v>
      </c>
      <c r="C22" s="34">
        <f>Inputs!B$12</f>
        <v>0</v>
      </c>
      <c r="D22" s="5"/>
      <c r="E22" s="5"/>
      <c r="F22" s="5"/>
      <c r="G22" s="5"/>
      <c r="H22" s="5"/>
      <c r="I22" s="5"/>
      <c r="J22" s="5"/>
      <c r="K22" s="5"/>
      <c r="L22" s="4"/>
      <c r="M22" s="4"/>
      <c r="N22" s="4"/>
      <c r="O22" s="4"/>
      <c r="P22" s="4"/>
    </row>
    <row r="23" spans="1:16" ht="14.4" x14ac:dyDescent="0.3">
      <c r="A23" s="120" t="str">
        <f t="shared" ref="A23:A24" si="2">A8</f>
        <v>PPI
 (input - all industries)</v>
      </c>
      <c r="B23" s="10" t="s">
        <v>5</v>
      </c>
      <c r="C23" s="34">
        <f>Inputs!C$12</f>
        <v>0</v>
      </c>
      <c r="D23" s="5"/>
      <c r="E23" s="5"/>
      <c r="F23" s="5"/>
      <c r="G23" s="5"/>
      <c r="H23" s="5"/>
      <c r="I23" s="5"/>
      <c r="J23" s="5"/>
      <c r="K23" s="5"/>
      <c r="L23" s="4"/>
      <c r="M23" s="4"/>
      <c r="N23" s="4"/>
      <c r="O23" s="4"/>
      <c r="P23" s="4"/>
    </row>
    <row r="24" spans="1:16" ht="14.4" x14ac:dyDescent="0.3">
      <c r="A24" s="120" t="str">
        <f t="shared" si="2"/>
        <v>CGPI
 (all groups)</v>
      </c>
      <c r="B24" s="10" t="s">
        <v>5</v>
      </c>
      <c r="C24" s="34">
        <f>Inputs!D$12</f>
        <v>1</v>
      </c>
      <c r="D24" s="5"/>
      <c r="E24" s="5"/>
      <c r="F24" s="5"/>
      <c r="G24" s="5"/>
      <c r="H24" s="5"/>
      <c r="I24" s="5"/>
      <c r="J24" s="5"/>
      <c r="K24" s="5"/>
      <c r="L24" s="4"/>
      <c r="M24" s="4"/>
      <c r="N24" s="4"/>
      <c r="O24" s="4"/>
      <c r="P24" s="4"/>
    </row>
    <row r="25" spans="1:16" ht="14.4" x14ac:dyDescent="0.3">
      <c r="A25" s="44"/>
      <c r="B25" s="44"/>
      <c r="C25" s="4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39.75" customHeight="1" x14ac:dyDescent="0.45">
      <c r="A26" s="134" t="s">
        <v>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4.4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5.6" x14ac:dyDescent="0.3">
      <c r="A28" s="7" t="s">
        <v>42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</row>
    <row r="29" spans="1:16" ht="14.4" x14ac:dyDescent="0.3">
      <c r="A29" s="46"/>
      <c r="B29" s="135" t="s">
        <v>15</v>
      </c>
      <c r="C29" s="129"/>
      <c r="D29" s="129">
        <f t="shared" ref="D29:P29" si="3">D$6</f>
        <v>2013</v>
      </c>
      <c r="E29" s="129">
        <f t="shared" si="3"/>
        <v>2014</v>
      </c>
      <c r="F29" s="129">
        <f t="shared" si="3"/>
        <v>2015</v>
      </c>
      <c r="G29" s="129">
        <f t="shared" si="3"/>
        <v>2016</v>
      </c>
      <c r="H29" s="129">
        <f t="shared" si="3"/>
        <v>2017</v>
      </c>
      <c r="I29" s="129">
        <f t="shared" si="3"/>
        <v>2018</v>
      </c>
      <c r="J29" s="129">
        <f t="shared" si="3"/>
        <v>2019</v>
      </c>
      <c r="K29" s="129">
        <f t="shared" si="3"/>
        <v>2020</v>
      </c>
      <c r="L29" s="129">
        <f t="shared" si="3"/>
        <v>2021</v>
      </c>
      <c r="M29" s="129">
        <f t="shared" si="3"/>
        <v>2022</v>
      </c>
      <c r="N29" s="129">
        <f t="shared" si="3"/>
        <v>2023</v>
      </c>
      <c r="O29" s="129">
        <f t="shared" si="3"/>
        <v>2024</v>
      </c>
      <c r="P29" s="129">
        <f t="shared" si="3"/>
        <v>2025</v>
      </c>
    </row>
    <row r="30" spans="1:16" ht="14.4" x14ac:dyDescent="0.3">
      <c r="A30" s="120" t="s">
        <v>22</v>
      </c>
      <c r="B30" s="33">
        <f>C12</f>
        <v>0.6</v>
      </c>
      <c r="C30" s="29"/>
      <c r="D30" s="29">
        <f>D$7*$B30</f>
        <v>1.1209580838323352E-2</v>
      </c>
      <c r="E30" s="29">
        <f t="shared" ref="E30:P30" si="4">E$7*$B30</f>
        <v>9.8753820832353616E-3</v>
      </c>
      <c r="F30" s="29">
        <f t="shared" si="4"/>
        <v>9.9930603747397633E-3</v>
      </c>
      <c r="G30" s="29">
        <f t="shared" si="4"/>
        <v>9.6928327645051191E-3</v>
      </c>
      <c r="H30" s="29">
        <f t="shared" si="4"/>
        <v>9.5387371249440207E-3</v>
      </c>
      <c r="I30" s="29">
        <f t="shared" si="4"/>
        <v>1.0844170156491072E-2</v>
      </c>
      <c r="J30" s="29">
        <f t="shared" si="4"/>
        <v>1.1431045680883307E-2</v>
      </c>
      <c r="K30" s="29">
        <f t="shared" si="4"/>
        <v>1.4531548757170172E-2</v>
      </c>
      <c r="L30" s="29">
        <f t="shared" si="4"/>
        <v>1.0827629122588674E-2</v>
      </c>
      <c r="M30" s="29">
        <f t="shared" si="4"/>
        <v>1.5158924205378971E-2</v>
      </c>
      <c r="N30" s="29">
        <f t="shared" si="4"/>
        <v>2.0937621074999559E-2</v>
      </c>
      <c r="O30" s="29">
        <f t="shared" si="4"/>
        <v>2.2522653700668662E-2</v>
      </c>
      <c r="P30" s="29">
        <f t="shared" si="4"/>
        <v>2.0025407714131905E-2</v>
      </c>
    </row>
    <row r="31" spans="1:16" ht="14.4" x14ac:dyDescent="0.3">
      <c r="A31" s="120" t="s">
        <v>23</v>
      </c>
      <c r="B31" s="33">
        <f>C13</f>
        <v>0.4</v>
      </c>
      <c r="C31" s="29"/>
      <c r="D31" s="29">
        <f t="shared" ref="D31:P31" si="5">D$8*$B31</f>
        <v>1.7328519855595668E-3</v>
      </c>
      <c r="E31" s="29">
        <f t="shared" si="5"/>
        <v>9.1061586388689192E-3</v>
      </c>
      <c r="F31" s="29">
        <f t="shared" si="5"/>
        <v>-6.7478912839737592E-3</v>
      </c>
      <c r="G31" s="29">
        <f t="shared" si="5"/>
        <v>-5.4337464251668259E-3</v>
      </c>
      <c r="H31" s="29">
        <f t="shared" si="5"/>
        <v>6.8615607634694379E-3</v>
      </c>
      <c r="I31" s="29">
        <f t="shared" si="5"/>
        <v>1.7957244655581947E-2</v>
      </c>
      <c r="J31" s="29">
        <f t="shared" si="5"/>
        <v>1.6094566947033418E-2</v>
      </c>
      <c r="K31" s="29">
        <f t="shared" si="5"/>
        <v>6.7307692307692311E-3</v>
      </c>
      <c r="L31" s="29">
        <f t="shared" si="5"/>
        <v>8.596604341285192E-4</v>
      </c>
      <c r="M31" s="29">
        <f t="shared" si="5"/>
        <v>3.0709843448423764E-2</v>
      </c>
      <c r="N31" s="29">
        <f t="shared" si="5"/>
        <v>4.0756421097676791E-2</v>
      </c>
      <c r="O31" s="29">
        <f t="shared" si="5"/>
        <v>2.9737673524170838E-2</v>
      </c>
      <c r="P31" s="29">
        <f t="shared" si="5"/>
        <v>1.9561831729431087E-2</v>
      </c>
    </row>
    <row r="32" spans="1:16" ht="14.4" x14ac:dyDescent="0.3">
      <c r="A32" s="120" t="s">
        <v>24</v>
      </c>
      <c r="B32" s="26">
        <f>C14</f>
        <v>0</v>
      </c>
      <c r="C32" s="29"/>
      <c r="D32" s="29">
        <f t="shared" ref="D32:P32" si="6">D$9*$B32</f>
        <v>0</v>
      </c>
      <c r="E32" s="29">
        <f t="shared" si="6"/>
        <v>0</v>
      </c>
      <c r="F32" s="29">
        <f t="shared" si="6"/>
        <v>0</v>
      </c>
      <c r="G32" s="29">
        <f t="shared" si="6"/>
        <v>0</v>
      </c>
      <c r="H32" s="29">
        <f t="shared" si="6"/>
        <v>0</v>
      </c>
      <c r="I32" s="29">
        <f t="shared" si="6"/>
        <v>0</v>
      </c>
      <c r="J32" s="29">
        <f t="shared" si="6"/>
        <v>0</v>
      </c>
      <c r="K32" s="29">
        <f t="shared" si="6"/>
        <v>0</v>
      </c>
      <c r="L32" s="29">
        <f t="shared" si="6"/>
        <v>0</v>
      </c>
      <c r="M32" s="29">
        <f t="shared" si="6"/>
        <v>0</v>
      </c>
      <c r="N32" s="29">
        <f t="shared" si="6"/>
        <v>0</v>
      </c>
      <c r="O32" s="29">
        <f t="shared" si="6"/>
        <v>0</v>
      </c>
      <c r="P32" s="29">
        <f t="shared" si="6"/>
        <v>0</v>
      </c>
    </row>
    <row r="33" spans="1:16" ht="14.4" x14ac:dyDescent="0.3">
      <c r="A33" s="120" t="s">
        <v>35</v>
      </c>
      <c r="B33" s="26"/>
      <c r="C33" s="29"/>
      <c r="D33" s="29">
        <f>SUM(D30:D32)</f>
        <v>1.2942432823882919E-2</v>
      </c>
      <c r="E33" s="29">
        <f t="shared" ref="E33:M33" si="7">SUM(E30:E32)</f>
        <v>1.8981540722104281E-2</v>
      </c>
      <c r="F33" s="29">
        <f t="shared" si="7"/>
        <v>3.2451690907660041E-3</v>
      </c>
      <c r="G33" s="29">
        <f t="shared" si="7"/>
        <v>4.2590863393382932E-3</v>
      </c>
      <c r="H33" s="29">
        <f t="shared" si="7"/>
        <v>1.6400297888413459E-2</v>
      </c>
      <c r="I33" s="29">
        <f t="shared" si="7"/>
        <v>2.8801414812073017E-2</v>
      </c>
      <c r="J33" s="29">
        <f t="shared" si="7"/>
        <v>2.7525612627916723E-2</v>
      </c>
      <c r="K33" s="29">
        <f t="shared" si="7"/>
        <v>2.1262317987939403E-2</v>
      </c>
      <c r="L33" s="29">
        <f t="shared" si="7"/>
        <v>1.1687289556717193E-2</v>
      </c>
      <c r="M33" s="29">
        <f t="shared" si="7"/>
        <v>4.5868767653802739E-2</v>
      </c>
      <c r="N33" s="29">
        <f t="shared" ref="N33:P33" si="8">SUM(N30:N32)</f>
        <v>6.169404217267635E-2</v>
      </c>
      <c r="O33" s="29">
        <f t="shared" si="8"/>
        <v>5.2260327224839503E-2</v>
      </c>
      <c r="P33" s="29">
        <f t="shared" si="8"/>
        <v>3.9587239443562988E-2</v>
      </c>
    </row>
    <row r="34" spans="1:16" ht="14.4" x14ac:dyDescent="0.3">
      <c r="A34" s="120"/>
      <c r="B34" s="10"/>
      <c r="C34" s="136"/>
      <c r="D34" s="136"/>
      <c r="E34" s="136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4.4" x14ac:dyDescent="0.3">
      <c r="A35" s="120" t="s">
        <v>34</v>
      </c>
      <c r="B35" s="14"/>
      <c r="C35" s="42"/>
      <c r="D35" s="42">
        <f t="shared" ref="D35:P35" si="9">IF((DATE(D29,3,31))=$C$4,1,IF(DATE(D29,3,31)&lt;$C$4,E35/(1+E33),C35*(1+D33)))</f>
        <v>0.83894028289231437</v>
      </c>
      <c r="E35" s="42">
        <f t="shared" si="9"/>
        <v>0.85486466203544853</v>
      </c>
      <c r="F35" s="32">
        <f t="shared" si="9"/>
        <v>0.8576388424134741</v>
      </c>
      <c r="G35" s="32">
        <f t="shared" si="9"/>
        <v>0.86129160029128327</v>
      </c>
      <c r="H35" s="32">
        <f t="shared" si="9"/>
        <v>0.87541703910484869</v>
      </c>
      <c r="I35" s="32">
        <f t="shared" si="9"/>
        <v>0.90063028838166415</v>
      </c>
      <c r="J35" s="32">
        <f t="shared" si="9"/>
        <v>0.92542068882062667</v>
      </c>
      <c r="K35" s="32">
        <f t="shared" si="9"/>
        <v>0.94509727777894881</v>
      </c>
      <c r="L35" s="32">
        <f t="shared" si="9"/>
        <v>0.95614290332361662</v>
      </c>
      <c r="M35" s="32">
        <f t="shared" si="9"/>
        <v>1</v>
      </c>
      <c r="N35" s="32">
        <f t="shared" si="9"/>
        <v>1.0616940421726764</v>
      </c>
      <c r="O35" s="32">
        <f t="shared" si="9"/>
        <v>1.117178520229283</v>
      </c>
      <c r="P35" s="32">
        <f t="shared" si="9"/>
        <v>1.161404533810805</v>
      </c>
    </row>
    <row r="36" spans="1:16" ht="14.4" x14ac:dyDescent="0.3">
      <c r="A36" s="44"/>
      <c r="B36" s="44"/>
      <c r="C36" s="137"/>
      <c r="D36" s="137"/>
      <c r="E36" s="137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</row>
    <row r="37" spans="1:16" ht="15.6" x14ac:dyDescent="0.3">
      <c r="A37" s="7" t="s">
        <v>43</v>
      </c>
      <c r="B37" s="46"/>
      <c r="C37" s="84"/>
      <c r="D37" s="84"/>
      <c r="E37" s="84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</row>
    <row r="38" spans="1:16" ht="14.4" x14ac:dyDescent="0.3">
      <c r="A38" s="46"/>
      <c r="B38" s="135" t="s">
        <v>15</v>
      </c>
      <c r="C38" s="129"/>
      <c r="D38" s="129">
        <f t="shared" ref="D38:P38" si="10">D$6</f>
        <v>2013</v>
      </c>
      <c r="E38" s="129">
        <f t="shared" si="10"/>
        <v>2014</v>
      </c>
      <c r="F38" s="129">
        <f t="shared" si="10"/>
        <v>2015</v>
      </c>
      <c r="G38" s="129">
        <f t="shared" si="10"/>
        <v>2016</v>
      </c>
      <c r="H38" s="129">
        <f t="shared" si="10"/>
        <v>2017</v>
      </c>
      <c r="I38" s="129">
        <f t="shared" si="10"/>
        <v>2018</v>
      </c>
      <c r="J38" s="129">
        <f t="shared" si="10"/>
        <v>2019</v>
      </c>
      <c r="K38" s="129">
        <f t="shared" si="10"/>
        <v>2020</v>
      </c>
      <c r="L38" s="129">
        <f t="shared" si="10"/>
        <v>2021</v>
      </c>
      <c r="M38" s="129">
        <f t="shared" si="10"/>
        <v>2022</v>
      </c>
      <c r="N38" s="129">
        <f t="shared" si="10"/>
        <v>2023</v>
      </c>
      <c r="O38" s="129">
        <f t="shared" si="10"/>
        <v>2024</v>
      </c>
      <c r="P38" s="129">
        <f t="shared" si="10"/>
        <v>2025</v>
      </c>
    </row>
    <row r="39" spans="1:16" ht="14.4" x14ac:dyDescent="0.3">
      <c r="A39" s="120" t="s">
        <v>22</v>
      </c>
      <c r="B39" s="33">
        <f>C17</f>
        <v>0.6</v>
      </c>
      <c r="C39" s="29"/>
      <c r="D39" s="29">
        <f t="shared" ref="D39:P39" si="11">D$7*$B39</f>
        <v>1.1209580838323352E-2</v>
      </c>
      <c r="E39" s="29">
        <f t="shared" si="11"/>
        <v>9.8753820832353616E-3</v>
      </c>
      <c r="F39" s="29">
        <f t="shared" si="11"/>
        <v>9.9930603747397633E-3</v>
      </c>
      <c r="G39" s="29">
        <f t="shared" si="11"/>
        <v>9.6928327645051191E-3</v>
      </c>
      <c r="H39" s="29">
        <f t="shared" si="11"/>
        <v>9.5387371249440207E-3</v>
      </c>
      <c r="I39" s="29">
        <f t="shared" si="11"/>
        <v>1.0844170156491072E-2</v>
      </c>
      <c r="J39" s="29">
        <f t="shared" si="11"/>
        <v>1.1431045680883307E-2</v>
      </c>
      <c r="K39" s="29">
        <f t="shared" si="11"/>
        <v>1.4531548757170172E-2</v>
      </c>
      <c r="L39" s="29">
        <f t="shared" si="11"/>
        <v>1.0827629122588674E-2</v>
      </c>
      <c r="M39" s="29">
        <f t="shared" si="11"/>
        <v>1.5158924205378971E-2</v>
      </c>
      <c r="N39" s="29">
        <f t="shared" si="11"/>
        <v>2.0937621074999559E-2</v>
      </c>
      <c r="O39" s="29">
        <f t="shared" si="11"/>
        <v>2.2522653700668662E-2</v>
      </c>
      <c r="P39" s="29">
        <f t="shared" si="11"/>
        <v>2.0025407714131905E-2</v>
      </c>
    </row>
    <row r="40" spans="1:16" ht="14.4" x14ac:dyDescent="0.3">
      <c r="A40" s="120" t="s">
        <v>23</v>
      </c>
      <c r="B40" s="33">
        <f>C18</f>
        <v>0.4</v>
      </c>
      <c r="C40" s="29"/>
      <c r="D40" s="29">
        <f t="shared" ref="D40:P40" si="12">D$8*$B40</f>
        <v>1.7328519855595668E-3</v>
      </c>
      <c r="E40" s="29">
        <f t="shared" si="12"/>
        <v>9.1061586388689192E-3</v>
      </c>
      <c r="F40" s="29">
        <f t="shared" si="12"/>
        <v>-6.7478912839737592E-3</v>
      </c>
      <c r="G40" s="29">
        <f t="shared" si="12"/>
        <v>-5.4337464251668259E-3</v>
      </c>
      <c r="H40" s="29">
        <f t="shared" si="12"/>
        <v>6.8615607634694379E-3</v>
      </c>
      <c r="I40" s="29">
        <f t="shared" si="12"/>
        <v>1.7957244655581947E-2</v>
      </c>
      <c r="J40" s="29">
        <f t="shared" si="12"/>
        <v>1.6094566947033418E-2</v>
      </c>
      <c r="K40" s="29">
        <f t="shared" si="12"/>
        <v>6.7307692307692311E-3</v>
      </c>
      <c r="L40" s="29">
        <f t="shared" si="12"/>
        <v>8.596604341285192E-4</v>
      </c>
      <c r="M40" s="29">
        <f t="shared" si="12"/>
        <v>3.0709843448423764E-2</v>
      </c>
      <c r="N40" s="29">
        <f t="shared" si="12"/>
        <v>4.0756421097676791E-2</v>
      </c>
      <c r="O40" s="29">
        <f t="shared" si="12"/>
        <v>2.9737673524170838E-2</v>
      </c>
      <c r="P40" s="29">
        <f t="shared" si="12"/>
        <v>1.9561831729431087E-2</v>
      </c>
    </row>
    <row r="41" spans="1:16" ht="14.4" x14ac:dyDescent="0.3">
      <c r="A41" s="120" t="s">
        <v>24</v>
      </c>
      <c r="B41" s="12">
        <f>C19</f>
        <v>0</v>
      </c>
      <c r="C41" s="29"/>
      <c r="D41" s="29">
        <f t="shared" ref="D41:P41" si="13">D$9*$B41</f>
        <v>0</v>
      </c>
      <c r="E41" s="29">
        <f t="shared" si="13"/>
        <v>0</v>
      </c>
      <c r="F41" s="29">
        <f t="shared" si="13"/>
        <v>0</v>
      </c>
      <c r="G41" s="29">
        <f t="shared" si="13"/>
        <v>0</v>
      </c>
      <c r="H41" s="29">
        <f t="shared" si="13"/>
        <v>0</v>
      </c>
      <c r="I41" s="29">
        <f t="shared" si="13"/>
        <v>0</v>
      </c>
      <c r="J41" s="29">
        <f t="shared" si="13"/>
        <v>0</v>
      </c>
      <c r="K41" s="29">
        <f t="shared" si="13"/>
        <v>0</v>
      </c>
      <c r="L41" s="29">
        <f t="shared" si="13"/>
        <v>0</v>
      </c>
      <c r="M41" s="29">
        <f t="shared" si="13"/>
        <v>0</v>
      </c>
      <c r="N41" s="29">
        <f t="shared" si="13"/>
        <v>0</v>
      </c>
      <c r="O41" s="29">
        <f t="shared" si="13"/>
        <v>0</v>
      </c>
      <c r="P41" s="29">
        <f t="shared" si="13"/>
        <v>0</v>
      </c>
    </row>
    <row r="42" spans="1:16" ht="14.4" x14ac:dyDescent="0.3">
      <c r="A42" s="120" t="s">
        <v>35</v>
      </c>
      <c r="B42" s="12"/>
      <c r="C42" s="29"/>
      <c r="D42" s="29">
        <f t="shared" ref="D42:M42" si="14">SUM(D39:D41)</f>
        <v>1.2942432823882919E-2</v>
      </c>
      <c r="E42" s="29">
        <f t="shared" si="14"/>
        <v>1.8981540722104281E-2</v>
      </c>
      <c r="F42" s="29">
        <f t="shared" si="14"/>
        <v>3.2451690907660041E-3</v>
      </c>
      <c r="G42" s="29">
        <f t="shared" si="14"/>
        <v>4.2590863393382932E-3</v>
      </c>
      <c r="H42" s="29">
        <f t="shared" si="14"/>
        <v>1.6400297888413459E-2</v>
      </c>
      <c r="I42" s="29">
        <f t="shared" si="14"/>
        <v>2.8801414812073017E-2</v>
      </c>
      <c r="J42" s="29">
        <f t="shared" si="14"/>
        <v>2.7525612627916723E-2</v>
      </c>
      <c r="K42" s="29">
        <f t="shared" si="14"/>
        <v>2.1262317987939403E-2</v>
      </c>
      <c r="L42" s="29">
        <f t="shared" si="14"/>
        <v>1.1687289556717193E-2</v>
      </c>
      <c r="M42" s="29">
        <f t="shared" si="14"/>
        <v>4.5868767653802739E-2</v>
      </c>
      <c r="N42" s="29">
        <f t="shared" ref="N42:P42" si="15">SUM(N39:N41)</f>
        <v>6.169404217267635E-2</v>
      </c>
      <c r="O42" s="29">
        <f t="shared" si="15"/>
        <v>5.2260327224839503E-2</v>
      </c>
      <c r="P42" s="29">
        <f t="shared" si="15"/>
        <v>3.9587239443562988E-2</v>
      </c>
    </row>
    <row r="43" spans="1:16" ht="14.4" x14ac:dyDescent="0.3">
      <c r="A43" s="120"/>
      <c r="B43" s="10"/>
      <c r="C43" s="136"/>
      <c r="D43" s="136"/>
      <c r="E43" s="136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ht="14.4" x14ac:dyDescent="0.3">
      <c r="A44" s="120" t="s">
        <v>36</v>
      </c>
      <c r="B44" s="14"/>
      <c r="C44" s="42"/>
      <c r="D44" s="42">
        <f t="shared" ref="D44:P44" si="16">IF((DATE(D38,3,31))=$C$4,1,IF(DATE(D38,3,31)&lt;$C$4,E44/(1+E42),C44*(1+D42)))</f>
        <v>0.83894028289231437</v>
      </c>
      <c r="E44" s="42">
        <f t="shared" si="16"/>
        <v>0.85486466203544853</v>
      </c>
      <c r="F44" s="32">
        <f t="shared" si="16"/>
        <v>0.8576388424134741</v>
      </c>
      <c r="G44" s="32">
        <f t="shared" si="16"/>
        <v>0.86129160029128327</v>
      </c>
      <c r="H44" s="32">
        <f t="shared" si="16"/>
        <v>0.87541703910484869</v>
      </c>
      <c r="I44" s="32">
        <f t="shared" si="16"/>
        <v>0.90063028838166415</v>
      </c>
      <c r="J44" s="32">
        <f t="shared" si="16"/>
        <v>0.92542068882062667</v>
      </c>
      <c r="K44" s="32">
        <f t="shared" si="16"/>
        <v>0.94509727777894881</v>
      </c>
      <c r="L44" s="32">
        <f t="shared" si="16"/>
        <v>0.95614290332361662</v>
      </c>
      <c r="M44" s="32">
        <f t="shared" si="16"/>
        <v>1</v>
      </c>
      <c r="N44" s="32">
        <f t="shared" si="16"/>
        <v>1.0616940421726764</v>
      </c>
      <c r="O44" s="32">
        <f t="shared" si="16"/>
        <v>1.117178520229283</v>
      </c>
      <c r="P44" s="32">
        <f t="shared" si="16"/>
        <v>1.161404533810805</v>
      </c>
    </row>
    <row r="45" spans="1:16" ht="14.4" x14ac:dyDescent="0.3">
      <c r="A45" s="44"/>
      <c r="B45" s="44"/>
      <c r="C45" s="83"/>
      <c r="D45" s="83"/>
      <c r="E45" s="83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</row>
    <row r="46" spans="1:16" ht="15.6" x14ac:dyDescent="0.3">
      <c r="A46" s="7" t="s">
        <v>44</v>
      </c>
      <c r="B46" s="46"/>
      <c r="C46" s="84"/>
      <c r="D46" s="84"/>
      <c r="E46" s="84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14.4" x14ac:dyDescent="0.3">
      <c r="A47" s="46"/>
      <c r="B47" s="135" t="s">
        <v>15</v>
      </c>
      <c r="C47" s="129"/>
      <c r="D47" s="129">
        <f t="shared" ref="D47:P47" si="17">D$6</f>
        <v>2013</v>
      </c>
      <c r="E47" s="129">
        <f t="shared" si="17"/>
        <v>2014</v>
      </c>
      <c r="F47" s="129">
        <f t="shared" si="17"/>
        <v>2015</v>
      </c>
      <c r="G47" s="129">
        <f t="shared" si="17"/>
        <v>2016</v>
      </c>
      <c r="H47" s="129">
        <f t="shared" si="17"/>
        <v>2017</v>
      </c>
      <c r="I47" s="129">
        <f t="shared" si="17"/>
        <v>2018</v>
      </c>
      <c r="J47" s="129">
        <f t="shared" si="17"/>
        <v>2019</v>
      </c>
      <c r="K47" s="129">
        <f t="shared" si="17"/>
        <v>2020</v>
      </c>
      <c r="L47" s="129">
        <f t="shared" si="17"/>
        <v>2021</v>
      </c>
      <c r="M47" s="129">
        <f t="shared" si="17"/>
        <v>2022</v>
      </c>
      <c r="N47" s="129">
        <f t="shared" si="17"/>
        <v>2023</v>
      </c>
      <c r="O47" s="129">
        <f t="shared" si="17"/>
        <v>2024</v>
      </c>
      <c r="P47" s="129">
        <f t="shared" si="17"/>
        <v>2025</v>
      </c>
    </row>
    <row r="48" spans="1:16" ht="14.4" x14ac:dyDescent="0.3">
      <c r="A48" s="120" t="s">
        <v>22</v>
      </c>
      <c r="B48" s="33">
        <f>C22</f>
        <v>0</v>
      </c>
      <c r="C48" s="29"/>
      <c r="D48" s="29">
        <f t="shared" ref="D48:P48" si="18">D$7*$B48</f>
        <v>0</v>
      </c>
      <c r="E48" s="29">
        <f t="shared" si="18"/>
        <v>0</v>
      </c>
      <c r="F48" s="29">
        <f t="shared" si="18"/>
        <v>0</v>
      </c>
      <c r="G48" s="29">
        <f t="shared" si="18"/>
        <v>0</v>
      </c>
      <c r="H48" s="29">
        <f t="shared" si="18"/>
        <v>0</v>
      </c>
      <c r="I48" s="29">
        <f t="shared" si="18"/>
        <v>0</v>
      </c>
      <c r="J48" s="29">
        <f t="shared" si="18"/>
        <v>0</v>
      </c>
      <c r="K48" s="29">
        <f t="shared" si="18"/>
        <v>0</v>
      </c>
      <c r="L48" s="29">
        <f t="shared" si="18"/>
        <v>0</v>
      </c>
      <c r="M48" s="29">
        <f t="shared" si="18"/>
        <v>0</v>
      </c>
      <c r="N48" s="29">
        <f t="shared" si="18"/>
        <v>0</v>
      </c>
      <c r="O48" s="29">
        <f t="shared" si="18"/>
        <v>0</v>
      </c>
      <c r="P48" s="29">
        <f t="shared" si="18"/>
        <v>0</v>
      </c>
    </row>
    <row r="49" spans="1:16" ht="14.4" x14ac:dyDescent="0.3">
      <c r="A49" s="120" t="s">
        <v>23</v>
      </c>
      <c r="B49" s="33">
        <f>C23</f>
        <v>0</v>
      </c>
      <c r="C49" s="29"/>
      <c r="D49" s="29">
        <f t="shared" ref="D49:P49" si="19">D$8*$B49</f>
        <v>0</v>
      </c>
      <c r="E49" s="29">
        <f t="shared" si="19"/>
        <v>0</v>
      </c>
      <c r="F49" s="29">
        <f t="shared" si="19"/>
        <v>0</v>
      </c>
      <c r="G49" s="29">
        <f t="shared" si="19"/>
        <v>0</v>
      </c>
      <c r="H49" s="29">
        <f t="shared" si="19"/>
        <v>0</v>
      </c>
      <c r="I49" s="29">
        <f t="shared" si="19"/>
        <v>0</v>
      </c>
      <c r="J49" s="29">
        <f t="shared" si="19"/>
        <v>0</v>
      </c>
      <c r="K49" s="29">
        <f t="shared" si="19"/>
        <v>0</v>
      </c>
      <c r="L49" s="29">
        <f t="shared" si="19"/>
        <v>0</v>
      </c>
      <c r="M49" s="29">
        <f t="shared" si="19"/>
        <v>0</v>
      </c>
      <c r="N49" s="29">
        <f t="shared" si="19"/>
        <v>0</v>
      </c>
      <c r="O49" s="29">
        <f t="shared" si="19"/>
        <v>0</v>
      </c>
      <c r="P49" s="29">
        <f t="shared" si="19"/>
        <v>0</v>
      </c>
    </row>
    <row r="50" spans="1:16" ht="14.4" x14ac:dyDescent="0.3">
      <c r="A50" s="120" t="s">
        <v>24</v>
      </c>
      <c r="B50" s="33">
        <f>C24</f>
        <v>1</v>
      </c>
      <c r="C50" s="29"/>
      <c r="D50" s="29">
        <f t="shared" ref="D50:P50" si="20">D$9*$B50</f>
        <v>1.0064565134827194E-2</v>
      </c>
      <c r="E50" s="29">
        <f t="shared" si="20"/>
        <v>1.2972363226170333E-2</v>
      </c>
      <c r="F50" s="29">
        <f t="shared" si="20"/>
        <v>2.542687453600594E-2</v>
      </c>
      <c r="G50" s="29">
        <f t="shared" si="20"/>
        <v>3.1312217194570134E-2</v>
      </c>
      <c r="H50" s="29">
        <f t="shared" si="20"/>
        <v>3.2292032292032292E-2</v>
      </c>
      <c r="I50" s="29">
        <f t="shared" si="20"/>
        <v>2.8391703502210132E-2</v>
      </c>
      <c r="J50" s="29">
        <f t="shared" si="20"/>
        <v>2.8269135394280047E-2</v>
      </c>
      <c r="K50" s="29">
        <f t="shared" si="20"/>
        <v>2.8456591639871381E-2</v>
      </c>
      <c r="L50" s="29">
        <f t="shared" si="20"/>
        <v>1.938408629044865E-2</v>
      </c>
      <c r="M50" s="29">
        <f t="shared" si="20"/>
        <v>8.0509124367428311E-2</v>
      </c>
      <c r="N50" s="29">
        <f t="shared" si="20"/>
        <v>0.10921193519668602</v>
      </c>
      <c r="O50" s="29">
        <f t="shared" si="20"/>
        <v>5.5904287899969034E-2</v>
      </c>
      <c r="P50" s="29">
        <f t="shared" si="20"/>
        <v>3.363548606078106E-2</v>
      </c>
    </row>
    <row r="51" spans="1:16" ht="14.4" x14ac:dyDescent="0.3">
      <c r="A51" s="120" t="s">
        <v>35</v>
      </c>
      <c r="B51" s="12"/>
      <c r="C51" s="29"/>
      <c r="D51" s="29">
        <f t="shared" ref="D51:M51" si="21">SUM(D48:D50)</f>
        <v>1.0064565134827194E-2</v>
      </c>
      <c r="E51" s="29">
        <f t="shared" si="21"/>
        <v>1.2972363226170333E-2</v>
      </c>
      <c r="F51" s="29">
        <f t="shared" si="21"/>
        <v>2.542687453600594E-2</v>
      </c>
      <c r="G51" s="29">
        <f t="shared" si="21"/>
        <v>3.1312217194570134E-2</v>
      </c>
      <c r="H51" s="29">
        <f t="shared" si="21"/>
        <v>3.2292032292032292E-2</v>
      </c>
      <c r="I51" s="29">
        <f t="shared" si="21"/>
        <v>2.8391703502210132E-2</v>
      </c>
      <c r="J51" s="29">
        <f t="shared" si="21"/>
        <v>2.8269135394280047E-2</v>
      </c>
      <c r="K51" s="29">
        <f t="shared" si="21"/>
        <v>2.8456591639871381E-2</v>
      </c>
      <c r="L51" s="29">
        <f t="shared" si="21"/>
        <v>1.938408629044865E-2</v>
      </c>
      <c r="M51" s="29">
        <f t="shared" si="21"/>
        <v>8.0509124367428311E-2</v>
      </c>
      <c r="N51" s="29">
        <f t="shared" ref="N51:P51" si="22">SUM(N48:N50)</f>
        <v>0.10921193519668602</v>
      </c>
      <c r="O51" s="29">
        <f t="shared" si="22"/>
        <v>5.5904287899969034E-2</v>
      </c>
      <c r="P51" s="29">
        <f t="shared" si="22"/>
        <v>3.363548606078106E-2</v>
      </c>
    </row>
    <row r="52" spans="1:16" ht="14.4" x14ac:dyDescent="0.3">
      <c r="A52" s="120"/>
      <c r="B52" s="10"/>
      <c r="C52" s="136"/>
      <c r="D52" s="136"/>
      <c r="E52" s="136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ht="14.4" x14ac:dyDescent="0.3">
      <c r="A53" s="120" t="s">
        <v>37</v>
      </c>
      <c r="B53" s="14"/>
      <c r="C53" s="42"/>
      <c r="D53" s="42">
        <f t="shared" ref="D53:P53" si="23">IF((DATE(D47,3,31))=$C$4,1,IF(DATE(D47,3,31)&lt;$C$4,E53/(1+E51),C53*(1+D51)))</f>
        <v>0.75489639511779738</v>
      </c>
      <c r="E53" s="42">
        <f t="shared" si="23"/>
        <v>0.76468918535339192</v>
      </c>
      <c r="F53" s="32">
        <f t="shared" si="23"/>
        <v>0.78413284132841321</v>
      </c>
      <c r="G53" s="32">
        <f t="shared" si="23"/>
        <v>0.8086857791654839</v>
      </c>
      <c r="H53" s="32">
        <f t="shared" si="23"/>
        <v>0.83479988646040304</v>
      </c>
      <c r="I53" s="32">
        <f t="shared" si="23"/>
        <v>0.85850127732046544</v>
      </c>
      <c r="J53" s="32">
        <f t="shared" si="23"/>
        <v>0.8827703661652001</v>
      </c>
      <c r="K53" s="32">
        <f t="shared" si="23"/>
        <v>0.90789100198694295</v>
      </c>
      <c r="L53" s="32">
        <f t="shared" si="23"/>
        <v>0.92548963951177976</v>
      </c>
      <c r="M53" s="32">
        <f t="shared" si="23"/>
        <v>1</v>
      </c>
      <c r="N53" s="32">
        <f t="shared" si="23"/>
        <v>1.109211935196686</v>
      </c>
      <c r="O53" s="32">
        <f t="shared" si="23"/>
        <v>1.1712216385640033</v>
      </c>
      <c r="P53" s="32">
        <f t="shared" si="23"/>
        <v>1.2106162476620079</v>
      </c>
    </row>
    <row r="54" spans="1:16" ht="39.75" customHeight="1" x14ac:dyDescent="0.45">
      <c r="A54" s="139" t="s">
        <v>1</v>
      </c>
      <c r="B54" s="10"/>
      <c r="C54" s="140"/>
      <c r="D54" s="140"/>
      <c r="E54" s="140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</row>
    <row r="55" spans="1:16" ht="14.4" x14ac:dyDescent="0.3">
      <c r="A55" s="120"/>
      <c r="B55" s="120"/>
      <c r="C55" s="129"/>
      <c r="D55" s="129">
        <f t="shared" ref="D55:P55" si="24">D$6</f>
        <v>2013</v>
      </c>
      <c r="E55" s="129">
        <f t="shared" si="24"/>
        <v>2014</v>
      </c>
      <c r="F55" s="129">
        <f t="shared" si="24"/>
        <v>2015</v>
      </c>
      <c r="G55" s="129">
        <f t="shared" si="24"/>
        <v>2016</v>
      </c>
      <c r="H55" s="129">
        <f t="shared" si="24"/>
        <v>2017</v>
      </c>
      <c r="I55" s="129">
        <f t="shared" si="24"/>
        <v>2018</v>
      </c>
      <c r="J55" s="129">
        <f t="shared" si="24"/>
        <v>2019</v>
      </c>
      <c r="K55" s="129">
        <f t="shared" si="24"/>
        <v>2020</v>
      </c>
      <c r="L55" s="129">
        <f t="shared" si="24"/>
        <v>2021</v>
      </c>
      <c r="M55" s="129">
        <f t="shared" si="24"/>
        <v>2022</v>
      </c>
      <c r="N55" s="129">
        <f t="shared" si="24"/>
        <v>2023</v>
      </c>
      <c r="O55" s="129">
        <f t="shared" si="24"/>
        <v>2024</v>
      </c>
      <c r="P55" s="129">
        <f t="shared" si="24"/>
        <v>2025</v>
      </c>
    </row>
    <row r="56" spans="1:16" ht="14.4" x14ac:dyDescent="0.3">
      <c r="A56" s="120" t="str">
        <f>A35</f>
        <v>Network opex index of cost inflator</v>
      </c>
      <c r="B56" s="120"/>
      <c r="C56" s="42"/>
      <c r="D56" s="42">
        <f t="shared" ref="D56:P56" si="25">D35</f>
        <v>0.83894028289231437</v>
      </c>
      <c r="E56" s="42">
        <f t="shared" si="25"/>
        <v>0.85486466203544853</v>
      </c>
      <c r="F56" s="32">
        <f t="shared" si="25"/>
        <v>0.8576388424134741</v>
      </c>
      <c r="G56" s="32">
        <f t="shared" si="25"/>
        <v>0.86129160029128327</v>
      </c>
      <c r="H56" s="32">
        <f t="shared" si="25"/>
        <v>0.87541703910484869</v>
      </c>
      <c r="I56" s="32">
        <f t="shared" si="25"/>
        <v>0.90063028838166415</v>
      </c>
      <c r="J56" s="32">
        <f t="shared" si="25"/>
        <v>0.92542068882062667</v>
      </c>
      <c r="K56" s="32">
        <f t="shared" si="25"/>
        <v>0.94509727777894881</v>
      </c>
      <c r="L56" s="32">
        <f t="shared" si="25"/>
        <v>0.95614290332361662</v>
      </c>
      <c r="M56" s="32">
        <f t="shared" si="25"/>
        <v>1</v>
      </c>
      <c r="N56" s="32">
        <f t="shared" si="25"/>
        <v>1.0616940421726764</v>
      </c>
      <c r="O56" s="32">
        <f t="shared" si="25"/>
        <v>1.117178520229283</v>
      </c>
      <c r="P56" s="32">
        <f t="shared" si="25"/>
        <v>1.161404533810805</v>
      </c>
    </row>
    <row r="57" spans="1:16" ht="14.4" x14ac:dyDescent="0.3">
      <c r="A57" s="120" t="str">
        <f>A44</f>
        <v>Non-network opex index of cost inflator</v>
      </c>
      <c r="B57" s="120"/>
      <c r="C57" s="42"/>
      <c r="D57" s="42">
        <f t="shared" ref="D57:M57" si="26">D44</f>
        <v>0.83894028289231437</v>
      </c>
      <c r="E57" s="42">
        <f t="shared" si="26"/>
        <v>0.85486466203544853</v>
      </c>
      <c r="F57" s="32">
        <f t="shared" si="26"/>
        <v>0.8576388424134741</v>
      </c>
      <c r="G57" s="32">
        <f t="shared" si="26"/>
        <v>0.86129160029128327</v>
      </c>
      <c r="H57" s="32">
        <f t="shared" si="26"/>
        <v>0.87541703910484869</v>
      </c>
      <c r="I57" s="32">
        <f t="shared" si="26"/>
        <v>0.90063028838166415</v>
      </c>
      <c r="J57" s="32">
        <f t="shared" si="26"/>
        <v>0.92542068882062667</v>
      </c>
      <c r="K57" s="32">
        <f t="shared" si="26"/>
        <v>0.94509727777894881</v>
      </c>
      <c r="L57" s="32">
        <f t="shared" si="26"/>
        <v>0.95614290332361662</v>
      </c>
      <c r="M57" s="32">
        <f t="shared" si="26"/>
        <v>1</v>
      </c>
      <c r="N57" s="32">
        <f t="shared" ref="N57:P57" si="27">N44</f>
        <v>1.0616940421726764</v>
      </c>
      <c r="O57" s="32">
        <f t="shared" si="27"/>
        <v>1.117178520229283</v>
      </c>
      <c r="P57" s="32">
        <f t="shared" si="27"/>
        <v>1.161404533810805</v>
      </c>
    </row>
    <row r="58" spans="1:16" ht="14.4" x14ac:dyDescent="0.3">
      <c r="A58" s="120" t="str">
        <f>A53</f>
        <v>Capex index of cost inflator</v>
      </c>
      <c r="B58" s="120"/>
      <c r="C58" s="42"/>
      <c r="D58" s="42">
        <f t="shared" ref="D58:J58" si="28">D53</f>
        <v>0.75489639511779738</v>
      </c>
      <c r="E58" s="42">
        <f t="shared" si="28"/>
        <v>0.76468918535339192</v>
      </c>
      <c r="F58" s="32">
        <f t="shared" si="28"/>
        <v>0.78413284132841321</v>
      </c>
      <c r="G58" s="32">
        <f t="shared" si="28"/>
        <v>0.8086857791654839</v>
      </c>
      <c r="H58" s="32">
        <f t="shared" si="28"/>
        <v>0.83479988646040304</v>
      </c>
      <c r="I58" s="32">
        <f t="shared" si="28"/>
        <v>0.85850127732046544</v>
      </c>
      <c r="J58" s="32">
        <f t="shared" si="28"/>
        <v>0.8827703661652001</v>
      </c>
      <c r="K58" s="32">
        <f t="shared" ref="K58:M58" si="29">K53</f>
        <v>0.90789100198694295</v>
      </c>
      <c r="L58" s="32">
        <f t="shared" si="29"/>
        <v>0.92548963951177976</v>
      </c>
      <c r="M58" s="32">
        <f t="shared" si="29"/>
        <v>1</v>
      </c>
      <c r="N58" s="32">
        <f t="shared" ref="N58:P58" si="30">N53</f>
        <v>1.109211935196686</v>
      </c>
      <c r="O58" s="32">
        <f t="shared" si="30"/>
        <v>1.1712216385640033</v>
      </c>
      <c r="P58" s="32">
        <f t="shared" si="30"/>
        <v>1.2106162476620079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61" fitToHeight="0" orientation="landscape" r:id="rId1"/>
  <headerFooter>
    <oddHeader>&amp;R&amp;D &amp;T</oddHeader>
    <oddFooter>&amp;L&amp;F&amp;C&amp;A&amp;R&amp;P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>
    <tabColor theme="1"/>
    <pageSetUpPr fitToPage="1"/>
  </sheetPr>
  <dimension ref="A1:O18"/>
  <sheetViews>
    <sheetView showGridLines="0" view="pageBreakPreview" zoomScaleNormal="100" zoomScaleSheetLayoutView="100" workbookViewId="0"/>
  </sheetViews>
  <sheetFormatPr defaultColWidth="9.109375" defaultRowHeight="15" customHeight="1" x14ac:dyDescent="0.3"/>
  <cols>
    <col min="1" max="1" width="40.33203125" customWidth="1"/>
    <col min="2" max="15" width="11" customWidth="1"/>
    <col min="16" max="16" width="9.109375" customWidth="1"/>
  </cols>
  <sheetData>
    <row r="1" spans="1:15" ht="39.9" customHeight="1" x14ac:dyDescent="0.3">
      <c r="A1" s="142" t="s">
        <v>1</v>
      </c>
      <c r="B1" s="4"/>
      <c r="C1" s="46"/>
      <c r="D1" s="46"/>
      <c r="E1" s="46"/>
      <c r="F1" s="46"/>
      <c r="G1" s="46"/>
      <c r="H1" s="46"/>
      <c r="I1" s="46"/>
      <c r="J1" s="46"/>
      <c r="K1" s="46"/>
      <c r="L1" s="46"/>
      <c r="M1" s="84"/>
      <c r="N1" s="84"/>
      <c r="O1" s="84"/>
    </row>
    <row r="2" spans="1:15" ht="18" x14ac:dyDescent="0.35">
      <c r="A2" s="131" t="s">
        <v>30</v>
      </c>
      <c r="B2" s="46"/>
      <c r="C2" s="129">
        <f>Inflators!D55</f>
        <v>2013</v>
      </c>
      <c r="D2" s="129">
        <f>Inflators!E55</f>
        <v>2014</v>
      </c>
      <c r="E2" s="129">
        <f>Inflators!F55</f>
        <v>2015</v>
      </c>
      <c r="F2" s="129">
        <f>Inflators!G55</f>
        <v>2016</v>
      </c>
      <c r="G2" s="129">
        <f>Inflators!H55</f>
        <v>2017</v>
      </c>
      <c r="H2" s="129">
        <f>Inflators!I55</f>
        <v>2018</v>
      </c>
      <c r="I2" s="129">
        <f>Inflators!J55</f>
        <v>2019</v>
      </c>
      <c r="J2" s="129">
        <f>Inflators!K55</f>
        <v>2020</v>
      </c>
      <c r="K2" s="129">
        <f>Inflators!L55</f>
        <v>2021</v>
      </c>
      <c r="L2" s="129">
        <f>Inflators!M55</f>
        <v>2022</v>
      </c>
      <c r="M2" s="129">
        <f>Inflators!N55</f>
        <v>2023</v>
      </c>
      <c r="N2" s="129">
        <f>Inflators!O55</f>
        <v>2024</v>
      </c>
      <c r="O2" s="129">
        <f>Inflators!P55</f>
        <v>2025</v>
      </c>
    </row>
    <row r="3" spans="1:15" ht="14.4" x14ac:dyDescent="0.3">
      <c r="A3" s="120" t="str">
        <f>Inflators!A56</f>
        <v>Network opex index of cost inflator</v>
      </c>
      <c r="B3" s="32"/>
      <c r="C3" s="32">
        <f>Inflators!D56</f>
        <v>0.83894028289231437</v>
      </c>
      <c r="D3" s="32">
        <f>Inflators!E56</f>
        <v>0.85486466203544853</v>
      </c>
      <c r="E3" s="32">
        <f>Inflators!F56</f>
        <v>0.8576388424134741</v>
      </c>
      <c r="F3" s="32">
        <f>Inflators!G56</f>
        <v>0.86129160029128327</v>
      </c>
      <c r="G3" s="32">
        <f>Inflators!H56</f>
        <v>0.87541703910484869</v>
      </c>
      <c r="H3" s="32">
        <f>Inflators!I56</f>
        <v>0.90063028838166415</v>
      </c>
      <c r="I3" s="32">
        <f>Inflators!J56</f>
        <v>0.92542068882062667</v>
      </c>
      <c r="J3" s="32">
        <f>Inflators!K56</f>
        <v>0.94509727777894881</v>
      </c>
      <c r="K3" s="32">
        <f>Inflators!L56</f>
        <v>0.95614290332361662</v>
      </c>
      <c r="L3" s="32">
        <f>Inflators!M56</f>
        <v>1</v>
      </c>
      <c r="M3" s="32">
        <f>Inflators!N56</f>
        <v>1.0616940421726764</v>
      </c>
      <c r="N3" s="32">
        <f>Inflators!O56</f>
        <v>1.117178520229283</v>
      </c>
      <c r="O3" s="32">
        <f>Inflators!P56</f>
        <v>1.161404533810805</v>
      </c>
    </row>
    <row r="4" spans="1:15" ht="14.4" x14ac:dyDescent="0.3">
      <c r="A4" s="120" t="str">
        <f>Inflators!A57</f>
        <v>Non-network opex index of cost inflator</v>
      </c>
      <c r="B4" s="32"/>
      <c r="C4" s="32">
        <f>Inflators!D57</f>
        <v>0.83894028289231437</v>
      </c>
      <c r="D4" s="32">
        <f>Inflators!E57</f>
        <v>0.85486466203544853</v>
      </c>
      <c r="E4" s="32">
        <f>Inflators!F57</f>
        <v>0.8576388424134741</v>
      </c>
      <c r="F4" s="32">
        <f>Inflators!G57</f>
        <v>0.86129160029128327</v>
      </c>
      <c r="G4" s="32">
        <f>Inflators!H57</f>
        <v>0.87541703910484869</v>
      </c>
      <c r="H4" s="32">
        <f>Inflators!I57</f>
        <v>0.90063028838166415</v>
      </c>
      <c r="I4" s="32">
        <f>Inflators!J57</f>
        <v>0.92542068882062667</v>
      </c>
      <c r="J4" s="32">
        <f>Inflators!K57</f>
        <v>0.94509727777894881</v>
      </c>
      <c r="K4" s="32">
        <f>Inflators!L57</f>
        <v>0.95614290332361662</v>
      </c>
      <c r="L4" s="32">
        <f>Inflators!M57</f>
        <v>1</v>
      </c>
      <c r="M4" s="32">
        <f>Inflators!N57</f>
        <v>1.0616940421726764</v>
      </c>
      <c r="N4" s="32">
        <f>Inflators!O57</f>
        <v>1.117178520229283</v>
      </c>
      <c r="O4" s="32">
        <f>Inflators!P57</f>
        <v>1.161404533810805</v>
      </c>
    </row>
    <row r="5" spans="1:15" ht="14.4" x14ac:dyDescent="0.3">
      <c r="A5" s="120" t="str">
        <f>Inflators!A58</f>
        <v>Capex index of cost inflator</v>
      </c>
      <c r="B5" s="32"/>
      <c r="C5" s="32">
        <f>Inflators!D58</f>
        <v>0.75489639511779738</v>
      </c>
      <c r="D5" s="32">
        <f>Inflators!E58</f>
        <v>0.76468918535339192</v>
      </c>
      <c r="E5" s="32">
        <f>Inflators!F58</f>
        <v>0.78413284132841321</v>
      </c>
      <c r="F5" s="32">
        <f>Inflators!G58</f>
        <v>0.8086857791654839</v>
      </c>
      <c r="G5" s="32">
        <f>Inflators!H58</f>
        <v>0.83479988646040304</v>
      </c>
      <c r="H5" s="32">
        <f>Inflators!I58</f>
        <v>0.85850127732046544</v>
      </c>
      <c r="I5" s="32">
        <f>Inflators!J58</f>
        <v>0.8827703661652001</v>
      </c>
      <c r="J5" s="32">
        <f>Inflators!K58</f>
        <v>0.90789100198694295</v>
      </c>
      <c r="K5" s="32">
        <f>Inflators!L58</f>
        <v>0.92548963951177976</v>
      </c>
      <c r="L5" s="32">
        <f>Inflators!M58</f>
        <v>1</v>
      </c>
      <c r="M5" s="32">
        <f>Inflators!N58</f>
        <v>1.109211935196686</v>
      </c>
      <c r="N5" s="32">
        <f>Inflators!O58</f>
        <v>1.1712216385640033</v>
      </c>
      <c r="O5" s="32">
        <f>Inflators!P58</f>
        <v>1.2106162476620079</v>
      </c>
    </row>
    <row r="6" spans="1:15" ht="15" customHeight="1" x14ac:dyDescent="0.3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ht="15" customHeight="1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" customHeight="1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5" customHeight="1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5" customHeight="1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5" customHeight="1" x14ac:dyDescent="0.3">
      <c r="A12" s="4"/>
      <c r="B12" s="14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5" customHeight="1" x14ac:dyDescent="0.3">
      <c r="A13" s="4"/>
      <c r="B13" s="14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5" customHeight="1" x14ac:dyDescent="0.3">
      <c r="A14" s="4"/>
      <c r="B14" s="14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5" customHeight="1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5" customHeight="1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5" customHeight="1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5" customHeight="1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64" fitToHeight="0" orientation="landscape" r:id="rId1"/>
  <headerFooter>
    <oddHeader>&amp;R&amp;D &amp;T</oddHeader>
    <oddFooter>&amp;L&amp;F&amp;C&amp;A&amp;R&amp;P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CoverSheet</vt:lpstr>
      <vt:lpstr>Description</vt:lpstr>
      <vt:lpstr>Table of Contents</vt:lpstr>
      <vt:lpstr>Inputs</vt:lpstr>
      <vt:lpstr>Growth rates</vt:lpstr>
      <vt:lpstr>Inflators</vt:lpstr>
      <vt:lpstr>Outputs</vt:lpstr>
      <vt:lpstr>Indiv_Data</vt:lpstr>
      <vt:lpstr>CoverSheet!Print_Area</vt:lpstr>
      <vt:lpstr>Description!Print_Area</vt:lpstr>
      <vt:lpstr>'Growth rates'!Print_Area</vt:lpstr>
      <vt:lpstr>Inflators!Print_Area</vt:lpstr>
      <vt:lpstr>Inputs!Print_Area</vt:lpstr>
      <vt:lpstr>Outputs!Print_Area</vt:lpstr>
      <vt:lpstr>'Table of Contents'!Print_Area</vt:lpstr>
      <vt:lpstr>Qtr_Wgt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Paul Ware</cp:lastModifiedBy>
  <dcterms:created xsi:type="dcterms:W3CDTF">2019-05-27T08:19:25Z</dcterms:created>
  <dcterms:modified xsi:type="dcterms:W3CDTF">2022-11-28T18:03:03Z</dcterms:modified>
</cp:coreProperties>
</file>