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9440" windowHeight="15600" activeTab="1"/>
  </bookViews>
  <sheets>
    <sheet name="Summary" sheetId="3" r:id="rId1"/>
    <sheet name="Analysis" sheetId="2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3" i="2" l="1"/>
  <c r="J96" i="2"/>
  <c r="J97" i="2"/>
  <c r="J98" i="2"/>
  <c r="J99" i="2"/>
  <c r="J25" i="2"/>
  <c r="J100" i="2"/>
  <c r="J101" i="2"/>
  <c r="J102" i="2"/>
  <c r="I13" i="2"/>
  <c r="I93" i="2"/>
  <c r="I96" i="2"/>
  <c r="I97" i="2"/>
  <c r="I98" i="2"/>
  <c r="I99" i="2"/>
  <c r="I25" i="2"/>
  <c r="I100" i="2"/>
  <c r="I101" i="2"/>
  <c r="I102" i="2"/>
  <c r="H93" i="2"/>
  <c r="H96" i="2"/>
  <c r="H97" i="2"/>
  <c r="H98" i="2"/>
  <c r="H99" i="2"/>
  <c r="H25" i="2"/>
  <c r="H100" i="2"/>
  <c r="H101" i="2"/>
  <c r="H102" i="2"/>
  <c r="G93" i="2"/>
  <c r="G96" i="2"/>
  <c r="G97" i="2"/>
  <c r="G98" i="2"/>
  <c r="G99" i="2"/>
  <c r="G25" i="2"/>
  <c r="G100" i="2"/>
  <c r="G101" i="2"/>
  <c r="G102" i="2"/>
  <c r="I47" i="2"/>
  <c r="G69" i="2"/>
  <c r="G70" i="2"/>
  <c r="H69" i="2"/>
  <c r="H70" i="2"/>
  <c r="I69" i="2"/>
  <c r="I70" i="2"/>
  <c r="J69" i="2"/>
  <c r="J70" i="2"/>
  <c r="K70" i="2"/>
  <c r="F24" i="3"/>
  <c r="G83" i="2"/>
  <c r="G84" i="2"/>
  <c r="H83" i="2"/>
  <c r="H84" i="2"/>
  <c r="I83" i="2"/>
  <c r="I84" i="2"/>
  <c r="J83" i="2"/>
  <c r="J84" i="2"/>
  <c r="K84" i="2"/>
  <c r="F13" i="3"/>
  <c r="F23" i="3"/>
  <c r="F25" i="3"/>
  <c r="G49" i="2"/>
  <c r="G51" i="2"/>
  <c r="G85" i="2"/>
  <c r="G86" i="2"/>
  <c r="H49" i="2"/>
  <c r="H51" i="2"/>
  <c r="H85" i="2"/>
  <c r="H86" i="2"/>
  <c r="I49" i="2"/>
  <c r="I51" i="2"/>
  <c r="I85" i="2"/>
  <c r="I86" i="2"/>
  <c r="J49" i="2"/>
  <c r="J51" i="2"/>
  <c r="J85" i="2"/>
  <c r="J86" i="2"/>
  <c r="K86" i="2"/>
  <c r="F14" i="3"/>
  <c r="F15" i="3"/>
  <c r="G52" i="2"/>
  <c r="H52" i="2"/>
  <c r="I52" i="2"/>
  <c r="J52" i="2"/>
  <c r="K52" i="2"/>
  <c r="E14" i="3"/>
  <c r="G26" i="2"/>
  <c r="H26" i="2"/>
  <c r="I26" i="2"/>
  <c r="J26" i="2"/>
  <c r="K26" i="2"/>
  <c r="D24" i="3"/>
  <c r="G14" i="2"/>
  <c r="H14" i="2"/>
  <c r="I14" i="2"/>
  <c r="J14" i="2"/>
  <c r="K14" i="2"/>
  <c r="E13" i="3"/>
  <c r="E15" i="3"/>
  <c r="D13" i="3"/>
  <c r="G15" i="2"/>
  <c r="G16" i="2"/>
  <c r="H15" i="2"/>
  <c r="H16" i="2"/>
  <c r="I15" i="2"/>
  <c r="I16" i="2"/>
  <c r="J15" i="2"/>
  <c r="J16" i="2"/>
  <c r="K16" i="2"/>
  <c r="D14" i="3"/>
  <c r="D15" i="3"/>
  <c r="D23" i="3"/>
  <c r="E24" i="3"/>
  <c r="E23" i="3"/>
  <c r="E25" i="3"/>
  <c r="D25" i="3"/>
  <c r="K87" i="2"/>
  <c r="G48" i="2"/>
  <c r="H48" i="2"/>
  <c r="J48" i="2"/>
  <c r="I48" i="2"/>
  <c r="K48" i="2"/>
  <c r="K53" i="2"/>
  <c r="K17" i="2"/>
  <c r="J61" i="2"/>
  <c r="I61" i="2"/>
  <c r="H61" i="2"/>
  <c r="G61" i="2"/>
  <c r="E34" i="3"/>
  <c r="F34" i="3"/>
  <c r="J62" i="2"/>
  <c r="I62" i="2"/>
  <c r="H62" i="2"/>
  <c r="G62" i="2"/>
  <c r="J59" i="2"/>
  <c r="J60" i="2"/>
  <c r="I59" i="2"/>
  <c r="I60" i="2"/>
  <c r="H59" i="2"/>
  <c r="H60" i="2"/>
  <c r="G59" i="2"/>
  <c r="G60" i="2"/>
  <c r="G71" i="2"/>
  <c r="G110" i="2"/>
  <c r="H71" i="2"/>
  <c r="H110" i="2"/>
  <c r="I71" i="2"/>
  <c r="I110" i="2"/>
  <c r="J71" i="2"/>
  <c r="J110" i="2"/>
  <c r="K60" i="2"/>
  <c r="K62" i="2"/>
  <c r="J23" i="2"/>
  <c r="J24" i="2"/>
  <c r="I23" i="2"/>
  <c r="I24" i="2"/>
  <c r="H23" i="2"/>
  <c r="H24" i="2"/>
  <c r="G23" i="2"/>
  <c r="G24" i="2"/>
  <c r="H72" i="2"/>
  <c r="I72" i="2"/>
  <c r="J72" i="2"/>
  <c r="G72" i="2"/>
  <c r="K63" i="2"/>
  <c r="J35" i="2"/>
  <c r="J36" i="2"/>
  <c r="G35" i="2"/>
  <c r="G36" i="2"/>
  <c r="G111" i="2"/>
  <c r="H35" i="2"/>
  <c r="H36" i="2"/>
  <c r="H111" i="2"/>
  <c r="I35" i="2"/>
  <c r="I36" i="2"/>
  <c r="I111" i="2"/>
  <c r="G33" i="2"/>
  <c r="G34" i="2"/>
  <c r="J111" i="2"/>
  <c r="I33" i="2"/>
  <c r="I34" i="2"/>
  <c r="J108" i="2"/>
  <c r="J109" i="2"/>
  <c r="K24" i="2"/>
  <c r="J33" i="2"/>
  <c r="J34" i="2"/>
  <c r="G108" i="2"/>
  <c r="G109" i="2"/>
  <c r="H108" i="2"/>
  <c r="H109" i="2"/>
  <c r="H33" i="2"/>
  <c r="H34" i="2"/>
  <c r="I108" i="2"/>
  <c r="I109" i="2"/>
  <c r="K72" i="2"/>
  <c r="K101" i="2"/>
  <c r="K111" i="2"/>
  <c r="K109" i="2"/>
  <c r="K34" i="2"/>
  <c r="K36" i="2"/>
  <c r="K73" i="2"/>
  <c r="K99" i="2"/>
  <c r="K112" i="2"/>
  <c r="K37" i="2"/>
  <c r="K27" i="2"/>
  <c r="K102" i="2"/>
  <c r="D33" i="3"/>
  <c r="D34" i="3"/>
  <c r="F33" i="3"/>
  <c r="F35" i="3"/>
  <c r="E33" i="3"/>
  <c r="E35" i="3"/>
  <c r="D35" i="3"/>
</calcChain>
</file>

<file path=xl/sharedStrings.xml><?xml version="1.0" encoding="utf-8"?>
<sst xmlns="http://schemas.openxmlformats.org/spreadsheetml/2006/main" count="212" uniqueCount="65">
  <si>
    <t>ORION CPP PROJECT</t>
  </si>
  <si>
    <t>$000</t>
  </si>
  <si>
    <t>FY2011</t>
  </si>
  <si>
    <t>FY2012</t>
  </si>
  <si>
    <t>FY2013</t>
  </si>
  <si>
    <t>FY2014</t>
  </si>
  <si>
    <t>Total PV</t>
  </si>
  <si>
    <t>PV of BBAR at 1 April 2014 (DPP WACC rate)</t>
  </si>
  <si>
    <t>PV of revenue at 1 April 2014 (DPP WACC rate)</t>
  </si>
  <si>
    <t>PV of BBAR in excess of PV of actual/forecast revenues (year end values)</t>
  </si>
  <si>
    <t>PV of forecast revenue caps at 1 April 2014 (DPP WACC rate)</t>
  </si>
  <si>
    <t>PV of BBAR (adjusted) at 1 April 2014 (DPP WACC rate)</t>
  </si>
  <si>
    <t>Adjust FY2013 forecast revenue to actual revenue (year end values)</t>
  </si>
  <si>
    <t xml:space="preserve">Actual and forecast revenue per CPP proposal (year end values) </t>
  </si>
  <si>
    <t xml:space="preserve">BBAR (adjusted) (year end values) </t>
  </si>
  <si>
    <t>CLAW-BACK CALCULATIONS PER CPP PROPOSAL ("COST" COMPONENT)</t>
  </si>
  <si>
    <t>CLAW-BACK CALCULATIONS PER CPP PROPOSAL ("DEMAND" COMPONENT)</t>
  </si>
  <si>
    <t>PV of adjusted revenue at 1 April 2014 (DPP WACC rate)</t>
  </si>
  <si>
    <t>PV of actual/forecast revenues at 1 April 2014 (DPP WACC rate)</t>
  </si>
  <si>
    <t>PV of BBAR in excess of PV of revenue caps (year end values)</t>
  </si>
  <si>
    <t>Adjust forecast of Opex - BBAR impacts</t>
  </si>
  <si>
    <t>Adjust forecast of Capex- BBAR impacts</t>
  </si>
  <si>
    <t>STEP 2: ADJUST CLAW-BACK CALCULATIONS FOR DIFFERENCE BETWEEN ACTUAL AND FORECAST 2013 REVENUES</t>
  </si>
  <si>
    <t>STEP 1: CLAW-BACK CALCULATIONS PER ORION CPP PROPOSAL (PV BASED ON WACC RATE)</t>
  </si>
  <si>
    <t>CLAW-BACK CALCULATIONS PER CPP PROPOSAL (ORIGINAL "COST" COMPONENT)</t>
  </si>
  <si>
    <t>STEP 3: ADJUST CLAW-BACK CALCULATIONS FOR EVALUATION OF FY2013 AND FY2014 OPEX AND CAPEX</t>
  </si>
  <si>
    <t>CLAW-BACK CALCULATIONS ADJUSTED FOR FY2013 REDUCED REVENUES (REVISED "DEMAND" COMPONENT)</t>
  </si>
  <si>
    <t>CLAW-BACK CALCULATIONS ADJUSTED FOR FY2013 AND FY2014 OPEX AND CAPEX  (REVISED "COST" COMPONENT)</t>
  </si>
  <si>
    <t>CLAW-BACK CALCULATIONS ADJUSTED FOR ACTUAL 2013 REDUCED REVENUES (ORIGINAL "COST" AND REVISED "DEMAND")</t>
  </si>
  <si>
    <t>CLAW-BACK CALCULATIONS ADJUSTED FOR ACTUAL FY2013 REVENUES AND FY2013 AND FY2014 OPEX AND CAPEX  (REVISED "COST" AND REVISED "DEMAND")</t>
  </si>
  <si>
    <t xml:space="preserve">Adjusted actual/forecast revenue (year end values) </t>
  </si>
  <si>
    <t>PV of BBAR (adjusted) in excess of PV of forecast revenue caps (year end values)</t>
  </si>
  <si>
    <t>PV of forecast revenue caps in excess of PV of adjusted actual/forecast revenues (year end values)</t>
  </si>
  <si>
    <t>PV of adjusted actual/forecast revenues at 1 April 2014 (DPP WACC rate)</t>
  </si>
  <si>
    <t xml:space="preserve">Adjusted actual/forecast revenues (year end values) </t>
  </si>
  <si>
    <t xml:space="preserve">Adjusted actual/ forecast revenues (year end values) </t>
  </si>
  <si>
    <t>PV of BBAR in excess of PV of forecast revenue caps (year end values)</t>
  </si>
  <si>
    <t>PV of revenue caps in excess of PV of actual/forecast revenues (year end values)</t>
  </si>
  <si>
    <t>Step 1</t>
  </si>
  <si>
    <t>Step2</t>
  </si>
  <si>
    <t>Step3</t>
  </si>
  <si>
    <t>ADJUST REVENUES TO REFLECT FY2013 ACTUALS</t>
  </si>
  <si>
    <t>ADJUST OPEX/CAPEX TO REFLECT FY2013 ACTUALS AND REVISED FY2014 FORECASTS</t>
  </si>
  <si>
    <t>C. Draft decision to not allow the demand component with Step 1 to 3 adjustments</t>
  </si>
  <si>
    <t>BBAR per CPP proposal (year end values using Q#23)</t>
  </si>
  <si>
    <t>BBAR per Proposal (per IMs at year end values using Q#23)</t>
  </si>
  <si>
    <t>Actual and forecast revenue per CPP proposal (year end values using Q#23)</t>
  </si>
  <si>
    <t>Total adjustments (nominal values) - ComCom adjustment</t>
  </si>
  <si>
    <t>Total adjustments (year end values) - ComCom adjustment</t>
  </si>
  <si>
    <t xml:space="preserve">BBAR (adjusted) (year end values from Q#23 and after ComCom adjustments) </t>
  </si>
  <si>
    <t>Claw-back: PV of BBAR in excess of PV of actual/forecast revenues</t>
  </si>
  <si>
    <t>Claw-back: PV of BBAR in excess of PV of adjusted actual/forecast revenues (year end values)</t>
  </si>
  <si>
    <t>A. Methodology applied by Orion with ComCom 2013 and 2014 BBAR adjustments</t>
  </si>
  <si>
    <t>CLAW-BACK CALCULATIONS PER CPP PROPOSAL AND Q#23 ("DEMAND" COMPONENT)</t>
  </si>
  <si>
    <t>CLAW-BACK CALCULATIONS PER CPP PROPOSAL AND Q#23 ("COST" AND "DEMAND")</t>
  </si>
  <si>
    <t>PER CPP PROPOSAL AND Q#23</t>
  </si>
  <si>
    <t>CLAW-BACK CALCULATIONS PER CPP PROPOSAL ADJUSTED FOR Q#23 ("COST" AND "DEMAND")</t>
  </si>
  <si>
    <t>Analysis of claw-back calculations (based on Orion-calculated values - not including recovery of under-recovered pass-through costs)</t>
  </si>
  <si>
    <t>Doc #1575401</t>
  </si>
  <si>
    <t>Summary of claw-back calculations (based on Orion-calculated values - not including recovery of under-recovered pass-through costs)</t>
  </si>
  <si>
    <t>CLAW-BACK CALCULATIONS PER CPP PROPOSAL AND Q#23 (PV BASED ON WACC RATE)</t>
  </si>
  <si>
    <t>CLAW-BACK CALCULATIONS PER CPP PROPOSAL AND Q#23 ("COST" COMPONENT)</t>
  </si>
  <si>
    <t>B. Draft decision to allow the cost component with 2013 and 2014 BBAR adjustments (based on Orion calculations per Q#23)</t>
  </si>
  <si>
    <t>Forecast revenue caps per DPP rollover from 2010 (year end values using Q#23)</t>
  </si>
  <si>
    <t xml:space="preserve">Forecast revenue caps per DPP rollover from 2010 (year end values using Q#23)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</si>
</sst>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9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9">
    <xf numFmtId="0" fontId="0" fillId="0" borderId="0" xfId="0"/>
    <xf numFmtId="0" fontId="0" fillId="0" borderId="0" xfId="0"/>
    <xf numFmtId="0" fontId="0" fillId="0" borderId="0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2" xfId="0" applyBorder="1" applyAlignment="1">
      <alignment vertical="top"/>
    </xf>
    <xf numFmtId="6" fontId="5" fillId="0" borderId="14" xfId="0" quotePrefix="1" applyNumberFormat="1" applyFont="1" applyFill="1" applyBorder="1" applyAlignment="1">
      <alignment horizontal="center" vertical="center"/>
    </xf>
    <xf numFmtId="6" fontId="5" fillId="0" borderId="15" xfId="0" quotePrefix="1" applyNumberFormat="1" applyFon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6" fontId="5" fillId="0" borderId="0" xfId="0" quotePrefix="1" applyNumberFormat="1" applyFont="1" applyFill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20" xfId="0" applyNumberFormat="1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164" fontId="0" fillId="0" borderId="21" xfId="0" applyNumberFormat="1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164" fontId="0" fillId="0" borderId="13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4" fontId="0" fillId="2" borderId="25" xfId="0" applyNumberFormat="1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164" fontId="0" fillId="2" borderId="26" xfId="0" applyNumberForma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64" fontId="0" fillId="0" borderId="9" xfId="0" applyNumberFormat="1" applyFill="1" applyBorder="1" applyAlignment="1">
      <alignment horizontal="center" vertical="center" wrapText="1"/>
    </xf>
    <xf numFmtId="0" fontId="0" fillId="0" borderId="14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34" xfId="0" applyBorder="1" applyAlignment="1">
      <alignment vertical="top"/>
    </xf>
    <xf numFmtId="164" fontId="0" fillId="2" borderId="28" xfId="0" applyNumberFormat="1" applyFill="1" applyBorder="1" applyAlignment="1">
      <alignment horizontal="center" vertical="center"/>
    </xf>
    <xf numFmtId="164" fontId="0" fillId="2" borderId="30" xfId="0" applyNumberForma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6" fontId="5" fillId="0" borderId="31" xfId="0" quotePrefix="1" applyNumberFormat="1" applyFont="1" applyFill="1" applyBorder="1" applyAlignment="1">
      <alignment horizontal="center" vertical="center"/>
    </xf>
    <xf numFmtId="164" fontId="0" fillId="0" borderId="12" xfId="0" applyNumberForma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vertical="center"/>
    </xf>
    <xf numFmtId="164" fontId="0" fillId="0" borderId="25" xfId="0" applyNumberFormat="1" applyFill="1" applyBorder="1" applyAlignment="1">
      <alignment horizontal="center" vertical="center"/>
    </xf>
    <xf numFmtId="164" fontId="0" fillId="0" borderId="24" xfId="0" applyNumberFormat="1" applyFill="1" applyBorder="1" applyAlignment="1">
      <alignment horizontal="center" vertical="center"/>
    </xf>
    <xf numFmtId="164" fontId="0" fillId="0" borderId="26" xfId="0" applyNumberFormat="1" applyFill="1" applyBorder="1" applyAlignment="1">
      <alignment horizontal="center" vertical="center"/>
    </xf>
    <xf numFmtId="6" fontId="5" fillId="0" borderId="37" xfId="0" quotePrefix="1" applyNumberFormat="1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164" fontId="0" fillId="2" borderId="29" xfId="0" applyNumberForma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0" fillId="0" borderId="41" xfId="0" applyBorder="1" applyAlignment="1">
      <alignment vertical="top"/>
    </xf>
    <xf numFmtId="164" fontId="0" fillId="0" borderId="39" xfId="0" applyNumberFormat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6" fontId="5" fillId="0" borderId="38" xfId="0" quotePrefix="1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6" fontId="5" fillId="0" borderId="45" xfId="0" quotePrefix="1" applyNumberFormat="1" applyFont="1" applyFill="1" applyBorder="1" applyAlignment="1">
      <alignment horizontal="center" vertical="center"/>
    </xf>
    <xf numFmtId="6" fontId="5" fillId="0" borderId="46" xfId="0" quotePrefix="1" applyNumberFormat="1" applyFont="1" applyFill="1" applyBorder="1" applyAlignment="1">
      <alignment horizontal="center" vertical="center"/>
    </xf>
    <xf numFmtId="6" fontId="5" fillId="0" borderId="47" xfId="0" quotePrefix="1" applyNumberFormat="1" applyFont="1" applyFill="1" applyBorder="1" applyAlignment="1">
      <alignment horizontal="center" vertical="center"/>
    </xf>
    <xf numFmtId="164" fontId="0" fillId="0" borderId="50" xfId="0" applyNumberFormat="1" applyFill="1" applyBorder="1" applyAlignment="1">
      <alignment horizontal="center" vertical="center" wrapText="1"/>
    </xf>
    <xf numFmtId="164" fontId="0" fillId="2" borderId="51" xfId="0" applyNumberFormat="1" applyFill="1" applyBorder="1" applyAlignment="1">
      <alignment horizontal="center" vertical="center"/>
    </xf>
    <xf numFmtId="164" fontId="0" fillId="2" borderId="49" xfId="0" applyNumberFormat="1" applyFill="1" applyBorder="1" applyAlignment="1">
      <alignment horizontal="center" vertical="center"/>
    </xf>
    <xf numFmtId="164" fontId="0" fillId="2" borderId="39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2" borderId="40" xfId="0" applyNumberFormat="1" applyFill="1" applyBorder="1" applyAlignment="1">
      <alignment horizontal="center" vertical="center"/>
    </xf>
    <xf numFmtId="164" fontId="0" fillId="0" borderId="15" xfId="0" applyNumberFormat="1" applyFill="1" applyBorder="1" applyAlignment="1">
      <alignment horizontal="center" vertical="center"/>
    </xf>
    <xf numFmtId="164" fontId="0" fillId="0" borderId="34" xfId="0" applyNumberFormat="1" applyFill="1" applyBorder="1" applyAlignment="1">
      <alignment horizontal="center" vertical="center"/>
    </xf>
    <xf numFmtId="164" fontId="0" fillId="0" borderId="23" xfId="0" applyNumberFormat="1" applyFill="1" applyBorder="1" applyAlignment="1">
      <alignment horizontal="center" vertical="center"/>
    </xf>
    <xf numFmtId="164" fontId="0" fillId="0" borderId="22" xfId="0" applyNumberFormat="1" applyFill="1" applyBorder="1" applyAlignment="1">
      <alignment horizontal="center" vertical="center"/>
    </xf>
    <xf numFmtId="164" fontId="0" fillId="0" borderId="52" xfId="0" applyNumberFormat="1" applyBorder="1" applyAlignment="1">
      <alignment horizontal="center" vertical="center"/>
    </xf>
    <xf numFmtId="164" fontId="0" fillId="0" borderId="49" xfId="0" applyNumberFormat="1" applyFill="1" applyBorder="1" applyAlignment="1">
      <alignment horizontal="center" vertical="center"/>
    </xf>
    <xf numFmtId="164" fontId="0" fillId="0" borderId="44" xfId="0" applyNumberFormat="1" applyFill="1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164" fontId="0" fillId="2" borderId="48" xfId="0" applyNumberFormat="1" applyFill="1" applyBorder="1" applyAlignment="1">
      <alignment horizontal="center" vertical="center"/>
    </xf>
    <xf numFmtId="164" fontId="0" fillId="0" borderId="39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42" xfId="0" applyNumberFormat="1" applyFill="1" applyBorder="1" applyAlignment="1">
      <alignment horizontal="center" vertical="center"/>
    </xf>
    <xf numFmtId="164" fontId="0" fillId="2" borderId="53" xfId="0" applyNumberFormat="1" applyFill="1" applyBorder="1" applyAlignment="1">
      <alignment horizontal="center" vertical="center"/>
    </xf>
    <xf numFmtId="164" fontId="0" fillId="0" borderId="13" xfId="0" applyNumberFormat="1" applyFill="1" applyBorder="1" applyAlignment="1">
      <alignment horizontal="center" vertical="center" wrapText="1"/>
    </xf>
    <xf numFmtId="164" fontId="0" fillId="0" borderId="14" xfId="0" applyNumberFormat="1" applyFill="1" applyBorder="1" applyAlignment="1">
      <alignment horizontal="center" vertical="center" wrapText="1"/>
    </xf>
    <xf numFmtId="164" fontId="0" fillId="0" borderId="15" xfId="0" applyNumberFormat="1" applyFill="1" applyBorder="1" applyAlignment="1">
      <alignment horizontal="center" vertical="center" wrapText="1"/>
    </xf>
    <xf numFmtId="164" fontId="0" fillId="0" borderId="54" xfId="0" applyNumberFormat="1" applyFill="1" applyBorder="1" applyAlignment="1">
      <alignment horizontal="center" vertical="center" wrapText="1"/>
    </xf>
    <xf numFmtId="164" fontId="0" fillId="0" borderId="55" xfId="0" applyNumberForma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/>
    <xf numFmtId="0" fontId="4" fillId="0" borderId="57" xfId="0" applyFont="1" applyFill="1" applyBorder="1" applyAlignment="1">
      <alignment horizontal="center" vertical="center"/>
    </xf>
    <xf numFmtId="6" fontId="5" fillId="0" borderId="58" xfId="0" quotePrefix="1" applyNumberFormat="1" applyFont="1" applyBorder="1" applyAlignment="1">
      <alignment horizontal="center" vertical="center"/>
    </xf>
    <xf numFmtId="0" fontId="0" fillId="0" borderId="63" xfId="0" applyBorder="1"/>
    <xf numFmtId="0" fontId="4" fillId="2" borderId="56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0" fillId="0" borderId="64" xfId="0" applyBorder="1" applyAlignment="1">
      <alignment vertical="top"/>
    </xf>
    <xf numFmtId="0" fontId="0" fillId="0" borderId="66" xfId="0" applyBorder="1"/>
    <xf numFmtId="0" fontId="3" fillId="0" borderId="67" xfId="0" applyFont="1" applyBorder="1" applyAlignment="1">
      <alignment vertical="top"/>
    </xf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0" fillId="0" borderId="71" xfId="0" applyBorder="1"/>
    <xf numFmtId="0" fontId="0" fillId="0" borderId="72" xfId="0" applyBorder="1" applyAlignment="1">
      <alignment vertical="top"/>
    </xf>
    <xf numFmtId="0" fontId="0" fillId="0" borderId="73" xfId="0" applyBorder="1"/>
    <xf numFmtId="0" fontId="0" fillId="0" borderId="67" xfId="0" applyBorder="1" applyAlignment="1">
      <alignment vertical="top"/>
    </xf>
    <xf numFmtId="0" fontId="0" fillId="0" borderId="72" xfId="0" applyBorder="1"/>
    <xf numFmtId="0" fontId="4" fillId="2" borderId="56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/>
    </xf>
    <xf numFmtId="0" fontId="0" fillId="0" borderId="74" xfId="0" applyBorder="1" applyAlignment="1">
      <alignment vertical="top"/>
    </xf>
    <xf numFmtId="0" fontId="0" fillId="0" borderId="63" xfId="0" applyBorder="1" applyAlignment="1">
      <alignment vertical="top"/>
    </xf>
    <xf numFmtId="0" fontId="0" fillId="0" borderId="1" xfId="0" applyBorder="1"/>
    <xf numFmtId="0" fontId="9" fillId="0" borderId="0" xfId="0" applyFont="1" applyBorder="1" applyAlignment="1">
      <alignment horizontal="left" vertical="top"/>
    </xf>
    <xf numFmtId="0" fontId="0" fillId="0" borderId="75" xfId="0" applyBorder="1"/>
    <xf numFmtId="0" fontId="4" fillId="0" borderId="74" xfId="0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0" fillId="2" borderId="20" xfId="0" applyNumberFormat="1" applyFill="1" applyBorder="1" applyAlignment="1">
      <alignment horizontal="center" vertical="center"/>
    </xf>
    <xf numFmtId="164" fontId="0" fillId="2" borderId="19" xfId="0" applyNumberFormat="1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center" vertical="center"/>
    </xf>
    <xf numFmtId="164" fontId="6" fillId="2" borderId="36" xfId="0" applyNumberFormat="1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vertical="center"/>
    </xf>
    <xf numFmtId="164" fontId="0" fillId="0" borderId="59" xfId="0" applyNumberFormat="1" applyFill="1" applyBorder="1" applyAlignment="1">
      <alignment horizontal="center" vertical="center"/>
    </xf>
    <xf numFmtId="164" fontId="0" fillId="0" borderId="61" xfId="0" applyNumberForma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164" fontId="0" fillId="0" borderId="62" xfId="0" applyNumberFormat="1" applyFill="1" applyBorder="1" applyAlignment="1">
      <alignment horizontal="center" vertical="center"/>
    </xf>
    <xf numFmtId="164" fontId="1" fillId="2" borderId="65" xfId="0" applyNumberFormat="1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vertical="center"/>
    </xf>
    <xf numFmtId="0" fontId="3" fillId="0" borderId="0" xfId="0" applyFont="1" applyAlignment="1">
      <alignment vertical="top"/>
    </xf>
    <xf numFmtId="164" fontId="0" fillId="3" borderId="11" xfId="0" applyNumberFormat="1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3" borderId="20" xfId="0" applyNumberFormat="1" applyFill="1" applyBorder="1" applyAlignment="1">
      <alignment horizontal="center" vertical="center"/>
    </xf>
    <xf numFmtId="164" fontId="0" fillId="3" borderId="19" xfId="0" applyNumberFormat="1" applyFill="1" applyBorder="1" applyAlignment="1">
      <alignment horizontal="center" vertical="center"/>
    </xf>
    <xf numFmtId="164" fontId="0" fillId="3" borderId="21" xfId="0" applyNumberFormat="1" applyFill="1" applyBorder="1" applyAlignment="1">
      <alignment horizontal="center" vertical="center"/>
    </xf>
    <xf numFmtId="0" fontId="9" fillId="0" borderId="67" xfId="0" applyFont="1" applyBorder="1" applyAlignment="1">
      <alignment horizontal="center" vertical="top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4" fillId="0" borderId="0" xfId="0" applyFont="1" applyAlignment="1">
      <alignment vertical="top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top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</cellXfs>
  <cellStyles count="9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403679</xdr:colOff>
      <xdr:row>79</xdr:row>
      <xdr:rowOff>108857</xdr:rowOff>
    </xdr:from>
    <xdr:to>
      <xdr:col>22</xdr:col>
      <xdr:colOff>405342</xdr:colOff>
      <xdr:row>86</xdr:row>
      <xdr:rowOff>13605</xdr:rowOff>
    </xdr:to>
    <xdr:sp macro="" textlink="">
      <xdr:nvSpPr>
        <xdr:cNvPr id="2" name="Rectangular Callout 1"/>
        <xdr:cNvSpPr/>
      </xdr:nvSpPr>
      <xdr:spPr>
        <a:xfrm>
          <a:off x="17399000" y="16995321"/>
          <a:ext cx="5852735" cy="1415141"/>
        </a:xfrm>
        <a:prstGeom prst="wedgeRectCallout">
          <a:avLst>
            <a:gd name="adj1" fmla="val -92541"/>
            <a:gd name="adj2" fmla="val 162377"/>
          </a:avLst>
        </a:prstGeom>
        <a:solidFill>
          <a:schemeClr val="accent5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1400" baseline="0">
              <a:solidFill>
                <a:sysClr val="windowText" lastClr="000000"/>
              </a:solidFill>
            </a:rPr>
            <a:t>Cell I94 for FY2013 shows the variance in OPEX between Actual and CPP Proposal.</a:t>
          </a:r>
        </a:p>
        <a:p>
          <a:pPr marL="0" indent="0" algn="l"/>
          <a:r>
            <a:rPr lang="en-NZ" sz="1400" baseline="0">
              <a:solidFill>
                <a:sysClr val="windowText" lastClr="000000"/>
              </a:solidFill>
            </a:rPr>
            <a:t>Cell J94 for FY2014 </a:t>
          </a:r>
          <a:r>
            <a:rPr lang="en-NZ" sz="14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represents the changes in OPEX reflected in the Commission's Draft Determination.  	This includes reductions in Emergency Maintenance, Network Management Opex Staff Cuts ,  Scheduled and Unscheduled Maintenance, General Maintenance, Admin and O/H.    </a:t>
          </a:r>
        </a:p>
        <a:p>
          <a:pPr algn="l"/>
          <a:endParaRPr lang="en-NZ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258537</xdr:colOff>
      <xdr:row>98</xdr:row>
      <xdr:rowOff>54428</xdr:rowOff>
    </xdr:from>
    <xdr:to>
      <xdr:col>22</xdr:col>
      <xdr:colOff>544287</xdr:colOff>
      <xdr:row>101</xdr:row>
      <xdr:rowOff>108858</xdr:rowOff>
    </xdr:to>
    <xdr:sp macro="" textlink="">
      <xdr:nvSpPr>
        <xdr:cNvPr id="3" name="Rectangular Callout 2"/>
        <xdr:cNvSpPr/>
      </xdr:nvSpPr>
      <xdr:spPr>
        <a:xfrm>
          <a:off x="17838966" y="20982214"/>
          <a:ext cx="5551714" cy="666751"/>
        </a:xfrm>
        <a:prstGeom prst="wedgeRectCallout">
          <a:avLst>
            <a:gd name="adj1" fmla="val -104257"/>
            <a:gd name="adj2" fmla="val -100244"/>
          </a:avLst>
        </a:prstGeom>
        <a:solidFill>
          <a:schemeClr val="accent5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1400" baseline="0">
              <a:solidFill>
                <a:sysClr val="windowText" lastClr="000000"/>
              </a:solidFill>
            </a:rPr>
            <a:t>Row 97 calculations reflect the uplift of 1.035 associated with producing year-end values.  </a:t>
          </a:r>
          <a:endParaRPr lang="en-NZ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392793</xdr:colOff>
      <xdr:row>89</xdr:row>
      <xdr:rowOff>176892</xdr:rowOff>
    </xdr:from>
    <xdr:to>
      <xdr:col>24</xdr:col>
      <xdr:colOff>394457</xdr:colOff>
      <xdr:row>96</xdr:row>
      <xdr:rowOff>136072</xdr:rowOff>
    </xdr:to>
    <xdr:sp macro="" textlink="">
      <xdr:nvSpPr>
        <xdr:cNvPr id="4" name="Rectangular Callout 3"/>
        <xdr:cNvSpPr/>
      </xdr:nvSpPr>
      <xdr:spPr>
        <a:xfrm>
          <a:off x="18558329" y="19186071"/>
          <a:ext cx="5852735" cy="1469572"/>
        </a:xfrm>
        <a:prstGeom prst="wedgeRectCallout">
          <a:avLst>
            <a:gd name="adj1" fmla="val -113464"/>
            <a:gd name="adj2" fmla="val 21713"/>
          </a:avLst>
        </a:prstGeom>
        <a:solidFill>
          <a:schemeClr val="accent5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1400" baseline="0">
              <a:solidFill>
                <a:sysClr val="windowText" lastClr="000000"/>
              </a:solidFill>
            </a:rPr>
            <a:t>Cell I95  and J95 reflect  the impact on BBAR due to adjustments to CAPEX in the Commission's Draft Determination for FY2013 and FY2014 respectively.  For FY2013, this includes  a $9.2 million  difference between Actual and CPP Proposal Capex.  </a:t>
          </a:r>
        </a:p>
        <a:p>
          <a:pPr algn="l"/>
          <a:r>
            <a:rPr lang="en-NZ" sz="1400" baseline="0">
              <a:solidFill>
                <a:sysClr val="windowText" lastClr="000000"/>
              </a:solidFill>
            </a:rPr>
            <a:t>For FY2014 this incldues the Commission's 30% reduction in replacement capex.  </a:t>
          </a:r>
          <a:endParaRPr lang="en-NZ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64"/>
  <sheetViews>
    <sheetView showGridLines="0" zoomScale="80" zoomScaleNormal="80" zoomScalePageLayoutView="125" workbookViewId="0"/>
  </sheetViews>
  <sheetFormatPr defaultColWidth="8.85546875" defaultRowHeight="15" x14ac:dyDescent="0.25"/>
  <cols>
    <col min="1" max="1" width="8.85546875" style="1"/>
    <col min="2" max="2" width="3.42578125" customWidth="1"/>
    <col min="3" max="3" width="151.140625" customWidth="1"/>
    <col min="4" max="4" width="42.85546875" customWidth="1"/>
    <col min="5" max="6" width="42.85546875" style="1" customWidth="1"/>
    <col min="7" max="7" width="3.42578125" customWidth="1"/>
  </cols>
  <sheetData>
    <row r="1" spans="2:7" x14ac:dyDescent="0.25">
      <c r="B1" s="1"/>
      <c r="C1" s="1"/>
      <c r="D1" s="1"/>
    </row>
    <row r="2" spans="2:7" ht="21" x14ac:dyDescent="0.25">
      <c r="B2" s="1"/>
      <c r="C2" s="87" t="s">
        <v>0</v>
      </c>
      <c r="D2" s="1"/>
    </row>
    <row r="3" spans="2:7" ht="18.75" x14ac:dyDescent="0.25">
      <c r="B3" s="1"/>
      <c r="C3" s="88" t="s">
        <v>59</v>
      </c>
      <c r="D3" s="1"/>
    </row>
    <row r="4" spans="2:7" ht="15.75" x14ac:dyDescent="0.25">
      <c r="B4" s="1"/>
      <c r="C4" s="89" t="s">
        <v>58</v>
      </c>
      <c r="D4" s="1"/>
    </row>
    <row r="5" spans="2:7" s="1" customFormat="1" ht="16.5" thickBot="1" x14ac:dyDescent="0.3">
      <c r="C5" s="89"/>
    </row>
    <row r="6" spans="2:7" s="1" customFormat="1" ht="21" x14ac:dyDescent="0.25">
      <c r="B6" s="102"/>
      <c r="C6" s="147" t="s">
        <v>60</v>
      </c>
      <c r="D6" s="147"/>
      <c r="E6" s="147"/>
      <c r="F6" s="147"/>
      <c r="G6" s="105"/>
    </row>
    <row r="7" spans="2:7" s="1" customFormat="1" ht="21" x14ac:dyDescent="0.25">
      <c r="B7" s="106"/>
      <c r="C7" s="100"/>
      <c r="D7" s="100"/>
      <c r="E7" s="100"/>
      <c r="F7" s="100"/>
      <c r="G7" s="107"/>
    </row>
    <row r="8" spans="2:7" s="1" customFormat="1" ht="21" x14ac:dyDescent="0.25">
      <c r="B8" s="106"/>
      <c r="C8" s="118" t="s">
        <v>52</v>
      </c>
      <c r="D8" s="100"/>
      <c r="E8" s="100"/>
      <c r="F8" s="100"/>
      <c r="G8" s="107"/>
    </row>
    <row r="9" spans="2:7" s="1" customFormat="1" ht="21.75" thickBot="1" x14ac:dyDescent="0.3">
      <c r="B9" s="106"/>
      <c r="C9" s="100"/>
      <c r="D9" s="100" t="s">
        <v>38</v>
      </c>
      <c r="E9" s="100" t="s">
        <v>39</v>
      </c>
      <c r="F9" s="100" t="s">
        <v>40</v>
      </c>
      <c r="G9" s="107"/>
    </row>
    <row r="10" spans="2:7" ht="60" customHeight="1" x14ac:dyDescent="0.25">
      <c r="B10" s="106"/>
      <c r="C10" s="95" t="s">
        <v>54</v>
      </c>
      <c r="D10" s="95" t="s">
        <v>55</v>
      </c>
      <c r="E10" s="113" t="s">
        <v>41</v>
      </c>
      <c r="F10" s="113" t="s">
        <v>42</v>
      </c>
      <c r="G10" s="107"/>
    </row>
    <row r="11" spans="2:7" ht="30" customHeight="1" x14ac:dyDescent="0.25">
      <c r="B11" s="106"/>
      <c r="C11" s="114"/>
      <c r="D11" s="49" t="s">
        <v>6</v>
      </c>
      <c r="E11" s="92" t="s">
        <v>6</v>
      </c>
      <c r="F11" s="92" t="s">
        <v>6</v>
      </c>
      <c r="G11" s="107"/>
    </row>
    <row r="12" spans="2:7" ht="22.5" customHeight="1" x14ac:dyDescent="0.25">
      <c r="B12" s="106"/>
      <c r="C12" s="115"/>
      <c r="D12" s="54" t="s">
        <v>1</v>
      </c>
      <c r="E12" s="93" t="s">
        <v>1</v>
      </c>
      <c r="F12" s="93" t="s">
        <v>1</v>
      </c>
      <c r="G12" s="107"/>
    </row>
    <row r="13" spans="2:7" ht="30" customHeight="1" x14ac:dyDescent="0.25">
      <c r="B13" s="106"/>
      <c r="C13" s="133" t="s">
        <v>7</v>
      </c>
      <c r="D13" s="74">
        <f>Analysis!K14</f>
        <v>719555.11770808022</v>
      </c>
      <c r="E13" s="134">
        <f>Analysis!K14</f>
        <v>719555.11770808022</v>
      </c>
      <c r="F13" s="134">
        <f>Analysis!K84</f>
        <v>703623.47924908018</v>
      </c>
      <c r="G13" s="107"/>
    </row>
    <row r="14" spans="2:7" ht="30" customHeight="1" x14ac:dyDescent="0.25">
      <c r="B14" s="106"/>
      <c r="C14" s="133" t="s">
        <v>18</v>
      </c>
      <c r="D14" s="74">
        <f>Analysis!K16</f>
        <v>631886.22587205877</v>
      </c>
      <c r="E14" s="134">
        <f>Analysis!K52</f>
        <v>626556.49587205867</v>
      </c>
      <c r="F14" s="134">
        <f>Analysis!K86</f>
        <v>626556.49587205867</v>
      </c>
      <c r="G14" s="107"/>
    </row>
    <row r="15" spans="2:7" ht="30.75" customHeight="1" thickBot="1" x14ac:dyDescent="0.3">
      <c r="B15" s="106"/>
      <c r="C15" s="139" t="s">
        <v>9</v>
      </c>
      <c r="D15" s="138">
        <f>D13-D14</f>
        <v>87668.891836021445</v>
      </c>
      <c r="E15" s="138">
        <f>E13-E14</f>
        <v>92998.621836021543</v>
      </c>
      <c r="F15" s="138">
        <f>F13-F14</f>
        <v>77066.983377021505</v>
      </c>
      <c r="G15" s="107"/>
    </row>
    <row r="16" spans="2:7" ht="30" customHeight="1" thickTop="1" thickBot="1" x14ac:dyDescent="0.3">
      <c r="B16" s="106"/>
      <c r="C16" s="116"/>
      <c r="D16" s="50"/>
      <c r="E16" s="119"/>
      <c r="F16" s="132"/>
      <c r="G16" s="107"/>
    </row>
    <row r="17" spans="2:7" s="1" customFormat="1" x14ac:dyDescent="0.25">
      <c r="B17" s="106"/>
      <c r="C17" s="2"/>
      <c r="D17" s="2"/>
      <c r="E17" s="91"/>
      <c r="F17" s="91"/>
      <c r="G17" s="107"/>
    </row>
    <row r="18" spans="2:7" s="1" customFormat="1" ht="21" x14ac:dyDescent="0.25">
      <c r="B18" s="106"/>
      <c r="C18" s="118" t="s">
        <v>62</v>
      </c>
      <c r="D18" s="2"/>
      <c r="E18" s="91"/>
      <c r="F18" s="91"/>
      <c r="G18" s="107"/>
    </row>
    <row r="19" spans="2:7" ht="21.75" thickBot="1" x14ac:dyDescent="0.3">
      <c r="B19" s="106"/>
      <c r="C19" s="91"/>
      <c r="D19" s="100" t="s">
        <v>38</v>
      </c>
      <c r="E19" s="100" t="s">
        <v>39</v>
      </c>
      <c r="F19" s="100" t="s">
        <v>40</v>
      </c>
      <c r="G19" s="107"/>
    </row>
    <row r="20" spans="2:7" ht="60" customHeight="1" x14ac:dyDescent="0.25">
      <c r="B20" s="106"/>
      <c r="C20" s="86" t="s">
        <v>61</v>
      </c>
      <c r="D20" s="95" t="s">
        <v>55</v>
      </c>
      <c r="E20" s="113" t="s">
        <v>41</v>
      </c>
      <c r="F20" s="113" t="s">
        <v>42</v>
      </c>
      <c r="G20" s="107"/>
    </row>
    <row r="21" spans="2:7" ht="30" customHeight="1" x14ac:dyDescent="0.25">
      <c r="B21" s="106"/>
      <c r="C21" s="85"/>
      <c r="D21" s="120" t="s">
        <v>6</v>
      </c>
      <c r="E21" s="92" t="s">
        <v>6</v>
      </c>
      <c r="F21" s="92" t="s">
        <v>6</v>
      </c>
      <c r="G21" s="107"/>
    </row>
    <row r="22" spans="2:7" ht="22.5" customHeight="1" x14ac:dyDescent="0.25">
      <c r="B22" s="106"/>
      <c r="C22" s="33"/>
      <c r="D22" s="93" t="s">
        <v>1</v>
      </c>
      <c r="E22" s="93" t="s">
        <v>1</v>
      </c>
      <c r="F22" s="93" t="s">
        <v>1</v>
      </c>
      <c r="G22" s="107"/>
    </row>
    <row r="23" spans="2:7" ht="30" customHeight="1" x14ac:dyDescent="0.25">
      <c r="B23" s="106"/>
      <c r="C23" s="123" t="s">
        <v>7</v>
      </c>
      <c r="D23" s="134">
        <f>Analysis!K14</f>
        <v>719555.11770808022</v>
      </c>
      <c r="E23" s="134">
        <f>E13</f>
        <v>719555.11770808022</v>
      </c>
      <c r="F23" s="134">
        <f>F13</f>
        <v>703623.47924908018</v>
      </c>
      <c r="G23" s="107"/>
    </row>
    <row r="24" spans="2:7" ht="30" customHeight="1" x14ac:dyDescent="0.25">
      <c r="B24" s="106"/>
      <c r="C24" s="123" t="s">
        <v>10</v>
      </c>
      <c r="D24" s="135">
        <f>Analysis!K26</f>
        <v>674939.60078237625</v>
      </c>
      <c r="E24" s="135">
        <f>D24</f>
        <v>674939.60078237625</v>
      </c>
      <c r="F24" s="135">
        <f>Analysis!K70</f>
        <v>674939.60078237625</v>
      </c>
      <c r="G24" s="107"/>
    </row>
    <row r="25" spans="2:7" ht="30.75" customHeight="1" thickBot="1" x14ac:dyDescent="0.3">
      <c r="B25" s="106"/>
      <c r="C25" s="125" t="s">
        <v>19</v>
      </c>
      <c r="D25" s="138">
        <f>D23-D24</f>
        <v>44615.516925703967</v>
      </c>
      <c r="E25" s="138">
        <f>E23-E24</f>
        <v>44615.516925703967</v>
      </c>
      <c r="F25" s="138">
        <f>F23-F24</f>
        <v>28683.878466703929</v>
      </c>
      <c r="G25" s="107"/>
    </row>
    <row r="26" spans="2:7" ht="30.75" customHeight="1" thickTop="1" thickBot="1" x14ac:dyDescent="0.3">
      <c r="B26" s="106"/>
      <c r="C26" s="3"/>
      <c r="D26" s="121"/>
      <c r="E26" s="94"/>
      <c r="F26" s="136"/>
      <c r="G26" s="107"/>
    </row>
    <row r="27" spans="2:7" s="1" customFormat="1" x14ac:dyDescent="0.25">
      <c r="B27" s="106"/>
      <c r="C27" s="2"/>
      <c r="D27" s="63"/>
      <c r="E27" s="117"/>
      <c r="F27" s="117"/>
      <c r="G27" s="107"/>
    </row>
    <row r="28" spans="2:7" s="1" customFormat="1" ht="21" x14ac:dyDescent="0.25">
      <c r="B28" s="106"/>
      <c r="C28" s="118" t="s">
        <v>43</v>
      </c>
      <c r="D28" s="2"/>
      <c r="E28" s="91"/>
      <c r="F28" s="91"/>
      <c r="G28" s="107"/>
    </row>
    <row r="29" spans="2:7" ht="21.75" thickBot="1" x14ac:dyDescent="0.3">
      <c r="B29" s="106"/>
      <c r="C29" s="91"/>
      <c r="D29" s="100" t="s">
        <v>38</v>
      </c>
      <c r="E29" s="100" t="s">
        <v>39</v>
      </c>
      <c r="F29" s="100" t="s">
        <v>40</v>
      </c>
      <c r="G29" s="107"/>
    </row>
    <row r="30" spans="2:7" ht="60" customHeight="1" x14ac:dyDescent="0.25">
      <c r="B30" s="106"/>
      <c r="C30" s="86" t="s">
        <v>53</v>
      </c>
      <c r="D30" s="95" t="s">
        <v>55</v>
      </c>
      <c r="E30" s="113" t="s">
        <v>41</v>
      </c>
      <c r="F30" s="113" t="s">
        <v>42</v>
      </c>
      <c r="G30" s="107"/>
    </row>
    <row r="31" spans="2:7" ht="30.75" customHeight="1" x14ac:dyDescent="0.25">
      <c r="B31" s="106"/>
      <c r="C31" s="85"/>
      <c r="D31" s="122" t="s">
        <v>6</v>
      </c>
      <c r="E31" s="92" t="s">
        <v>6</v>
      </c>
      <c r="F31" s="92" t="s">
        <v>6</v>
      </c>
      <c r="G31" s="107"/>
    </row>
    <row r="32" spans="2:7" ht="22.5" customHeight="1" x14ac:dyDescent="0.25">
      <c r="B32" s="106"/>
      <c r="C32" s="33"/>
      <c r="D32" s="93" t="s">
        <v>1</v>
      </c>
      <c r="E32" s="93" t="s">
        <v>1</v>
      </c>
      <c r="F32" s="93" t="s">
        <v>1</v>
      </c>
      <c r="G32" s="107"/>
    </row>
    <row r="33" spans="2:8" ht="30.75" customHeight="1" x14ac:dyDescent="0.25">
      <c r="B33" s="106"/>
      <c r="C33" s="123" t="s">
        <v>10</v>
      </c>
      <c r="D33" s="134">
        <f>D24</f>
        <v>674939.60078237625</v>
      </c>
      <c r="E33" s="134">
        <f>D33</f>
        <v>674939.60078237625</v>
      </c>
      <c r="F33" s="134">
        <f>D33</f>
        <v>674939.60078237625</v>
      </c>
      <c r="G33" s="107"/>
    </row>
    <row r="34" spans="2:8" ht="31.5" customHeight="1" x14ac:dyDescent="0.25">
      <c r="B34" s="106"/>
      <c r="C34" s="123" t="s">
        <v>18</v>
      </c>
      <c r="D34" s="137">
        <f>D14</f>
        <v>631886.22587205877</v>
      </c>
      <c r="E34" s="137">
        <f>E14</f>
        <v>626556.49587205867</v>
      </c>
      <c r="F34" s="137">
        <f>F14</f>
        <v>626556.49587205867</v>
      </c>
      <c r="G34" s="107"/>
    </row>
    <row r="35" spans="2:8" ht="30.75" customHeight="1" thickBot="1" x14ac:dyDescent="0.3">
      <c r="B35" s="106"/>
      <c r="C35" s="125" t="s">
        <v>9</v>
      </c>
      <c r="D35" s="138">
        <f>D33-D34</f>
        <v>43053.374910317478</v>
      </c>
      <c r="E35" s="138">
        <f>E33-E34</f>
        <v>48383.104910317576</v>
      </c>
      <c r="F35" s="138">
        <f>F33-F34</f>
        <v>48383.104910317576</v>
      </c>
      <c r="G35" s="107"/>
    </row>
    <row r="36" spans="2:8" ht="30" customHeight="1" thickTop="1" thickBot="1" x14ac:dyDescent="0.3">
      <c r="B36" s="106"/>
      <c r="C36" s="3"/>
      <c r="D36" s="116"/>
      <c r="E36" s="94"/>
      <c r="F36" s="136"/>
      <c r="G36" s="107"/>
    </row>
    <row r="37" spans="2:8" s="1" customFormat="1" ht="15.75" thickBot="1" x14ac:dyDescent="0.3">
      <c r="B37" s="108"/>
      <c r="C37" s="109"/>
      <c r="D37" s="109"/>
      <c r="E37" s="109"/>
      <c r="F37" s="109"/>
      <c r="G37" s="110"/>
    </row>
    <row r="38" spans="2:8" s="1" customFormat="1" x14ac:dyDescent="0.25">
      <c r="C38" s="2"/>
      <c r="D38" s="2"/>
      <c r="E38" s="2"/>
      <c r="F38" s="2"/>
    </row>
    <row r="39" spans="2:8" s="1" customFormat="1" x14ac:dyDescent="0.25">
      <c r="C39" s="2"/>
      <c r="D39" s="2"/>
      <c r="E39" s="2"/>
      <c r="F39" s="2"/>
    </row>
    <row r="40" spans="2:8" s="1" customFormat="1" ht="21" x14ac:dyDescent="0.25">
      <c r="C40" s="99"/>
      <c r="D40" s="99"/>
      <c r="E40" s="99"/>
      <c r="F40" s="99"/>
    </row>
    <row r="41" spans="2:8" x14ac:dyDescent="0.25">
      <c r="B41" s="1"/>
      <c r="C41" s="96"/>
      <c r="D41" s="96"/>
      <c r="E41" s="96"/>
      <c r="F41" s="96"/>
    </row>
    <row r="42" spans="2:8" ht="30" customHeight="1" x14ac:dyDescent="0.25">
      <c r="B42" s="1"/>
      <c r="C42" s="90"/>
      <c r="D42" s="90"/>
      <c r="E42" s="90"/>
      <c r="F42" s="90"/>
      <c r="G42" s="90"/>
      <c r="H42" s="90"/>
    </row>
    <row r="43" spans="2:8" ht="30.75" customHeight="1" x14ac:dyDescent="0.25">
      <c r="B43" s="1"/>
      <c r="C43" s="90"/>
      <c r="D43" s="90"/>
      <c r="E43" s="90"/>
      <c r="F43" s="90"/>
    </row>
    <row r="44" spans="2:8" ht="22.5" customHeight="1" x14ac:dyDescent="0.25">
      <c r="B44" s="1"/>
      <c r="C44" s="97"/>
      <c r="D44" s="14"/>
      <c r="E44" s="14"/>
      <c r="F44" s="14"/>
    </row>
    <row r="45" spans="2:8" ht="32.25" customHeight="1" x14ac:dyDescent="0.25">
      <c r="B45" s="1"/>
      <c r="C45" s="25"/>
      <c r="D45" s="18"/>
      <c r="E45" s="18"/>
      <c r="F45" s="18"/>
    </row>
    <row r="46" spans="2:8" ht="30.75" customHeight="1" x14ac:dyDescent="0.25">
      <c r="B46" s="1"/>
      <c r="C46" s="25"/>
      <c r="D46" s="18"/>
      <c r="E46" s="18"/>
      <c r="F46" s="18"/>
    </row>
    <row r="47" spans="2:8" ht="31.5" customHeight="1" x14ac:dyDescent="0.25">
      <c r="B47" s="1"/>
      <c r="C47" s="25"/>
      <c r="D47" s="18"/>
      <c r="E47" s="18"/>
      <c r="F47" s="18"/>
    </row>
    <row r="48" spans="2:8" ht="15.75" x14ac:dyDescent="0.25">
      <c r="B48" s="1"/>
      <c r="C48" s="25"/>
      <c r="D48" s="97"/>
      <c r="E48" s="97"/>
      <c r="F48" s="97"/>
    </row>
    <row r="49" spans="3:6" x14ac:dyDescent="0.25">
      <c r="C49" s="96"/>
      <c r="D49" s="96"/>
      <c r="E49" s="96"/>
      <c r="F49" s="96"/>
    </row>
    <row r="50" spans="3:6" ht="18.75" x14ac:dyDescent="0.25">
      <c r="C50" s="90"/>
      <c r="D50" s="90"/>
      <c r="E50" s="90"/>
      <c r="F50" s="90"/>
    </row>
    <row r="51" spans="3:6" ht="18.75" x14ac:dyDescent="0.25">
      <c r="C51" s="90"/>
      <c r="D51" s="90"/>
      <c r="E51" s="90"/>
      <c r="F51" s="90"/>
    </row>
    <row r="52" spans="3:6" ht="22.5" customHeight="1" x14ac:dyDescent="0.25">
      <c r="C52" s="97"/>
      <c r="D52" s="14"/>
      <c r="E52" s="14"/>
      <c r="F52" s="14"/>
    </row>
    <row r="53" spans="3:6" ht="31.5" customHeight="1" x14ac:dyDescent="0.25">
      <c r="C53" s="25"/>
      <c r="D53" s="18"/>
      <c r="E53" s="18"/>
      <c r="F53" s="18"/>
    </row>
    <row r="54" spans="3:6" ht="31.5" customHeight="1" x14ac:dyDescent="0.25">
      <c r="C54" s="25"/>
      <c r="D54" s="18"/>
      <c r="E54" s="18"/>
      <c r="F54" s="18"/>
    </row>
    <row r="55" spans="3:6" ht="30.75" customHeight="1" x14ac:dyDescent="0.25">
      <c r="C55" s="25"/>
      <c r="D55" s="18"/>
      <c r="E55" s="18"/>
      <c r="F55" s="18"/>
    </row>
    <row r="56" spans="3:6" x14ac:dyDescent="0.25">
      <c r="C56" s="97"/>
      <c r="D56" s="98"/>
      <c r="E56" s="98"/>
      <c r="F56" s="98"/>
    </row>
    <row r="57" spans="3:6" x14ac:dyDescent="0.25">
      <c r="C57" s="97"/>
      <c r="D57" s="97"/>
      <c r="E57" s="97"/>
      <c r="F57" s="97"/>
    </row>
    <row r="58" spans="3:6" ht="30" customHeight="1" x14ac:dyDescent="0.25">
      <c r="C58" s="90"/>
      <c r="D58" s="90"/>
      <c r="E58" s="90"/>
      <c r="F58" s="90"/>
    </row>
    <row r="59" spans="3:6" ht="30.75" customHeight="1" x14ac:dyDescent="0.25">
      <c r="C59" s="90"/>
      <c r="D59" s="90"/>
      <c r="E59" s="90"/>
      <c r="F59" s="90"/>
    </row>
    <row r="60" spans="3:6" ht="22.5" customHeight="1" x14ac:dyDescent="0.25">
      <c r="C60" s="97"/>
      <c r="D60" s="14"/>
      <c r="E60" s="14"/>
      <c r="F60" s="14"/>
    </row>
    <row r="61" spans="3:6" ht="30.75" customHeight="1" x14ac:dyDescent="0.25">
      <c r="C61" s="25"/>
      <c r="D61" s="18"/>
      <c r="E61" s="18"/>
      <c r="F61" s="18"/>
    </row>
    <row r="62" spans="3:6" ht="29.25" customHeight="1" x14ac:dyDescent="0.25">
      <c r="C62" s="25"/>
      <c r="D62" s="18"/>
      <c r="E62" s="18"/>
      <c r="F62" s="18"/>
    </row>
    <row r="63" spans="3:6" ht="30.75" customHeight="1" x14ac:dyDescent="0.25">
      <c r="C63" s="25"/>
      <c r="D63" s="18"/>
      <c r="E63" s="18"/>
      <c r="F63" s="18"/>
    </row>
    <row r="64" spans="3:6" x14ac:dyDescent="0.25">
      <c r="C64" s="97"/>
      <c r="D64" s="97"/>
      <c r="E64" s="97"/>
      <c r="F64" s="97"/>
    </row>
  </sheetData>
  <mergeCells count="1">
    <mergeCell ref="C6:F6"/>
  </mergeCells>
  <pageMargins left="0.7" right="0.7" top="0.75" bottom="0.75" header="0.3" footer="0.3"/>
  <pageSetup paperSize="8" scale="65" orientation="landscape" r:id="rId1"/>
  <rowBreaks count="1" manualBreakCount="1">
    <brk id="4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14"/>
  <sheetViews>
    <sheetView showGridLines="0" tabSelected="1" zoomScale="80" zoomScaleNormal="80" zoomScalePageLayoutView="125" workbookViewId="0"/>
  </sheetViews>
  <sheetFormatPr defaultColWidth="8.85546875" defaultRowHeight="15" x14ac:dyDescent="0.25"/>
  <cols>
    <col min="1" max="1" width="8.85546875" style="1"/>
    <col min="2" max="2" width="3.42578125" customWidth="1"/>
    <col min="6" max="6" width="70" customWidth="1"/>
    <col min="7" max="7" width="28.42578125" customWidth="1"/>
    <col min="8" max="8" width="28.7109375" customWidth="1"/>
    <col min="9" max="9" width="28.42578125" customWidth="1"/>
    <col min="10" max="10" width="28.7109375" customWidth="1"/>
    <col min="11" max="11" width="28.42578125" customWidth="1"/>
    <col min="12" max="12" width="3.7109375" customWidth="1"/>
  </cols>
  <sheetData>
    <row r="1" spans="2:1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4" ht="21" x14ac:dyDescent="0.25">
      <c r="B2" s="1"/>
      <c r="C2" s="151" t="s">
        <v>0</v>
      </c>
      <c r="D2" s="151"/>
      <c r="E2" s="151"/>
      <c r="F2" s="151"/>
      <c r="G2" s="1"/>
      <c r="H2" s="1"/>
      <c r="I2" s="1"/>
      <c r="J2" s="1"/>
      <c r="K2" s="1"/>
      <c r="L2" s="1"/>
    </row>
    <row r="3" spans="2:14" ht="18.75" x14ac:dyDescent="0.25">
      <c r="B3" s="1"/>
      <c r="C3" s="162" t="s">
        <v>57</v>
      </c>
      <c r="D3" s="162"/>
      <c r="E3" s="162"/>
      <c r="F3" s="162"/>
      <c r="G3" s="162"/>
      <c r="H3" s="162"/>
      <c r="I3" s="1"/>
      <c r="J3" s="1"/>
      <c r="K3" s="1"/>
      <c r="L3" s="1"/>
    </row>
    <row r="4" spans="2:14" ht="15.75" x14ac:dyDescent="0.25">
      <c r="B4" s="1"/>
      <c r="C4" s="152" t="s">
        <v>58</v>
      </c>
      <c r="D4" s="152"/>
      <c r="E4" s="152"/>
      <c r="F4" s="152"/>
      <c r="G4" s="1"/>
      <c r="H4" s="1"/>
      <c r="I4" s="1"/>
      <c r="J4" s="1"/>
      <c r="K4" s="1"/>
      <c r="L4" s="1"/>
    </row>
    <row r="5" spans="2:14" s="1" customFormat="1" ht="15.75" x14ac:dyDescent="0.25">
      <c r="C5" s="140"/>
      <c r="D5" s="140"/>
      <c r="E5" s="140"/>
      <c r="F5" s="140"/>
    </row>
    <row r="6" spans="2:14" s="1" customFormat="1" ht="16.5" thickBot="1" x14ac:dyDescent="0.3">
      <c r="C6" s="89"/>
      <c r="D6" s="89"/>
      <c r="E6" s="89"/>
      <c r="F6" s="89"/>
    </row>
    <row r="7" spans="2:14" s="1" customFormat="1" ht="15.75" x14ac:dyDescent="0.25">
      <c r="B7" s="102"/>
      <c r="C7" s="103"/>
      <c r="D7" s="103"/>
      <c r="E7" s="103"/>
      <c r="F7" s="103"/>
      <c r="G7" s="104"/>
      <c r="H7" s="104"/>
      <c r="I7" s="104"/>
      <c r="J7" s="104"/>
      <c r="K7" s="104"/>
      <c r="L7" s="105"/>
    </row>
    <row r="8" spans="2:14" s="1" customFormat="1" ht="21" x14ac:dyDescent="0.25">
      <c r="B8" s="106"/>
      <c r="C8" s="165" t="s">
        <v>23</v>
      </c>
      <c r="D8" s="165"/>
      <c r="E8" s="165"/>
      <c r="F8" s="165"/>
      <c r="G8" s="165"/>
      <c r="H8" s="165"/>
      <c r="I8" s="165"/>
      <c r="J8" s="165"/>
      <c r="K8" s="165"/>
      <c r="L8" s="107"/>
    </row>
    <row r="9" spans="2:14" ht="15.75" thickBot="1" x14ac:dyDescent="0.3">
      <c r="B9" s="106"/>
      <c r="C9" s="91"/>
      <c r="D9" s="91"/>
      <c r="E9" s="91"/>
      <c r="F9" s="91"/>
      <c r="G9" s="91"/>
      <c r="H9" s="91"/>
      <c r="I9" s="91"/>
      <c r="J9" s="91"/>
      <c r="K9" s="91"/>
      <c r="L9" s="107"/>
    </row>
    <row r="10" spans="2:14" ht="18.75" customHeight="1" x14ac:dyDescent="0.25">
      <c r="B10" s="106"/>
      <c r="C10" s="153" t="s">
        <v>56</v>
      </c>
      <c r="D10" s="154"/>
      <c r="E10" s="154"/>
      <c r="F10" s="154"/>
      <c r="G10" s="154"/>
      <c r="H10" s="154"/>
      <c r="I10" s="154"/>
      <c r="J10" s="154"/>
      <c r="K10" s="155"/>
      <c r="L10" s="107"/>
    </row>
    <row r="11" spans="2:14" ht="18.75" customHeight="1" x14ac:dyDescent="0.25">
      <c r="B11" s="106"/>
      <c r="C11" s="156"/>
      <c r="D11" s="157"/>
      <c r="E11" s="157"/>
      <c r="F11" s="158"/>
      <c r="G11" s="37" t="s">
        <v>2</v>
      </c>
      <c r="H11" s="38" t="s">
        <v>3</v>
      </c>
      <c r="I11" s="39" t="s">
        <v>4</v>
      </c>
      <c r="J11" s="47" t="s">
        <v>5</v>
      </c>
      <c r="K11" s="49" t="s">
        <v>6</v>
      </c>
      <c r="L11" s="107"/>
    </row>
    <row r="12" spans="2:14" ht="16.5" customHeight="1" x14ac:dyDescent="0.25">
      <c r="B12" s="106"/>
      <c r="C12" s="33"/>
      <c r="D12" s="32"/>
      <c r="E12" s="32"/>
      <c r="F12" s="34"/>
      <c r="G12" s="7" t="s">
        <v>1</v>
      </c>
      <c r="H12" s="8" t="s">
        <v>1</v>
      </c>
      <c r="I12" s="8" t="s">
        <v>1</v>
      </c>
      <c r="J12" s="46" t="s">
        <v>1</v>
      </c>
      <c r="K12" s="54" t="s">
        <v>1</v>
      </c>
      <c r="L12" s="107"/>
    </row>
    <row r="13" spans="2:14" ht="15.75" customHeight="1" x14ac:dyDescent="0.25">
      <c r="B13" s="106"/>
      <c r="C13" s="148" t="s">
        <v>44</v>
      </c>
      <c r="D13" s="149"/>
      <c r="E13" s="149"/>
      <c r="F13" s="149"/>
      <c r="G13" s="19">
        <v>147882</v>
      </c>
      <c r="H13" s="20">
        <v>135466</v>
      </c>
      <c r="I13" s="21">
        <f>160570+(1000*1.035)</f>
        <v>161605</v>
      </c>
      <c r="J13" s="20">
        <v>193207</v>
      </c>
      <c r="K13" s="51"/>
      <c r="L13" s="107"/>
      <c r="N13" s="1"/>
    </row>
    <row r="14" spans="2:14" ht="15.75" customHeight="1" x14ac:dyDescent="0.25">
      <c r="B14" s="106"/>
      <c r="C14" s="159" t="s">
        <v>7</v>
      </c>
      <c r="D14" s="160"/>
      <c r="E14" s="160"/>
      <c r="F14" s="161"/>
      <c r="G14" s="26">
        <f>G13*1.0877*1.0877*1.0877</f>
        <v>190301.71451694024</v>
      </c>
      <c r="H14" s="27">
        <f>H13*1.0877*1.0877</f>
        <v>160268.64469113998</v>
      </c>
      <c r="I14" s="28">
        <f>I13*1.0877</f>
        <v>175777.7585</v>
      </c>
      <c r="J14" s="27">
        <f>J13</f>
        <v>193207</v>
      </c>
      <c r="K14" s="62">
        <f>G14+H14+I14+J14</f>
        <v>719555.11770808022</v>
      </c>
      <c r="L14" s="107"/>
      <c r="N14" s="1"/>
    </row>
    <row r="15" spans="2:14" ht="15.75" customHeight="1" x14ac:dyDescent="0.25">
      <c r="B15" s="106"/>
      <c r="C15" s="148" t="s">
        <v>46</v>
      </c>
      <c r="D15" s="149"/>
      <c r="E15" s="149"/>
      <c r="F15" s="150"/>
      <c r="G15" s="22">
        <f>136155*1.035</f>
        <v>140920.42499999999</v>
      </c>
      <c r="H15" s="23">
        <f>124988*1.035</f>
        <v>129362.57999999999</v>
      </c>
      <c r="I15" s="23">
        <f>136363*1.035</f>
        <v>141135.70499999999</v>
      </c>
      <c r="J15" s="18">
        <f>139113*1.035</f>
        <v>143981.95499999999</v>
      </c>
      <c r="K15" s="52"/>
      <c r="L15" s="107"/>
      <c r="N15" s="1"/>
    </row>
    <row r="16" spans="2:14" ht="16.5" customHeight="1" x14ac:dyDescent="0.25">
      <c r="B16" s="106"/>
      <c r="C16" s="159" t="s">
        <v>8</v>
      </c>
      <c r="D16" s="160"/>
      <c r="E16" s="160"/>
      <c r="F16" s="161"/>
      <c r="G16" s="128">
        <f>G15*1.0877*1.0877*1.0877</f>
        <v>181343.22289363062</v>
      </c>
      <c r="H16" s="129">
        <f>H15*1.0877*1.0877</f>
        <v>153047.74164992815</v>
      </c>
      <c r="I16" s="130">
        <f>I15*1.0877</f>
        <v>153513.30632849998</v>
      </c>
      <c r="J16" s="129">
        <f>J15</f>
        <v>143981.95499999999</v>
      </c>
      <c r="K16" s="60">
        <f>G16+H16+I16+J16</f>
        <v>631886.22587205877</v>
      </c>
      <c r="L16" s="107"/>
      <c r="N16" s="1"/>
    </row>
    <row r="17" spans="2:14" ht="16.5" customHeight="1" x14ac:dyDescent="0.25">
      <c r="B17" s="106"/>
      <c r="C17" s="148" t="s">
        <v>50</v>
      </c>
      <c r="D17" s="149"/>
      <c r="E17" s="149"/>
      <c r="F17" s="150"/>
      <c r="G17" s="24"/>
      <c r="H17" s="65"/>
      <c r="I17" s="65"/>
      <c r="J17" s="66"/>
      <c r="K17" s="131">
        <f>K14-K16</f>
        <v>87668.891836021445</v>
      </c>
      <c r="L17" s="107"/>
      <c r="N17" s="1"/>
    </row>
    <row r="18" spans="2:14" ht="15.75" thickBot="1" x14ac:dyDescent="0.3">
      <c r="B18" s="106"/>
      <c r="C18" s="3"/>
      <c r="D18" s="4"/>
      <c r="E18" s="4"/>
      <c r="F18" s="4"/>
      <c r="G18" s="6"/>
      <c r="H18" s="5"/>
      <c r="I18" s="5"/>
      <c r="J18" s="4"/>
      <c r="K18" s="50"/>
      <c r="L18" s="107"/>
      <c r="N18" s="1"/>
    </row>
    <row r="19" spans="2:14" ht="15.75" thickBot="1" x14ac:dyDescent="0.3">
      <c r="B19" s="106"/>
      <c r="C19" s="91"/>
      <c r="D19" s="91"/>
      <c r="E19" s="91"/>
      <c r="F19" s="91"/>
      <c r="G19" s="91"/>
      <c r="H19" s="91"/>
      <c r="I19" s="91"/>
      <c r="J19" s="91"/>
      <c r="K19" s="91"/>
      <c r="L19" s="107"/>
      <c r="N19" s="1"/>
    </row>
    <row r="20" spans="2:14" ht="18.75" x14ac:dyDescent="0.25">
      <c r="B20" s="106"/>
      <c r="C20" s="153" t="s">
        <v>15</v>
      </c>
      <c r="D20" s="154"/>
      <c r="E20" s="154"/>
      <c r="F20" s="154"/>
      <c r="G20" s="154"/>
      <c r="H20" s="154"/>
      <c r="I20" s="154"/>
      <c r="J20" s="154"/>
      <c r="K20" s="155"/>
      <c r="L20" s="107"/>
      <c r="N20" s="1"/>
    </row>
    <row r="21" spans="2:14" ht="18.75" x14ac:dyDescent="0.25">
      <c r="B21" s="106"/>
      <c r="C21" s="156"/>
      <c r="D21" s="157"/>
      <c r="E21" s="157"/>
      <c r="F21" s="158"/>
      <c r="G21" s="37" t="s">
        <v>2</v>
      </c>
      <c r="H21" s="38" t="s">
        <v>3</v>
      </c>
      <c r="I21" s="39" t="s">
        <v>4</v>
      </c>
      <c r="J21" s="47" t="s">
        <v>5</v>
      </c>
      <c r="K21" s="49" t="s">
        <v>6</v>
      </c>
      <c r="L21" s="107"/>
      <c r="N21" s="1"/>
    </row>
    <row r="22" spans="2:14" ht="15.75" x14ac:dyDescent="0.25">
      <c r="B22" s="106"/>
      <c r="C22" s="33"/>
      <c r="D22" s="32"/>
      <c r="E22" s="32"/>
      <c r="F22" s="34"/>
      <c r="G22" s="7" t="s">
        <v>1</v>
      </c>
      <c r="H22" s="8" t="s">
        <v>1</v>
      </c>
      <c r="I22" s="8" t="s">
        <v>1</v>
      </c>
      <c r="J22" s="46" t="s">
        <v>1</v>
      </c>
      <c r="K22" s="54" t="s">
        <v>1</v>
      </c>
      <c r="L22" s="107"/>
      <c r="N22" s="1"/>
    </row>
    <row r="23" spans="2:14" ht="15.75" x14ac:dyDescent="0.25">
      <c r="B23" s="106"/>
      <c r="C23" s="148" t="s">
        <v>44</v>
      </c>
      <c r="D23" s="149"/>
      <c r="E23" s="149"/>
      <c r="F23" s="149"/>
      <c r="G23" s="144">
        <f>$G$13</f>
        <v>147882</v>
      </c>
      <c r="H23" s="145">
        <f>+$H$13</f>
        <v>135466</v>
      </c>
      <c r="I23" s="146">
        <f>$I$13</f>
        <v>161605</v>
      </c>
      <c r="J23" s="145">
        <f>$J$13</f>
        <v>193207</v>
      </c>
      <c r="K23" s="52"/>
      <c r="L23" s="107"/>
      <c r="N23" s="1"/>
    </row>
    <row r="24" spans="2:14" ht="15.75" x14ac:dyDescent="0.25">
      <c r="B24" s="106"/>
      <c r="C24" s="159" t="s">
        <v>7</v>
      </c>
      <c r="D24" s="160"/>
      <c r="E24" s="160"/>
      <c r="F24" s="161"/>
      <c r="G24" s="26">
        <f>G23*1.0877*1.0877*1.0877</f>
        <v>190301.71451694024</v>
      </c>
      <c r="H24" s="27">
        <f>H23*1.0877*1.0877</f>
        <v>160268.64469113998</v>
      </c>
      <c r="I24" s="28">
        <f>I23*1.0877</f>
        <v>175777.7585</v>
      </c>
      <c r="J24" s="27">
        <f>J23</f>
        <v>193207</v>
      </c>
      <c r="K24" s="62">
        <f>G24+H24+I24+J24</f>
        <v>719555.11770808022</v>
      </c>
      <c r="L24" s="107"/>
      <c r="N24" s="1"/>
    </row>
    <row r="25" spans="2:14" ht="15.75" x14ac:dyDescent="0.25">
      <c r="B25" s="106"/>
      <c r="C25" s="163" t="s">
        <v>63</v>
      </c>
      <c r="D25" s="164"/>
      <c r="E25" s="164"/>
      <c r="F25" s="164"/>
      <c r="G25" s="43">
        <f>135900*1.035</f>
        <v>140656.5</v>
      </c>
      <c r="H25" s="44">
        <f>141300*1.035</f>
        <v>146245.5</v>
      </c>
      <c r="I25" s="45">
        <f>147800*1.035</f>
        <v>152973</v>
      </c>
      <c r="J25" s="44">
        <f>149300*1.035</f>
        <v>154525.5</v>
      </c>
      <c r="K25" s="51"/>
      <c r="L25" s="107"/>
      <c r="N25" s="1"/>
    </row>
    <row r="26" spans="2:14" ht="15.75" x14ac:dyDescent="0.25">
      <c r="B26" s="106"/>
      <c r="C26" s="159" t="s">
        <v>10</v>
      </c>
      <c r="D26" s="160"/>
      <c r="E26" s="160"/>
      <c r="F26" s="161"/>
      <c r="G26" s="75">
        <f>G25*1.0877*1.0877*1.0877</f>
        <v>181003.59143068126</v>
      </c>
      <c r="H26" s="76">
        <f>H25*1.0877*1.0877</f>
        <v>173021.77725169499</v>
      </c>
      <c r="I26" s="77">
        <f>I25*1.0877</f>
        <v>166388.73209999999</v>
      </c>
      <c r="J26" s="78">
        <f>J25</f>
        <v>154525.5</v>
      </c>
      <c r="K26" s="79">
        <f t="shared" ref="K26" si="0">G26+H26+I26+J26</f>
        <v>674939.60078237625</v>
      </c>
      <c r="L26" s="107"/>
    </row>
    <row r="27" spans="2:14" ht="15.75" x14ac:dyDescent="0.25">
      <c r="B27" s="106"/>
      <c r="C27" s="148" t="s">
        <v>36</v>
      </c>
      <c r="D27" s="149"/>
      <c r="E27" s="149"/>
      <c r="F27" s="149"/>
      <c r="G27" s="80"/>
      <c r="H27" s="81"/>
      <c r="I27" s="82"/>
      <c r="J27" s="83"/>
      <c r="K27" s="131">
        <f>K24-K26</f>
        <v>44615.516925703967</v>
      </c>
      <c r="L27" s="107"/>
    </row>
    <row r="28" spans="2:14" ht="15.75" thickBot="1" x14ac:dyDescent="0.3">
      <c r="B28" s="106"/>
      <c r="C28" s="3"/>
      <c r="D28" s="4"/>
      <c r="E28" s="4"/>
      <c r="F28" s="4"/>
      <c r="G28" s="6"/>
      <c r="H28" s="5"/>
      <c r="I28" s="5"/>
      <c r="J28" s="4"/>
      <c r="K28" s="55"/>
      <c r="L28" s="107"/>
    </row>
    <row r="29" spans="2:14" ht="15.75" thickBot="1" x14ac:dyDescent="0.3">
      <c r="B29" s="106"/>
      <c r="C29" s="2"/>
      <c r="D29" s="2"/>
      <c r="E29" s="2"/>
      <c r="F29" s="2"/>
      <c r="G29" s="2"/>
      <c r="H29" s="2"/>
      <c r="I29" s="2"/>
      <c r="J29" s="2"/>
      <c r="K29" s="63"/>
      <c r="L29" s="107"/>
    </row>
    <row r="30" spans="2:14" ht="18.75" x14ac:dyDescent="0.25">
      <c r="B30" s="106"/>
      <c r="C30" s="153" t="s">
        <v>16</v>
      </c>
      <c r="D30" s="154"/>
      <c r="E30" s="154"/>
      <c r="F30" s="154"/>
      <c r="G30" s="154"/>
      <c r="H30" s="154"/>
      <c r="I30" s="154"/>
      <c r="J30" s="154"/>
      <c r="K30" s="155"/>
      <c r="L30" s="107"/>
    </row>
    <row r="31" spans="2:14" ht="18.75" x14ac:dyDescent="0.25">
      <c r="B31" s="106"/>
      <c r="C31" s="156"/>
      <c r="D31" s="157"/>
      <c r="E31" s="157"/>
      <c r="F31" s="158"/>
      <c r="G31" s="37" t="s">
        <v>2</v>
      </c>
      <c r="H31" s="38" t="s">
        <v>3</v>
      </c>
      <c r="I31" s="39" t="s">
        <v>4</v>
      </c>
      <c r="J31" s="47" t="s">
        <v>5</v>
      </c>
      <c r="K31" s="53" t="s">
        <v>6</v>
      </c>
      <c r="L31" s="107"/>
    </row>
    <row r="32" spans="2:14" ht="15.75" x14ac:dyDescent="0.25">
      <c r="B32" s="106"/>
      <c r="C32" s="33"/>
      <c r="D32" s="32"/>
      <c r="E32" s="32"/>
      <c r="F32" s="34"/>
      <c r="G32" s="56" t="s">
        <v>1</v>
      </c>
      <c r="H32" s="40" t="s">
        <v>1</v>
      </c>
      <c r="I32" s="40" t="s">
        <v>1</v>
      </c>
      <c r="J32" s="57" t="s">
        <v>1</v>
      </c>
      <c r="K32" s="54" t="s">
        <v>1</v>
      </c>
      <c r="L32" s="107"/>
    </row>
    <row r="33" spans="2:12" ht="15.75" x14ac:dyDescent="0.25">
      <c r="B33" s="106"/>
      <c r="C33" s="163" t="s">
        <v>64</v>
      </c>
      <c r="D33" s="164"/>
      <c r="E33" s="164"/>
      <c r="F33" s="164"/>
      <c r="G33" s="141">
        <f>$G$25</f>
        <v>140656.5</v>
      </c>
      <c r="H33" s="142">
        <f>$H$25</f>
        <v>146245.5</v>
      </c>
      <c r="I33" s="143">
        <f>$I$25</f>
        <v>152973</v>
      </c>
      <c r="J33" s="142">
        <f>$J$25</f>
        <v>154525.5</v>
      </c>
      <c r="K33" s="52"/>
      <c r="L33" s="107"/>
    </row>
    <row r="34" spans="2:12" ht="15.75" x14ac:dyDescent="0.25">
      <c r="B34" s="106"/>
      <c r="C34" s="159" t="s">
        <v>10</v>
      </c>
      <c r="D34" s="160"/>
      <c r="E34" s="160"/>
      <c r="F34" s="161"/>
      <c r="G34" s="26">
        <f>G33*1.0877*1.0877*1.0877</f>
        <v>181003.59143068126</v>
      </c>
      <c r="H34" s="27">
        <f>H33*1.0877*1.0877</f>
        <v>173021.77725169499</v>
      </c>
      <c r="I34" s="28">
        <f>I33*1.0877</f>
        <v>166388.73209999999</v>
      </c>
      <c r="J34" s="61">
        <f>J33</f>
        <v>154525.5</v>
      </c>
      <c r="K34" s="62">
        <f t="shared" ref="K34" si="1">G34+H34+I34+J34</f>
        <v>674939.60078237625</v>
      </c>
      <c r="L34" s="107"/>
    </row>
    <row r="35" spans="2:12" ht="15.75" x14ac:dyDescent="0.25">
      <c r="B35" s="106"/>
      <c r="C35" s="148" t="s">
        <v>46</v>
      </c>
      <c r="D35" s="149"/>
      <c r="E35" s="149"/>
      <c r="F35" s="150"/>
      <c r="G35" s="141">
        <f>$G$15</f>
        <v>140920.42499999999</v>
      </c>
      <c r="H35" s="142">
        <f>$H$15</f>
        <v>129362.57999999999</v>
      </c>
      <c r="I35" s="143">
        <f>$I$15</f>
        <v>141135.70499999999</v>
      </c>
      <c r="J35" s="142">
        <f>$J$15</f>
        <v>143981.95499999999</v>
      </c>
      <c r="K35" s="69"/>
      <c r="L35" s="107"/>
    </row>
    <row r="36" spans="2:12" ht="15.75" x14ac:dyDescent="0.25">
      <c r="B36" s="106"/>
      <c r="C36" s="159" t="s">
        <v>8</v>
      </c>
      <c r="D36" s="160"/>
      <c r="E36" s="160"/>
      <c r="F36" s="161"/>
      <c r="G36" s="26">
        <f>G35*1.0877*1.0877*1.0877</f>
        <v>181343.22289363062</v>
      </c>
      <c r="H36" s="27">
        <f>H35*1.0877*1.0877</f>
        <v>153047.74164992815</v>
      </c>
      <c r="I36" s="28">
        <f>I35*1.0877</f>
        <v>153513.30632849998</v>
      </c>
      <c r="J36" s="27">
        <f>J35</f>
        <v>143981.95499999999</v>
      </c>
      <c r="K36" s="60">
        <f>G36+H36+I36+J36</f>
        <v>631886.22587205877</v>
      </c>
      <c r="L36" s="107"/>
    </row>
    <row r="37" spans="2:12" ht="15.75" x14ac:dyDescent="0.25">
      <c r="B37" s="106"/>
      <c r="C37" s="148" t="s">
        <v>37</v>
      </c>
      <c r="D37" s="149"/>
      <c r="E37" s="149"/>
      <c r="F37" s="149"/>
      <c r="G37" s="80"/>
      <c r="H37" s="81"/>
      <c r="I37" s="82"/>
      <c r="J37" s="83"/>
      <c r="K37" s="131">
        <f>K34-K36</f>
        <v>43053.374910317478</v>
      </c>
      <c r="L37" s="107"/>
    </row>
    <row r="38" spans="2:12" ht="15.75" thickBot="1" x14ac:dyDescent="0.3">
      <c r="B38" s="106"/>
      <c r="C38" s="3"/>
      <c r="D38" s="4"/>
      <c r="E38" s="4"/>
      <c r="F38" s="4"/>
      <c r="G38" s="6"/>
      <c r="H38" s="5"/>
      <c r="I38" s="5"/>
      <c r="J38" s="4"/>
      <c r="K38" s="50"/>
      <c r="L38" s="107"/>
    </row>
    <row r="39" spans="2:12" s="1" customFormat="1" ht="15.75" thickBot="1" x14ac:dyDescent="0.3">
      <c r="B39" s="108"/>
      <c r="C39" s="109"/>
      <c r="D39" s="109"/>
      <c r="E39" s="109"/>
      <c r="F39" s="109"/>
      <c r="G39" s="109"/>
      <c r="H39" s="109"/>
      <c r="I39" s="109"/>
      <c r="J39" s="109"/>
      <c r="K39" s="109"/>
      <c r="L39" s="110"/>
    </row>
    <row r="40" spans="2:12" s="1" customFormat="1" ht="15.75" thickBot="1" x14ac:dyDescent="0.3">
      <c r="C40" s="2"/>
      <c r="D40" s="2"/>
      <c r="E40" s="2"/>
      <c r="F40" s="2"/>
      <c r="G40" s="2"/>
      <c r="H40" s="2"/>
      <c r="I40" s="2"/>
      <c r="J40" s="2"/>
      <c r="K40" s="2"/>
    </row>
    <row r="41" spans="2:12" s="1" customFormat="1" x14ac:dyDescent="0.25">
      <c r="B41" s="102"/>
      <c r="C41" s="111"/>
      <c r="D41" s="111"/>
      <c r="E41" s="111"/>
      <c r="F41" s="111"/>
      <c r="G41" s="111"/>
      <c r="H41" s="111"/>
      <c r="I41" s="111"/>
      <c r="J41" s="111"/>
      <c r="K41" s="111"/>
      <c r="L41" s="105"/>
    </row>
    <row r="42" spans="2:12" s="1" customFormat="1" ht="21" x14ac:dyDescent="0.25">
      <c r="B42" s="106"/>
      <c r="C42" s="165" t="s">
        <v>22</v>
      </c>
      <c r="D42" s="165"/>
      <c r="E42" s="165"/>
      <c r="F42" s="165"/>
      <c r="G42" s="165"/>
      <c r="H42" s="165"/>
      <c r="I42" s="165"/>
      <c r="J42" s="165"/>
      <c r="K42" s="165"/>
      <c r="L42" s="107"/>
    </row>
    <row r="43" spans="2:12" s="1" customFormat="1" ht="15.75" thickBot="1" x14ac:dyDescent="0.3">
      <c r="B43" s="106"/>
      <c r="C43" s="2"/>
      <c r="D43" s="2"/>
      <c r="E43" s="2"/>
      <c r="F43" s="2"/>
      <c r="G43" s="2"/>
      <c r="H43" s="2"/>
      <c r="I43" s="2"/>
      <c r="J43" s="2"/>
      <c r="K43" s="2"/>
      <c r="L43" s="107"/>
    </row>
    <row r="44" spans="2:12" s="1" customFormat="1" ht="18.75" x14ac:dyDescent="0.25">
      <c r="B44" s="106"/>
      <c r="C44" s="153" t="s">
        <v>28</v>
      </c>
      <c r="D44" s="154"/>
      <c r="E44" s="154"/>
      <c r="F44" s="154"/>
      <c r="G44" s="154"/>
      <c r="H44" s="154"/>
      <c r="I44" s="154"/>
      <c r="J44" s="154"/>
      <c r="K44" s="155"/>
      <c r="L44" s="107"/>
    </row>
    <row r="45" spans="2:12" s="1" customFormat="1" ht="18.75" x14ac:dyDescent="0.25">
      <c r="B45" s="106"/>
      <c r="C45" s="156"/>
      <c r="D45" s="157"/>
      <c r="E45" s="157"/>
      <c r="F45" s="158"/>
      <c r="G45" s="37" t="s">
        <v>2</v>
      </c>
      <c r="H45" s="38" t="s">
        <v>3</v>
      </c>
      <c r="I45" s="39" t="s">
        <v>4</v>
      </c>
      <c r="J45" s="47" t="s">
        <v>5</v>
      </c>
      <c r="K45" s="49" t="s">
        <v>6</v>
      </c>
      <c r="L45" s="107"/>
    </row>
    <row r="46" spans="2:12" s="1" customFormat="1" ht="15.75" x14ac:dyDescent="0.25">
      <c r="B46" s="106"/>
      <c r="C46" s="33"/>
      <c r="D46" s="32"/>
      <c r="E46" s="32"/>
      <c r="F46" s="34"/>
      <c r="G46" s="7" t="s">
        <v>1</v>
      </c>
      <c r="H46" s="8" t="s">
        <v>1</v>
      </c>
      <c r="I46" s="8" t="s">
        <v>1</v>
      </c>
      <c r="J46" s="46" t="s">
        <v>1</v>
      </c>
      <c r="K46" s="54" t="s">
        <v>1</v>
      </c>
      <c r="L46" s="107"/>
    </row>
    <row r="47" spans="2:12" s="1" customFormat="1" ht="15.75" x14ac:dyDescent="0.25">
      <c r="B47" s="106"/>
      <c r="C47" s="148" t="s">
        <v>44</v>
      </c>
      <c r="D47" s="149"/>
      <c r="E47" s="149"/>
      <c r="F47" s="149"/>
      <c r="G47" s="19">
        <v>147882</v>
      </c>
      <c r="H47" s="20">
        <v>135466</v>
      </c>
      <c r="I47" s="21">
        <f>I13</f>
        <v>161605</v>
      </c>
      <c r="J47" s="20">
        <v>193207</v>
      </c>
      <c r="K47" s="51"/>
      <c r="L47" s="107"/>
    </row>
    <row r="48" spans="2:12" s="1" customFormat="1" ht="15.75" x14ac:dyDescent="0.25">
      <c r="B48" s="106"/>
      <c r="C48" s="159" t="s">
        <v>7</v>
      </c>
      <c r="D48" s="160"/>
      <c r="E48" s="160"/>
      <c r="F48" s="161"/>
      <c r="G48" s="26">
        <f>G47*1.0877*1.0877*1.0877</f>
        <v>190301.71451694024</v>
      </c>
      <c r="H48" s="27">
        <f>H47*1.0877*1.0877</f>
        <v>160268.64469113998</v>
      </c>
      <c r="I48" s="28">
        <f>I47*1.0877</f>
        <v>175777.7585</v>
      </c>
      <c r="J48" s="27">
        <f>J47</f>
        <v>193207</v>
      </c>
      <c r="K48" s="62">
        <f>G48+H48+I48+J48</f>
        <v>719555.11770808022</v>
      </c>
      <c r="L48" s="107"/>
    </row>
    <row r="49" spans="2:12" s="1" customFormat="1" ht="15.75" x14ac:dyDescent="0.25">
      <c r="B49" s="106"/>
      <c r="C49" s="148" t="s">
        <v>13</v>
      </c>
      <c r="D49" s="149"/>
      <c r="E49" s="149"/>
      <c r="F49" s="150"/>
      <c r="G49" s="22">
        <f>136155*1.035</f>
        <v>140920.42499999999</v>
      </c>
      <c r="H49" s="23">
        <f>124988*1.035</f>
        <v>129362.57999999999</v>
      </c>
      <c r="I49" s="23">
        <f>136363*1.035</f>
        <v>141135.70499999999</v>
      </c>
      <c r="J49" s="18">
        <f>139113*1.035</f>
        <v>143981.95499999999</v>
      </c>
      <c r="K49" s="52"/>
      <c r="L49" s="107"/>
    </row>
    <row r="50" spans="2:12" s="1" customFormat="1" ht="15.75" x14ac:dyDescent="0.25">
      <c r="B50" s="106"/>
      <c r="C50" s="166" t="s">
        <v>12</v>
      </c>
      <c r="D50" s="167"/>
      <c r="E50" s="167"/>
      <c r="F50" s="168"/>
      <c r="G50" s="43">
        <v>0</v>
      </c>
      <c r="H50" s="44">
        <v>0</v>
      </c>
      <c r="I50" s="45">
        <v>-4900</v>
      </c>
      <c r="J50" s="44">
        <v>0</v>
      </c>
      <c r="K50" s="51"/>
      <c r="L50" s="107"/>
    </row>
    <row r="51" spans="2:12" s="1" customFormat="1" ht="15.75" x14ac:dyDescent="0.25">
      <c r="B51" s="106"/>
      <c r="C51" s="148" t="s">
        <v>30</v>
      </c>
      <c r="D51" s="149"/>
      <c r="E51" s="149"/>
      <c r="F51" s="150"/>
      <c r="G51" s="22">
        <f>G49+G50</f>
        <v>140920.42499999999</v>
      </c>
      <c r="H51" s="18">
        <f>H49+H50</f>
        <v>129362.57999999999</v>
      </c>
      <c r="I51" s="23">
        <f>I49+I50</f>
        <v>136235.70499999999</v>
      </c>
      <c r="J51" s="18">
        <f>J49+J50</f>
        <v>143981.95499999999</v>
      </c>
      <c r="K51" s="52"/>
      <c r="L51" s="107"/>
    </row>
    <row r="52" spans="2:12" s="1" customFormat="1" ht="15.75" x14ac:dyDescent="0.25">
      <c r="B52" s="106"/>
      <c r="C52" s="159" t="s">
        <v>17</v>
      </c>
      <c r="D52" s="160"/>
      <c r="E52" s="160"/>
      <c r="F52" s="161"/>
      <c r="G52" s="26">
        <f>G51*1.0877*1.0877*1.0877</f>
        <v>181343.22289363062</v>
      </c>
      <c r="H52" s="27">
        <f>H51*1.0877*1.0877</f>
        <v>153047.74164992815</v>
      </c>
      <c r="I52" s="28">
        <f>I51*1.0877</f>
        <v>148183.57632849997</v>
      </c>
      <c r="J52" s="27">
        <f>J51</f>
        <v>143981.95499999999</v>
      </c>
      <c r="K52" s="62">
        <f>G52+H52+I52+J52</f>
        <v>626556.49587205867</v>
      </c>
      <c r="L52" s="107"/>
    </row>
    <row r="53" spans="2:12" s="1" customFormat="1" ht="15.75" x14ac:dyDescent="0.25">
      <c r="B53" s="106"/>
      <c r="C53" s="148" t="s">
        <v>51</v>
      </c>
      <c r="D53" s="149"/>
      <c r="E53" s="149"/>
      <c r="F53" s="149"/>
      <c r="G53" s="24"/>
      <c r="H53" s="65"/>
      <c r="I53" s="65"/>
      <c r="J53" s="66"/>
      <c r="K53" s="131">
        <f>K48-K52</f>
        <v>92998.621836021543</v>
      </c>
      <c r="L53" s="107"/>
    </row>
    <row r="54" spans="2:12" s="1" customFormat="1" ht="15.75" thickBot="1" x14ac:dyDescent="0.3">
      <c r="B54" s="106"/>
      <c r="C54" s="3"/>
      <c r="D54" s="4"/>
      <c r="E54" s="4"/>
      <c r="F54" s="4"/>
      <c r="G54" s="6"/>
      <c r="H54" s="5"/>
      <c r="I54" s="5"/>
      <c r="J54" s="4"/>
      <c r="K54" s="50"/>
      <c r="L54" s="107"/>
    </row>
    <row r="55" spans="2:12" s="1" customFormat="1" ht="15.75" thickBot="1" x14ac:dyDescent="0.3">
      <c r="B55" s="106"/>
      <c r="C55" s="2"/>
      <c r="D55" s="2"/>
      <c r="E55" s="2"/>
      <c r="F55" s="2"/>
      <c r="G55" s="2"/>
      <c r="H55" s="2"/>
      <c r="I55" s="2"/>
      <c r="J55" s="2"/>
      <c r="K55" s="2"/>
      <c r="L55" s="107"/>
    </row>
    <row r="56" spans="2:12" s="1" customFormat="1" ht="18.75" x14ac:dyDescent="0.25">
      <c r="B56" s="106"/>
      <c r="C56" s="153" t="s">
        <v>24</v>
      </c>
      <c r="D56" s="154"/>
      <c r="E56" s="154"/>
      <c r="F56" s="154"/>
      <c r="G56" s="154"/>
      <c r="H56" s="154"/>
      <c r="I56" s="154"/>
      <c r="J56" s="154"/>
      <c r="K56" s="155"/>
      <c r="L56" s="107"/>
    </row>
    <row r="57" spans="2:12" s="1" customFormat="1" ht="18.75" x14ac:dyDescent="0.25">
      <c r="B57" s="106"/>
      <c r="C57" s="156"/>
      <c r="D57" s="157"/>
      <c r="E57" s="157"/>
      <c r="F57" s="158"/>
      <c r="G57" s="37" t="s">
        <v>2</v>
      </c>
      <c r="H57" s="38" t="s">
        <v>3</v>
      </c>
      <c r="I57" s="39" t="s">
        <v>4</v>
      </c>
      <c r="J57" s="47" t="s">
        <v>5</v>
      </c>
      <c r="K57" s="49" t="s">
        <v>6</v>
      </c>
      <c r="L57" s="107"/>
    </row>
    <row r="58" spans="2:12" s="1" customFormat="1" ht="15.75" x14ac:dyDescent="0.25">
      <c r="B58" s="106"/>
      <c r="C58" s="33"/>
      <c r="D58" s="32"/>
      <c r="E58" s="32"/>
      <c r="F58" s="34"/>
      <c r="G58" s="7" t="s">
        <v>1</v>
      </c>
      <c r="H58" s="8" t="s">
        <v>1</v>
      </c>
      <c r="I58" s="8" t="s">
        <v>1</v>
      </c>
      <c r="J58" s="46" t="s">
        <v>1</v>
      </c>
      <c r="K58" s="54" t="s">
        <v>1</v>
      </c>
      <c r="L58" s="107"/>
    </row>
    <row r="59" spans="2:12" s="1" customFormat="1" ht="15.75" x14ac:dyDescent="0.25">
      <c r="B59" s="106"/>
      <c r="C59" s="148" t="s">
        <v>44</v>
      </c>
      <c r="D59" s="149"/>
      <c r="E59" s="149"/>
      <c r="F59" s="149"/>
      <c r="G59" s="19">
        <f>$G$13</f>
        <v>147882</v>
      </c>
      <c r="H59" s="20">
        <f>+$H$13</f>
        <v>135466</v>
      </c>
      <c r="I59" s="21">
        <f>$I$13</f>
        <v>161605</v>
      </c>
      <c r="J59" s="20">
        <f>$J$13</f>
        <v>193207</v>
      </c>
      <c r="K59" s="52"/>
      <c r="L59" s="107"/>
    </row>
    <row r="60" spans="2:12" s="1" customFormat="1" ht="15.75" x14ac:dyDescent="0.25">
      <c r="B60" s="106"/>
      <c r="C60" s="159" t="s">
        <v>7</v>
      </c>
      <c r="D60" s="160"/>
      <c r="E60" s="160"/>
      <c r="F60" s="161"/>
      <c r="G60" s="26">
        <f>G59*1.0877*1.0877*1.0877</f>
        <v>190301.71451694024</v>
      </c>
      <c r="H60" s="27">
        <f>H59*1.0877*1.0877</f>
        <v>160268.64469113998</v>
      </c>
      <c r="I60" s="28">
        <f>I59*1.0877</f>
        <v>175777.7585</v>
      </c>
      <c r="J60" s="27">
        <f>J59</f>
        <v>193207</v>
      </c>
      <c r="K60" s="62">
        <f>G60+H60+I60+J60</f>
        <v>719555.11770808022</v>
      </c>
      <c r="L60" s="107"/>
    </row>
    <row r="61" spans="2:12" s="1" customFormat="1" ht="15.75" x14ac:dyDescent="0.25">
      <c r="B61" s="106"/>
      <c r="C61" s="163" t="s">
        <v>63</v>
      </c>
      <c r="D61" s="164"/>
      <c r="E61" s="164"/>
      <c r="F61" s="164"/>
      <c r="G61" s="15">
        <f>G25</f>
        <v>140656.5</v>
      </c>
      <c r="H61" s="16">
        <f>H25</f>
        <v>146245.5</v>
      </c>
      <c r="I61" s="17">
        <f>I25</f>
        <v>152973</v>
      </c>
      <c r="J61" s="16">
        <f>J25</f>
        <v>154525.5</v>
      </c>
      <c r="K61" s="51"/>
      <c r="L61" s="107"/>
    </row>
    <row r="62" spans="2:12" s="1" customFormat="1" ht="15.75" x14ac:dyDescent="0.25">
      <c r="B62" s="106"/>
      <c r="C62" s="159" t="s">
        <v>10</v>
      </c>
      <c r="D62" s="160"/>
      <c r="E62" s="160"/>
      <c r="F62" s="161"/>
      <c r="G62" s="75">
        <f>G61*1.0877*1.0877*1.0877</f>
        <v>181003.59143068126</v>
      </c>
      <c r="H62" s="76">
        <f>H61*1.0877*1.0877</f>
        <v>173021.77725169499</v>
      </c>
      <c r="I62" s="77">
        <f>I61*1.0877</f>
        <v>166388.73209999999</v>
      </c>
      <c r="J62" s="78">
        <f>J61</f>
        <v>154525.5</v>
      </c>
      <c r="K62" s="79">
        <f t="shared" ref="K62" si="2">G62+H62+I62+J62</f>
        <v>674939.60078237625</v>
      </c>
      <c r="L62" s="107"/>
    </row>
    <row r="63" spans="2:12" s="1" customFormat="1" ht="15.75" x14ac:dyDescent="0.25">
      <c r="B63" s="106"/>
      <c r="C63" s="148" t="s">
        <v>36</v>
      </c>
      <c r="D63" s="149"/>
      <c r="E63" s="149"/>
      <c r="F63" s="149"/>
      <c r="G63" s="80"/>
      <c r="H63" s="81"/>
      <c r="I63" s="82"/>
      <c r="J63" s="83"/>
      <c r="K63" s="131">
        <f>K60-K62</f>
        <v>44615.516925703967</v>
      </c>
      <c r="L63" s="107"/>
    </row>
    <row r="64" spans="2:12" s="1" customFormat="1" ht="15.75" thickBot="1" x14ac:dyDescent="0.3">
      <c r="B64" s="106"/>
      <c r="C64" s="3"/>
      <c r="D64" s="4"/>
      <c r="E64" s="4"/>
      <c r="F64" s="4"/>
      <c r="G64" s="6"/>
      <c r="H64" s="5"/>
      <c r="I64" s="5"/>
      <c r="J64" s="4"/>
      <c r="K64" s="55"/>
      <c r="L64" s="107"/>
    </row>
    <row r="65" spans="2:12" s="1" customFormat="1" ht="15.75" thickBot="1" x14ac:dyDescent="0.3">
      <c r="B65" s="106"/>
      <c r="C65" s="2"/>
      <c r="D65" s="2"/>
      <c r="E65" s="2"/>
      <c r="F65" s="2"/>
      <c r="G65" s="2"/>
      <c r="H65" s="2"/>
      <c r="I65" s="2"/>
      <c r="J65" s="2"/>
      <c r="K65" s="2"/>
      <c r="L65" s="107"/>
    </row>
    <row r="66" spans="2:12" s="1" customFormat="1" ht="18.75" x14ac:dyDescent="0.25">
      <c r="B66" s="106"/>
      <c r="C66" s="153" t="s">
        <v>26</v>
      </c>
      <c r="D66" s="154"/>
      <c r="E66" s="154"/>
      <c r="F66" s="154"/>
      <c r="G66" s="154"/>
      <c r="H66" s="154"/>
      <c r="I66" s="154"/>
      <c r="J66" s="154"/>
      <c r="K66" s="155"/>
      <c r="L66" s="107"/>
    </row>
    <row r="67" spans="2:12" s="1" customFormat="1" ht="18.75" x14ac:dyDescent="0.25">
      <c r="B67" s="106"/>
      <c r="C67" s="156"/>
      <c r="D67" s="157"/>
      <c r="E67" s="157"/>
      <c r="F67" s="158"/>
      <c r="G67" s="37" t="s">
        <v>2</v>
      </c>
      <c r="H67" s="38" t="s">
        <v>3</v>
      </c>
      <c r="I67" s="39" t="s">
        <v>4</v>
      </c>
      <c r="J67" s="47" t="s">
        <v>5</v>
      </c>
      <c r="K67" s="53" t="s">
        <v>6</v>
      </c>
      <c r="L67" s="107"/>
    </row>
    <row r="68" spans="2:12" s="1" customFormat="1" ht="15.75" x14ac:dyDescent="0.25">
      <c r="B68" s="106"/>
      <c r="C68" s="33"/>
      <c r="D68" s="32"/>
      <c r="E68" s="32"/>
      <c r="F68" s="34"/>
      <c r="G68" s="56" t="s">
        <v>1</v>
      </c>
      <c r="H68" s="40" t="s">
        <v>1</v>
      </c>
      <c r="I68" s="40" t="s">
        <v>1</v>
      </c>
      <c r="J68" s="57" t="s">
        <v>1</v>
      </c>
      <c r="K68" s="54" t="s">
        <v>1</v>
      </c>
      <c r="L68" s="107"/>
    </row>
    <row r="69" spans="2:12" s="1" customFormat="1" ht="15.75" x14ac:dyDescent="0.25">
      <c r="B69" s="106"/>
      <c r="C69" s="163" t="s">
        <v>63</v>
      </c>
      <c r="D69" s="164"/>
      <c r="E69" s="164"/>
      <c r="F69" s="164"/>
      <c r="G69" s="9">
        <f>$G$25</f>
        <v>140656.5</v>
      </c>
      <c r="H69" s="10">
        <f>$H$25</f>
        <v>146245.5</v>
      </c>
      <c r="I69" s="11">
        <f>$I$25</f>
        <v>152973</v>
      </c>
      <c r="J69" s="10">
        <f>$J$25</f>
        <v>154525.5</v>
      </c>
      <c r="K69" s="52"/>
      <c r="L69" s="107"/>
    </row>
    <row r="70" spans="2:12" s="1" customFormat="1" ht="15.75" x14ac:dyDescent="0.25">
      <c r="B70" s="106"/>
      <c r="C70" s="159" t="s">
        <v>10</v>
      </c>
      <c r="D70" s="160"/>
      <c r="E70" s="160"/>
      <c r="F70" s="161"/>
      <c r="G70" s="26">
        <f>G69*1.0877*1.0877*1.0877</f>
        <v>181003.59143068126</v>
      </c>
      <c r="H70" s="27">
        <f>H69*1.0877*1.0877</f>
        <v>173021.77725169499</v>
      </c>
      <c r="I70" s="28">
        <f>I69*1.0877</f>
        <v>166388.73209999999</v>
      </c>
      <c r="J70" s="61">
        <f>J69</f>
        <v>154525.5</v>
      </c>
      <c r="K70" s="62">
        <f t="shared" ref="K70" si="3">G70+H70+I70+J70</f>
        <v>674939.60078237625</v>
      </c>
      <c r="L70" s="107"/>
    </row>
    <row r="71" spans="2:12" s="1" customFormat="1" ht="15.75" x14ac:dyDescent="0.25">
      <c r="B71" s="106"/>
      <c r="C71" s="148" t="s">
        <v>35</v>
      </c>
      <c r="D71" s="149"/>
      <c r="E71" s="149"/>
      <c r="F71" s="150"/>
      <c r="G71" s="22">
        <f>G51</f>
        <v>140920.42499999999</v>
      </c>
      <c r="H71" s="18">
        <f>H51</f>
        <v>129362.57999999999</v>
      </c>
      <c r="I71" s="23">
        <f>I51</f>
        <v>136235.70499999999</v>
      </c>
      <c r="J71" s="18">
        <f>J51</f>
        <v>143981.95499999999</v>
      </c>
      <c r="K71" s="69"/>
      <c r="L71" s="107"/>
    </row>
    <row r="72" spans="2:12" s="1" customFormat="1" ht="15.75" x14ac:dyDescent="0.25">
      <c r="B72" s="106"/>
      <c r="C72" s="159" t="s">
        <v>33</v>
      </c>
      <c r="D72" s="160"/>
      <c r="E72" s="160"/>
      <c r="F72" s="161"/>
      <c r="G72" s="26">
        <f>G71*1.0877*1.0877*1.0877</f>
        <v>181343.22289363062</v>
      </c>
      <c r="H72" s="27">
        <f>H71*1.0877*1.0877</f>
        <v>153047.74164992815</v>
      </c>
      <c r="I72" s="28">
        <f>I71*1.0877</f>
        <v>148183.57632849997</v>
      </c>
      <c r="J72" s="27">
        <f>J71</f>
        <v>143981.95499999999</v>
      </c>
      <c r="K72" s="60">
        <f>G72+H72+I72+J72</f>
        <v>626556.49587205867</v>
      </c>
      <c r="L72" s="107"/>
    </row>
    <row r="73" spans="2:12" s="1" customFormat="1" ht="15.75" x14ac:dyDescent="0.25">
      <c r="B73" s="106"/>
      <c r="C73" s="148" t="s">
        <v>32</v>
      </c>
      <c r="D73" s="149"/>
      <c r="E73" s="149"/>
      <c r="F73" s="149"/>
      <c r="G73" s="80"/>
      <c r="H73" s="81"/>
      <c r="I73" s="82"/>
      <c r="J73" s="83"/>
      <c r="K73" s="131">
        <f>K70-K72</f>
        <v>48383.104910317576</v>
      </c>
      <c r="L73" s="107"/>
    </row>
    <row r="74" spans="2:12" s="1" customFormat="1" ht="15.75" thickBot="1" x14ac:dyDescent="0.3">
      <c r="B74" s="106"/>
      <c r="C74" s="3"/>
      <c r="D74" s="4"/>
      <c r="E74" s="4"/>
      <c r="F74" s="4"/>
      <c r="G74" s="6"/>
      <c r="H74" s="5"/>
      <c r="I74" s="5"/>
      <c r="J74" s="4"/>
      <c r="K74" s="50"/>
      <c r="L74" s="107"/>
    </row>
    <row r="75" spans="2:12" s="1" customFormat="1" ht="15.75" thickBot="1" x14ac:dyDescent="0.3">
      <c r="B75" s="108"/>
      <c r="C75" s="109"/>
      <c r="D75" s="109"/>
      <c r="E75" s="109"/>
      <c r="F75" s="109"/>
      <c r="G75" s="109"/>
      <c r="H75" s="109"/>
      <c r="I75" s="109"/>
      <c r="J75" s="109"/>
      <c r="K75" s="109"/>
      <c r="L75" s="110"/>
    </row>
    <row r="76" spans="2:12" s="1" customFormat="1" ht="15.75" thickBot="1" x14ac:dyDescent="0.3">
      <c r="C76" s="2"/>
      <c r="D76" s="2"/>
      <c r="E76" s="2"/>
      <c r="F76" s="2"/>
      <c r="G76" s="2"/>
      <c r="H76" s="2"/>
      <c r="I76" s="2"/>
      <c r="J76" s="2"/>
      <c r="K76" s="2"/>
    </row>
    <row r="77" spans="2:12" s="1" customFormat="1" x14ac:dyDescent="0.25">
      <c r="B77" s="102"/>
      <c r="C77" s="111"/>
      <c r="D77" s="111"/>
      <c r="E77" s="111"/>
      <c r="F77" s="111"/>
      <c r="G77" s="111"/>
      <c r="H77" s="111"/>
      <c r="I77" s="111"/>
      <c r="J77" s="111"/>
      <c r="K77" s="111"/>
      <c r="L77" s="105"/>
    </row>
    <row r="78" spans="2:12" s="1" customFormat="1" ht="21" x14ac:dyDescent="0.25">
      <c r="B78" s="106"/>
      <c r="C78" s="165" t="s">
        <v>25</v>
      </c>
      <c r="D78" s="165"/>
      <c r="E78" s="165"/>
      <c r="F78" s="165"/>
      <c r="G78" s="165"/>
      <c r="H78" s="165"/>
      <c r="I78" s="165"/>
      <c r="J78" s="165"/>
      <c r="K78" s="165"/>
      <c r="L78" s="107"/>
    </row>
    <row r="79" spans="2:12" s="1" customFormat="1" ht="15.75" customHeight="1" thickBot="1" x14ac:dyDescent="0.3">
      <c r="B79" s="106"/>
      <c r="C79" s="100"/>
      <c r="D79" s="100"/>
      <c r="E79" s="100"/>
      <c r="F79" s="100"/>
      <c r="G79" s="100"/>
      <c r="H79" s="100"/>
      <c r="I79" s="100"/>
      <c r="J79" s="100"/>
      <c r="K79" s="100"/>
      <c r="L79" s="107"/>
    </row>
    <row r="80" spans="2:12" s="1" customFormat="1" ht="18.75" x14ac:dyDescent="0.25">
      <c r="B80" s="106"/>
      <c r="C80" s="153" t="s">
        <v>29</v>
      </c>
      <c r="D80" s="154"/>
      <c r="E80" s="154"/>
      <c r="F80" s="154"/>
      <c r="G80" s="154"/>
      <c r="H80" s="154"/>
      <c r="I80" s="154"/>
      <c r="J80" s="154"/>
      <c r="K80" s="155"/>
      <c r="L80" s="107"/>
    </row>
    <row r="81" spans="2:14" s="1" customFormat="1" ht="18.75" x14ac:dyDescent="0.25">
      <c r="B81" s="106"/>
      <c r="C81" s="156"/>
      <c r="D81" s="157"/>
      <c r="E81" s="157"/>
      <c r="F81" s="158"/>
      <c r="G81" s="37" t="s">
        <v>2</v>
      </c>
      <c r="H81" s="38" t="s">
        <v>3</v>
      </c>
      <c r="I81" s="39" t="s">
        <v>4</v>
      </c>
      <c r="J81" s="47" t="s">
        <v>5</v>
      </c>
      <c r="K81" s="49" t="s">
        <v>6</v>
      </c>
      <c r="L81" s="107"/>
    </row>
    <row r="82" spans="2:14" s="1" customFormat="1" ht="15.75" x14ac:dyDescent="0.25">
      <c r="B82" s="106"/>
      <c r="C82" s="33"/>
      <c r="D82" s="32"/>
      <c r="E82" s="32"/>
      <c r="F82" s="34"/>
      <c r="G82" s="7" t="s">
        <v>1</v>
      </c>
      <c r="H82" s="8" t="s">
        <v>1</v>
      </c>
      <c r="I82" s="8" t="s">
        <v>1</v>
      </c>
      <c r="J82" s="46" t="s">
        <v>1</v>
      </c>
      <c r="K82" s="54" t="s">
        <v>1</v>
      </c>
      <c r="L82" s="107"/>
    </row>
    <row r="83" spans="2:14" s="1" customFormat="1" ht="15.75" x14ac:dyDescent="0.25">
      <c r="B83" s="106"/>
      <c r="C83" s="148" t="s">
        <v>49</v>
      </c>
      <c r="D83" s="149"/>
      <c r="E83" s="149"/>
      <c r="F83" s="149"/>
      <c r="G83" s="19">
        <f>G98</f>
        <v>147882</v>
      </c>
      <c r="H83" s="20">
        <f>H98</f>
        <v>135466</v>
      </c>
      <c r="I83" s="21">
        <f>I98</f>
        <v>152743.32999999999</v>
      </c>
      <c r="J83" s="20">
        <f>J98</f>
        <v>186914.2</v>
      </c>
      <c r="K83" s="51"/>
      <c r="L83" s="107"/>
    </row>
    <row r="84" spans="2:14" s="1" customFormat="1" ht="15.75" x14ac:dyDescent="0.25">
      <c r="B84" s="106"/>
      <c r="C84" s="159" t="s">
        <v>11</v>
      </c>
      <c r="D84" s="160"/>
      <c r="E84" s="160"/>
      <c r="F84" s="161"/>
      <c r="G84" s="26">
        <f>G83*1.0877*1.0877*1.0877</f>
        <v>190301.71451694024</v>
      </c>
      <c r="H84" s="27">
        <f>H83*1.0877*1.0877</f>
        <v>160268.64469113998</v>
      </c>
      <c r="I84" s="28">
        <f>I83*1.0877</f>
        <v>166138.92004099998</v>
      </c>
      <c r="J84" s="27">
        <f>J83</f>
        <v>186914.2</v>
      </c>
      <c r="K84" s="62">
        <f>G84+H84+I84+J84</f>
        <v>703623.47924908018</v>
      </c>
      <c r="L84" s="107"/>
    </row>
    <row r="85" spans="2:14" s="1" customFormat="1" ht="15.75" x14ac:dyDescent="0.25">
      <c r="B85" s="106"/>
      <c r="C85" s="148" t="s">
        <v>34</v>
      </c>
      <c r="D85" s="149"/>
      <c r="E85" s="149"/>
      <c r="F85" s="150"/>
      <c r="G85" s="22">
        <f>G51</f>
        <v>140920.42499999999</v>
      </c>
      <c r="H85" s="18">
        <f>H51</f>
        <v>129362.57999999999</v>
      </c>
      <c r="I85" s="23">
        <f>I51</f>
        <v>136235.70499999999</v>
      </c>
      <c r="J85" s="18">
        <f>J51</f>
        <v>143981.95499999999</v>
      </c>
      <c r="K85" s="52"/>
      <c r="L85" s="107"/>
    </row>
    <row r="86" spans="2:14" s="1" customFormat="1" ht="15.75" x14ac:dyDescent="0.25">
      <c r="B86" s="106"/>
      <c r="C86" s="159" t="s">
        <v>33</v>
      </c>
      <c r="D86" s="160"/>
      <c r="E86" s="160"/>
      <c r="F86" s="161"/>
      <c r="G86" s="26">
        <f>G85*1.0877*1.0877*1.0877</f>
        <v>181343.22289363062</v>
      </c>
      <c r="H86" s="27">
        <f>H85*1.0877*1.0877</f>
        <v>153047.74164992815</v>
      </c>
      <c r="I86" s="28">
        <f>I85*1.0877</f>
        <v>148183.57632849997</v>
      </c>
      <c r="J86" s="27">
        <f>J85</f>
        <v>143981.95499999999</v>
      </c>
      <c r="K86" s="62">
        <f>G86+H86+I86+J86</f>
        <v>626556.49587205867</v>
      </c>
      <c r="L86" s="107"/>
    </row>
    <row r="87" spans="2:14" s="1" customFormat="1" ht="15.75" x14ac:dyDescent="0.25">
      <c r="B87" s="106"/>
      <c r="C87" s="148" t="s">
        <v>51</v>
      </c>
      <c r="D87" s="149"/>
      <c r="E87" s="149"/>
      <c r="F87" s="149"/>
      <c r="G87" s="24"/>
      <c r="H87" s="65"/>
      <c r="I87" s="65"/>
      <c r="J87" s="66"/>
      <c r="K87" s="131">
        <f>K84-K86</f>
        <v>77066.983377021505</v>
      </c>
      <c r="L87" s="107"/>
    </row>
    <row r="88" spans="2:14" ht="15.75" thickBot="1" x14ac:dyDescent="0.3">
      <c r="B88" s="106"/>
      <c r="C88" s="3"/>
      <c r="D88" s="4"/>
      <c r="E88" s="4"/>
      <c r="F88" s="4"/>
      <c r="G88" s="6"/>
      <c r="H88" s="5"/>
      <c r="I88" s="5"/>
      <c r="J88" s="4"/>
      <c r="K88" s="50"/>
      <c r="L88" s="107"/>
    </row>
    <row r="89" spans="2:14" s="1" customFormat="1" ht="15.75" thickBot="1" x14ac:dyDescent="0.3">
      <c r="B89" s="106"/>
      <c r="C89" s="101"/>
      <c r="D89" s="2"/>
      <c r="E89" s="2"/>
      <c r="F89" s="2"/>
      <c r="G89" s="101"/>
      <c r="H89" s="101"/>
      <c r="I89" s="101"/>
      <c r="J89" s="101"/>
      <c r="K89" s="101"/>
      <c r="L89" s="107"/>
    </row>
    <row r="90" spans="2:14" s="1" customFormat="1" ht="18.75" x14ac:dyDescent="0.25">
      <c r="B90" s="106"/>
      <c r="C90" s="153" t="s">
        <v>27</v>
      </c>
      <c r="D90" s="154"/>
      <c r="E90" s="154"/>
      <c r="F90" s="154"/>
      <c r="G90" s="154"/>
      <c r="H90" s="154"/>
      <c r="I90" s="154"/>
      <c r="J90" s="154"/>
      <c r="K90" s="155"/>
      <c r="L90" s="107"/>
    </row>
    <row r="91" spans="2:14" ht="18.75" x14ac:dyDescent="0.25">
      <c r="B91" s="106"/>
      <c r="C91" s="156"/>
      <c r="D91" s="157"/>
      <c r="E91" s="157"/>
      <c r="F91" s="158"/>
      <c r="G91" s="37" t="s">
        <v>2</v>
      </c>
      <c r="H91" s="38" t="s">
        <v>3</v>
      </c>
      <c r="I91" s="39" t="s">
        <v>4</v>
      </c>
      <c r="J91" s="47" t="s">
        <v>5</v>
      </c>
      <c r="K91" s="53" t="s">
        <v>6</v>
      </c>
      <c r="L91" s="107"/>
    </row>
    <row r="92" spans="2:14" ht="15.75" x14ac:dyDescent="0.25">
      <c r="B92" s="106"/>
      <c r="C92" s="33"/>
      <c r="D92" s="32"/>
      <c r="E92" s="32"/>
      <c r="F92" s="34"/>
      <c r="G92" s="56" t="s">
        <v>1</v>
      </c>
      <c r="H92" s="40" t="s">
        <v>1</v>
      </c>
      <c r="I92" s="40" t="s">
        <v>1</v>
      </c>
      <c r="J92" s="58" t="s">
        <v>1</v>
      </c>
      <c r="K92" s="54" t="s">
        <v>1</v>
      </c>
      <c r="L92" s="107"/>
    </row>
    <row r="93" spans="2:14" ht="15.75" x14ac:dyDescent="0.25">
      <c r="B93" s="106"/>
      <c r="C93" s="148" t="s">
        <v>45</v>
      </c>
      <c r="D93" s="149"/>
      <c r="E93" s="149"/>
      <c r="F93" s="149"/>
      <c r="G93" s="43">
        <f>$G$13</f>
        <v>147882</v>
      </c>
      <c r="H93" s="44">
        <f>$H$13</f>
        <v>135466</v>
      </c>
      <c r="I93" s="45">
        <f>$I$13</f>
        <v>161605</v>
      </c>
      <c r="J93" s="84">
        <f>$J$13</f>
        <v>193207</v>
      </c>
      <c r="K93" s="74"/>
      <c r="L93" s="107"/>
    </row>
    <row r="94" spans="2:14" ht="15.75" x14ac:dyDescent="0.25">
      <c r="B94" s="106"/>
      <c r="C94" s="13" t="s">
        <v>20</v>
      </c>
      <c r="D94" s="12"/>
      <c r="E94" s="12"/>
      <c r="F94" s="12"/>
      <c r="G94" s="43">
        <v>0</v>
      </c>
      <c r="H94" s="44">
        <v>0</v>
      </c>
      <c r="I94" s="45">
        <v>-7962</v>
      </c>
      <c r="J94" s="70">
        <v>-4443</v>
      </c>
      <c r="K94" s="51"/>
      <c r="L94" s="107"/>
      <c r="N94" s="1"/>
    </row>
    <row r="95" spans="2:14" ht="15.75" x14ac:dyDescent="0.25">
      <c r="B95" s="106"/>
      <c r="C95" s="13" t="s">
        <v>21</v>
      </c>
      <c r="D95" s="12"/>
      <c r="E95" s="12"/>
      <c r="F95" s="12"/>
      <c r="G95" s="43">
        <v>0</v>
      </c>
      <c r="H95" s="44">
        <v>0</v>
      </c>
      <c r="I95" s="45">
        <v>-600</v>
      </c>
      <c r="J95" s="70">
        <v>-1637</v>
      </c>
      <c r="K95" s="51"/>
      <c r="L95" s="107"/>
      <c r="N95" s="1"/>
    </row>
    <row r="96" spans="2:14" ht="15.75" x14ac:dyDescent="0.25">
      <c r="B96" s="106"/>
      <c r="C96" s="148" t="s">
        <v>47</v>
      </c>
      <c r="D96" s="149"/>
      <c r="E96" s="149"/>
      <c r="F96" s="149"/>
      <c r="G96" s="22">
        <f>G94+G95</f>
        <v>0</v>
      </c>
      <c r="H96" s="18">
        <f>H94+H95</f>
        <v>0</v>
      </c>
      <c r="I96" s="67">
        <f>I94+I95</f>
        <v>-8562</v>
      </c>
      <c r="J96" s="68">
        <f>J94+J95</f>
        <v>-6080</v>
      </c>
      <c r="K96" s="69"/>
      <c r="L96" s="107"/>
    </row>
    <row r="97" spans="2:12" ht="15.75" x14ac:dyDescent="0.25">
      <c r="B97" s="106"/>
      <c r="C97" s="148" t="s">
        <v>48</v>
      </c>
      <c r="D97" s="149"/>
      <c r="E97" s="149"/>
      <c r="F97" s="150"/>
      <c r="G97" s="19">
        <f>G96*1.035</f>
        <v>0</v>
      </c>
      <c r="H97" s="21">
        <f>H96*1.035</f>
        <v>0</v>
      </c>
      <c r="I97" s="21">
        <f>I96*1.035</f>
        <v>-8861.67</v>
      </c>
      <c r="J97" s="71">
        <f>J96*1.035</f>
        <v>-6292.7999999999993</v>
      </c>
      <c r="K97" s="52"/>
      <c r="L97" s="107"/>
    </row>
    <row r="98" spans="2:12" ht="15.75" x14ac:dyDescent="0.25">
      <c r="B98" s="106"/>
      <c r="C98" s="148" t="s">
        <v>14</v>
      </c>
      <c r="D98" s="149"/>
      <c r="E98" s="149"/>
      <c r="F98" s="150"/>
      <c r="G98" s="43">
        <f>G93+G97</f>
        <v>147882</v>
      </c>
      <c r="H98" s="44">
        <f>H93+H97</f>
        <v>135466</v>
      </c>
      <c r="I98" s="45">
        <f>I93+I97</f>
        <v>152743.32999999999</v>
      </c>
      <c r="J98" s="70">
        <f>J93+J97</f>
        <v>186914.2</v>
      </c>
      <c r="K98" s="74"/>
      <c r="L98" s="107"/>
    </row>
    <row r="99" spans="2:12" ht="15.75" x14ac:dyDescent="0.25">
      <c r="B99" s="106"/>
      <c r="C99" s="159" t="s">
        <v>11</v>
      </c>
      <c r="D99" s="160"/>
      <c r="E99" s="160"/>
      <c r="F99" s="161"/>
      <c r="G99" s="26">
        <f>G98*1.0877*1.0877*1.0877</f>
        <v>190301.71451694024</v>
      </c>
      <c r="H99" s="27">
        <f>H98*1.0877*1.0877</f>
        <v>160268.64469113998</v>
      </c>
      <c r="I99" s="28">
        <f>I98*1.0877</f>
        <v>166138.92004099998</v>
      </c>
      <c r="J99" s="27">
        <f>J98</f>
        <v>186914.2</v>
      </c>
      <c r="K99" s="62">
        <f>G99+H99+I99+J99</f>
        <v>703623.47924908018</v>
      </c>
      <c r="L99" s="107"/>
    </row>
    <row r="100" spans="2:12" ht="15.75" x14ac:dyDescent="0.25">
      <c r="B100" s="106"/>
      <c r="C100" s="126" t="s">
        <v>63</v>
      </c>
      <c r="D100" s="127"/>
      <c r="E100" s="127"/>
      <c r="F100" s="124"/>
      <c r="G100" s="9">
        <f>$G$25</f>
        <v>140656.5</v>
      </c>
      <c r="H100" s="72">
        <f>$H$25</f>
        <v>146245.5</v>
      </c>
      <c r="I100" s="17">
        <f>$I$25</f>
        <v>152973</v>
      </c>
      <c r="J100" s="16">
        <f>$J$25</f>
        <v>154525.5</v>
      </c>
      <c r="K100" s="74"/>
      <c r="L100" s="107"/>
    </row>
    <row r="101" spans="2:12" ht="15.75" x14ac:dyDescent="0.25">
      <c r="B101" s="106"/>
      <c r="C101" s="159" t="s">
        <v>10</v>
      </c>
      <c r="D101" s="160"/>
      <c r="E101" s="160"/>
      <c r="F101" s="161"/>
      <c r="G101" s="35">
        <f>G100*1.0877*1.0877*1.0877</f>
        <v>181003.59143068126</v>
      </c>
      <c r="H101" s="48">
        <f>H100*1.0877*1.0877</f>
        <v>173021.77725169499</v>
      </c>
      <c r="I101" s="36">
        <f>I100*1.0877</f>
        <v>166388.73209999999</v>
      </c>
      <c r="J101" s="73">
        <f>J100</f>
        <v>154525.5</v>
      </c>
      <c r="K101" s="64">
        <f t="shared" ref="K101" si="4">G101+H101+I101+J101</f>
        <v>674939.60078237625</v>
      </c>
      <c r="L101" s="107"/>
    </row>
    <row r="102" spans="2:12" ht="15.75" x14ac:dyDescent="0.25">
      <c r="B102" s="106"/>
      <c r="C102" s="148" t="s">
        <v>31</v>
      </c>
      <c r="D102" s="149"/>
      <c r="E102" s="149"/>
      <c r="F102" s="149"/>
      <c r="G102" s="80">
        <f>G99-G101</f>
        <v>9298.1230862589728</v>
      </c>
      <c r="H102" s="81">
        <f>H99-H101</f>
        <v>-12753.132560555008</v>
      </c>
      <c r="I102" s="82">
        <f>I99-I101</f>
        <v>-249.81205900001805</v>
      </c>
      <c r="J102" s="83">
        <f>J99-J101</f>
        <v>32388.700000000012</v>
      </c>
      <c r="K102" s="131">
        <f>K99-K101</f>
        <v>28683.878466703929</v>
      </c>
      <c r="L102" s="107"/>
    </row>
    <row r="103" spans="2:12" ht="16.5" thickBot="1" x14ac:dyDescent="0.3">
      <c r="B103" s="106"/>
      <c r="C103" s="29"/>
      <c r="D103" s="30"/>
      <c r="E103" s="30"/>
      <c r="F103" s="42"/>
      <c r="G103" s="41"/>
      <c r="H103" s="31"/>
      <c r="I103" s="31"/>
      <c r="J103" s="59"/>
      <c r="K103" s="50"/>
      <c r="L103" s="107"/>
    </row>
    <row r="104" spans="2:12" ht="15.75" thickBot="1" x14ac:dyDescent="0.3">
      <c r="B104" s="106"/>
      <c r="C104" s="91"/>
      <c r="D104" s="91"/>
      <c r="E104" s="91"/>
      <c r="F104" s="91"/>
      <c r="G104" s="91"/>
      <c r="H104" s="91"/>
      <c r="I104" s="91"/>
      <c r="J104" s="91"/>
      <c r="K104" s="91"/>
      <c r="L104" s="107"/>
    </row>
    <row r="105" spans="2:12" ht="18.75" x14ac:dyDescent="0.25">
      <c r="B105" s="106"/>
      <c r="C105" s="153" t="s">
        <v>26</v>
      </c>
      <c r="D105" s="154"/>
      <c r="E105" s="154"/>
      <c r="F105" s="154"/>
      <c r="G105" s="154"/>
      <c r="H105" s="154"/>
      <c r="I105" s="154"/>
      <c r="J105" s="154"/>
      <c r="K105" s="155"/>
      <c r="L105" s="107"/>
    </row>
    <row r="106" spans="2:12" ht="18.75" x14ac:dyDescent="0.25">
      <c r="B106" s="106"/>
      <c r="C106" s="156"/>
      <c r="D106" s="157"/>
      <c r="E106" s="157"/>
      <c r="F106" s="158"/>
      <c r="G106" s="37" t="s">
        <v>2</v>
      </c>
      <c r="H106" s="38" t="s">
        <v>3</v>
      </c>
      <c r="I106" s="39" t="s">
        <v>4</v>
      </c>
      <c r="J106" s="47" t="s">
        <v>5</v>
      </c>
      <c r="K106" s="53" t="s">
        <v>6</v>
      </c>
      <c r="L106" s="107"/>
    </row>
    <row r="107" spans="2:12" ht="15.75" x14ac:dyDescent="0.25">
      <c r="B107" s="106"/>
      <c r="C107" s="33"/>
      <c r="D107" s="32"/>
      <c r="E107" s="32"/>
      <c r="F107" s="34"/>
      <c r="G107" s="56" t="s">
        <v>1</v>
      </c>
      <c r="H107" s="40" t="s">
        <v>1</v>
      </c>
      <c r="I107" s="40" t="s">
        <v>1</v>
      </c>
      <c r="J107" s="57" t="s">
        <v>1</v>
      </c>
      <c r="K107" s="54" t="s">
        <v>1</v>
      </c>
      <c r="L107" s="107"/>
    </row>
    <row r="108" spans="2:12" ht="15.75" x14ac:dyDescent="0.25">
      <c r="B108" s="106"/>
      <c r="C108" s="163" t="s">
        <v>63</v>
      </c>
      <c r="D108" s="164"/>
      <c r="E108" s="164"/>
      <c r="F108" s="164"/>
      <c r="G108" s="9">
        <f>$G$25</f>
        <v>140656.5</v>
      </c>
      <c r="H108" s="10">
        <f>$H$25</f>
        <v>146245.5</v>
      </c>
      <c r="I108" s="11">
        <f>$I$25</f>
        <v>152973</v>
      </c>
      <c r="J108" s="10">
        <f>$J$25</f>
        <v>154525.5</v>
      </c>
      <c r="K108" s="52"/>
      <c r="L108" s="107"/>
    </row>
    <row r="109" spans="2:12" ht="15.75" x14ac:dyDescent="0.25">
      <c r="B109" s="106"/>
      <c r="C109" s="159" t="s">
        <v>10</v>
      </c>
      <c r="D109" s="160"/>
      <c r="E109" s="160"/>
      <c r="F109" s="161"/>
      <c r="G109" s="26">
        <f>G108*1.0877*1.0877*1.0877</f>
        <v>181003.59143068126</v>
      </c>
      <c r="H109" s="27">
        <f>H108*1.0877*1.0877</f>
        <v>173021.77725169499</v>
      </c>
      <c r="I109" s="28">
        <f>I108*1.0877</f>
        <v>166388.73209999999</v>
      </c>
      <c r="J109" s="61">
        <f>J108</f>
        <v>154525.5</v>
      </c>
      <c r="K109" s="62">
        <f t="shared" ref="K109" si="5">G109+H109+I109+J109</f>
        <v>674939.60078237625</v>
      </c>
      <c r="L109" s="107"/>
    </row>
    <row r="110" spans="2:12" ht="15.75" x14ac:dyDescent="0.25">
      <c r="B110" s="106"/>
      <c r="C110" s="148" t="s">
        <v>34</v>
      </c>
      <c r="D110" s="149"/>
      <c r="E110" s="149"/>
      <c r="F110" s="150"/>
      <c r="G110" s="22">
        <f>G51</f>
        <v>140920.42499999999</v>
      </c>
      <c r="H110" s="18">
        <f>H71</f>
        <v>129362.57999999999</v>
      </c>
      <c r="I110" s="23">
        <f>I71</f>
        <v>136235.70499999999</v>
      </c>
      <c r="J110" s="18">
        <f>J71</f>
        <v>143981.95499999999</v>
      </c>
      <c r="K110" s="69"/>
      <c r="L110" s="107"/>
    </row>
    <row r="111" spans="2:12" ht="15.75" x14ac:dyDescent="0.25">
      <c r="B111" s="106"/>
      <c r="C111" s="159" t="s">
        <v>33</v>
      </c>
      <c r="D111" s="160"/>
      <c r="E111" s="160"/>
      <c r="F111" s="161"/>
      <c r="G111" s="26">
        <f>G110*1.0877*1.0877*1.0877</f>
        <v>181343.22289363062</v>
      </c>
      <c r="H111" s="27">
        <f>H110*1.0877*1.0877</f>
        <v>153047.74164992815</v>
      </c>
      <c r="I111" s="28">
        <f>I110*1.0877</f>
        <v>148183.57632849997</v>
      </c>
      <c r="J111" s="27">
        <f>J110</f>
        <v>143981.95499999999</v>
      </c>
      <c r="K111" s="60">
        <f>G111+H111+I111+J111</f>
        <v>626556.49587205867</v>
      </c>
      <c r="L111" s="107"/>
    </row>
    <row r="112" spans="2:12" ht="15.75" x14ac:dyDescent="0.25">
      <c r="B112" s="106"/>
      <c r="C112" s="148" t="s">
        <v>32</v>
      </c>
      <c r="D112" s="149"/>
      <c r="E112" s="149"/>
      <c r="F112" s="149"/>
      <c r="G112" s="80"/>
      <c r="H112" s="81"/>
      <c r="I112" s="82"/>
      <c r="J112" s="83"/>
      <c r="K112" s="131">
        <f>K109-K111</f>
        <v>48383.104910317576</v>
      </c>
      <c r="L112" s="107"/>
    </row>
    <row r="113" spans="2:12" ht="15.75" thickBot="1" x14ac:dyDescent="0.3">
      <c r="B113" s="106"/>
      <c r="C113" s="3"/>
      <c r="D113" s="4"/>
      <c r="E113" s="4"/>
      <c r="F113" s="4"/>
      <c r="G113" s="6"/>
      <c r="H113" s="5"/>
      <c r="I113" s="5"/>
      <c r="J113" s="4"/>
      <c r="K113" s="50"/>
      <c r="L113" s="107"/>
    </row>
    <row r="114" spans="2:12" ht="15.75" thickBot="1" x14ac:dyDescent="0.3">
      <c r="B114" s="108"/>
      <c r="C114" s="112"/>
      <c r="D114" s="112"/>
      <c r="E114" s="112"/>
      <c r="F114" s="112"/>
      <c r="G114" s="112"/>
      <c r="H114" s="112"/>
      <c r="I114" s="112"/>
      <c r="J114" s="112"/>
      <c r="K114" s="112"/>
      <c r="L114" s="110"/>
    </row>
  </sheetData>
  <mergeCells count="73">
    <mergeCell ref="C85:F85"/>
    <mergeCell ref="C86:F86"/>
    <mergeCell ref="C87:F87"/>
    <mergeCell ref="C78:K78"/>
    <mergeCell ref="C80:K80"/>
    <mergeCell ref="C81:F81"/>
    <mergeCell ref="C83:F83"/>
    <mergeCell ref="C84:F84"/>
    <mergeCell ref="C112:F112"/>
    <mergeCell ref="C8:K8"/>
    <mergeCell ref="C42:K42"/>
    <mergeCell ref="C44:K44"/>
    <mergeCell ref="C45:F45"/>
    <mergeCell ref="C47:F47"/>
    <mergeCell ref="C48:F48"/>
    <mergeCell ref="C49:F49"/>
    <mergeCell ref="C50:F50"/>
    <mergeCell ref="C51:F51"/>
    <mergeCell ref="C52:F52"/>
    <mergeCell ref="C53:F53"/>
    <mergeCell ref="C66:K66"/>
    <mergeCell ref="C67:F67"/>
    <mergeCell ref="C69:F69"/>
    <mergeCell ref="C106:F106"/>
    <mergeCell ref="C108:F108"/>
    <mergeCell ref="C109:F109"/>
    <mergeCell ref="C110:F110"/>
    <mergeCell ref="C111:F111"/>
    <mergeCell ref="C105:K105"/>
    <mergeCell ref="C101:F101"/>
    <mergeCell ref="C102:F102"/>
    <mergeCell ref="C16:F16"/>
    <mergeCell ref="C99:F99"/>
    <mergeCell ref="C24:F24"/>
    <mergeCell ref="C26:F26"/>
    <mergeCell ref="C34:F34"/>
    <mergeCell ref="C96:F96"/>
    <mergeCell ref="C97:F97"/>
    <mergeCell ref="C98:F98"/>
    <mergeCell ref="C91:F91"/>
    <mergeCell ref="C93:F93"/>
    <mergeCell ref="C90:K90"/>
    <mergeCell ref="C33:F33"/>
    <mergeCell ref="C35:F35"/>
    <mergeCell ref="C36:F36"/>
    <mergeCell ref="C37:F37"/>
    <mergeCell ref="C70:F70"/>
    <mergeCell ref="C71:F71"/>
    <mergeCell ref="C72:F72"/>
    <mergeCell ref="C73:F73"/>
    <mergeCell ref="C56:K56"/>
    <mergeCell ref="C57:F57"/>
    <mergeCell ref="C59:F59"/>
    <mergeCell ref="C60:F60"/>
    <mergeCell ref="C61:F61"/>
    <mergeCell ref="C62:F62"/>
    <mergeCell ref="C63:F63"/>
    <mergeCell ref="C30:K30"/>
    <mergeCell ref="C31:F31"/>
    <mergeCell ref="C25:F25"/>
    <mergeCell ref="C27:F27"/>
    <mergeCell ref="C20:K20"/>
    <mergeCell ref="C21:F21"/>
    <mergeCell ref="C23:F23"/>
    <mergeCell ref="C17:F17"/>
    <mergeCell ref="C2:F2"/>
    <mergeCell ref="C4:F4"/>
    <mergeCell ref="C10:K10"/>
    <mergeCell ref="C11:F11"/>
    <mergeCell ref="C13:F13"/>
    <mergeCell ref="C15:F15"/>
    <mergeCell ref="C14:F14"/>
    <mergeCell ref="C3:H3"/>
  </mergeCells>
  <pageMargins left="0.7" right="0.7" top="0.75" bottom="0.75" header="0.3" footer="0.3"/>
  <pageSetup paperSize="8" scale="51" orientation="portrait" r:id="rId1"/>
  <rowBreaks count="3" manualBreakCount="3">
    <brk id="5" max="16383" man="1"/>
    <brk id="39" max="16383" man="1"/>
    <brk id="75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Analysis</vt:lpstr>
    </vt:vector>
  </TitlesOfParts>
  <Company>Commerce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grantw</dc:creator>
  <cp:lastModifiedBy>James Forsberg</cp:lastModifiedBy>
  <cp:lastPrinted>2013-07-30T04:22:39Z</cp:lastPrinted>
  <dcterms:created xsi:type="dcterms:W3CDTF">2012-07-04T01:49:43Z</dcterms:created>
  <dcterms:modified xsi:type="dcterms:W3CDTF">2013-09-02T00:16:04Z</dcterms:modified>
</cp:coreProperties>
</file>