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trlProps/ctrlProp6.xml" ContentType="application/vnd.ms-excel.controlproperties+xml"/>
  <Override PartName="/xl/chartsheets/sheet2.xml" ContentType="application/vnd.openxmlformats-officedocument.spreadsheetml.chartsheet+xml"/>
  <Override PartName="/xl/sharedStrings.xml" ContentType="application/vnd.openxmlformats-officedocument.spreadsheetml.sharedStrings+xml"/>
  <Override PartName="/xl/comments12.xml" ContentType="application/vnd.openxmlformats-officedocument.spreadsheetml.comments+xml"/>
  <Override PartName="/xl/ctrlProps/ctrlProp4.xml" ContentType="application/vnd.ms-excel.controlpropertie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comments5.xml" ContentType="application/vnd.openxmlformats-officedocument.spreadsheetml.comments+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hartsheets/sheet3.xml" ContentType="application/vnd.openxmlformats-officedocument.spreadsheetml.chartsheet+xml"/>
  <Override PartName="/xl/worksheets/sheet19.xml" ContentType="application/vnd.openxmlformats-officedocument.spreadsheetml.worksheet+xml"/>
  <Override PartName="/xl/drawings/drawing10.xml" ContentType="application/vnd.openxmlformats-officedocument.drawing+xml"/>
  <Override PartName="/xl/comments13.xml" ContentType="application/vnd.openxmlformats-officedocument.spreadsheetml.comments+xml"/>
  <Override PartName="/xl/ctrlProps/ctrlProp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9165" windowHeight="7980" tabRatio="825"/>
  </bookViews>
  <sheets>
    <sheet name="Cover" sheetId="4" r:id="rId1"/>
    <sheet name="Inputs" sheetId="5" r:id="rId2"/>
    <sheet name="Results" sheetId="49" r:id="rId3"/>
    <sheet name="Chart Calculations" sheetId="1440" r:id="rId4"/>
    <sheet name="Chart 1 - Revenue" sheetId="1441" r:id="rId5"/>
    <sheet name="Chart 2 - Adjustments" sheetId="1442" r:id="rId6"/>
    <sheet name="Chart 3 - Profitability" sheetId="1443" r:id="rId7"/>
    <sheet name="Timing Assumptions" sheetId="9" r:id="rId8"/>
    <sheet name="Alp" sheetId="1749" r:id="rId9"/>
    <sheet name="Aur" sheetId="1748" r:id="rId10"/>
    <sheet name="Ctl" sheetId="1747" r:id="rId11"/>
    <sheet name="Est" sheetId="1746" r:id="rId12"/>
    <sheet name="Ash" sheetId="1745" r:id="rId13"/>
    <sheet name="Inv" sheetId="1744" r:id="rId14"/>
    <sheet name="Hoz" sheetId="1743" r:id="rId15"/>
    <sheet name="Nel" sheetId="1742" r:id="rId16"/>
    <sheet name="Tas" sheetId="1741" r:id="rId17"/>
    <sheet name="Ota" sheetId="1740" r:id="rId18"/>
    <sheet name="Pco" sheetId="1739" r:id="rId19"/>
    <sheet name="TLC" sheetId="1738" r:id="rId20"/>
    <sheet name="Top" sheetId="1737" r:id="rId21"/>
    <sheet name="Uni" sheetId="1736" r:id="rId22"/>
    <sheet name="Vct" sheetId="1735" r:id="rId23"/>
    <sheet name="Wel" sheetId="1734" r:id="rId24"/>
    <sheet name="CPI 2009" sheetId="378" r:id="rId25"/>
    <sheet name="CPI 2012" sheetId="461" r:id="rId26"/>
  </sheets>
  <externalReferences>
    <externalReference r:id="rId27"/>
    <externalReference r:id="rId28"/>
    <externalReference r:id="rId29"/>
  </externalReferences>
  <definedNames>
    <definedName name="CommAssetsBlock">Inputs!$D$51:$S$56</definedName>
    <definedName name="ConstPriceRevGrwth">Inputs!$D$44:$S$48</definedName>
    <definedName name="Debt">Inputs!$C$5</definedName>
    <definedName name="INDIRECTformula">Results!$E$2</definedName>
    <definedName name="Inputs_Anchor">Inputs!$B$19</definedName>
    <definedName name="InputsBlock">Inputs!$B$19:$S$34</definedName>
    <definedName name="Leverage">Inputs!$C$6</definedName>
    <definedName name="NamesAnchor">Cover!#REF!</definedName>
    <definedName name="OpexBlock">Inputs!$D$37:$S$41</definedName>
    <definedName name="ResultsAnchor">Results!$D$5</definedName>
    <definedName name="WACC">Inputs!$C$4</definedName>
    <definedName name="X_industry_wide">Inputs!$C$8</definedName>
  </definedNames>
  <calcPr calcId="125725"/>
</workbook>
</file>

<file path=xl/calcChain.xml><?xml version="1.0" encoding="utf-8"?>
<calcChain xmlns="http://schemas.openxmlformats.org/spreadsheetml/2006/main">
  <c r="S56" i="5"/>
  <c r="R56"/>
  <c r="Q56"/>
  <c r="P56"/>
  <c r="O56"/>
  <c r="N56"/>
  <c r="M56"/>
  <c r="L56"/>
  <c r="K56"/>
  <c r="J56"/>
  <c r="I56"/>
  <c r="H56"/>
  <c r="G56"/>
  <c r="F56"/>
  <c r="E56"/>
  <c r="D56"/>
  <c r="S55"/>
  <c r="R55"/>
  <c r="Q55"/>
  <c r="P55"/>
  <c r="O55"/>
  <c r="N55"/>
  <c r="M55"/>
  <c r="L55"/>
  <c r="K55"/>
  <c r="J55"/>
  <c r="I55"/>
  <c r="H55"/>
  <c r="G55"/>
  <c r="F55"/>
  <c r="E55"/>
  <c r="D55"/>
  <c r="S54"/>
  <c r="R54"/>
  <c r="Q54"/>
  <c r="P54"/>
  <c r="O54"/>
  <c r="N54"/>
  <c r="M54"/>
  <c r="L54"/>
  <c r="K54"/>
  <c r="J54"/>
  <c r="I54"/>
  <c r="H54"/>
  <c r="G54"/>
  <c r="F54"/>
  <c r="E54"/>
  <c r="D54"/>
  <c r="S53"/>
  <c r="R53"/>
  <c r="Q53"/>
  <c r="P53"/>
  <c r="O53"/>
  <c r="N53"/>
  <c r="M53"/>
  <c r="L53"/>
  <c r="K53"/>
  <c r="J53"/>
  <c r="I53"/>
  <c r="H53"/>
  <c r="G53"/>
  <c r="F53"/>
  <c r="E53"/>
  <c r="D53"/>
  <c r="S52"/>
  <c r="R52"/>
  <c r="Q52"/>
  <c r="P52"/>
  <c r="O52"/>
  <c r="N52"/>
  <c r="M52"/>
  <c r="L52"/>
  <c r="K52"/>
  <c r="J52"/>
  <c r="I52"/>
  <c r="H52"/>
  <c r="G52"/>
  <c r="F52"/>
  <c r="E52"/>
  <c r="D52"/>
  <c r="S51"/>
  <c r="R51"/>
  <c r="Q51"/>
  <c r="P51"/>
  <c r="O51"/>
  <c r="N51"/>
  <c r="M51"/>
  <c r="L51"/>
  <c r="K51"/>
  <c r="J51"/>
  <c r="I51"/>
  <c r="H51"/>
  <c r="G51"/>
  <c r="F51"/>
  <c r="E51"/>
  <c r="D51"/>
  <c r="S48"/>
  <c r="R48"/>
  <c r="Q48"/>
  <c r="P48"/>
  <c r="O48"/>
  <c r="N48"/>
  <c r="M48"/>
  <c r="L48"/>
  <c r="K48"/>
  <c r="J48"/>
  <c r="I48"/>
  <c r="H48"/>
  <c r="G48"/>
  <c r="F48"/>
  <c r="E48"/>
  <c r="D48"/>
  <c r="S47"/>
  <c r="R47"/>
  <c r="Q47"/>
  <c r="P47"/>
  <c r="O47"/>
  <c r="N47"/>
  <c r="M47"/>
  <c r="L47"/>
  <c r="K47"/>
  <c r="J47"/>
  <c r="I47"/>
  <c r="H47"/>
  <c r="G47"/>
  <c r="F47"/>
  <c r="E47"/>
  <c r="D47"/>
  <c r="S46"/>
  <c r="R46"/>
  <c r="Q46"/>
  <c r="P46"/>
  <c r="O46"/>
  <c r="N46"/>
  <c r="M46"/>
  <c r="L46"/>
  <c r="K46"/>
  <c r="J46"/>
  <c r="I46"/>
  <c r="H46"/>
  <c r="G46"/>
  <c r="F46"/>
  <c r="E46"/>
  <c r="D46"/>
  <c r="S45"/>
  <c r="R45"/>
  <c r="Q45"/>
  <c r="P45"/>
  <c r="O45"/>
  <c r="N45"/>
  <c r="M45"/>
  <c r="L45"/>
  <c r="K45"/>
  <c r="J45"/>
  <c r="I45"/>
  <c r="H45"/>
  <c r="G45"/>
  <c r="F45"/>
  <c r="E45"/>
  <c r="D45"/>
  <c r="S44"/>
  <c r="R44"/>
  <c r="Q44"/>
  <c r="P44"/>
  <c r="O44"/>
  <c r="N44"/>
  <c r="M44"/>
  <c r="L44"/>
  <c r="K44"/>
  <c r="J44"/>
  <c r="I44"/>
  <c r="H44"/>
  <c r="G44"/>
  <c r="F44"/>
  <c r="E44"/>
  <c r="D44"/>
  <c r="S41"/>
  <c r="R41"/>
  <c r="Q41"/>
  <c r="P41"/>
  <c r="O41"/>
  <c r="N41"/>
  <c r="M41"/>
  <c r="L41"/>
  <c r="K41"/>
  <c r="J41"/>
  <c r="I41"/>
  <c r="H41"/>
  <c r="G41"/>
  <c r="F41"/>
  <c r="E41"/>
  <c r="D41"/>
  <c r="S40"/>
  <c r="R40"/>
  <c r="Q40"/>
  <c r="P40"/>
  <c r="O40"/>
  <c r="N40"/>
  <c r="M40"/>
  <c r="L40"/>
  <c r="K40"/>
  <c r="J40"/>
  <c r="I40"/>
  <c r="H40"/>
  <c r="G40"/>
  <c r="F40"/>
  <c r="E40"/>
  <c r="D40"/>
  <c r="S39"/>
  <c r="R39"/>
  <c r="Q39"/>
  <c r="P39"/>
  <c r="O39"/>
  <c r="N39"/>
  <c r="M39"/>
  <c r="L39"/>
  <c r="K39"/>
  <c r="J39"/>
  <c r="I39"/>
  <c r="H39"/>
  <c r="G39"/>
  <c r="F39"/>
  <c r="E39"/>
  <c r="D39"/>
  <c r="S38"/>
  <c r="R38"/>
  <c r="Q38"/>
  <c r="P38"/>
  <c r="O38"/>
  <c r="N38"/>
  <c r="M38"/>
  <c r="L38"/>
  <c r="K38"/>
  <c r="J38"/>
  <c r="I38"/>
  <c r="H38"/>
  <c r="G38"/>
  <c r="F38"/>
  <c r="E38"/>
  <c r="D38"/>
  <c r="S37"/>
  <c r="R37"/>
  <c r="Q37"/>
  <c r="P37"/>
  <c r="O37"/>
  <c r="N37"/>
  <c r="M37"/>
  <c r="L37"/>
  <c r="K37"/>
  <c r="J37"/>
  <c r="I37"/>
  <c r="H37"/>
  <c r="G37"/>
  <c r="F37"/>
  <c r="E37"/>
  <c r="D37"/>
  <c r="M292" i="1749" l="1"/>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8"/>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7"/>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6"/>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5"/>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44"/>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3"/>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42"/>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F65"/>
  <c r="G65" s="1"/>
  <c r="H65" s="1"/>
  <c r="I65" s="1"/>
  <c r="J65" s="1"/>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41"/>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40"/>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39"/>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38"/>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37"/>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36"/>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A10" s="1"/>
  <c r="C8"/>
  <c r="J6"/>
  <c r="I6"/>
  <c r="H6"/>
  <c r="G6"/>
  <c r="F6"/>
  <c r="E6"/>
  <c r="C1"/>
  <c r="M292" i="1735"/>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M292" i="1734"/>
  <c r="K292"/>
  <c r="N292" s="1"/>
  <c r="J292"/>
  <c r="I292"/>
  <c r="L292" s="1"/>
  <c r="H292"/>
  <c r="C287"/>
  <c r="C286"/>
  <c r="C270"/>
  <c r="J239"/>
  <c r="I239"/>
  <c r="H239"/>
  <c r="G239"/>
  <c r="F239"/>
  <c r="E239"/>
  <c r="J224"/>
  <c r="I224"/>
  <c r="H224"/>
  <c r="G224"/>
  <c r="F224"/>
  <c r="E224"/>
  <c r="J209"/>
  <c r="I209"/>
  <c r="H209"/>
  <c r="G209"/>
  <c r="F209"/>
  <c r="E209"/>
  <c r="E129"/>
  <c r="J102"/>
  <c r="I102"/>
  <c r="H102"/>
  <c r="G102"/>
  <c r="F102"/>
  <c r="E102"/>
  <c r="E97"/>
  <c r="G65"/>
  <c r="H65" s="1"/>
  <c r="I65" s="1"/>
  <c r="J65" s="1"/>
  <c r="F65"/>
  <c r="J64"/>
  <c r="I64"/>
  <c r="H64"/>
  <c r="G64"/>
  <c r="F64"/>
  <c r="E64"/>
  <c r="J57"/>
  <c r="I57"/>
  <c r="H57"/>
  <c r="G57"/>
  <c r="F57"/>
  <c r="E57"/>
  <c r="C32"/>
  <c r="C31"/>
  <c r="C30"/>
  <c r="C29"/>
  <c r="C22"/>
  <c r="C21"/>
  <c r="C20"/>
  <c r="C19"/>
  <c r="C18"/>
  <c r="C17"/>
  <c r="C16"/>
  <c r="C15"/>
  <c r="C14"/>
  <c r="C13"/>
  <c r="C12"/>
  <c r="C11"/>
  <c r="C10"/>
  <c r="C9"/>
  <c r="A9"/>
  <c r="C8"/>
  <c r="J6"/>
  <c r="I6"/>
  <c r="H6"/>
  <c r="G6"/>
  <c r="F6"/>
  <c r="E6"/>
  <c r="C1"/>
  <c r="I16" i="5"/>
  <c r="J32" i="1739" s="1"/>
  <c r="H16" i="5"/>
  <c r="G16"/>
  <c r="H32" i="1739" s="1"/>
  <c r="H225" s="1"/>
  <c r="F16" i="5"/>
  <c r="E16"/>
  <c r="F32" i="1739" s="1"/>
  <c r="F225" s="1"/>
  <c r="D16" i="5"/>
  <c r="I15"/>
  <c r="J31" i="1741" s="1"/>
  <c r="H15" i="5"/>
  <c r="G15"/>
  <c r="H31" i="1740" s="1"/>
  <c r="F15" i="5"/>
  <c r="E15"/>
  <c r="F31" i="1741" s="1"/>
  <c r="D15" i="5"/>
  <c r="I14"/>
  <c r="J30" i="1739" s="1"/>
  <c r="J54" s="1"/>
  <c r="H14" i="5"/>
  <c r="G14"/>
  <c r="H30" i="1739" s="1"/>
  <c r="H54" s="1"/>
  <c r="F14" i="5"/>
  <c r="E14"/>
  <c r="F30" i="1739" s="1"/>
  <c r="F54" s="1"/>
  <c r="D14" i="5"/>
  <c r="H13"/>
  <c r="I29" i="1739" s="1"/>
  <c r="I38" s="1"/>
  <c r="I13" i="5"/>
  <c r="G13"/>
  <c r="H29" i="1741" s="1"/>
  <c r="H38" s="1"/>
  <c r="F13" i="5"/>
  <c r="E13"/>
  <c r="F29" i="1741" s="1"/>
  <c r="F38" s="1"/>
  <c r="D13" i="5"/>
  <c r="T6" i="49" l="1"/>
  <c r="T5"/>
  <c r="R6"/>
  <c r="R5"/>
  <c r="P6"/>
  <c r="P5"/>
  <c r="N6"/>
  <c r="N5"/>
  <c r="L6"/>
  <c r="L5"/>
  <c r="K6"/>
  <c r="K5"/>
  <c r="I6"/>
  <c r="I5"/>
  <c r="G6"/>
  <c r="G5"/>
  <c r="E6"/>
  <c r="E5"/>
  <c r="S6"/>
  <c r="S5"/>
  <c r="Q6"/>
  <c r="Q5"/>
  <c r="O6"/>
  <c r="O5"/>
  <c r="M6"/>
  <c r="M5"/>
  <c r="J6"/>
  <c r="J5"/>
  <c r="H6"/>
  <c r="H5"/>
  <c r="F6"/>
  <c r="F5"/>
  <c r="E29" i="1747"/>
  <c r="E38" s="1"/>
  <c r="E29" i="1746"/>
  <c r="E38" s="1"/>
  <c r="E29" i="1745"/>
  <c r="E38" s="1"/>
  <c r="E29" i="1744"/>
  <c r="E38" s="1"/>
  <c r="E29" i="1743"/>
  <c r="E38" s="1"/>
  <c r="E29" i="1749"/>
  <c r="E38" s="1"/>
  <c r="E29" i="1748"/>
  <c r="E38" s="1"/>
  <c r="E29" i="1742"/>
  <c r="E38" s="1"/>
  <c r="G29" i="1747"/>
  <c r="G38" s="1"/>
  <c r="G29" i="1746"/>
  <c r="G38" s="1"/>
  <c r="G29" i="1745"/>
  <c r="G38" s="1"/>
  <c r="G29" i="1744"/>
  <c r="G38" s="1"/>
  <c r="G29" i="1743"/>
  <c r="G38" s="1"/>
  <c r="G29" i="1749"/>
  <c r="G38" s="1"/>
  <c r="G29" i="1748"/>
  <c r="G38" s="1"/>
  <c r="G29" i="1742"/>
  <c r="G38" s="1"/>
  <c r="J29" i="1749"/>
  <c r="J38" s="1"/>
  <c r="J29" i="1748"/>
  <c r="J38" s="1"/>
  <c r="J29" i="1742"/>
  <c r="J38" s="1"/>
  <c r="J29" i="1747"/>
  <c r="J38" s="1"/>
  <c r="J29" i="1746"/>
  <c r="J38" s="1"/>
  <c r="J29" i="1745"/>
  <c r="J38" s="1"/>
  <c r="J29" i="1744"/>
  <c r="J38" s="1"/>
  <c r="J29" i="1743"/>
  <c r="J38" s="1"/>
  <c r="E30" i="1749"/>
  <c r="E39" s="1"/>
  <c r="E30" i="1748"/>
  <c r="E39" s="1"/>
  <c r="E30" i="1742"/>
  <c r="E39" s="1"/>
  <c r="E30" i="1747"/>
  <c r="E39" s="1"/>
  <c r="E30" i="1746"/>
  <c r="E39" s="1"/>
  <c r="E30" i="1745"/>
  <c r="E39" s="1"/>
  <c r="E30" i="1744"/>
  <c r="E39" s="1"/>
  <c r="E30" i="1743"/>
  <c r="E39" s="1"/>
  <c r="G30" i="1749"/>
  <c r="G54" s="1"/>
  <c r="G30" i="1748"/>
  <c r="G54" s="1"/>
  <c r="G30" i="1742"/>
  <c r="G54" s="1"/>
  <c r="G30" i="1747"/>
  <c r="G54" s="1"/>
  <c r="G30" i="1746"/>
  <c r="G54" s="1"/>
  <c r="G30" i="1745"/>
  <c r="G54" s="1"/>
  <c r="G30" i="1744"/>
  <c r="G54" s="1"/>
  <c r="G30" i="1743"/>
  <c r="G54" s="1"/>
  <c r="I30" i="1749"/>
  <c r="I54" s="1"/>
  <c r="I30" i="1748"/>
  <c r="I54" s="1"/>
  <c r="I30" i="1742"/>
  <c r="I54" s="1"/>
  <c r="I30" i="1747"/>
  <c r="I54" s="1"/>
  <c r="I30" i="1746"/>
  <c r="I54" s="1"/>
  <c r="I30" i="1745"/>
  <c r="I54" s="1"/>
  <c r="I30" i="1744"/>
  <c r="I54" s="1"/>
  <c r="I30" i="1743"/>
  <c r="I54" s="1"/>
  <c r="E31" i="1747"/>
  <c r="E31" i="1746"/>
  <c r="E31" i="1745"/>
  <c r="E31" i="1744"/>
  <c r="E31" i="1743"/>
  <c r="E31" i="1749"/>
  <c r="E31" i="1748"/>
  <c r="E31" i="1742"/>
  <c r="E31" i="1741"/>
  <c r="G31" i="1747"/>
  <c r="G31" i="1746"/>
  <c r="G31" i="1745"/>
  <c r="G31" i="1744"/>
  <c r="G31" i="1743"/>
  <c r="G31" i="1749"/>
  <c r="G31" i="1748"/>
  <c r="G31" i="1742"/>
  <c r="G31" i="1741"/>
  <c r="I31" i="1747"/>
  <c r="I31" i="1746"/>
  <c r="I31" i="1745"/>
  <c r="I31" i="1744"/>
  <c r="I31" i="1743"/>
  <c r="I31" i="1749"/>
  <c r="I31" i="1748"/>
  <c r="I31" i="1742"/>
  <c r="I31" i="1741"/>
  <c r="E32" i="1749"/>
  <c r="E32" i="1748"/>
  <c r="E32" i="1742"/>
  <c r="E32" i="1747"/>
  <c r="E32" i="1746"/>
  <c r="E32" i="1745"/>
  <c r="E32" i="1744"/>
  <c r="E32" i="1743"/>
  <c r="G32" i="1749"/>
  <c r="G225" s="1"/>
  <c r="G32" i="1748"/>
  <c r="G225" s="1"/>
  <c r="G32" i="1742"/>
  <c r="G225" s="1"/>
  <c r="G32" i="1741"/>
  <c r="G225" s="1"/>
  <c r="G32" i="1747"/>
  <c r="G225" s="1"/>
  <c r="G32" i="1746"/>
  <c r="G225" s="1"/>
  <c r="G32" i="1745"/>
  <c r="G225" s="1"/>
  <c r="G32" i="1744"/>
  <c r="G225" s="1"/>
  <c r="G32" i="1743"/>
  <c r="G225" s="1"/>
  <c r="I32" i="1749"/>
  <c r="I32" i="1748"/>
  <c r="I32" i="1742"/>
  <c r="I32" i="1741"/>
  <c r="I32" i="1747"/>
  <c r="I32" i="1746"/>
  <c r="I32" i="1745"/>
  <c r="I32" i="1744"/>
  <c r="I32" i="1743"/>
  <c r="F29" i="1734"/>
  <c r="F38" s="1"/>
  <c r="H29"/>
  <c r="H38" s="1"/>
  <c r="J29"/>
  <c r="J38" s="1"/>
  <c r="E30"/>
  <c r="E39" s="1"/>
  <c r="G30"/>
  <c r="G54" s="1"/>
  <c r="I30"/>
  <c r="I54" s="1"/>
  <c r="F31"/>
  <c r="H31"/>
  <c r="J31"/>
  <c r="E32"/>
  <c r="G32"/>
  <c r="G225" s="1"/>
  <c r="I32"/>
  <c r="E29" i="1735"/>
  <c r="E38" s="1"/>
  <c r="G29"/>
  <c r="G38" s="1"/>
  <c r="I29"/>
  <c r="I38" s="1"/>
  <c r="F30"/>
  <c r="F54" s="1"/>
  <c r="H30"/>
  <c r="H54" s="1"/>
  <c r="J30"/>
  <c r="J54" s="1"/>
  <c r="E31"/>
  <c r="G31"/>
  <c r="I31"/>
  <c r="F32"/>
  <c r="F225" s="1"/>
  <c r="H32"/>
  <c r="H225" s="1"/>
  <c r="J32"/>
  <c r="F29" i="1736"/>
  <c r="F38" s="1"/>
  <c r="H29"/>
  <c r="H38" s="1"/>
  <c r="J29"/>
  <c r="J38" s="1"/>
  <c r="E30"/>
  <c r="E39" s="1"/>
  <c r="G30"/>
  <c r="G54" s="1"/>
  <c r="I30"/>
  <c r="I54" s="1"/>
  <c r="F31"/>
  <c r="H31"/>
  <c r="J31"/>
  <c r="E32"/>
  <c r="G32"/>
  <c r="G225" s="1"/>
  <c r="I32"/>
  <c r="F29" i="1737"/>
  <c r="F38" s="1"/>
  <c r="H29"/>
  <c r="H38" s="1"/>
  <c r="J29"/>
  <c r="J38" s="1"/>
  <c r="E30"/>
  <c r="E39" s="1"/>
  <c r="G30"/>
  <c r="G54" s="1"/>
  <c r="I30"/>
  <c r="I54" s="1"/>
  <c r="F31"/>
  <c r="H31"/>
  <c r="J31"/>
  <c r="E32"/>
  <c r="G32"/>
  <c r="G225" s="1"/>
  <c r="I32"/>
  <c r="F29" i="1738"/>
  <c r="F38" s="1"/>
  <c r="H29"/>
  <c r="H38" s="1"/>
  <c r="J29"/>
  <c r="J38" s="1"/>
  <c r="E30"/>
  <c r="E39" s="1"/>
  <c r="G30"/>
  <c r="G54" s="1"/>
  <c r="I30"/>
  <c r="I54" s="1"/>
  <c r="F31"/>
  <c r="H31"/>
  <c r="J31"/>
  <c r="E32"/>
  <c r="G32"/>
  <c r="G225" s="1"/>
  <c r="I32"/>
  <c r="E29" i="1739"/>
  <c r="E38" s="1"/>
  <c r="G29"/>
  <c r="G38" s="1"/>
  <c r="E31"/>
  <c r="G31"/>
  <c r="I31"/>
  <c r="F29" i="1740"/>
  <c r="F38" s="1"/>
  <c r="H29"/>
  <c r="H38" s="1"/>
  <c r="J29"/>
  <c r="J38" s="1"/>
  <c r="E30"/>
  <c r="E39" s="1"/>
  <c r="G30"/>
  <c r="G54" s="1"/>
  <c r="I30"/>
  <c r="I54" s="1"/>
  <c r="F31"/>
  <c r="J31"/>
  <c r="E32"/>
  <c r="G32"/>
  <c r="G225" s="1"/>
  <c r="I32"/>
  <c r="J29" i="1741"/>
  <c r="J38" s="1"/>
  <c r="E30"/>
  <c r="E39" s="1"/>
  <c r="I30"/>
  <c r="I54" s="1"/>
  <c r="E32"/>
  <c r="F29" i="1749"/>
  <c r="F38" s="1"/>
  <c r="F29" i="1748"/>
  <c r="F38" s="1"/>
  <c r="F29" i="1742"/>
  <c r="F38" s="1"/>
  <c r="F29" i="1747"/>
  <c r="F38" s="1"/>
  <c r="F29" i="1746"/>
  <c r="F38" s="1"/>
  <c r="F29" i="1745"/>
  <c r="F38" s="1"/>
  <c r="F29" i="1744"/>
  <c r="F38" s="1"/>
  <c r="F29" i="1743"/>
  <c r="F38" s="1"/>
  <c r="H29" i="1749"/>
  <c r="H38" s="1"/>
  <c r="H29" i="1748"/>
  <c r="H38" s="1"/>
  <c r="H29" i="1742"/>
  <c r="H38" s="1"/>
  <c r="H29" i="1747"/>
  <c r="H38" s="1"/>
  <c r="H29" i="1746"/>
  <c r="H38" s="1"/>
  <c r="H29" i="1745"/>
  <c r="H38" s="1"/>
  <c r="H29" i="1744"/>
  <c r="H38" s="1"/>
  <c r="H29" i="1743"/>
  <c r="H38" s="1"/>
  <c r="I29" i="1747"/>
  <c r="I38" s="1"/>
  <c r="I29" i="1746"/>
  <c r="I38" s="1"/>
  <c r="I29" i="1745"/>
  <c r="I38" s="1"/>
  <c r="I29" i="1744"/>
  <c r="I38" s="1"/>
  <c r="I29" i="1743"/>
  <c r="I38" s="1"/>
  <c r="I29" i="1749"/>
  <c r="I38" s="1"/>
  <c r="I29" i="1748"/>
  <c r="I38" s="1"/>
  <c r="I29" i="1742"/>
  <c r="I38" s="1"/>
  <c r="F30" i="1747"/>
  <c r="F54" s="1"/>
  <c r="F30" i="1746"/>
  <c r="F54" s="1"/>
  <c r="F30" i="1745"/>
  <c r="F54" s="1"/>
  <c r="F30" i="1744"/>
  <c r="F54" s="1"/>
  <c r="F30" i="1743"/>
  <c r="F54" s="1"/>
  <c r="F30" i="1749"/>
  <c r="F54" s="1"/>
  <c r="F30" i="1748"/>
  <c r="F54" s="1"/>
  <c r="F30" i="1742"/>
  <c r="F54" s="1"/>
  <c r="F30" i="1741"/>
  <c r="F54" s="1"/>
  <c r="H30" i="1747"/>
  <c r="H54" s="1"/>
  <c r="H30" i="1746"/>
  <c r="H54" s="1"/>
  <c r="H30" i="1745"/>
  <c r="H54" s="1"/>
  <c r="H30" i="1744"/>
  <c r="H54" s="1"/>
  <c r="H30" i="1743"/>
  <c r="H54" s="1"/>
  <c r="H30" i="1749"/>
  <c r="H54" s="1"/>
  <c r="H30" i="1748"/>
  <c r="H54" s="1"/>
  <c r="H30" i="1742"/>
  <c r="H54" s="1"/>
  <c r="H30" i="1741"/>
  <c r="H54" s="1"/>
  <c r="J30" i="1747"/>
  <c r="J54" s="1"/>
  <c r="J30" i="1746"/>
  <c r="J54" s="1"/>
  <c r="J30" i="1745"/>
  <c r="J54" s="1"/>
  <c r="J30" i="1744"/>
  <c r="J54" s="1"/>
  <c r="J30" i="1743"/>
  <c r="J54" s="1"/>
  <c r="J30" i="1749"/>
  <c r="J54" s="1"/>
  <c r="J30" i="1748"/>
  <c r="J54" s="1"/>
  <c r="J30" i="1742"/>
  <c r="J54" s="1"/>
  <c r="J30" i="1741"/>
  <c r="J54" s="1"/>
  <c r="F31" i="1749"/>
  <c r="F31" i="1748"/>
  <c r="F31" i="1742"/>
  <c r="F31" i="1747"/>
  <c r="F31" i="1746"/>
  <c r="F31" i="1745"/>
  <c r="F31" i="1744"/>
  <c r="F31" i="1743"/>
  <c r="H31" i="1749"/>
  <c r="H31" i="1748"/>
  <c r="H31" i="1742"/>
  <c r="H31" i="1747"/>
  <c r="H31" i="1746"/>
  <c r="H31" i="1745"/>
  <c r="H31" i="1744"/>
  <c r="H31" i="1743"/>
  <c r="J31" i="1749"/>
  <c r="J31" i="1748"/>
  <c r="J31" i="1742"/>
  <c r="J31" i="1747"/>
  <c r="J31" i="1746"/>
  <c r="J31" i="1745"/>
  <c r="J31" i="1744"/>
  <c r="J31" i="1743"/>
  <c r="F32" i="1747"/>
  <c r="F225" s="1"/>
  <c r="F32" i="1746"/>
  <c r="F225" s="1"/>
  <c r="F32" i="1745"/>
  <c r="F225" s="1"/>
  <c r="F32" i="1744"/>
  <c r="F225" s="1"/>
  <c r="F32" i="1743"/>
  <c r="F225" s="1"/>
  <c r="F32" i="1749"/>
  <c r="F225" s="1"/>
  <c r="F32" i="1748"/>
  <c r="F225" s="1"/>
  <c r="F32" i="1742"/>
  <c r="F225" s="1"/>
  <c r="F32" i="1741"/>
  <c r="F225" s="1"/>
  <c r="H32" i="1747"/>
  <c r="H225" s="1"/>
  <c r="H32" i="1746"/>
  <c r="H225" s="1"/>
  <c r="H32" i="1745"/>
  <c r="H225" s="1"/>
  <c r="H32" i="1744"/>
  <c r="H225" s="1"/>
  <c r="H32" i="1743"/>
  <c r="H225" s="1"/>
  <c r="H32" i="1749"/>
  <c r="H225" s="1"/>
  <c r="H32" i="1748"/>
  <c r="H225" s="1"/>
  <c r="H32" i="1742"/>
  <c r="H225" s="1"/>
  <c r="H32" i="1741"/>
  <c r="H225" s="1"/>
  <c r="J32" i="1747"/>
  <c r="J32" i="1746"/>
  <c r="J32" i="1745"/>
  <c r="J32" i="1744"/>
  <c r="J32" i="1743"/>
  <c r="J32" i="1749"/>
  <c r="J32" i="1748"/>
  <c r="J32" i="1742"/>
  <c r="J32" i="1741"/>
  <c r="E29" i="1734"/>
  <c r="E38" s="1"/>
  <c r="G29"/>
  <c r="G38" s="1"/>
  <c r="I29"/>
  <c r="I38" s="1"/>
  <c r="F30"/>
  <c r="F54" s="1"/>
  <c r="H30"/>
  <c r="H54" s="1"/>
  <c r="J30"/>
  <c r="J54" s="1"/>
  <c r="E31"/>
  <c r="G31"/>
  <c r="I31"/>
  <c r="F32"/>
  <c r="F225" s="1"/>
  <c r="H32"/>
  <c r="H225" s="1"/>
  <c r="J32"/>
  <c r="F29" i="1735"/>
  <c r="F38" s="1"/>
  <c r="H29"/>
  <c r="H38" s="1"/>
  <c r="J29"/>
  <c r="J38" s="1"/>
  <c r="E30"/>
  <c r="E39" s="1"/>
  <c r="G30"/>
  <c r="G54" s="1"/>
  <c r="I30"/>
  <c r="I54" s="1"/>
  <c r="F31"/>
  <c r="H31"/>
  <c r="J31"/>
  <c r="E32"/>
  <c r="G32"/>
  <c r="G225" s="1"/>
  <c r="I32"/>
  <c r="E29" i="1736"/>
  <c r="E38" s="1"/>
  <c r="G29"/>
  <c r="G38" s="1"/>
  <c r="I29"/>
  <c r="I38" s="1"/>
  <c r="F30"/>
  <c r="F54" s="1"/>
  <c r="H30"/>
  <c r="H54" s="1"/>
  <c r="J30"/>
  <c r="J54" s="1"/>
  <c r="E31"/>
  <c r="G31"/>
  <c r="I31"/>
  <c r="F32"/>
  <c r="F225" s="1"/>
  <c r="H32"/>
  <c r="H225" s="1"/>
  <c r="J32"/>
  <c r="E29" i="1737"/>
  <c r="E38" s="1"/>
  <c r="G29"/>
  <c r="G38" s="1"/>
  <c r="I29"/>
  <c r="I38" s="1"/>
  <c r="F30"/>
  <c r="F54" s="1"/>
  <c r="H30"/>
  <c r="H54" s="1"/>
  <c r="J30"/>
  <c r="J54" s="1"/>
  <c r="E31"/>
  <c r="G31"/>
  <c r="I31"/>
  <c r="F32"/>
  <c r="F225" s="1"/>
  <c r="H32"/>
  <c r="H225" s="1"/>
  <c r="J32"/>
  <c r="E29" i="1738"/>
  <c r="E38" s="1"/>
  <c r="G29"/>
  <c r="G38" s="1"/>
  <c r="I29"/>
  <c r="I38" s="1"/>
  <c r="F30"/>
  <c r="F54" s="1"/>
  <c r="H30"/>
  <c r="H54" s="1"/>
  <c r="J30"/>
  <c r="J54" s="1"/>
  <c r="E31"/>
  <c r="G31"/>
  <c r="I31"/>
  <c r="F32"/>
  <c r="F225" s="1"/>
  <c r="H32"/>
  <c r="H225" s="1"/>
  <c r="J32"/>
  <c r="F29" i="1739"/>
  <c r="F38" s="1"/>
  <c r="H29"/>
  <c r="H38" s="1"/>
  <c r="J29"/>
  <c r="J38" s="1"/>
  <c r="E30"/>
  <c r="E39" s="1"/>
  <c r="G30"/>
  <c r="G54" s="1"/>
  <c r="I30"/>
  <c r="I54" s="1"/>
  <c r="F31"/>
  <c r="H31"/>
  <c r="J31"/>
  <c r="E32"/>
  <c r="G32"/>
  <c r="G225" s="1"/>
  <c r="I32"/>
  <c r="E29" i="1740"/>
  <c r="E38" s="1"/>
  <c r="G29"/>
  <c r="G38" s="1"/>
  <c r="I29"/>
  <c r="I38" s="1"/>
  <c r="F30"/>
  <c r="F54" s="1"/>
  <c r="H30"/>
  <c r="H54" s="1"/>
  <c r="J30"/>
  <c r="J54" s="1"/>
  <c r="E31"/>
  <c r="G31"/>
  <c r="I31"/>
  <c r="F32"/>
  <c r="F225" s="1"/>
  <c r="H32"/>
  <c r="H225" s="1"/>
  <c r="J32"/>
  <c r="E29" i="1741"/>
  <c r="E38" s="1"/>
  <c r="G29"/>
  <c r="G38" s="1"/>
  <c r="I29"/>
  <c r="I38" s="1"/>
  <c r="G30"/>
  <c r="G54" s="1"/>
  <c r="H31"/>
  <c r="E84" i="1749"/>
  <c r="E83"/>
  <c r="E82"/>
  <c r="E81"/>
  <c r="E80"/>
  <c r="E79"/>
  <c r="J225"/>
  <c r="A10"/>
  <c r="G39"/>
  <c r="I39"/>
  <c r="I225"/>
  <c r="F39"/>
  <c r="H39"/>
  <c r="J39"/>
  <c r="E84" i="1748"/>
  <c r="E83"/>
  <c r="E82"/>
  <c r="E81"/>
  <c r="E80"/>
  <c r="E79"/>
  <c r="J225"/>
  <c r="A10"/>
  <c r="G39"/>
  <c r="I39"/>
  <c r="I225"/>
  <c r="F39"/>
  <c r="H39"/>
  <c r="J39"/>
  <c r="E84" i="1747"/>
  <c r="E83"/>
  <c r="E82"/>
  <c r="E81"/>
  <c r="E80"/>
  <c r="E79"/>
  <c r="J225"/>
  <c r="A10"/>
  <c r="G39"/>
  <c r="I39"/>
  <c r="I225"/>
  <c r="F39"/>
  <c r="H39"/>
  <c r="J39"/>
  <c r="E84" i="1746"/>
  <c r="E83"/>
  <c r="E82"/>
  <c r="E81"/>
  <c r="E80"/>
  <c r="E79"/>
  <c r="J225"/>
  <c r="A10"/>
  <c r="G39"/>
  <c r="I39"/>
  <c r="I225"/>
  <c r="F39"/>
  <c r="H39"/>
  <c r="J39"/>
  <c r="A11" i="1745"/>
  <c r="E84"/>
  <c r="E83"/>
  <c r="E82"/>
  <c r="E81"/>
  <c r="E80"/>
  <c r="E79"/>
  <c r="I225"/>
  <c r="F39"/>
  <c r="H39"/>
  <c r="J39"/>
  <c r="J225"/>
  <c r="G39"/>
  <c r="I39"/>
  <c r="E84" i="1744"/>
  <c r="E83"/>
  <c r="E82"/>
  <c r="E81"/>
  <c r="E80"/>
  <c r="E79"/>
  <c r="J225"/>
  <c r="A10"/>
  <c r="G39"/>
  <c r="I39"/>
  <c r="I225"/>
  <c r="F39"/>
  <c r="H39"/>
  <c r="J39"/>
  <c r="A11" i="1743"/>
  <c r="E84"/>
  <c r="E83"/>
  <c r="E82"/>
  <c r="E81"/>
  <c r="E80"/>
  <c r="E79"/>
  <c r="I225"/>
  <c r="F39"/>
  <c r="H39"/>
  <c r="J39"/>
  <c r="J225"/>
  <c r="G39"/>
  <c r="I39"/>
  <c r="A11" i="1742"/>
  <c r="E84"/>
  <c r="E83"/>
  <c r="E82"/>
  <c r="E81"/>
  <c r="E80"/>
  <c r="E79"/>
  <c r="I225"/>
  <c r="F39"/>
  <c r="H39"/>
  <c r="J39"/>
  <c r="J225"/>
  <c r="G39"/>
  <c r="I39"/>
  <c r="E84" i="1741"/>
  <c r="E83"/>
  <c r="E82"/>
  <c r="E81"/>
  <c r="E80"/>
  <c r="E79"/>
  <c r="J225"/>
  <c r="A10"/>
  <c r="G39"/>
  <c r="I39"/>
  <c r="I225"/>
  <c r="F39"/>
  <c r="H39"/>
  <c r="J39"/>
  <c r="A11" i="1740"/>
  <c r="E84"/>
  <c r="E83"/>
  <c r="E82"/>
  <c r="E81"/>
  <c r="E80"/>
  <c r="E79"/>
  <c r="I225"/>
  <c r="F39"/>
  <c r="H39"/>
  <c r="J39"/>
  <c r="J225"/>
  <c r="G39"/>
  <c r="I39"/>
  <c r="E84" i="1739"/>
  <c r="E83"/>
  <c r="E82"/>
  <c r="E81"/>
  <c r="E80"/>
  <c r="E79"/>
  <c r="J225"/>
  <c r="A10"/>
  <c r="G39"/>
  <c r="I39"/>
  <c r="I225"/>
  <c r="F39"/>
  <c r="H39"/>
  <c r="J39"/>
  <c r="A11" i="1738"/>
  <c r="E84"/>
  <c r="E83"/>
  <c r="E82"/>
  <c r="E81"/>
  <c r="E80"/>
  <c r="E79"/>
  <c r="I225"/>
  <c r="F39"/>
  <c r="H39"/>
  <c r="J39"/>
  <c r="J225"/>
  <c r="G39"/>
  <c r="I39"/>
  <c r="E84" i="1737"/>
  <c r="E83"/>
  <c r="E82"/>
  <c r="E81"/>
  <c r="E80"/>
  <c r="E79"/>
  <c r="J225"/>
  <c r="A10"/>
  <c r="G39"/>
  <c r="I39"/>
  <c r="I225"/>
  <c r="F39"/>
  <c r="H39"/>
  <c r="J39"/>
  <c r="A11" i="1736"/>
  <c r="E84"/>
  <c r="E83"/>
  <c r="E82"/>
  <c r="E81"/>
  <c r="E80"/>
  <c r="E79"/>
  <c r="I225"/>
  <c r="F39"/>
  <c r="H39"/>
  <c r="J39"/>
  <c r="J225"/>
  <c r="G39"/>
  <c r="I39"/>
  <c r="E84" i="1735"/>
  <c r="E83"/>
  <c r="E82"/>
  <c r="E81"/>
  <c r="E80"/>
  <c r="E79"/>
  <c r="J225"/>
  <c r="A10"/>
  <c r="G39"/>
  <c r="I39"/>
  <c r="I225"/>
  <c r="F39"/>
  <c r="H39"/>
  <c r="J39"/>
  <c r="E84" i="1734"/>
  <c r="E83"/>
  <c r="E82"/>
  <c r="E81"/>
  <c r="E80"/>
  <c r="E79"/>
  <c r="J225"/>
  <c r="A10"/>
  <c r="G39"/>
  <c r="I39"/>
  <c r="I225"/>
  <c r="F39"/>
  <c r="H39"/>
  <c r="J39"/>
  <c r="H24" i="1747"/>
  <c r="H24" i="1749"/>
  <c r="H24" i="1748"/>
  <c r="H24" i="1746"/>
  <c r="H24" i="1745"/>
  <c r="H24" i="1744"/>
  <c r="H24" i="1743"/>
  <c r="H24" i="1742"/>
  <c r="H24" i="1741"/>
  <c r="H24" i="1740"/>
  <c r="F296" s="1"/>
  <c r="H24" i="1739"/>
  <c r="H188" s="1"/>
  <c r="H24" i="1738"/>
  <c r="H188" s="1"/>
  <c r="H24" i="1737"/>
  <c r="F296" s="1"/>
  <c r="H24" i="1736"/>
  <c r="H188" s="1"/>
  <c r="H24" i="1735"/>
  <c r="F296" s="1"/>
  <c r="H24" i="1734"/>
  <c r="H188" s="1"/>
  <c r="I24" i="1749"/>
  <c r="I24" i="1748"/>
  <c r="I24" i="1747"/>
  <c r="I24" i="1746"/>
  <c r="I24" i="1745"/>
  <c r="I24" i="1744"/>
  <c r="I24" i="1743"/>
  <c r="I24" i="1742"/>
  <c r="I24" i="1741"/>
  <c r="I24" i="1740"/>
  <c r="I188" s="1"/>
  <c r="I24" i="1739"/>
  <c r="I296" s="1"/>
  <c r="I24" i="1738"/>
  <c r="I188" s="1"/>
  <c r="I24" i="1737"/>
  <c r="I188" s="1"/>
  <c r="I24" i="1736"/>
  <c r="I296" s="1"/>
  <c r="I24" i="1735"/>
  <c r="I296" s="1"/>
  <c r="I24" i="1734"/>
  <c r="I296" s="1"/>
  <c r="J24" i="1749"/>
  <c r="J24" i="1748"/>
  <c r="J24" i="1747"/>
  <c r="J24" i="1746"/>
  <c r="J24" i="1745"/>
  <c r="J24" i="1744"/>
  <c r="J24" i="1743"/>
  <c r="J24" i="1742"/>
  <c r="J24" i="1741"/>
  <c r="J24" i="1740"/>
  <c r="L296" s="1"/>
  <c r="J24" i="1739"/>
  <c r="J188" s="1"/>
  <c r="J24" i="1738"/>
  <c r="J188" s="1"/>
  <c r="J24" i="1737"/>
  <c r="L296" s="1"/>
  <c r="J24" i="1736"/>
  <c r="J188" s="1"/>
  <c r="J24" i="1735"/>
  <c r="L296" s="1"/>
  <c r="J24" i="1734"/>
  <c r="J188" s="1"/>
  <c r="J188" i="1741" l="1"/>
  <c r="L296"/>
  <c r="L296" i="1743"/>
  <c r="J188"/>
  <c r="J188" i="1745"/>
  <c r="L296"/>
  <c r="J188" i="1747"/>
  <c r="L296"/>
  <c r="J188" i="1749"/>
  <c r="L296"/>
  <c r="I296" i="1741"/>
  <c r="I188"/>
  <c r="I296" i="1743"/>
  <c r="I188"/>
  <c r="I188" i="1745"/>
  <c r="I296"/>
  <c r="I296" i="1747"/>
  <c r="I188"/>
  <c r="I296" i="1749"/>
  <c r="I188"/>
  <c r="H188" i="1741"/>
  <c r="F296"/>
  <c r="F296" i="1743"/>
  <c r="H188"/>
  <c r="H188" i="1745"/>
  <c r="F296"/>
  <c r="F296" i="1748"/>
  <c r="H188"/>
  <c r="H188" i="1747"/>
  <c r="F296"/>
  <c r="I188" i="1734"/>
  <c r="L296"/>
  <c r="F296"/>
  <c r="I188" i="1735"/>
  <c r="J188"/>
  <c r="H188"/>
  <c r="L296" i="1736"/>
  <c r="F296"/>
  <c r="I188"/>
  <c r="I296" i="1737"/>
  <c r="J188"/>
  <c r="H188"/>
  <c r="L296" i="1738"/>
  <c r="F296"/>
  <c r="I296"/>
  <c r="I188" i="1739"/>
  <c r="L296"/>
  <c r="F296"/>
  <c r="J188" i="1740"/>
  <c r="H188"/>
  <c r="I296"/>
  <c r="L296" i="1742"/>
  <c r="J188"/>
  <c r="L296" i="1744"/>
  <c r="J188"/>
  <c r="L296" i="1746"/>
  <c r="J188"/>
  <c r="L296" i="1748"/>
  <c r="J188"/>
  <c r="I188" i="1742"/>
  <c r="I296"/>
  <c r="I188" i="1744"/>
  <c r="I296"/>
  <c r="I188" i="1746"/>
  <c r="I296"/>
  <c r="I188" i="1748"/>
  <c r="I296"/>
  <c r="F296" i="1742"/>
  <c r="H188"/>
  <c r="H188" i="1744"/>
  <c r="F296"/>
  <c r="F296" i="1746"/>
  <c r="H188"/>
  <c r="H188" i="1749"/>
  <c r="F296"/>
  <c r="A11"/>
  <c r="E98"/>
  <c r="A11" i="1748"/>
  <c r="E98"/>
  <c r="A11" i="1747"/>
  <c r="E98"/>
  <c r="A11" i="1746"/>
  <c r="E98"/>
  <c r="E98" i="1745"/>
  <c r="A12"/>
  <c r="A11" i="1744"/>
  <c r="E98"/>
  <c r="E98" i="1743"/>
  <c r="A12"/>
  <c r="E98" i="1742"/>
  <c r="A12"/>
  <c r="A11" i="1741"/>
  <c r="E98"/>
  <c r="E98" i="1740"/>
  <c r="A12"/>
  <c r="A11" i="1739"/>
  <c r="E98"/>
  <c r="E98" i="1738"/>
  <c r="A12"/>
  <c r="A11" i="1737"/>
  <c r="E98"/>
  <c r="E98" i="1736"/>
  <c r="A12"/>
  <c r="A11" i="1735"/>
  <c r="E98"/>
  <c r="A11" i="1734"/>
  <c r="E98"/>
  <c r="K32" i="5"/>
  <c r="A12" i="1749" l="1"/>
  <c r="A12" i="1748"/>
  <c r="A12" i="1747"/>
  <c r="A12" i="1746"/>
  <c r="A13" i="1745"/>
  <c r="A12" i="1744"/>
  <c r="A13" i="1743"/>
  <c r="A13" i="1742"/>
  <c r="A12" i="1741"/>
  <c r="A13" i="1740"/>
  <c r="A12" i="1739"/>
  <c r="A13" i="1738"/>
  <c r="A12" i="1737"/>
  <c r="A13" i="1736"/>
  <c r="A12" i="1735"/>
  <c r="A12" i="1734"/>
  <c r="A13" i="1749" l="1"/>
  <c r="A13" i="1748"/>
  <c r="A13" i="1747"/>
  <c r="A13" i="1746"/>
  <c r="A14" i="1745"/>
  <c r="A13" i="1744"/>
  <c r="A14" i="1743"/>
  <c r="A14" i="1742"/>
  <c r="A13" i="1741"/>
  <c r="A14" i="1740"/>
  <c r="A13" i="1739"/>
  <c r="A14" i="1738"/>
  <c r="A13" i="1737"/>
  <c r="A14" i="1736"/>
  <c r="A13" i="1735"/>
  <c r="A13" i="1734"/>
  <c r="E31" i="5"/>
  <c r="F31"/>
  <c r="G31"/>
  <c r="H31"/>
  <c r="I31"/>
  <c r="J31"/>
  <c r="K31"/>
  <c r="L31"/>
  <c r="M31"/>
  <c r="N31"/>
  <c r="O31"/>
  <c r="P31"/>
  <c r="Q31"/>
  <c r="R31"/>
  <c r="S31"/>
  <c r="D31"/>
  <c r="A14" i="1749" l="1"/>
  <c r="A14" i="1748"/>
  <c r="A14" i="1747"/>
  <c r="A14" i="1746"/>
  <c r="A15" i="1745"/>
  <c r="A14" i="1744"/>
  <c r="A15" i="1743"/>
  <c r="A15" i="1742"/>
  <c r="A14" i="1741"/>
  <c r="A15" i="1740"/>
  <c r="A14" i="1739"/>
  <c r="A15" i="1738"/>
  <c r="A14" i="1737"/>
  <c r="A15" i="1736"/>
  <c r="A14" i="1735"/>
  <c r="A14" i="1734"/>
  <c r="E32" i="5"/>
  <c r="F32"/>
  <c r="G32"/>
  <c r="H32"/>
  <c r="I32"/>
  <c r="J32"/>
  <c r="L32"/>
  <c r="M32"/>
  <c r="N32"/>
  <c r="O32"/>
  <c r="P32"/>
  <c r="Q32"/>
  <c r="R32"/>
  <c r="S32"/>
  <c r="D32"/>
  <c r="A15" i="1749" l="1"/>
  <c r="A15" i="1748"/>
  <c r="A15" i="1747"/>
  <c r="A15" i="1746"/>
  <c r="A16" i="1745"/>
  <c r="A15" i="1744"/>
  <c r="A16" i="1743"/>
  <c r="A16" i="1742"/>
  <c r="A15" i="1741"/>
  <c r="A16" i="1740"/>
  <c r="A15" i="1739"/>
  <c r="A16" i="1738"/>
  <c r="A15" i="1737"/>
  <c r="A16" i="1736"/>
  <c r="A15" i="1735"/>
  <c r="A15" i="1734"/>
  <c r="A16" i="1749" l="1"/>
  <c r="A16" i="1748"/>
  <c r="A16" i="1747"/>
  <c r="A16" i="1746"/>
  <c r="A17" i="1745"/>
  <c r="A16" i="1744"/>
  <c r="A17" i="1743"/>
  <c r="A17" i="1742"/>
  <c r="A16" i="1741"/>
  <c r="A17" i="1740"/>
  <c r="A16" i="1739"/>
  <c r="A17" i="1738"/>
  <c r="A16" i="1737"/>
  <c r="A17" i="1736"/>
  <c r="A16" i="1735"/>
  <c r="A16" i="1734"/>
  <c r="M24" i="5"/>
  <c r="E12" i="1740" s="1"/>
  <c r="E61" s="1"/>
  <c r="N24" i="5"/>
  <c r="E12" i="1739" s="1"/>
  <c r="E61" s="1"/>
  <c r="O24" i="5"/>
  <c r="E12" i="1738" s="1"/>
  <c r="E61" s="1"/>
  <c r="M25" i="5"/>
  <c r="E13" i="1740" s="1"/>
  <c r="E55" s="1"/>
  <c r="N25" i="5"/>
  <c r="E13" i="1739" s="1"/>
  <c r="E55" s="1"/>
  <c r="O25" i="5"/>
  <c r="E13" i="1738" s="1"/>
  <c r="E55" s="1"/>
  <c r="M23" i="5"/>
  <c r="E11" i="1740" s="1"/>
  <c r="E30" i="5"/>
  <c r="F30"/>
  <c r="G30"/>
  <c r="H30"/>
  <c r="I30"/>
  <c r="J30"/>
  <c r="K30"/>
  <c r="L30"/>
  <c r="M30"/>
  <c r="N30"/>
  <c r="O30"/>
  <c r="P30"/>
  <c r="Q30"/>
  <c r="R30"/>
  <c r="S30"/>
  <c r="H33"/>
  <c r="I33"/>
  <c r="J33"/>
  <c r="K33"/>
  <c r="L33"/>
  <c r="M33"/>
  <c r="N33"/>
  <c r="O33"/>
  <c r="P33"/>
  <c r="Q33"/>
  <c r="R33"/>
  <c r="S33"/>
  <c r="G33"/>
  <c r="F33"/>
  <c r="E33"/>
  <c r="D33"/>
  <c r="E135" i="1738" l="1"/>
  <c r="E59"/>
  <c r="E182"/>
  <c r="E156"/>
  <c r="F55"/>
  <c r="E182" i="1740"/>
  <c r="E156"/>
  <c r="F55"/>
  <c r="E135"/>
  <c r="E59"/>
  <c r="E58"/>
  <c r="E53"/>
  <c r="F53" s="1"/>
  <c r="G53" s="1"/>
  <c r="H53" s="1"/>
  <c r="I53" s="1"/>
  <c r="J53" s="1"/>
  <c r="E182" i="1739"/>
  <c r="E156"/>
  <c r="E59"/>
  <c r="E135"/>
  <c r="F55"/>
  <c r="A17" i="1749"/>
  <c r="A17" i="1748"/>
  <c r="A17" i="1747"/>
  <c r="A17" i="1746"/>
  <c r="A18" i="1745"/>
  <c r="A17" i="1744"/>
  <c r="A18" i="1743"/>
  <c r="A18" i="1742"/>
  <c r="A17" i="1741"/>
  <c r="A18" i="1740"/>
  <c r="A17" i="1739"/>
  <c r="A18" i="1738"/>
  <c r="A17" i="1737"/>
  <c r="A18" i="1736"/>
  <c r="A17" i="1735"/>
  <c r="A17" i="1734"/>
  <c r="D30" i="5"/>
  <c r="Q25"/>
  <c r="E13" i="1736" s="1"/>
  <c r="E55" s="1"/>
  <c r="Q24" i="5"/>
  <c r="E12" i="1736" s="1"/>
  <c r="E61" s="1"/>
  <c r="E12" i="5"/>
  <c r="F12"/>
  <c r="G12"/>
  <c r="H12"/>
  <c r="I12"/>
  <c r="D12"/>
  <c r="C7"/>
  <c r="C6"/>
  <c r="C8"/>
  <c r="C5"/>
  <c r="C4"/>
  <c r="I245" i="1749" l="1"/>
  <c r="I245" i="1748"/>
  <c r="H212" i="1747"/>
  <c r="I245" i="1746"/>
  <c r="I245" i="1745"/>
  <c r="H212" i="1744"/>
  <c r="H212" i="1743"/>
  <c r="I245" i="1742"/>
  <c r="I245" i="1741"/>
  <c r="I245" i="1740"/>
  <c r="H212" i="1739"/>
  <c r="I245" i="1738"/>
  <c r="I245" i="1737"/>
  <c r="H212" i="1749"/>
  <c r="H212" i="1748"/>
  <c r="I245" i="1747"/>
  <c r="H212" i="1746"/>
  <c r="H212" i="1745"/>
  <c r="I245" i="1744"/>
  <c r="I245" i="1743"/>
  <c r="H212" i="1742"/>
  <c r="H212" i="1741"/>
  <c r="H212" i="1740"/>
  <c r="I245" i="1739"/>
  <c r="H212" i="1738"/>
  <c r="H212" i="1737"/>
  <c r="I245" i="1736"/>
  <c r="H212" i="1735"/>
  <c r="H212" i="1734"/>
  <c r="H212" i="1736"/>
  <c r="I245" i="1735"/>
  <c r="I245" i="1734"/>
  <c r="E115" i="1749"/>
  <c r="E113"/>
  <c r="E111"/>
  <c r="E78"/>
  <c r="E76"/>
  <c r="E74"/>
  <c r="E115" i="1748"/>
  <c r="E113"/>
  <c r="E111"/>
  <c r="E77"/>
  <c r="E75"/>
  <c r="E73"/>
  <c r="E116" i="1747"/>
  <c r="E114"/>
  <c r="E112"/>
  <c r="E78"/>
  <c r="E76"/>
  <c r="E74"/>
  <c r="E115" i="1746"/>
  <c r="E113"/>
  <c r="E111"/>
  <c r="E78"/>
  <c r="E76"/>
  <c r="E74"/>
  <c r="E115" i="1745"/>
  <c r="E113"/>
  <c r="E111"/>
  <c r="E77"/>
  <c r="E75"/>
  <c r="E73"/>
  <c r="E114" i="1744"/>
  <c r="E112"/>
  <c r="E77"/>
  <c r="E75"/>
  <c r="E73"/>
  <c r="E116" i="1743"/>
  <c r="E114"/>
  <c r="E112"/>
  <c r="E78"/>
  <c r="E76"/>
  <c r="E74"/>
  <c r="E116" i="1742"/>
  <c r="E115"/>
  <c r="E113"/>
  <c r="E111"/>
  <c r="E77"/>
  <c r="E75"/>
  <c r="E73"/>
  <c r="E115" i="1741"/>
  <c r="E113"/>
  <c r="E111"/>
  <c r="E78"/>
  <c r="E76"/>
  <c r="E74"/>
  <c r="E116" i="1740"/>
  <c r="E113"/>
  <c r="E111"/>
  <c r="E77"/>
  <c r="E75"/>
  <c r="E73"/>
  <c r="E116" i="1739"/>
  <c r="E114"/>
  <c r="E112"/>
  <c r="E78"/>
  <c r="E76"/>
  <c r="E74"/>
  <c r="E115" i="1738"/>
  <c r="E113"/>
  <c r="E111"/>
  <c r="E78"/>
  <c r="E76"/>
  <c r="E74"/>
  <c r="E116" i="1737"/>
  <c r="E115"/>
  <c r="E114"/>
  <c r="E112"/>
  <c r="E77"/>
  <c r="E75"/>
  <c r="E73"/>
  <c r="E116" i="1749"/>
  <c r="E114"/>
  <c r="E112"/>
  <c r="E77"/>
  <c r="E75"/>
  <c r="E73"/>
  <c r="E116" i="1748"/>
  <c r="E114"/>
  <c r="E112"/>
  <c r="E78"/>
  <c r="E76"/>
  <c r="E74"/>
  <c r="E115" i="1747"/>
  <c r="E113"/>
  <c r="E111"/>
  <c r="E77"/>
  <c r="E75"/>
  <c r="E73"/>
  <c r="E116" i="1746"/>
  <c r="E114"/>
  <c r="E112"/>
  <c r="E77"/>
  <c r="E75"/>
  <c r="E73"/>
  <c r="E116" i="1745"/>
  <c r="E114"/>
  <c r="E112"/>
  <c r="E78"/>
  <c r="E76"/>
  <c r="E74"/>
  <c r="E116" i="1744"/>
  <c r="E115"/>
  <c r="E113"/>
  <c r="E111"/>
  <c r="E78"/>
  <c r="E76"/>
  <c r="E74"/>
  <c r="E115" i="1743"/>
  <c r="E113"/>
  <c r="E111"/>
  <c r="E77"/>
  <c r="E75"/>
  <c r="E73"/>
  <c r="E114" i="1742"/>
  <c r="E112"/>
  <c r="E78"/>
  <c r="E76"/>
  <c r="E74"/>
  <c r="E116" i="1741"/>
  <c r="E114"/>
  <c r="E112"/>
  <c r="E77"/>
  <c r="E75"/>
  <c r="E73"/>
  <c r="E115" i="1740"/>
  <c r="E114"/>
  <c r="E112"/>
  <c r="E78"/>
  <c r="E76"/>
  <c r="E74"/>
  <c r="E115" i="1739"/>
  <c r="E113"/>
  <c r="E111"/>
  <c r="E77"/>
  <c r="E75"/>
  <c r="E73"/>
  <c r="E116" i="1738"/>
  <c r="E114"/>
  <c r="E112"/>
  <c r="E77"/>
  <c r="E75"/>
  <c r="E73"/>
  <c r="E113" i="1737"/>
  <c r="E111"/>
  <c r="E78"/>
  <c r="E76"/>
  <c r="E74"/>
  <c r="E116" i="1736"/>
  <c r="E113"/>
  <c r="E111"/>
  <c r="E77"/>
  <c r="E75"/>
  <c r="E73"/>
  <c r="E114" i="1735"/>
  <c r="E111"/>
  <c r="E77"/>
  <c r="E75"/>
  <c r="E73"/>
  <c r="E116" i="1734"/>
  <c r="E115"/>
  <c r="E113"/>
  <c r="E111"/>
  <c r="E78"/>
  <c r="E76"/>
  <c r="E74"/>
  <c r="E115" i="1736"/>
  <c r="E114"/>
  <c r="E112"/>
  <c r="E78"/>
  <c r="E76"/>
  <c r="E74"/>
  <c r="E116" i="1735"/>
  <c r="E115"/>
  <c r="E113"/>
  <c r="E112"/>
  <c r="E78"/>
  <c r="E76"/>
  <c r="E74"/>
  <c r="E114" i="1734"/>
  <c r="E112"/>
  <c r="E77"/>
  <c r="E75"/>
  <c r="E73"/>
  <c r="J52" i="1749"/>
  <c r="J52" i="1747"/>
  <c r="J52" i="1746"/>
  <c r="J52" i="1743"/>
  <c r="J52" i="1742"/>
  <c r="J52" i="1741"/>
  <c r="J52" i="1739"/>
  <c r="J52" i="1738"/>
  <c r="J52" i="1748"/>
  <c r="J52" i="1745"/>
  <c r="J52" i="1744"/>
  <c r="J52" i="1740"/>
  <c r="J52" i="1737"/>
  <c r="J52" i="1734"/>
  <c r="J52" i="1736"/>
  <c r="J52" i="1735"/>
  <c r="H52" i="1749"/>
  <c r="H52" i="1747"/>
  <c r="H52" i="1746"/>
  <c r="H52" i="1743"/>
  <c r="H52" i="1742"/>
  <c r="H52" i="1741"/>
  <c r="H52" i="1739"/>
  <c r="H52" i="1738"/>
  <c r="H52" i="1748"/>
  <c r="H52" i="1745"/>
  <c r="H52" i="1744"/>
  <c r="H52" i="1740"/>
  <c r="H52" i="1737"/>
  <c r="H52" i="1734"/>
  <c r="H52" i="1736"/>
  <c r="H52" i="1735"/>
  <c r="F52" i="1749"/>
  <c r="F52" i="1747"/>
  <c r="F52" i="1746"/>
  <c r="F52" i="1743"/>
  <c r="F52" i="1742"/>
  <c r="F52" i="1741"/>
  <c r="F52" i="1739"/>
  <c r="F52" i="1738"/>
  <c r="F52" i="1748"/>
  <c r="F52" i="1745"/>
  <c r="F52" i="1744"/>
  <c r="F52" i="1740"/>
  <c r="F52" i="1737"/>
  <c r="F52" i="1734"/>
  <c r="F52" i="1736"/>
  <c r="F52" i="1735"/>
  <c r="E135" i="1736"/>
  <c r="E59"/>
  <c r="E182"/>
  <c r="E156"/>
  <c r="F55"/>
  <c r="F182" i="1738"/>
  <c r="G55"/>
  <c r="F156"/>
  <c r="F135"/>
  <c r="F59"/>
  <c r="E52" i="1748"/>
  <c r="E52" i="1745"/>
  <c r="E52" i="1744"/>
  <c r="E52" i="1740"/>
  <c r="E52" i="1737"/>
  <c r="E52" i="1749"/>
  <c r="E52" i="1747"/>
  <c r="E52" i="1746"/>
  <c r="E52" i="1743"/>
  <c r="E52" i="1742"/>
  <c r="E52" i="1741"/>
  <c r="E52" i="1739"/>
  <c r="E52" i="1738"/>
  <c r="E52" i="1736"/>
  <c r="E52" i="1735"/>
  <c r="E52" i="1734"/>
  <c r="I52" i="1748"/>
  <c r="I52" i="1745"/>
  <c r="I52" i="1744"/>
  <c r="I52" i="1740"/>
  <c r="I52" i="1737"/>
  <c r="I52" i="1749"/>
  <c r="I52" i="1747"/>
  <c r="I52" i="1746"/>
  <c r="I52" i="1743"/>
  <c r="I52" i="1742"/>
  <c r="I52" i="1741"/>
  <c r="I52" i="1739"/>
  <c r="I52" i="1738"/>
  <c r="I52" i="1736"/>
  <c r="I52" i="1735"/>
  <c r="I52" i="1734"/>
  <c r="G52" i="1748"/>
  <c r="G52" i="1745"/>
  <c r="G52" i="1744"/>
  <c r="G52" i="1740"/>
  <c r="G52" i="1737"/>
  <c r="G52" i="1749"/>
  <c r="G52" i="1747"/>
  <c r="G52" i="1746"/>
  <c r="G52" i="1743"/>
  <c r="G52" i="1742"/>
  <c r="G52" i="1741"/>
  <c r="G52" i="1739"/>
  <c r="G52" i="1738"/>
  <c r="G52" i="1736"/>
  <c r="G52" i="1735"/>
  <c r="G52" i="1734"/>
  <c r="F156" i="1739"/>
  <c r="F135"/>
  <c r="G55"/>
  <c r="F182"/>
  <c r="F59"/>
  <c r="E134" i="1740"/>
  <c r="E140"/>
  <c r="E169" s="1"/>
  <c r="E60"/>
  <c r="E141" s="1"/>
  <c r="E172" s="1"/>
  <c r="F156"/>
  <c r="F135"/>
  <c r="F59"/>
  <c r="F182"/>
  <c r="G55"/>
  <c r="A18" i="1749"/>
  <c r="A18" i="1748"/>
  <c r="A18" i="1747"/>
  <c r="A18" i="1746"/>
  <c r="E18" i="1745"/>
  <c r="E149" s="1"/>
  <c r="A19"/>
  <c r="A18" i="1744"/>
  <c r="E18" i="1743"/>
  <c r="E149" s="1"/>
  <c r="A19"/>
  <c r="E18" i="1742"/>
  <c r="E149" s="1"/>
  <c r="A19"/>
  <c r="A18" i="1741"/>
  <c r="E18" i="1740"/>
  <c r="E149" s="1"/>
  <c r="A19"/>
  <c r="A18" i="1739"/>
  <c r="E18" i="1738"/>
  <c r="E149" s="1"/>
  <c r="A19"/>
  <c r="A18" i="1737"/>
  <c r="E18" i="1736"/>
  <c r="E149" s="1"/>
  <c r="A19"/>
  <c r="A18" i="1735"/>
  <c r="A18" i="1734"/>
  <c r="L20" i="5"/>
  <c r="E8" i="1741" s="1"/>
  <c r="M20" i="5"/>
  <c r="E8" i="1740" s="1"/>
  <c r="N20" i="5"/>
  <c r="E8" i="1739" s="1"/>
  <c r="O20" i="5"/>
  <c r="E8" i="1738" s="1"/>
  <c r="P20" i="5"/>
  <c r="E8" i="1737" s="1"/>
  <c r="Q20" i="5"/>
  <c r="E8" i="1736" s="1"/>
  <c r="R20" i="5"/>
  <c r="E8" i="1735" s="1"/>
  <c r="S20" i="5"/>
  <c r="E8" i="1734" s="1"/>
  <c r="L21" i="5"/>
  <c r="E9" i="1741" s="1"/>
  <c r="M21" i="5"/>
  <c r="E9" i="1740" s="1"/>
  <c r="N21" i="5"/>
  <c r="E9" i="1739" s="1"/>
  <c r="O21" i="5"/>
  <c r="E9" i="1738" s="1"/>
  <c r="P21" i="5"/>
  <c r="E9" i="1737" s="1"/>
  <c r="Q21" i="5"/>
  <c r="E9" i="1736" s="1"/>
  <c r="R21" i="5"/>
  <c r="E9" i="1735" s="1"/>
  <c r="S21" i="5"/>
  <c r="E9" i="1734" s="1"/>
  <c r="L22" i="5"/>
  <c r="E10" i="1741" s="1"/>
  <c r="E227" s="1"/>
  <c r="M22" i="5"/>
  <c r="E10" i="1740" s="1"/>
  <c r="N22" i="5"/>
  <c r="E10" i="1739" s="1"/>
  <c r="E227" s="1"/>
  <c r="O22" i="5"/>
  <c r="E10" i="1738" s="1"/>
  <c r="P22" i="5"/>
  <c r="E10" i="1737" s="1"/>
  <c r="E227" s="1"/>
  <c r="Q22" i="5"/>
  <c r="E10" i="1736" s="1"/>
  <c r="R22" i="5"/>
  <c r="E10" i="1735" s="1"/>
  <c r="E227" s="1"/>
  <c r="S22" i="5"/>
  <c r="E10" i="1734" s="1"/>
  <c r="E227" s="1"/>
  <c r="L23" i="5"/>
  <c r="E11" i="1741" s="1"/>
  <c r="N23" i="5"/>
  <c r="E11" i="1739" s="1"/>
  <c r="O23" i="5"/>
  <c r="E11" i="1738" s="1"/>
  <c r="P23" i="5"/>
  <c r="E11" i="1737" s="1"/>
  <c r="Q23" i="5"/>
  <c r="E11" i="1736" s="1"/>
  <c r="R23" i="5"/>
  <c r="E11" i="1735" s="1"/>
  <c r="S23" i="5"/>
  <c r="E11" i="1734" s="1"/>
  <c r="L24" i="5"/>
  <c r="E12" i="1741" s="1"/>
  <c r="E61" s="1"/>
  <c r="P24" i="5"/>
  <c r="E12" i="1737" s="1"/>
  <c r="E61" s="1"/>
  <c r="R24" i="5"/>
  <c r="E12" i="1735" s="1"/>
  <c r="E61" s="1"/>
  <c r="S24" i="5"/>
  <c r="E12" i="1734" s="1"/>
  <c r="E61" s="1"/>
  <c r="L25" i="5"/>
  <c r="E13" i="1741" s="1"/>
  <c r="E55" s="1"/>
  <c r="P25" i="5"/>
  <c r="E13" i="1737" s="1"/>
  <c r="E55" s="1"/>
  <c r="R25" i="5"/>
  <c r="E13" i="1735" s="1"/>
  <c r="E55" s="1"/>
  <c r="S25" i="5"/>
  <c r="E13" i="1734" s="1"/>
  <c r="E55" s="1"/>
  <c r="L26" i="5"/>
  <c r="E14" i="1741" s="1"/>
  <c r="M26" i="5"/>
  <c r="E14" i="1740" s="1"/>
  <c r="N26" i="5"/>
  <c r="E14" i="1739" s="1"/>
  <c r="O26" i="5"/>
  <c r="E14" i="1738" s="1"/>
  <c r="P26" i="5"/>
  <c r="E14" i="1737" s="1"/>
  <c r="Q26" i="5"/>
  <c r="E14" i="1736" s="1"/>
  <c r="R26" i="5"/>
  <c r="E14" i="1735" s="1"/>
  <c r="S26" i="5"/>
  <c r="E14" i="1734" s="1"/>
  <c r="L27" i="5"/>
  <c r="E15" i="1741" s="1"/>
  <c r="M27" i="5"/>
  <c r="E15" i="1740" s="1"/>
  <c r="E154" s="1"/>
  <c r="N27" i="5"/>
  <c r="E15" i="1739" s="1"/>
  <c r="E154" s="1"/>
  <c r="O27" i="5"/>
  <c r="E15" i="1738" s="1"/>
  <c r="P27" i="5"/>
  <c r="E15" i="1737" s="1"/>
  <c r="E154" s="1"/>
  <c r="Q27" i="5"/>
  <c r="E15" i="1736" s="1"/>
  <c r="R27" i="5"/>
  <c r="E15" i="1735" s="1"/>
  <c r="E154" s="1"/>
  <c r="S27" i="5"/>
  <c r="E15" i="1734" s="1"/>
  <c r="E154" s="1"/>
  <c r="L28" i="5"/>
  <c r="E16" i="1741" s="1"/>
  <c r="E153" s="1"/>
  <c r="M28" i="5"/>
  <c r="E16" i="1740" s="1"/>
  <c r="N28" i="5"/>
  <c r="E16" i="1739" s="1"/>
  <c r="E153" s="1"/>
  <c r="O28" i="5"/>
  <c r="E16" i="1738" s="1"/>
  <c r="E153" s="1"/>
  <c r="P28" i="5"/>
  <c r="E16" i="1737" s="1"/>
  <c r="D152" s="1"/>
  <c r="Q28" i="5"/>
  <c r="E16" i="1736" s="1"/>
  <c r="E153" s="1"/>
  <c r="R28" i="5"/>
  <c r="E16" i="1735" s="1"/>
  <c r="E153" s="1"/>
  <c r="S28" i="5"/>
  <c r="E16" i="1734" s="1"/>
  <c r="E153" s="1"/>
  <c r="L29" i="5"/>
  <c r="E17" i="1741" s="1"/>
  <c r="E165" s="1"/>
  <c r="M29" i="5"/>
  <c r="E17" i="1740" s="1"/>
  <c r="E165" s="1"/>
  <c r="N29" i="5"/>
  <c r="E17" i="1739" s="1"/>
  <c r="E165" s="1"/>
  <c r="O29" i="5"/>
  <c r="E17" i="1738" s="1"/>
  <c r="E165" s="1"/>
  <c r="F165" s="1"/>
  <c r="P29" i="5"/>
  <c r="E17" i="1737" s="1"/>
  <c r="Q29" i="5"/>
  <c r="E17" i="1736" s="1"/>
  <c r="E165" s="1"/>
  <c r="F165" s="1"/>
  <c r="R29" i="5"/>
  <c r="E17" i="1735" s="1"/>
  <c r="E165" s="1"/>
  <c r="S29" i="5"/>
  <c r="E17" i="1734" s="1"/>
  <c r="E165" s="1"/>
  <c r="K21" i="5"/>
  <c r="E9" i="1742" s="1"/>
  <c r="K22" i="5"/>
  <c r="E10" i="1742" s="1"/>
  <c r="K23" i="5"/>
  <c r="E11" i="1742" s="1"/>
  <c r="K24" i="5"/>
  <c r="E12" i="1742" s="1"/>
  <c r="E61" s="1"/>
  <c r="K25" i="5"/>
  <c r="E13" i="1742" s="1"/>
  <c r="E55" s="1"/>
  <c r="K26" i="5"/>
  <c r="E14" i="1742" s="1"/>
  <c r="K27" i="5"/>
  <c r="E15" i="1742" s="1"/>
  <c r="E154" s="1"/>
  <c r="K28" i="5"/>
  <c r="E16" i="1742" s="1"/>
  <c r="K29" i="5"/>
  <c r="E17" i="1742" s="1"/>
  <c r="J20" i="5"/>
  <c r="E8" i="1743" s="1"/>
  <c r="K20" i="5"/>
  <c r="E8" i="1742" s="1"/>
  <c r="E227" s="1"/>
  <c r="J21" i="5"/>
  <c r="E9" i="1743" s="1"/>
  <c r="J22" i="5"/>
  <c r="E10" i="1743" s="1"/>
  <c r="D27" i="5"/>
  <c r="E15" i="1749" s="1"/>
  <c r="E154" s="1"/>
  <c r="E27" i="5"/>
  <c r="E15" i="1748" s="1"/>
  <c r="E154" s="1"/>
  <c r="F27" i="5"/>
  <c r="E15" i="1747" s="1"/>
  <c r="E154" s="1"/>
  <c r="G27" i="5"/>
  <c r="E15" i="1746" s="1"/>
  <c r="E154" s="1"/>
  <c r="H27" i="5"/>
  <c r="E15" i="1745" s="1"/>
  <c r="I27" i="5"/>
  <c r="E15" i="1744" s="1"/>
  <c r="E154" s="1"/>
  <c r="J27" i="5"/>
  <c r="E15" i="1743" s="1"/>
  <c r="D28" i="5"/>
  <c r="E16" i="1749" s="1"/>
  <c r="E153" s="1"/>
  <c r="E28" i="5"/>
  <c r="E16" i="1748" s="1"/>
  <c r="D152" s="1"/>
  <c r="F28" i="5"/>
  <c r="E16" i="1747" s="1"/>
  <c r="D152" s="1"/>
  <c r="G28" i="5"/>
  <c r="E16" i="1746" s="1"/>
  <c r="D152" s="1"/>
  <c r="H28" i="5"/>
  <c r="E16" i="1745" s="1"/>
  <c r="E153" s="1"/>
  <c r="I28" i="5"/>
  <c r="E16" i="1744" s="1"/>
  <c r="E153" s="1"/>
  <c r="J28" i="5"/>
  <c r="E16" i="1743" s="1"/>
  <c r="E153" s="1"/>
  <c r="D29" i="5"/>
  <c r="E17" i="1749" s="1"/>
  <c r="E29" i="5"/>
  <c r="E17" i="1748" s="1"/>
  <c r="F29" i="5"/>
  <c r="E17" i="1747" s="1"/>
  <c r="G29" i="5"/>
  <c r="E17" i="1746" s="1"/>
  <c r="H29" i="5"/>
  <c r="E17" i="1745" s="1"/>
  <c r="I29" i="5"/>
  <c r="E17" i="1744" s="1"/>
  <c r="J29" i="5"/>
  <c r="E17" i="1743" s="1"/>
  <c r="D26" i="5"/>
  <c r="E14" i="1749" s="1"/>
  <c r="E26" i="5"/>
  <c r="E14" i="1748" s="1"/>
  <c r="F26" i="5"/>
  <c r="E14" i="1747" s="1"/>
  <c r="G26" i="5"/>
  <c r="E14" i="1746" s="1"/>
  <c r="H26" i="5"/>
  <c r="E14" i="1745" s="1"/>
  <c r="I26" i="5"/>
  <c r="E14" i="1744" s="1"/>
  <c r="J26" i="5"/>
  <c r="E14" i="1743" s="1"/>
  <c r="D23" i="5"/>
  <c r="E11" i="1749" s="1"/>
  <c r="E23" i="5"/>
  <c r="E11" i="1748" s="1"/>
  <c r="F23" i="5"/>
  <c r="E11" i="1747" s="1"/>
  <c r="G23" i="5"/>
  <c r="E11" i="1746" s="1"/>
  <c r="H23" i="5"/>
  <c r="E11" i="1745" s="1"/>
  <c r="I23" i="5"/>
  <c r="E11" i="1744" s="1"/>
  <c r="J23" i="5"/>
  <c r="E11" i="1743" s="1"/>
  <c r="D24" i="5"/>
  <c r="E12" i="1749" s="1"/>
  <c r="E61" s="1"/>
  <c r="E24" i="5"/>
  <c r="E12" i="1748" s="1"/>
  <c r="E61" s="1"/>
  <c r="F24" i="5"/>
  <c r="E12" i="1747" s="1"/>
  <c r="E61" s="1"/>
  <c r="G24" i="5"/>
  <c r="E12" i="1746" s="1"/>
  <c r="E61" s="1"/>
  <c r="H24" i="5"/>
  <c r="E12" i="1745" s="1"/>
  <c r="E61" s="1"/>
  <c r="I24" i="5"/>
  <c r="E12" i="1744" s="1"/>
  <c r="E61" s="1"/>
  <c r="J24" i="5"/>
  <c r="E12" i="1743" s="1"/>
  <c r="E61" s="1"/>
  <c r="D25" i="5"/>
  <c r="E13" i="1749" s="1"/>
  <c r="E55" s="1"/>
  <c r="E25" i="5"/>
  <c r="E13" i="1748" s="1"/>
  <c r="E55" s="1"/>
  <c r="F25" i="5"/>
  <c r="E13" i="1747" s="1"/>
  <c r="E55" s="1"/>
  <c r="G25" i="5"/>
  <c r="E13" i="1746" s="1"/>
  <c r="E55" s="1"/>
  <c r="H25" i="5"/>
  <c r="E13" i="1745" s="1"/>
  <c r="E55" s="1"/>
  <c r="I25" i="5"/>
  <c r="E13" i="1744" s="1"/>
  <c r="E55" s="1"/>
  <c r="J25" i="5"/>
  <c r="E13" i="1743" s="1"/>
  <c r="E55" s="1"/>
  <c r="D21" i="5"/>
  <c r="E9" i="1749" s="1"/>
  <c r="E21" i="5"/>
  <c r="E9" i="1748" s="1"/>
  <c r="F21" i="5"/>
  <c r="E9" i="1747" s="1"/>
  <c r="G21" i="5"/>
  <c r="E9" i="1746" s="1"/>
  <c r="H21" i="5"/>
  <c r="E9" i="1745" s="1"/>
  <c r="I21" i="5"/>
  <c r="E9" i="1744" s="1"/>
  <c r="D22" i="5"/>
  <c r="E10" i="1749" s="1"/>
  <c r="E22" i="5"/>
  <c r="E10" i="1748" s="1"/>
  <c r="F22" i="5"/>
  <c r="E10" i="1747" s="1"/>
  <c r="G22" i="5"/>
  <c r="E10" i="1746" s="1"/>
  <c r="H22" i="5"/>
  <c r="E10" i="1745" s="1"/>
  <c r="I22" i="5"/>
  <c r="E10" i="1744" s="1"/>
  <c r="E20" i="5"/>
  <c r="E8" i="1748" s="1"/>
  <c r="F20" i="5"/>
  <c r="E8" i="1747" s="1"/>
  <c r="G20" i="5"/>
  <c r="E8" i="1746" s="1"/>
  <c r="H20" i="5"/>
  <c r="E8" i="1745" s="1"/>
  <c r="I20" i="5"/>
  <c r="E8" i="1744" s="1"/>
  <c r="D20" i="5"/>
  <c r="E8" i="1749" s="1"/>
  <c r="E165" i="1744" l="1"/>
  <c r="E165" i="1748"/>
  <c r="E227" i="1744"/>
  <c r="E227" i="1746"/>
  <c r="E227" i="1748"/>
  <c r="E165" i="1747"/>
  <c r="E165" i="1749"/>
  <c r="E227" i="1743"/>
  <c r="E135" i="1744"/>
  <c r="F55"/>
  <c r="E182"/>
  <c r="E156"/>
  <c r="E59"/>
  <c r="E182" i="1746"/>
  <c r="E156"/>
  <c r="E59"/>
  <c r="E135"/>
  <c r="F55"/>
  <c r="E135" i="1748"/>
  <c r="F55"/>
  <c r="E182"/>
  <c r="E156"/>
  <c r="E59"/>
  <c r="E58" i="1744"/>
  <c r="E53"/>
  <c r="F53" s="1"/>
  <c r="G53" s="1"/>
  <c r="H53" s="1"/>
  <c r="I53" s="1"/>
  <c r="J53" s="1"/>
  <c r="E58" i="1746"/>
  <c r="E53"/>
  <c r="F53" s="1"/>
  <c r="G53" s="1"/>
  <c r="H53" s="1"/>
  <c r="I53" s="1"/>
  <c r="J53" s="1"/>
  <c r="E53" i="1748"/>
  <c r="F53" s="1"/>
  <c r="G53" s="1"/>
  <c r="H53" s="1"/>
  <c r="I53" s="1"/>
  <c r="J53" s="1"/>
  <c r="E58"/>
  <c r="E135" i="1742"/>
  <c r="E59"/>
  <c r="E182"/>
  <c r="E156"/>
  <c r="F55"/>
  <c r="E58"/>
  <c r="E53"/>
  <c r="F53" s="1"/>
  <c r="G53" s="1"/>
  <c r="H53" s="1"/>
  <c r="I53" s="1"/>
  <c r="J53" s="1"/>
  <c r="D152" i="1741"/>
  <c r="E154"/>
  <c r="E182" i="1735"/>
  <c r="E156"/>
  <c r="E59"/>
  <c r="E135"/>
  <c r="F55"/>
  <c r="E135" i="1741"/>
  <c r="F55"/>
  <c r="E182"/>
  <c r="E156"/>
  <c r="E59"/>
  <c r="E58" i="1735"/>
  <c r="E53"/>
  <c r="F53" s="1"/>
  <c r="G53" s="1"/>
  <c r="H53" s="1"/>
  <c r="I53" s="1"/>
  <c r="J53" s="1"/>
  <c r="E58" i="1737"/>
  <c r="E53"/>
  <c r="F53" s="1"/>
  <c r="G53" s="1"/>
  <c r="H53" s="1"/>
  <c r="I53" s="1"/>
  <c r="J53" s="1"/>
  <c r="E58" i="1739"/>
  <c r="E53"/>
  <c r="F53" s="1"/>
  <c r="G53" s="1"/>
  <c r="H53" s="1"/>
  <c r="I53" s="1"/>
  <c r="J53" s="1"/>
  <c r="G182"/>
  <c r="G156"/>
  <c r="G59"/>
  <c r="G135"/>
  <c r="H55"/>
  <c r="G135" i="1738"/>
  <c r="G59"/>
  <c r="G182"/>
  <c r="G156"/>
  <c r="H55"/>
  <c r="F182" i="1736"/>
  <c r="G55"/>
  <c r="F156"/>
  <c r="F135"/>
  <c r="F59"/>
  <c r="E87" i="1734"/>
  <c r="E93" s="1"/>
  <c r="F69" s="1"/>
  <c r="F75"/>
  <c r="G75" s="1"/>
  <c r="H75" s="1"/>
  <c r="I75" s="1"/>
  <c r="J75" s="1"/>
  <c r="E118"/>
  <c r="E124" s="1"/>
  <c r="F106" s="1"/>
  <c r="F118" s="1"/>
  <c r="F112"/>
  <c r="G112" s="1"/>
  <c r="H112" s="1"/>
  <c r="I112" s="1"/>
  <c r="J112" s="1"/>
  <c r="E86" i="1735"/>
  <c r="E92" s="1"/>
  <c r="F68" s="1"/>
  <c r="F74"/>
  <c r="G74" s="1"/>
  <c r="H74" s="1"/>
  <c r="I74" s="1"/>
  <c r="J74" s="1"/>
  <c r="E90"/>
  <c r="E96" s="1"/>
  <c r="F72" s="1"/>
  <c r="F78"/>
  <c r="G78" s="1"/>
  <c r="H78" s="1"/>
  <c r="I78" s="1"/>
  <c r="J78" s="1"/>
  <c r="E119"/>
  <c r="E125" s="1"/>
  <c r="F107" s="1"/>
  <c r="F119" s="1"/>
  <c r="F125" s="1"/>
  <c r="G107" s="1"/>
  <c r="G119" s="1"/>
  <c r="F113"/>
  <c r="G113" s="1"/>
  <c r="H113" s="1"/>
  <c r="I113" s="1"/>
  <c r="J113" s="1"/>
  <c r="E122"/>
  <c r="E128" s="1"/>
  <c r="F110" s="1"/>
  <c r="F122" s="1"/>
  <c r="F128" s="1"/>
  <c r="G110" s="1"/>
  <c r="G122" s="1"/>
  <c r="G128" s="1"/>
  <c r="H110" s="1"/>
  <c r="H122" s="1"/>
  <c r="H128" s="1"/>
  <c r="I110" s="1"/>
  <c r="I122" s="1"/>
  <c r="I128" s="1"/>
  <c r="J110" s="1"/>
  <c r="J122" s="1"/>
  <c r="F116"/>
  <c r="G116" s="1"/>
  <c r="H116" s="1"/>
  <c r="I116" s="1"/>
  <c r="J116" s="1"/>
  <c r="F76" i="1736"/>
  <c r="G76" s="1"/>
  <c r="H76" s="1"/>
  <c r="I76" s="1"/>
  <c r="J76" s="1"/>
  <c r="E88"/>
  <c r="E94" s="1"/>
  <c r="F70" s="1"/>
  <c r="E118"/>
  <c r="E124" s="1"/>
  <c r="F106" s="1"/>
  <c r="F118" s="1"/>
  <c r="F112"/>
  <c r="G112" s="1"/>
  <c r="H112" s="1"/>
  <c r="I112" s="1"/>
  <c r="J112" s="1"/>
  <c r="E121"/>
  <c r="E127" s="1"/>
  <c r="F109" s="1"/>
  <c r="F121" s="1"/>
  <c r="F127" s="1"/>
  <c r="G109" s="1"/>
  <c r="G121" s="1"/>
  <c r="G127" s="1"/>
  <c r="H109" s="1"/>
  <c r="H121" s="1"/>
  <c r="H127" s="1"/>
  <c r="I109" s="1"/>
  <c r="I121" s="1"/>
  <c r="F115"/>
  <c r="G115" s="1"/>
  <c r="H115" s="1"/>
  <c r="I115" s="1"/>
  <c r="J115" s="1"/>
  <c r="E88" i="1734"/>
  <c r="E94" s="1"/>
  <c r="F70" s="1"/>
  <c r="F76"/>
  <c r="G76" s="1"/>
  <c r="H76" s="1"/>
  <c r="I76" s="1"/>
  <c r="J76" s="1"/>
  <c r="E117"/>
  <c r="F111"/>
  <c r="G111" s="1"/>
  <c r="H111" s="1"/>
  <c r="I111" s="1"/>
  <c r="J111" s="1"/>
  <c r="E121"/>
  <c r="E127" s="1"/>
  <c r="F109" s="1"/>
  <c r="F121" s="1"/>
  <c r="F127" s="1"/>
  <c r="G109" s="1"/>
  <c r="G121" s="1"/>
  <c r="G127" s="1"/>
  <c r="H109" s="1"/>
  <c r="H121" s="1"/>
  <c r="H127" s="1"/>
  <c r="I109" s="1"/>
  <c r="I121" s="1"/>
  <c r="F115"/>
  <c r="G115" s="1"/>
  <c r="H115" s="1"/>
  <c r="I115" s="1"/>
  <c r="J115" s="1"/>
  <c r="E85" i="1735"/>
  <c r="F73"/>
  <c r="G73" s="1"/>
  <c r="H73" s="1"/>
  <c r="I73" s="1"/>
  <c r="J73" s="1"/>
  <c r="E89"/>
  <c r="E95" s="1"/>
  <c r="F71" s="1"/>
  <c r="F77"/>
  <c r="G77" s="1"/>
  <c r="H77" s="1"/>
  <c r="I77" s="1"/>
  <c r="J77" s="1"/>
  <c r="E120"/>
  <c r="E126" s="1"/>
  <c r="F108" s="1"/>
  <c r="F120" s="1"/>
  <c r="F126" s="1"/>
  <c r="G108" s="1"/>
  <c r="G120" s="1"/>
  <c r="G126" s="1"/>
  <c r="H108" s="1"/>
  <c r="H120" s="1"/>
  <c r="F114"/>
  <c r="G114" s="1"/>
  <c r="H114" s="1"/>
  <c r="I114" s="1"/>
  <c r="J114" s="1"/>
  <c r="F75" i="1736"/>
  <c r="G75" s="1"/>
  <c r="H75" s="1"/>
  <c r="I75" s="1"/>
  <c r="J75" s="1"/>
  <c r="E87"/>
  <c r="E93" s="1"/>
  <c r="F69" s="1"/>
  <c r="E117"/>
  <c r="F111"/>
  <c r="G111" s="1"/>
  <c r="H111" s="1"/>
  <c r="I111" s="1"/>
  <c r="J111" s="1"/>
  <c r="E122"/>
  <c r="E128" s="1"/>
  <c r="F110" s="1"/>
  <c r="F122" s="1"/>
  <c r="F128" s="1"/>
  <c r="G110" s="1"/>
  <c r="G122" s="1"/>
  <c r="G128" s="1"/>
  <c r="H110" s="1"/>
  <c r="H122" s="1"/>
  <c r="H128" s="1"/>
  <c r="I110" s="1"/>
  <c r="I122" s="1"/>
  <c r="I128" s="1"/>
  <c r="J110" s="1"/>
  <c r="J122" s="1"/>
  <c r="F116"/>
  <c r="G116" s="1"/>
  <c r="H116" s="1"/>
  <c r="I116" s="1"/>
  <c r="J116" s="1"/>
  <c r="E88" i="1737"/>
  <c r="E94" s="1"/>
  <c r="F70" s="1"/>
  <c r="F76"/>
  <c r="G76" s="1"/>
  <c r="H76" s="1"/>
  <c r="I76" s="1"/>
  <c r="J76" s="1"/>
  <c r="E117"/>
  <c r="F111"/>
  <c r="G111" s="1"/>
  <c r="H111" s="1"/>
  <c r="I111" s="1"/>
  <c r="J111" s="1"/>
  <c r="F73" i="1738"/>
  <c r="G73" s="1"/>
  <c r="H73" s="1"/>
  <c r="I73" s="1"/>
  <c r="J73" s="1"/>
  <c r="E85"/>
  <c r="F77"/>
  <c r="G77" s="1"/>
  <c r="H77" s="1"/>
  <c r="I77" s="1"/>
  <c r="J77" s="1"/>
  <c r="E89"/>
  <c r="E95" s="1"/>
  <c r="F71" s="1"/>
  <c r="F114"/>
  <c r="G114" s="1"/>
  <c r="H114" s="1"/>
  <c r="I114" s="1"/>
  <c r="J114" s="1"/>
  <c r="E120"/>
  <c r="E126" s="1"/>
  <c r="F108" s="1"/>
  <c r="E85" i="1739"/>
  <c r="F73"/>
  <c r="G73" s="1"/>
  <c r="H73" s="1"/>
  <c r="I73" s="1"/>
  <c r="J73" s="1"/>
  <c r="E89"/>
  <c r="E95" s="1"/>
  <c r="F71" s="1"/>
  <c r="F77"/>
  <c r="G77" s="1"/>
  <c r="H77" s="1"/>
  <c r="I77" s="1"/>
  <c r="J77" s="1"/>
  <c r="E119"/>
  <c r="E125" s="1"/>
  <c r="F107" s="1"/>
  <c r="F119" s="1"/>
  <c r="F125" s="1"/>
  <c r="G107" s="1"/>
  <c r="G119" s="1"/>
  <c r="F113"/>
  <c r="G113" s="1"/>
  <c r="H113" s="1"/>
  <c r="I113" s="1"/>
  <c r="J113" s="1"/>
  <c r="F74" i="1740"/>
  <c r="G74" s="1"/>
  <c r="H74" s="1"/>
  <c r="I74" s="1"/>
  <c r="J74" s="1"/>
  <c r="E86"/>
  <c r="E92" s="1"/>
  <c r="F68" s="1"/>
  <c r="F78"/>
  <c r="G78" s="1"/>
  <c r="H78" s="1"/>
  <c r="I78" s="1"/>
  <c r="J78" s="1"/>
  <c r="E90"/>
  <c r="E96" s="1"/>
  <c r="F72" s="1"/>
  <c r="E120"/>
  <c r="E126" s="1"/>
  <c r="F108" s="1"/>
  <c r="F120" s="1"/>
  <c r="F126" s="1"/>
  <c r="G108" s="1"/>
  <c r="G120" s="1"/>
  <c r="G126" s="1"/>
  <c r="H108" s="1"/>
  <c r="H120" s="1"/>
  <c r="F114"/>
  <c r="G114" s="1"/>
  <c r="H114" s="1"/>
  <c r="I114" s="1"/>
  <c r="J114" s="1"/>
  <c r="E85" i="1741"/>
  <c r="F73"/>
  <c r="G73" s="1"/>
  <c r="H73" s="1"/>
  <c r="I73" s="1"/>
  <c r="J73" s="1"/>
  <c r="E89"/>
  <c r="E95" s="1"/>
  <c r="F71" s="1"/>
  <c r="F77"/>
  <c r="G77" s="1"/>
  <c r="H77" s="1"/>
  <c r="I77" s="1"/>
  <c r="J77" s="1"/>
  <c r="E120"/>
  <c r="E126" s="1"/>
  <c r="F108" s="1"/>
  <c r="F120" s="1"/>
  <c r="F126" s="1"/>
  <c r="G108" s="1"/>
  <c r="G120" s="1"/>
  <c r="G126" s="1"/>
  <c r="H108" s="1"/>
  <c r="H120" s="1"/>
  <c r="F114"/>
  <c r="G114" s="1"/>
  <c r="H114" s="1"/>
  <c r="I114" s="1"/>
  <c r="J114" s="1"/>
  <c r="F74" i="1742"/>
  <c r="G74" s="1"/>
  <c r="H74" s="1"/>
  <c r="I74" s="1"/>
  <c r="J74" s="1"/>
  <c r="E86"/>
  <c r="E92" s="1"/>
  <c r="F68" s="1"/>
  <c r="F78"/>
  <c r="G78" s="1"/>
  <c r="H78" s="1"/>
  <c r="I78" s="1"/>
  <c r="J78" s="1"/>
  <c r="E90"/>
  <c r="E96" s="1"/>
  <c r="F72" s="1"/>
  <c r="E120"/>
  <c r="E126" s="1"/>
  <c r="F108" s="1"/>
  <c r="F120" s="1"/>
  <c r="F126" s="1"/>
  <c r="G108" s="1"/>
  <c r="G120" s="1"/>
  <c r="G126" s="1"/>
  <c r="H108" s="1"/>
  <c r="H120" s="1"/>
  <c r="F114"/>
  <c r="G114" s="1"/>
  <c r="H114" s="1"/>
  <c r="I114" s="1"/>
  <c r="J114" s="1"/>
  <c r="F75" i="1743"/>
  <c r="G75" s="1"/>
  <c r="H75" s="1"/>
  <c r="I75" s="1"/>
  <c r="J75" s="1"/>
  <c r="E87"/>
  <c r="E93" s="1"/>
  <c r="F69" s="1"/>
  <c r="E117"/>
  <c r="F111"/>
  <c r="G111" s="1"/>
  <c r="H111" s="1"/>
  <c r="I111" s="1"/>
  <c r="J111" s="1"/>
  <c r="F115"/>
  <c r="G115" s="1"/>
  <c r="H115" s="1"/>
  <c r="I115" s="1"/>
  <c r="J115" s="1"/>
  <c r="E121"/>
  <c r="E127" s="1"/>
  <c r="F109" s="1"/>
  <c r="E88" i="1744"/>
  <c r="E94" s="1"/>
  <c r="F70" s="1"/>
  <c r="F76"/>
  <c r="G76" s="1"/>
  <c r="H76" s="1"/>
  <c r="I76" s="1"/>
  <c r="J76" s="1"/>
  <c r="E117"/>
  <c r="F111"/>
  <c r="G111" s="1"/>
  <c r="H111" s="1"/>
  <c r="I111" s="1"/>
  <c r="J111" s="1"/>
  <c r="E121"/>
  <c r="E127" s="1"/>
  <c r="F109" s="1"/>
  <c r="F121" s="1"/>
  <c r="F127" s="1"/>
  <c r="G109" s="1"/>
  <c r="G121" s="1"/>
  <c r="G127" s="1"/>
  <c r="H109" s="1"/>
  <c r="H121" s="1"/>
  <c r="H127" s="1"/>
  <c r="I109" s="1"/>
  <c r="I121" s="1"/>
  <c r="F115"/>
  <c r="G115" s="1"/>
  <c r="H115" s="1"/>
  <c r="I115" s="1"/>
  <c r="J115" s="1"/>
  <c r="F74" i="1745"/>
  <c r="G74" s="1"/>
  <c r="H74" s="1"/>
  <c r="I74" s="1"/>
  <c r="J74" s="1"/>
  <c r="E86"/>
  <c r="E92" s="1"/>
  <c r="F68" s="1"/>
  <c r="F78"/>
  <c r="G78" s="1"/>
  <c r="H78" s="1"/>
  <c r="I78" s="1"/>
  <c r="J78" s="1"/>
  <c r="E90"/>
  <c r="E96" s="1"/>
  <c r="F72" s="1"/>
  <c r="F114"/>
  <c r="G114" s="1"/>
  <c r="H114" s="1"/>
  <c r="I114" s="1"/>
  <c r="J114" s="1"/>
  <c r="E120"/>
  <c r="E126" s="1"/>
  <c r="F108" s="1"/>
  <c r="E85" i="1746"/>
  <c r="F73"/>
  <c r="G73" s="1"/>
  <c r="H73" s="1"/>
  <c r="I73" s="1"/>
  <c r="J73" s="1"/>
  <c r="E89"/>
  <c r="E95" s="1"/>
  <c r="F71" s="1"/>
  <c r="F77"/>
  <c r="G77" s="1"/>
  <c r="H77" s="1"/>
  <c r="I77" s="1"/>
  <c r="J77" s="1"/>
  <c r="F114"/>
  <c r="G114" s="1"/>
  <c r="H114" s="1"/>
  <c r="I114" s="1"/>
  <c r="J114" s="1"/>
  <c r="E120"/>
  <c r="E126" s="1"/>
  <c r="F108" s="1"/>
  <c r="E85" i="1747"/>
  <c r="F73"/>
  <c r="G73" s="1"/>
  <c r="H73" s="1"/>
  <c r="I73" s="1"/>
  <c r="J73" s="1"/>
  <c r="E89"/>
  <c r="E95" s="1"/>
  <c r="F71" s="1"/>
  <c r="F77"/>
  <c r="G77" s="1"/>
  <c r="H77" s="1"/>
  <c r="I77" s="1"/>
  <c r="J77" s="1"/>
  <c r="E119"/>
  <c r="E125" s="1"/>
  <c r="F107" s="1"/>
  <c r="F119" s="1"/>
  <c r="F125" s="1"/>
  <c r="G107" s="1"/>
  <c r="G119" s="1"/>
  <c r="F113"/>
  <c r="G113" s="1"/>
  <c r="H113" s="1"/>
  <c r="I113" s="1"/>
  <c r="J113" s="1"/>
  <c r="E86" i="1748"/>
  <c r="E92" s="1"/>
  <c r="F68" s="1"/>
  <c r="F74"/>
  <c r="G74" s="1"/>
  <c r="H74" s="1"/>
  <c r="I74" s="1"/>
  <c r="J74" s="1"/>
  <c r="E90"/>
  <c r="E96" s="1"/>
  <c r="F72" s="1"/>
  <c r="F78"/>
  <c r="G78" s="1"/>
  <c r="H78" s="1"/>
  <c r="I78" s="1"/>
  <c r="J78" s="1"/>
  <c r="F114"/>
  <c r="G114" s="1"/>
  <c r="H114" s="1"/>
  <c r="I114" s="1"/>
  <c r="J114" s="1"/>
  <c r="E120"/>
  <c r="E126" s="1"/>
  <c r="F108" s="1"/>
  <c r="E85" i="1749"/>
  <c r="F73"/>
  <c r="G73" s="1"/>
  <c r="H73" s="1"/>
  <c r="I73" s="1"/>
  <c r="J73" s="1"/>
  <c r="E89"/>
  <c r="E95" s="1"/>
  <c r="F71" s="1"/>
  <c r="F77"/>
  <c r="G77" s="1"/>
  <c r="H77" s="1"/>
  <c r="I77" s="1"/>
  <c r="J77" s="1"/>
  <c r="E120"/>
  <c r="E126" s="1"/>
  <c r="F108" s="1"/>
  <c r="F120" s="1"/>
  <c r="F126" s="1"/>
  <c r="G108" s="1"/>
  <c r="F114"/>
  <c r="G114" s="1"/>
  <c r="H114" s="1"/>
  <c r="I114" s="1"/>
  <c r="J114" s="1"/>
  <c r="E85" i="1737"/>
  <c r="F73"/>
  <c r="G73" s="1"/>
  <c r="H73" s="1"/>
  <c r="I73" s="1"/>
  <c r="J73" s="1"/>
  <c r="E89"/>
  <c r="E95" s="1"/>
  <c r="F71" s="1"/>
  <c r="F77"/>
  <c r="G77" s="1"/>
  <c r="H77" s="1"/>
  <c r="I77" s="1"/>
  <c r="J77" s="1"/>
  <c r="E120"/>
  <c r="E126" s="1"/>
  <c r="F108" s="1"/>
  <c r="F120" s="1"/>
  <c r="F126" s="1"/>
  <c r="G108" s="1"/>
  <c r="G120" s="1"/>
  <c r="G126" s="1"/>
  <c r="H108" s="1"/>
  <c r="H120" s="1"/>
  <c r="F114"/>
  <c r="G114" s="1"/>
  <c r="H114" s="1"/>
  <c r="I114" s="1"/>
  <c r="J114" s="1"/>
  <c r="E122"/>
  <c r="E128" s="1"/>
  <c r="F110" s="1"/>
  <c r="F122" s="1"/>
  <c r="F128" s="1"/>
  <c r="G110" s="1"/>
  <c r="G122" s="1"/>
  <c r="G128" s="1"/>
  <c r="H110" s="1"/>
  <c r="H122" s="1"/>
  <c r="H128" s="1"/>
  <c r="I110" s="1"/>
  <c r="I122" s="1"/>
  <c r="I128" s="1"/>
  <c r="J110" s="1"/>
  <c r="J122" s="1"/>
  <c r="F116"/>
  <c r="G116" s="1"/>
  <c r="H116" s="1"/>
  <c r="I116" s="1"/>
  <c r="J116" s="1"/>
  <c r="F76" i="1738"/>
  <c r="G76" s="1"/>
  <c r="H76" s="1"/>
  <c r="I76" s="1"/>
  <c r="J76" s="1"/>
  <c r="E88"/>
  <c r="E94" s="1"/>
  <c r="F70" s="1"/>
  <c r="E117"/>
  <c r="F111"/>
  <c r="G111" s="1"/>
  <c r="H111" s="1"/>
  <c r="I111" s="1"/>
  <c r="J111" s="1"/>
  <c r="F115"/>
  <c r="G115" s="1"/>
  <c r="H115" s="1"/>
  <c r="I115" s="1"/>
  <c r="J115" s="1"/>
  <c r="E121"/>
  <c r="E127" s="1"/>
  <c r="F109" s="1"/>
  <c r="E88" i="1739"/>
  <c r="E94" s="1"/>
  <c r="F70" s="1"/>
  <c r="F76"/>
  <c r="G76" s="1"/>
  <c r="H76" s="1"/>
  <c r="I76" s="1"/>
  <c r="J76" s="1"/>
  <c r="E118"/>
  <c r="E124" s="1"/>
  <c r="F106" s="1"/>
  <c r="F118" s="1"/>
  <c r="F112"/>
  <c r="G112" s="1"/>
  <c r="H112" s="1"/>
  <c r="I112" s="1"/>
  <c r="J112" s="1"/>
  <c r="E122"/>
  <c r="E128" s="1"/>
  <c r="F110" s="1"/>
  <c r="F122" s="1"/>
  <c r="F128" s="1"/>
  <c r="G110" s="1"/>
  <c r="G122" s="1"/>
  <c r="G128" s="1"/>
  <c r="H110" s="1"/>
  <c r="H122" s="1"/>
  <c r="H128" s="1"/>
  <c r="I110" s="1"/>
  <c r="I122" s="1"/>
  <c r="I128" s="1"/>
  <c r="J110" s="1"/>
  <c r="J122" s="1"/>
  <c r="F116"/>
  <c r="G116" s="1"/>
  <c r="H116" s="1"/>
  <c r="I116" s="1"/>
  <c r="J116" s="1"/>
  <c r="F75" i="1740"/>
  <c r="G75" s="1"/>
  <c r="H75" s="1"/>
  <c r="I75" s="1"/>
  <c r="J75" s="1"/>
  <c r="E87"/>
  <c r="E93" s="1"/>
  <c r="F69" s="1"/>
  <c r="E117"/>
  <c r="F111"/>
  <c r="G111" s="1"/>
  <c r="H111" s="1"/>
  <c r="I111" s="1"/>
  <c r="J111" s="1"/>
  <c r="E122"/>
  <c r="E128" s="1"/>
  <c r="F110" s="1"/>
  <c r="F122" s="1"/>
  <c r="F128" s="1"/>
  <c r="G110" s="1"/>
  <c r="G122" s="1"/>
  <c r="G128" s="1"/>
  <c r="H110" s="1"/>
  <c r="H122" s="1"/>
  <c r="H128" s="1"/>
  <c r="I110" s="1"/>
  <c r="I122" s="1"/>
  <c r="I128" s="1"/>
  <c r="J110" s="1"/>
  <c r="J122" s="1"/>
  <c r="F116"/>
  <c r="G116" s="1"/>
  <c r="H116" s="1"/>
  <c r="I116" s="1"/>
  <c r="J116" s="1"/>
  <c r="E88" i="1741"/>
  <c r="E94" s="1"/>
  <c r="F70" s="1"/>
  <c r="F76"/>
  <c r="G76" s="1"/>
  <c r="H76" s="1"/>
  <c r="I76" s="1"/>
  <c r="J76" s="1"/>
  <c r="E117"/>
  <c r="F111"/>
  <c r="G111" s="1"/>
  <c r="H111" s="1"/>
  <c r="I111" s="1"/>
  <c r="J111" s="1"/>
  <c r="E121"/>
  <c r="E127" s="1"/>
  <c r="F109" s="1"/>
  <c r="F121" s="1"/>
  <c r="F127" s="1"/>
  <c r="G109" s="1"/>
  <c r="G121" s="1"/>
  <c r="G127" s="1"/>
  <c r="H109" s="1"/>
  <c r="H121" s="1"/>
  <c r="H127" s="1"/>
  <c r="I109" s="1"/>
  <c r="I121" s="1"/>
  <c r="F115"/>
  <c r="G115" s="1"/>
  <c r="H115" s="1"/>
  <c r="I115" s="1"/>
  <c r="J115" s="1"/>
  <c r="F75" i="1742"/>
  <c r="G75" s="1"/>
  <c r="H75" s="1"/>
  <c r="I75" s="1"/>
  <c r="J75" s="1"/>
  <c r="E87"/>
  <c r="E93" s="1"/>
  <c r="F69" s="1"/>
  <c r="E117"/>
  <c r="F111"/>
  <c r="G111" s="1"/>
  <c r="H111" s="1"/>
  <c r="I111" s="1"/>
  <c r="J111" s="1"/>
  <c r="E121"/>
  <c r="E127" s="1"/>
  <c r="F109" s="1"/>
  <c r="F121" s="1"/>
  <c r="F127" s="1"/>
  <c r="G109" s="1"/>
  <c r="G121" s="1"/>
  <c r="G127" s="1"/>
  <c r="H109" s="1"/>
  <c r="H121" s="1"/>
  <c r="H127" s="1"/>
  <c r="I109" s="1"/>
  <c r="I121" s="1"/>
  <c r="F115"/>
  <c r="G115" s="1"/>
  <c r="H115" s="1"/>
  <c r="I115" s="1"/>
  <c r="J115" s="1"/>
  <c r="F74" i="1743"/>
  <c r="G74" s="1"/>
  <c r="H74" s="1"/>
  <c r="I74" s="1"/>
  <c r="J74" s="1"/>
  <c r="E86"/>
  <c r="E92" s="1"/>
  <c r="F68" s="1"/>
  <c r="F78"/>
  <c r="G78" s="1"/>
  <c r="H78" s="1"/>
  <c r="I78" s="1"/>
  <c r="J78" s="1"/>
  <c r="E90"/>
  <c r="E96" s="1"/>
  <c r="F72" s="1"/>
  <c r="E120"/>
  <c r="E126" s="1"/>
  <c r="F108" s="1"/>
  <c r="F120" s="1"/>
  <c r="F126" s="1"/>
  <c r="G108" s="1"/>
  <c r="G120" s="1"/>
  <c r="G126" s="1"/>
  <c r="H108" s="1"/>
  <c r="H120" s="1"/>
  <c r="F114"/>
  <c r="G114" s="1"/>
  <c r="H114" s="1"/>
  <c r="I114" s="1"/>
  <c r="J114" s="1"/>
  <c r="E85" i="1744"/>
  <c r="F73"/>
  <c r="G73" s="1"/>
  <c r="H73" s="1"/>
  <c r="I73" s="1"/>
  <c r="J73" s="1"/>
  <c r="E89"/>
  <c r="E95" s="1"/>
  <c r="F71" s="1"/>
  <c r="F77"/>
  <c r="G77" s="1"/>
  <c r="H77" s="1"/>
  <c r="I77" s="1"/>
  <c r="J77" s="1"/>
  <c r="E120"/>
  <c r="E126" s="1"/>
  <c r="F108" s="1"/>
  <c r="F120" s="1"/>
  <c r="F126" s="1"/>
  <c r="G108" s="1"/>
  <c r="G120" s="1"/>
  <c r="G126" s="1"/>
  <c r="H108" s="1"/>
  <c r="H120" s="1"/>
  <c r="F114"/>
  <c r="G114" s="1"/>
  <c r="H114" s="1"/>
  <c r="I114" s="1"/>
  <c r="J114" s="1"/>
  <c r="F75" i="1745"/>
  <c r="G75" s="1"/>
  <c r="H75" s="1"/>
  <c r="I75" s="1"/>
  <c r="J75" s="1"/>
  <c r="E87"/>
  <c r="E93" s="1"/>
  <c r="F69" s="1"/>
  <c r="E117"/>
  <c r="F111"/>
  <c r="G111" s="1"/>
  <c r="H111" s="1"/>
  <c r="I111" s="1"/>
  <c r="J111" s="1"/>
  <c r="E121"/>
  <c r="E127" s="1"/>
  <c r="F109" s="1"/>
  <c r="F121" s="1"/>
  <c r="F127" s="1"/>
  <c r="G109" s="1"/>
  <c r="G121" s="1"/>
  <c r="G127" s="1"/>
  <c r="H109" s="1"/>
  <c r="H121" s="1"/>
  <c r="H127" s="1"/>
  <c r="I109" s="1"/>
  <c r="I121" s="1"/>
  <c r="F115"/>
  <c r="G115" s="1"/>
  <c r="H115" s="1"/>
  <c r="I115" s="1"/>
  <c r="J115" s="1"/>
  <c r="E88" i="1746"/>
  <c r="E94" s="1"/>
  <c r="F70" s="1"/>
  <c r="F76"/>
  <c r="G76" s="1"/>
  <c r="H76" s="1"/>
  <c r="I76" s="1"/>
  <c r="J76" s="1"/>
  <c r="E117"/>
  <c r="F111"/>
  <c r="G111" s="1"/>
  <c r="H111" s="1"/>
  <c r="I111" s="1"/>
  <c r="J111" s="1"/>
  <c r="F115"/>
  <c r="G115" s="1"/>
  <c r="H115" s="1"/>
  <c r="I115" s="1"/>
  <c r="J115" s="1"/>
  <c r="E121"/>
  <c r="E127" s="1"/>
  <c r="F109" s="1"/>
  <c r="E88" i="1747"/>
  <c r="E94" s="1"/>
  <c r="F70" s="1"/>
  <c r="F76"/>
  <c r="G76" s="1"/>
  <c r="H76" s="1"/>
  <c r="I76" s="1"/>
  <c r="J76" s="1"/>
  <c r="E118"/>
  <c r="E124" s="1"/>
  <c r="F106" s="1"/>
  <c r="F118" s="1"/>
  <c r="F112"/>
  <c r="G112" s="1"/>
  <c r="H112" s="1"/>
  <c r="I112" s="1"/>
  <c r="J112" s="1"/>
  <c r="E122"/>
  <c r="E128" s="1"/>
  <c r="F110" s="1"/>
  <c r="F122" s="1"/>
  <c r="F128" s="1"/>
  <c r="G110" s="1"/>
  <c r="G122" s="1"/>
  <c r="G128" s="1"/>
  <c r="H110" s="1"/>
  <c r="H122" s="1"/>
  <c r="H128" s="1"/>
  <c r="I110" s="1"/>
  <c r="I122" s="1"/>
  <c r="I128" s="1"/>
  <c r="J110" s="1"/>
  <c r="J122" s="1"/>
  <c r="F116"/>
  <c r="G116" s="1"/>
  <c r="H116" s="1"/>
  <c r="I116" s="1"/>
  <c r="J116" s="1"/>
  <c r="E87" i="1748"/>
  <c r="E93" s="1"/>
  <c r="F69" s="1"/>
  <c r="F75"/>
  <c r="G75" s="1"/>
  <c r="H75" s="1"/>
  <c r="I75" s="1"/>
  <c r="J75" s="1"/>
  <c r="E117"/>
  <c r="F111"/>
  <c r="G111" s="1"/>
  <c r="H111" s="1"/>
  <c r="I111" s="1"/>
  <c r="J111" s="1"/>
  <c r="F115"/>
  <c r="G115" s="1"/>
  <c r="H115" s="1"/>
  <c r="I115" s="1"/>
  <c r="J115" s="1"/>
  <c r="E121"/>
  <c r="E127" s="1"/>
  <c r="F109" s="1"/>
  <c r="E88" i="1749"/>
  <c r="E94" s="1"/>
  <c r="F70" s="1"/>
  <c r="F76"/>
  <c r="G76" s="1"/>
  <c r="H76" s="1"/>
  <c r="I76" s="1"/>
  <c r="J76" s="1"/>
  <c r="E117"/>
  <c r="F111"/>
  <c r="G111" s="1"/>
  <c r="H111" s="1"/>
  <c r="I111" s="1"/>
  <c r="J111" s="1"/>
  <c r="E121"/>
  <c r="E127" s="1"/>
  <c r="F109" s="1"/>
  <c r="F121" s="1"/>
  <c r="F127" s="1"/>
  <c r="G109" s="1"/>
  <c r="F115"/>
  <c r="G115" s="1"/>
  <c r="H115" s="1"/>
  <c r="I115" s="1"/>
  <c r="J115" s="1"/>
  <c r="E227" i="1747"/>
  <c r="E227" i="1749"/>
  <c r="E227" i="1745"/>
  <c r="E165" i="1742"/>
  <c r="E227" i="1736"/>
  <c r="E227" i="1738"/>
  <c r="E227" i="1740"/>
  <c r="E153" i="1737"/>
  <c r="D152" i="1744"/>
  <c r="E165" i="1746"/>
  <c r="E153" i="1748"/>
  <c r="D152" i="1749"/>
  <c r="E62" i="1740"/>
  <c r="E135" i="1743"/>
  <c r="E59"/>
  <c r="E182"/>
  <c r="E156"/>
  <c r="F55"/>
  <c r="E135" i="1745"/>
  <c r="E59"/>
  <c r="E182"/>
  <c r="E156"/>
  <c r="F55"/>
  <c r="E135" i="1747"/>
  <c r="F55"/>
  <c r="E182"/>
  <c r="E156"/>
  <c r="E59"/>
  <c r="E135" i="1749"/>
  <c r="F55"/>
  <c r="E182"/>
  <c r="E156"/>
  <c r="E59"/>
  <c r="E58" i="1743"/>
  <c r="E53"/>
  <c r="F53" s="1"/>
  <c r="G53" s="1"/>
  <c r="H53" s="1"/>
  <c r="I53" s="1"/>
  <c r="J53" s="1"/>
  <c r="E58" i="1745"/>
  <c r="E53"/>
  <c r="F53" s="1"/>
  <c r="G53" s="1"/>
  <c r="H53" s="1"/>
  <c r="I53" s="1"/>
  <c r="J53" s="1"/>
  <c r="E58" i="1747"/>
  <c r="E53"/>
  <c r="F53" s="1"/>
  <c r="G53" s="1"/>
  <c r="H53" s="1"/>
  <c r="I53" s="1"/>
  <c r="J53" s="1"/>
  <c r="E58" i="1749"/>
  <c r="E53"/>
  <c r="F53" s="1"/>
  <c r="G53" s="1"/>
  <c r="H53" s="1"/>
  <c r="I53" s="1"/>
  <c r="J53" s="1"/>
  <c r="E154" i="1743"/>
  <c r="D152"/>
  <c r="E154" i="1745"/>
  <c r="D152"/>
  <c r="D152" i="1742"/>
  <c r="E153"/>
  <c r="D152" i="1740"/>
  <c r="E153"/>
  <c r="E154" i="1736"/>
  <c r="D152"/>
  <c r="E154" i="1738"/>
  <c r="D152"/>
  <c r="E182" i="1734"/>
  <c r="E156"/>
  <c r="E59"/>
  <c r="E135"/>
  <c r="F55"/>
  <c r="E135" i="1737"/>
  <c r="F55"/>
  <c r="E182"/>
  <c r="E156"/>
  <c r="E59"/>
  <c r="E58" i="1734"/>
  <c r="E53"/>
  <c r="F53" s="1"/>
  <c r="G53" s="1"/>
  <c r="H53" s="1"/>
  <c r="I53" s="1"/>
  <c r="J53" s="1"/>
  <c r="E58" i="1736"/>
  <c r="E53"/>
  <c r="F53" s="1"/>
  <c r="G53" s="1"/>
  <c r="H53" s="1"/>
  <c r="I53" s="1"/>
  <c r="J53" s="1"/>
  <c r="E53" i="1738"/>
  <c r="F53" s="1"/>
  <c r="G53" s="1"/>
  <c r="H53" s="1"/>
  <c r="I53" s="1"/>
  <c r="J53" s="1"/>
  <c r="E58"/>
  <c r="E58" i="1741"/>
  <c r="E53"/>
  <c r="F53" s="1"/>
  <c r="G53" s="1"/>
  <c r="H53" s="1"/>
  <c r="I53" s="1"/>
  <c r="J53" s="1"/>
  <c r="G182" i="1740"/>
  <c r="G156"/>
  <c r="H55"/>
  <c r="G135"/>
  <c r="G59"/>
  <c r="E136"/>
  <c r="E137" s="1"/>
  <c r="F134" s="1"/>
  <c r="E85" i="1734"/>
  <c r="F73"/>
  <c r="G73" s="1"/>
  <c r="H73" s="1"/>
  <c r="I73" s="1"/>
  <c r="J73" s="1"/>
  <c r="E89"/>
  <c r="E95" s="1"/>
  <c r="F71" s="1"/>
  <c r="F77"/>
  <c r="G77" s="1"/>
  <c r="H77" s="1"/>
  <c r="I77" s="1"/>
  <c r="J77" s="1"/>
  <c r="E120"/>
  <c r="E126" s="1"/>
  <c r="F108" s="1"/>
  <c r="F114"/>
  <c r="G114" s="1"/>
  <c r="H114" s="1"/>
  <c r="I114" s="1"/>
  <c r="J114" s="1"/>
  <c r="E88" i="1735"/>
  <c r="E94" s="1"/>
  <c r="F70" s="1"/>
  <c r="F76"/>
  <c r="G76" s="1"/>
  <c r="H76" s="1"/>
  <c r="I76" s="1"/>
  <c r="J76" s="1"/>
  <c r="E118"/>
  <c r="E124" s="1"/>
  <c r="F106" s="1"/>
  <c r="F112"/>
  <c r="G112" s="1"/>
  <c r="H112" s="1"/>
  <c r="I112" s="1"/>
  <c r="J112" s="1"/>
  <c r="E121"/>
  <c r="E127" s="1"/>
  <c r="F109" s="1"/>
  <c r="F115"/>
  <c r="G115" s="1"/>
  <c r="H115" s="1"/>
  <c r="I115" s="1"/>
  <c r="J115" s="1"/>
  <c r="F74" i="1736"/>
  <c r="G74" s="1"/>
  <c r="H74" s="1"/>
  <c r="I74" s="1"/>
  <c r="J74" s="1"/>
  <c r="E86"/>
  <c r="E92" s="1"/>
  <c r="F68" s="1"/>
  <c r="F78"/>
  <c r="G78" s="1"/>
  <c r="H78" s="1"/>
  <c r="I78" s="1"/>
  <c r="J78" s="1"/>
  <c r="E90"/>
  <c r="E96" s="1"/>
  <c r="F72" s="1"/>
  <c r="E120"/>
  <c r="E126" s="1"/>
  <c r="F108" s="1"/>
  <c r="F114"/>
  <c r="G114" s="1"/>
  <c r="H114" s="1"/>
  <c r="I114" s="1"/>
  <c r="J114" s="1"/>
  <c r="E86" i="1734"/>
  <c r="E92" s="1"/>
  <c r="F68" s="1"/>
  <c r="F74"/>
  <c r="G74" s="1"/>
  <c r="H74" s="1"/>
  <c r="I74" s="1"/>
  <c r="J74" s="1"/>
  <c r="E90"/>
  <c r="E96" s="1"/>
  <c r="F72" s="1"/>
  <c r="F78"/>
  <c r="G78" s="1"/>
  <c r="H78" s="1"/>
  <c r="I78" s="1"/>
  <c r="J78" s="1"/>
  <c r="E119"/>
  <c r="E125" s="1"/>
  <c r="F107" s="1"/>
  <c r="F113"/>
  <c r="G113" s="1"/>
  <c r="H113" s="1"/>
  <c r="I113" s="1"/>
  <c r="J113" s="1"/>
  <c r="E122"/>
  <c r="E128" s="1"/>
  <c r="F110" s="1"/>
  <c r="F116"/>
  <c r="G116" s="1"/>
  <c r="H116" s="1"/>
  <c r="I116" s="1"/>
  <c r="J116" s="1"/>
  <c r="E87" i="1735"/>
  <c r="E93" s="1"/>
  <c r="F69" s="1"/>
  <c r="F75"/>
  <c r="G75" s="1"/>
  <c r="H75" s="1"/>
  <c r="I75" s="1"/>
  <c r="J75" s="1"/>
  <c r="E117"/>
  <c r="E130" s="1"/>
  <c r="F111"/>
  <c r="G111" s="1"/>
  <c r="H111" s="1"/>
  <c r="I111" s="1"/>
  <c r="J111" s="1"/>
  <c r="F73" i="1736"/>
  <c r="G73" s="1"/>
  <c r="H73" s="1"/>
  <c r="I73" s="1"/>
  <c r="J73" s="1"/>
  <c r="E85"/>
  <c r="F77"/>
  <c r="G77" s="1"/>
  <c r="H77" s="1"/>
  <c r="I77" s="1"/>
  <c r="J77" s="1"/>
  <c r="E89"/>
  <c r="E95" s="1"/>
  <c r="F71" s="1"/>
  <c r="E119"/>
  <c r="E125" s="1"/>
  <c r="F107" s="1"/>
  <c r="F113"/>
  <c r="G113" s="1"/>
  <c r="H113" s="1"/>
  <c r="I113" s="1"/>
  <c r="J113" s="1"/>
  <c r="E86" i="1737"/>
  <c r="E92" s="1"/>
  <c r="F68" s="1"/>
  <c r="F74"/>
  <c r="G74" s="1"/>
  <c r="H74" s="1"/>
  <c r="I74" s="1"/>
  <c r="J74" s="1"/>
  <c r="E90"/>
  <c r="E96" s="1"/>
  <c r="F72" s="1"/>
  <c r="F78"/>
  <c r="G78" s="1"/>
  <c r="H78" s="1"/>
  <c r="I78" s="1"/>
  <c r="J78" s="1"/>
  <c r="E119"/>
  <c r="E125" s="1"/>
  <c r="F107" s="1"/>
  <c r="F113"/>
  <c r="G113" s="1"/>
  <c r="H113" s="1"/>
  <c r="I113" s="1"/>
  <c r="J113" s="1"/>
  <c r="F75" i="1738"/>
  <c r="G75" s="1"/>
  <c r="H75" s="1"/>
  <c r="I75" s="1"/>
  <c r="J75" s="1"/>
  <c r="E87"/>
  <c r="E93" s="1"/>
  <c r="F69" s="1"/>
  <c r="E118"/>
  <c r="E124" s="1"/>
  <c r="F106" s="1"/>
  <c r="F112"/>
  <c r="G112" s="1"/>
  <c r="H112" s="1"/>
  <c r="I112" s="1"/>
  <c r="J112" s="1"/>
  <c r="E122"/>
  <c r="E128" s="1"/>
  <c r="F110" s="1"/>
  <c r="F116"/>
  <c r="G116" s="1"/>
  <c r="H116" s="1"/>
  <c r="I116" s="1"/>
  <c r="J116" s="1"/>
  <c r="E87" i="1739"/>
  <c r="E93" s="1"/>
  <c r="F69" s="1"/>
  <c r="F75"/>
  <c r="G75" s="1"/>
  <c r="H75" s="1"/>
  <c r="I75" s="1"/>
  <c r="J75" s="1"/>
  <c r="E117"/>
  <c r="F111"/>
  <c r="G111" s="1"/>
  <c r="H111" s="1"/>
  <c r="I111" s="1"/>
  <c r="J111" s="1"/>
  <c r="E121"/>
  <c r="E127" s="1"/>
  <c r="F109" s="1"/>
  <c r="F115"/>
  <c r="G115" s="1"/>
  <c r="H115" s="1"/>
  <c r="I115" s="1"/>
  <c r="J115" s="1"/>
  <c r="F76" i="1740"/>
  <c r="G76" s="1"/>
  <c r="H76" s="1"/>
  <c r="I76" s="1"/>
  <c r="J76" s="1"/>
  <c r="E88"/>
  <c r="E94" s="1"/>
  <c r="F70" s="1"/>
  <c r="E118"/>
  <c r="E124" s="1"/>
  <c r="F106" s="1"/>
  <c r="F112"/>
  <c r="G112" s="1"/>
  <c r="H112" s="1"/>
  <c r="I112" s="1"/>
  <c r="J112" s="1"/>
  <c r="E121"/>
  <c r="E127" s="1"/>
  <c r="F109" s="1"/>
  <c r="F115"/>
  <c r="G115" s="1"/>
  <c r="H115" s="1"/>
  <c r="I115" s="1"/>
  <c r="J115" s="1"/>
  <c r="E87" i="1741"/>
  <c r="E93" s="1"/>
  <c r="F69" s="1"/>
  <c r="F75"/>
  <c r="G75" s="1"/>
  <c r="H75" s="1"/>
  <c r="I75" s="1"/>
  <c r="J75" s="1"/>
  <c r="E118"/>
  <c r="E124" s="1"/>
  <c r="F106" s="1"/>
  <c r="F112"/>
  <c r="G112" s="1"/>
  <c r="H112" s="1"/>
  <c r="I112" s="1"/>
  <c r="J112" s="1"/>
  <c r="E122"/>
  <c r="E128" s="1"/>
  <c r="F110" s="1"/>
  <c r="F116"/>
  <c r="G116" s="1"/>
  <c r="H116" s="1"/>
  <c r="I116" s="1"/>
  <c r="J116" s="1"/>
  <c r="F76" i="1742"/>
  <c r="G76" s="1"/>
  <c r="H76" s="1"/>
  <c r="I76" s="1"/>
  <c r="J76" s="1"/>
  <c r="E88"/>
  <c r="E94" s="1"/>
  <c r="F70" s="1"/>
  <c r="E118"/>
  <c r="E124" s="1"/>
  <c r="F106" s="1"/>
  <c r="F112"/>
  <c r="G112" s="1"/>
  <c r="H112" s="1"/>
  <c r="I112" s="1"/>
  <c r="J112" s="1"/>
  <c r="F73" i="1743"/>
  <c r="G73" s="1"/>
  <c r="H73" s="1"/>
  <c r="I73" s="1"/>
  <c r="J73" s="1"/>
  <c r="E85"/>
  <c r="F77"/>
  <c r="G77" s="1"/>
  <c r="H77" s="1"/>
  <c r="I77" s="1"/>
  <c r="J77" s="1"/>
  <c r="E89"/>
  <c r="E95" s="1"/>
  <c r="F71" s="1"/>
  <c r="E119"/>
  <c r="E125" s="1"/>
  <c r="F107" s="1"/>
  <c r="F113"/>
  <c r="G113" s="1"/>
  <c r="H113" s="1"/>
  <c r="I113" s="1"/>
  <c r="J113" s="1"/>
  <c r="E86" i="1744"/>
  <c r="E92" s="1"/>
  <c r="F68" s="1"/>
  <c r="F74"/>
  <c r="G74" s="1"/>
  <c r="H74" s="1"/>
  <c r="I74" s="1"/>
  <c r="J74" s="1"/>
  <c r="E90"/>
  <c r="E96" s="1"/>
  <c r="F72" s="1"/>
  <c r="F78"/>
  <c r="G78" s="1"/>
  <c r="H78" s="1"/>
  <c r="I78" s="1"/>
  <c r="J78" s="1"/>
  <c r="E119"/>
  <c r="E125" s="1"/>
  <c r="F107" s="1"/>
  <c r="F113"/>
  <c r="G113" s="1"/>
  <c r="H113" s="1"/>
  <c r="I113" s="1"/>
  <c r="J113" s="1"/>
  <c r="E122"/>
  <c r="E128" s="1"/>
  <c r="F110" s="1"/>
  <c r="F116"/>
  <c r="G116" s="1"/>
  <c r="H116" s="1"/>
  <c r="I116" s="1"/>
  <c r="J116" s="1"/>
  <c r="F76" i="1745"/>
  <c r="G76" s="1"/>
  <c r="H76" s="1"/>
  <c r="I76" s="1"/>
  <c r="J76" s="1"/>
  <c r="E88"/>
  <c r="E94" s="1"/>
  <c r="F70" s="1"/>
  <c r="E118"/>
  <c r="E124" s="1"/>
  <c r="F106" s="1"/>
  <c r="F112"/>
  <c r="G112" s="1"/>
  <c r="H112" s="1"/>
  <c r="I112" s="1"/>
  <c r="J112" s="1"/>
  <c r="F116"/>
  <c r="G116" s="1"/>
  <c r="H116" s="1"/>
  <c r="I116" s="1"/>
  <c r="J116" s="1"/>
  <c r="E122"/>
  <c r="E128" s="1"/>
  <c r="F110" s="1"/>
  <c r="E87" i="1746"/>
  <c r="E93" s="1"/>
  <c r="F69" s="1"/>
  <c r="F75"/>
  <c r="G75" s="1"/>
  <c r="H75" s="1"/>
  <c r="I75" s="1"/>
  <c r="J75" s="1"/>
  <c r="E118"/>
  <c r="E124" s="1"/>
  <c r="F106" s="1"/>
  <c r="F112"/>
  <c r="G112" s="1"/>
  <c r="H112" s="1"/>
  <c r="I112" s="1"/>
  <c r="J112" s="1"/>
  <c r="E122"/>
  <c r="E128" s="1"/>
  <c r="F110" s="1"/>
  <c r="F116"/>
  <c r="G116" s="1"/>
  <c r="H116" s="1"/>
  <c r="I116" s="1"/>
  <c r="J116" s="1"/>
  <c r="E87" i="1747"/>
  <c r="E93" s="1"/>
  <c r="F69" s="1"/>
  <c r="F75"/>
  <c r="G75" s="1"/>
  <c r="H75" s="1"/>
  <c r="I75" s="1"/>
  <c r="J75" s="1"/>
  <c r="E117"/>
  <c r="F111"/>
  <c r="G111" s="1"/>
  <c r="H111" s="1"/>
  <c r="I111" s="1"/>
  <c r="J111" s="1"/>
  <c r="E121"/>
  <c r="E127" s="1"/>
  <c r="F109" s="1"/>
  <c r="F115"/>
  <c r="G115" s="1"/>
  <c r="H115" s="1"/>
  <c r="I115" s="1"/>
  <c r="J115" s="1"/>
  <c r="E88" i="1748"/>
  <c r="E94" s="1"/>
  <c r="F70" s="1"/>
  <c r="F76"/>
  <c r="G76" s="1"/>
  <c r="H76" s="1"/>
  <c r="I76" s="1"/>
  <c r="J76" s="1"/>
  <c r="E118"/>
  <c r="E124" s="1"/>
  <c r="F106" s="1"/>
  <c r="F112"/>
  <c r="G112" s="1"/>
  <c r="H112" s="1"/>
  <c r="I112" s="1"/>
  <c r="J112" s="1"/>
  <c r="F116"/>
  <c r="G116" s="1"/>
  <c r="H116" s="1"/>
  <c r="I116" s="1"/>
  <c r="J116" s="1"/>
  <c r="E122"/>
  <c r="E128" s="1"/>
  <c r="F110" s="1"/>
  <c r="E87" i="1749"/>
  <c r="E93" s="1"/>
  <c r="F69" s="1"/>
  <c r="F75"/>
  <c r="G75" s="1"/>
  <c r="H75" s="1"/>
  <c r="I75" s="1"/>
  <c r="J75" s="1"/>
  <c r="E118"/>
  <c r="E124" s="1"/>
  <c r="F106" s="1"/>
  <c r="F112"/>
  <c r="G112" s="1"/>
  <c r="H112" s="1"/>
  <c r="I112" s="1"/>
  <c r="J112" s="1"/>
  <c r="E122"/>
  <c r="E128" s="1"/>
  <c r="F110" s="1"/>
  <c r="F116"/>
  <c r="G116" s="1"/>
  <c r="H116" s="1"/>
  <c r="I116" s="1"/>
  <c r="J116" s="1"/>
  <c r="E87" i="1737"/>
  <c r="E93" s="1"/>
  <c r="F69" s="1"/>
  <c r="F75"/>
  <c r="G75" s="1"/>
  <c r="H75" s="1"/>
  <c r="I75" s="1"/>
  <c r="J75" s="1"/>
  <c r="E118"/>
  <c r="E124" s="1"/>
  <c r="F106" s="1"/>
  <c r="F112"/>
  <c r="G112" s="1"/>
  <c r="H112" s="1"/>
  <c r="I112" s="1"/>
  <c r="J112" s="1"/>
  <c r="E121"/>
  <c r="E127" s="1"/>
  <c r="F109" s="1"/>
  <c r="F115"/>
  <c r="G115" s="1"/>
  <c r="H115" s="1"/>
  <c r="I115" s="1"/>
  <c r="J115" s="1"/>
  <c r="F74" i="1738"/>
  <c r="G74" s="1"/>
  <c r="H74" s="1"/>
  <c r="I74" s="1"/>
  <c r="J74" s="1"/>
  <c r="E86"/>
  <c r="E92" s="1"/>
  <c r="F68" s="1"/>
  <c r="F78"/>
  <c r="G78" s="1"/>
  <c r="H78" s="1"/>
  <c r="I78" s="1"/>
  <c r="J78" s="1"/>
  <c r="E90"/>
  <c r="E96" s="1"/>
  <c r="F72" s="1"/>
  <c r="E119"/>
  <c r="E125" s="1"/>
  <c r="F107" s="1"/>
  <c r="F113"/>
  <c r="G113" s="1"/>
  <c r="H113" s="1"/>
  <c r="I113" s="1"/>
  <c r="J113" s="1"/>
  <c r="E86" i="1739"/>
  <c r="E92" s="1"/>
  <c r="F68" s="1"/>
  <c r="F74"/>
  <c r="G74" s="1"/>
  <c r="H74" s="1"/>
  <c r="I74" s="1"/>
  <c r="J74" s="1"/>
  <c r="E90"/>
  <c r="E96" s="1"/>
  <c r="F72" s="1"/>
  <c r="F78"/>
  <c r="G78" s="1"/>
  <c r="H78" s="1"/>
  <c r="I78" s="1"/>
  <c r="J78" s="1"/>
  <c r="E120"/>
  <c r="E126" s="1"/>
  <c r="F108" s="1"/>
  <c r="F114"/>
  <c r="G114" s="1"/>
  <c r="H114" s="1"/>
  <c r="I114" s="1"/>
  <c r="J114" s="1"/>
  <c r="F73" i="1740"/>
  <c r="G73" s="1"/>
  <c r="H73" s="1"/>
  <c r="I73" s="1"/>
  <c r="J73" s="1"/>
  <c r="E85"/>
  <c r="F77"/>
  <c r="G77" s="1"/>
  <c r="H77" s="1"/>
  <c r="I77" s="1"/>
  <c r="J77" s="1"/>
  <c r="E89"/>
  <c r="E95" s="1"/>
  <c r="F71" s="1"/>
  <c r="E119"/>
  <c r="E125" s="1"/>
  <c r="F107" s="1"/>
  <c r="F113"/>
  <c r="G113" s="1"/>
  <c r="H113" s="1"/>
  <c r="I113" s="1"/>
  <c r="J113" s="1"/>
  <c r="E86" i="1741"/>
  <c r="E92" s="1"/>
  <c r="F68" s="1"/>
  <c r="F74"/>
  <c r="G74" s="1"/>
  <c r="H74" s="1"/>
  <c r="I74" s="1"/>
  <c r="J74" s="1"/>
  <c r="E90"/>
  <c r="E96" s="1"/>
  <c r="F72" s="1"/>
  <c r="F78"/>
  <c r="G78" s="1"/>
  <c r="H78" s="1"/>
  <c r="I78" s="1"/>
  <c r="J78" s="1"/>
  <c r="E119"/>
  <c r="E125" s="1"/>
  <c r="F107" s="1"/>
  <c r="F113"/>
  <c r="G113" s="1"/>
  <c r="H113" s="1"/>
  <c r="I113" s="1"/>
  <c r="J113" s="1"/>
  <c r="F73" i="1742"/>
  <c r="G73" s="1"/>
  <c r="H73" s="1"/>
  <c r="I73" s="1"/>
  <c r="J73" s="1"/>
  <c r="E85"/>
  <c r="F77"/>
  <c r="G77" s="1"/>
  <c r="H77" s="1"/>
  <c r="I77" s="1"/>
  <c r="J77" s="1"/>
  <c r="E89"/>
  <c r="E95" s="1"/>
  <c r="F71" s="1"/>
  <c r="E119"/>
  <c r="E125" s="1"/>
  <c r="F107" s="1"/>
  <c r="F113"/>
  <c r="G113" s="1"/>
  <c r="H113" s="1"/>
  <c r="I113" s="1"/>
  <c r="J113" s="1"/>
  <c r="E122"/>
  <c r="E128" s="1"/>
  <c r="F110" s="1"/>
  <c r="F116"/>
  <c r="G116" s="1"/>
  <c r="H116" s="1"/>
  <c r="I116" s="1"/>
  <c r="J116" s="1"/>
  <c r="F76" i="1743"/>
  <c r="G76" s="1"/>
  <c r="H76" s="1"/>
  <c r="I76" s="1"/>
  <c r="J76" s="1"/>
  <c r="E88"/>
  <c r="E94" s="1"/>
  <c r="F70" s="1"/>
  <c r="E118"/>
  <c r="E124" s="1"/>
  <c r="F106" s="1"/>
  <c r="F112"/>
  <c r="G112" s="1"/>
  <c r="H112" s="1"/>
  <c r="I112" s="1"/>
  <c r="J112" s="1"/>
  <c r="E122"/>
  <c r="E128" s="1"/>
  <c r="F110" s="1"/>
  <c r="F116"/>
  <c r="G116" s="1"/>
  <c r="H116" s="1"/>
  <c r="I116" s="1"/>
  <c r="J116" s="1"/>
  <c r="E87" i="1744"/>
  <c r="E93" s="1"/>
  <c r="F69" s="1"/>
  <c r="F75"/>
  <c r="G75" s="1"/>
  <c r="H75" s="1"/>
  <c r="I75" s="1"/>
  <c r="J75" s="1"/>
  <c r="E118"/>
  <c r="E124" s="1"/>
  <c r="F106" s="1"/>
  <c r="F112"/>
  <c r="G112" s="1"/>
  <c r="H112" s="1"/>
  <c r="I112" s="1"/>
  <c r="J112" s="1"/>
  <c r="F73" i="1745"/>
  <c r="G73" s="1"/>
  <c r="H73" s="1"/>
  <c r="I73" s="1"/>
  <c r="J73" s="1"/>
  <c r="E85"/>
  <c r="F77"/>
  <c r="G77" s="1"/>
  <c r="H77" s="1"/>
  <c r="I77" s="1"/>
  <c r="J77" s="1"/>
  <c r="E89"/>
  <c r="E95" s="1"/>
  <c r="F71" s="1"/>
  <c r="E119"/>
  <c r="E125" s="1"/>
  <c r="F107" s="1"/>
  <c r="F113"/>
  <c r="G113" s="1"/>
  <c r="H113" s="1"/>
  <c r="I113" s="1"/>
  <c r="J113" s="1"/>
  <c r="E86" i="1746"/>
  <c r="E92" s="1"/>
  <c r="F68" s="1"/>
  <c r="F74"/>
  <c r="G74" s="1"/>
  <c r="H74" s="1"/>
  <c r="I74" s="1"/>
  <c r="J74" s="1"/>
  <c r="E90"/>
  <c r="E96" s="1"/>
  <c r="F72" s="1"/>
  <c r="F78"/>
  <c r="G78" s="1"/>
  <c r="H78" s="1"/>
  <c r="I78" s="1"/>
  <c r="J78" s="1"/>
  <c r="E119"/>
  <c r="E125" s="1"/>
  <c r="F107" s="1"/>
  <c r="F113"/>
  <c r="G113" s="1"/>
  <c r="H113" s="1"/>
  <c r="I113" s="1"/>
  <c r="J113" s="1"/>
  <c r="E86" i="1747"/>
  <c r="E92" s="1"/>
  <c r="F68" s="1"/>
  <c r="F74"/>
  <c r="G74" s="1"/>
  <c r="H74" s="1"/>
  <c r="I74" s="1"/>
  <c r="J74" s="1"/>
  <c r="E90"/>
  <c r="E96" s="1"/>
  <c r="F72" s="1"/>
  <c r="F78"/>
  <c r="G78" s="1"/>
  <c r="H78" s="1"/>
  <c r="I78" s="1"/>
  <c r="J78" s="1"/>
  <c r="E120"/>
  <c r="E126" s="1"/>
  <c r="F108" s="1"/>
  <c r="F114"/>
  <c r="G114" s="1"/>
  <c r="H114" s="1"/>
  <c r="I114" s="1"/>
  <c r="J114" s="1"/>
  <c r="E85" i="1748"/>
  <c r="F73"/>
  <c r="G73" s="1"/>
  <c r="H73" s="1"/>
  <c r="I73" s="1"/>
  <c r="J73" s="1"/>
  <c r="E89"/>
  <c r="E95" s="1"/>
  <c r="F71" s="1"/>
  <c r="F77"/>
  <c r="G77" s="1"/>
  <c r="H77" s="1"/>
  <c r="I77" s="1"/>
  <c r="J77" s="1"/>
  <c r="E119"/>
  <c r="E125" s="1"/>
  <c r="F107" s="1"/>
  <c r="F113"/>
  <c r="G113" s="1"/>
  <c r="H113" s="1"/>
  <c r="I113" s="1"/>
  <c r="J113" s="1"/>
  <c r="E86" i="1749"/>
  <c r="E92" s="1"/>
  <c r="F68" s="1"/>
  <c r="F74"/>
  <c r="G74" s="1"/>
  <c r="H74" s="1"/>
  <c r="I74" s="1"/>
  <c r="J74" s="1"/>
  <c r="E90"/>
  <c r="E96" s="1"/>
  <c r="F72" s="1"/>
  <c r="F78"/>
  <c r="G78" s="1"/>
  <c r="H78" s="1"/>
  <c r="I78" s="1"/>
  <c r="J78" s="1"/>
  <c r="E119"/>
  <c r="E125" s="1"/>
  <c r="F107" s="1"/>
  <c r="F113"/>
  <c r="G113" s="1"/>
  <c r="H113" s="1"/>
  <c r="I113" s="1"/>
  <c r="J113" s="1"/>
  <c r="E165" i="1743"/>
  <c r="E165" i="1745"/>
  <c r="F165" s="1"/>
  <c r="G165" s="1"/>
  <c r="D152" i="1734"/>
  <c r="D152" i="1735"/>
  <c r="E165" i="1737"/>
  <c r="F165" s="1"/>
  <c r="D152" i="1739"/>
  <c r="F165" i="1740"/>
  <c r="G165" s="1"/>
  <c r="E153" i="1746"/>
  <c r="E153" i="1747"/>
  <c r="F165" i="1749"/>
  <c r="A19"/>
  <c r="E18"/>
  <c r="E149" s="1"/>
  <c r="F165" i="1748"/>
  <c r="A19"/>
  <c r="E18"/>
  <c r="E149" s="1"/>
  <c r="F165" i="1747"/>
  <c r="A19"/>
  <c r="E18"/>
  <c r="E149" s="1"/>
  <c r="F165" i="1746"/>
  <c r="A19"/>
  <c r="E18"/>
  <c r="E149" s="1"/>
  <c r="A20" i="1745"/>
  <c r="E19"/>
  <c r="E171"/>
  <c r="F165" i="1744"/>
  <c r="A19"/>
  <c r="E18"/>
  <c r="E149" s="1"/>
  <c r="A20" i="1743"/>
  <c r="E19"/>
  <c r="E171"/>
  <c r="A20" i="1742"/>
  <c r="E19"/>
  <c r="E171"/>
  <c r="F165" i="1741"/>
  <c r="A19"/>
  <c r="E18"/>
  <c r="E149" s="1"/>
  <c r="E171" i="1740"/>
  <c r="E176"/>
  <c r="A20"/>
  <c r="E19"/>
  <c r="F165" i="1739"/>
  <c r="A19"/>
  <c r="E18"/>
  <c r="E149" s="1"/>
  <c r="A20" i="1738"/>
  <c r="E19"/>
  <c r="E171"/>
  <c r="G165"/>
  <c r="A19" i="1737"/>
  <c r="E18"/>
  <c r="E149" s="1"/>
  <c r="A20" i="1736"/>
  <c r="E19"/>
  <c r="E171"/>
  <c r="G165"/>
  <c r="F165" i="1735"/>
  <c r="A19"/>
  <c r="E18"/>
  <c r="E149" s="1"/>
  <c r="F165" i="1734"/>
  <c r="A19"/>
  <c r="E18"/>
  <c r="E149" s="1"/>
  <c r="F122" i="1748" l="1"/>
  <c r="F128" s="1"/>
  <c r="G110" s="1"/>
  <c r="G122" s="1"/>
  <c r="G128" s="1"/>
  <c r="H110" s="1"/>
  <c r="H122" s="1"/>
  <c r="H128" s="1"/>
  <c r="I110" s="1"/>
  <c r="I122" s="1"/>
  <c r="I128" s="1"/>
  <c r="J110" s="1"/>
  <c r="J122" s="1"/>
  <c r="F122" i="1745"/>
  <c r="F128" s="1"/>
  <c r="G110" s="1"/>
  <c r="G122" s="1"/>
  <c r="G128" s="1"/>
  <c r="H110" s="1"/>
  <c r="H122" s="1"/>
  <c r="H128" s="1"/>
  <c r="I110" s="1"/>
  <c r="I122" s="1"/>
  <c r="I128" s="1"/>
  <c r="J110" s="1"/>
  <c r="J122" s="1"/>
  <c r="F84" i="1749"/>
  <c r="F90"/>
  <c r="F80"/>
  <c r="F86"/>
  <c r="F83" i="1748"/>
  <c r="F89"/>
  <c r="E99"/>
  <c r="E142" s="1"/>
  <c r="F84" i="1747"/>
  <c r="F90"/>
  <c r="F80"/>
  <c r="F86"/>
  <c r="F84" i="1746"/>
  <c r="F90"/>
  <c r="F80"/>
  <c r="F86"/>
  <c r="F87" i="1744"/>
  <c r="F81"/>
  <c r="F90" i="1741"/>
  <c r="F84"/>
  <c r="F86"/>
  <c r="F80"/>
  <c r="F84" i="1739"/>
  <c r="F90"/>
  <c r="F80"/>
  <c r="F86"/>
  <c r="F81" i="1737"/>
  <c r="F87"/>
  <c r="F87" i="1749"/>
  <c r="F81"/>
  <c r="F88" i="1748"/>
  <c r="F82"/>
  <c r="F87" i="1747"/>
  <c r="F81"/>
  <c r="F93" s="1"/>
  <c r="G69" s="1"/>
  <c r="F87" i="1746"/>
  <c r="F81"/>
  <c r="F93" s="1"/>
  <c r="G69" s="1"/>
  <c r="F90" i="1744"/>
  <c r="F84"/>
  <c r="F96" s="1"/>
  <c r="G72" s="1"/>
  <c r="F86"/>
  <c r="F80"/>
  <c r="F81" i="1741"/>
  <c r="F87"/>
  <c r="F93" s="1"/>
  <c r="G69" s="1"/>
  <c r="F81" i="1739"/>
  <c r="F87"/>
  <c r="F118" i="1738"/>
  <c r="F84" i="1737"/>
  <c r="F90"/>
  <c r="F80"/>
  <c r="F86"/>
  <c r="F81" i="1735"/>
  <c r="F87"/>
  <c r="F84" i="1734"/>
  <c r="F90"/>
  <c r="F80"/>
  <c r="F86"/>
  <c r="F118" i="1735"/>
  <c r="F88"/>
  <c r="F82"/>
  <c r="F94" s="1"/>
  <c r="G70" s="1"/>
  <c r="F83" i="1734"/>
  <c r="F89"/>
  <c r="E99"/>
  <c r="E142" s="1"/>
  <c r="E134" i="1738"/>
  <c r="E140"/>
  <c r="E169" s="1"/>
  <c r="E176" s="1"/>
  <c r="E60"/>
  <c r="E141" s="1"/>
  <c r="E172" s="1"/>
  <c r="F156" i="1747"/>
  <c r="F135"/>
  <c r="G55"/>
  <c r="F182"/>
  <c r="F59"/>
  <c r="F182" i="1745"/>
  <c r="G55"/>
  <c r="F156"/>
  <c r="F135"/>
  <c r="F59"/>
  <c r="F87"/>
  <c r="F81"/>
  <c r="F90" i="1743"/>
  <c r="F84"/>
  <c r="F86"/>
  <c r="F80"/>
  <c r="F81" i="1742"/>
  <c r="F87"/>
  <c r="F81" i="1740"/>
  <c r="F87"/>
  <c r="F93" s="1"/>
  <c r="G69" s="1"/>
  <c r="F88" i="1738"/>
  <c r="F82"/>
  <c r="F90" i="1745"/>
  <c r="F84"/>
  <c r="F86"/>
  <c r="F80"/>
  <c r="F81" i="1743"/>
  <c r="F87"/>
  <c r="F93" s="1"/>
  <c r="G69" s="1"/>
  <c r="F90" i="1742"/>
  <c r="F84"/>
  <c r="F86"/>
  <c r="F80"/>
  <c r="F90" i="1740"/>
  <c r="F84"/>
  <c r="F86"/>
  <c r="F80"/>
  <c r="F89" i="1738"/>
  <c r="F83"/>
  <c r="E99"/>
  <c r="E142" s="1"/>
  <c r="F81" i="1736"/>
  <c r="F87"/>
  <c r="F88"/>
  <c r="F82"/>
  <c r="H182" i="1739"/>
  <c r="H59"/>
  <c r="H156"/>
  <c r="H135"/>
  <c r="I55"/>
  <c r="E134"/>
  <c r="E140"/>
  <c r="E169" s="1"/>
  <c r="E60"/>
  <c r="E141" s="1"/>
  <c r="E172" s="1"/>
  <c r="E62"/>
  <c r="E140" i="1737"/>
  <c r="E169" s="1"/>
  <c r="E134"/>
  <c r="E60"/>
  <c r="E141" s="1"/>
  <c r="E172" s="1"/>
  <c r="E134" i="1735"/>
  <c r="E140"/>
  <c r="E169" s="1"/>
  <c r="E60"/>
  <c r="E141" s="1"/>
  <c r="E172" s="1"/>
  <c r="E62"/>
  <c r="F182" i="1741"/>
  <c r="F59"/>
  <c r="F156"/>
  <c r="F135"/>
  <c r="G55"/>
  <c r="F182" i="1735"/>
  <c r="F59"/>
  <c r="F156"/>
  <c r="F135"/>
  <c r="G55"/>
  <c r="E134" i="1742"/>
  <c r="E140"/>
  <c r="E169" s="1"/>
  <c r="E176" s="1"/>
  <c r="E60"/>
  <c r="E141" s="1"/>
  <c r="E172" s="1"/>
  <c r="E62"/>
  <c r="E140" i="1748"/>
  <c r="E169" s="1"/>
  <c r="E134"/>
  <c r="E136" s="1"/>
  <c r="E60"/>
  <c r="E141" s="1"/>
  <c r="E172" s="1"/>
  <c r="E62"/>
  <c r="F119" i="1749"/>
  <c r="F125" s="1"/>
  <c r="G107" s="1"/>
  <c r="G119" s="1"/>
  <c r="F119" i="1748"/>
  <c r="F125" s="1"/>
  <c r="G107" s="1"/>
  <c r="G119" s="1"/>
  <c r="F120" i="1747"/>
  <c r="F126" s="1"/>
  <c r="G108" s="1"/>
  <c r="G120" s="1"/>
  <c r="G126" s="1"/>
  <c r="H108" s="1"/>
  <c r="H120" s="1"/>
  <c r="F119" i="1746"/>
  <c r="F125" s="1"/>
  <c r="G107" s="1"/>
  <c r="G119" s="1"/>
  <c r="F119" i="1745"/>
  <c r="F125" s="1"/>
  <c r="G107" s="1"/>
  <c r="G119" s="1"/>
  <c r="F118" i="1744"/>
  <c r="F122" i="1743"/>
  <c r="F128" s="1"/>
  <c r="G110" s="1"/>
  <c r="G122" s="1"/>
  <c r="G128" s="1"/>
  <c r="H110" s="1"/>
  <c r="H122" s="1"/>
  <c r="H128" s="1"/>
  <c r="I110" s="1"/>
  <c r="I122" s="1"/>
  <c r="I128" s="1"/>
  <c r="J110" s="1"/>
  <c r="J122" s="1"/>
  <c r="F118"/>
  <c r="F122" i="1742"/>
  <c r="F128" s="1"/>
  <c r="G110" s="1"/>
  <c r="G122" s="1"/>
  <c r="G128" s="1"/>
  <c r="H110" s="1"/>
  <c r="H122" s="1"/>
  <c r="H128" s="1"/>
  <c r="I110" s="1"/>
  <c r="I122" s="1"/>
  <c r="I128" s="1"/>
  <c r="J110" s="1"/>
  <c r="J122" s="1"/>
  <c r="F119"/>
  <c r="F125" s="1"/>
  <c r="G107" s="1"/>
  <c r="G119" s="1"/>
  <c r="F119" i="1741"/>
  <c r="F125" s="1"/>
  <c r="G107" s="1"/>
  <c r="G119" s="1"/>
  <c r="F119" i="1740"/>
  <c r="F125" s="1"/>
  <c r="G107" s="1"/>
  <c r="G119" s="1"/>
  <c r="F120" i="1739"/>
  <c r="F126" s="1"/>
  <c r="G108" s="1"/>
  <c r="G120" s="1"/>
  <c r="G126" s="1"/>
  <c r="H108" s="1"/>
  <c r="H120" s="1"/>
  <c r="F119" i="1738"/>
  <c r="F125" s="1"/>
  <c r="G107" s="1"/>
  <c r="G119" s="1"/>
  <c r="F121" i="1737"/>
  <c r="F127" s="1"/>
  <c r="G109" s="1"/>
  <c r="G121" s="1"/>
  <c r="G127" s="1"/>
  <c r="H109" s="1"/>
  <c r="H121" s="1"/>
  <c r="H127" s="1"/>
  <c r="I109" s="1"/>
  <c r="I121" s="1"/>
  <c r="F118"/>
  <c r="F122" i="1749"/>
  <c r="F128" s="1"/>
  <c r="G110" s="1"/>
  <c r="F118"/>
  <c r="F118" i="1748"/>
  <c r="F121" i="1747"/>
  <c r="F127" s="1"/>
  <c r="G109" s="1"/>
  <c r="G121" s="1"/>
  <c r="G127" s="1"/>
  <c r="H109" s="1"/>
  <c r="H121" s="1"/>
  <c r="H127" s="1"/>
  <c r="I109" s="1"/>
  <c r="I121" s="1"/>
  <c r="E130"/>
  <c r="F122" i="1746"/>
  <c r="F128" s="1"/>
  <c r="G110" s="1"/>
  <c r="G122" s="1"/>
  <c r="G128" s="1"/>
  <c r="H110" s="1"/>
  <c r="H122" s="1"/>
  <c r="H128" s="1"/>
  <c r="I110" s="1"/>
  <c r="I122" s="1"/>
  <c r="I128" s="1"/>
  <c r="J110" s="1"/>
  <c r="J122" s="1"/>
  <c r="F118"/>
  <c r="F118" i="1745"/>
  <c r="F122" i="1744"/>
  <c r="F128" s="1"/>
  <c r="G110" s="1"/>
  <c r="G122" s="1"/>
  <c r="G128" s="1"/>
  <c r="H110" s="1"/>
  <c r="H122" s="1"/>
  <c r="H128" s="1"/>
  <c r="I110" s="1"/>
  <c r="I122" s="1"/>
  <c r="I128" s="1"/>
  <c r="J110" s="1"/>
  <c r="J122" s="1"/>
  <c r="F119"/>
  <c r="F125" s="1"/>
  <c r="G107" s="1"/>
  <c r="G119" s="1"/>
  <c r="F119" i="1743"/>
  <c r="F125" s="1"/>
  <c r="G107" s="1"/>
  <c r="G119" s="1"/>
  <c r="F118" i="1742"/>
  <c r="F122" i="1741"/>
  <c r="F128" s="1"/>
  <c r="G110" s="1"/>
  <c r="G122" s="1"/>
  <c r="G128" s="1"/>
  <c r="H110" s="1"/>
  <c r="H122" s="1"/>
  <c r="H128" s="1"/>
  <c r="I110" s="1"/>
  <c r="I122" s="1"/>
  <c r="I128" s="1"/>
  <c r="J110" s="1"/>
  <c r="J122" s="1"/>
  <c r="F118"/>
  <c r="F121" i="1740"/>
  <c r="F127" s="1"/>
  <c r="G109" s="1"/>
  <c r="G121" s="1"/>
  <c r="G127" s="1"/>
  <c r="H109" s="1"/>
  <c r="H121" s="1"/>
  <c r="H127" s="1"/>
  <c r="I109" s="1"/>
  <c r="I121" s="1"/>
  <c r="F118"/>
  <c r="F121" i="1739"/>
  <c r="F127" s="1"/>
  <c r="G109" s="1"/>
  <c r="G121" s="1"/>
  <c r="G127" s="1"/>
  <c r="H109" s="1"/>
  <c r="H121" s="1"/>
  <c r="H127" s="1"/>
  <c r="I109" s="1"/>
  <c r="I121" s="1"/>
  <c r="E130"/>
  <c r="F122" i="1738"/>
  <c r="F128" s="1"/>
  <c r="G110" s="1"/>
  <c r="G122" s="1"/>
  <c r="G128" s="1"/>
  <c r="H110" s="1"/>
  <c r="H122" s="1"/>
  <c r="H128" s="1"/>
  <c r="I110" s="1"/>
  <c r="I122" s="1"/>
  <c r="I128" s="1"/>
  <c r="J110" s="1"/>
  <c r="J122" s="1"/>
  <c r="F119" i="1737"/>
  <c r="F125" s="1"/>
  <c r="G107" s="1"/>
  <c r="G119" s="1"/>
  <c r="F119" i="1736"/>
  <c r="F125" s="1"/>
  <c r="G107" s="1"/>
  <c r="G119" s="1"/>
  <c r="F122" i="1734"/>
  <c r="F128" s="1"/>
  <c r="G110" s="1"/>
  <c r="G122" s="1"/>
  <c r="G128" s="1"/>
  <c r="H110" s="1"/>
  <c r="H122" s="1"/>
  <c r="H128" s="1"/>
  <c r="I110" s="1"/>
  <c r="I122" s="1"/>
  <c r="I128" s="1"/>
  <c r="J110" s="1"/>
  <c r="J122" s="1"/>
  <c r="F119"/>
  <c r="F125" s="1"/>
  <c r="G107" s="1"/>
  <c r="G119" s="1"/>
  <c r="F120" i="1736"/>
  <c r="F126" s="1"/>
  <c r="G108" s="1"/>
  <c r="G120" s="1"/>
  <c r="G126" s="1"/>
  <c r="H108" s="1"/>
  <c r="H120" s="1"/>
  <c r="F121" i="1735"/>
  <c r="F127" s="1"/>
  <c r="G109" s="1"/>
  <c r="G121" s="1"/>
  <c r="G127" s="1"/>
  <c r="H109" s="1"/>
  <c r="H121" s="1"/>
  <c r="H127" s="1"/>
  <c r="I109" s="1"/>
  <c r="I121" s="1"/>
  <c r="F120" i="1734"/>
  <c r="F126" s="1"/>
  <c r="G108" s="1"/>
  <c r="G120" s="1"/>
  <c r="G126" s="1"/>
  <c r="H108" s="1"/>
  <c r="H120" s="1"/>
  <c r="F121" i="1748"/>
  <c r="F127" s="1"/>
  <c r="G109" s="1"/>
  <c r="G121" s="1"/>
  <c r="G127" s="1"/>
  <c r="H109" s="1"/>
  <c r="H121" s="1"/>
  <c r="H127" s="1"/>
  <c r="I109" s="1"/>
  <c r="I121" s="1"/>
  <c r="F121" i="1746"/>
  <c r="F127" s="1"/>
  <c r="G109" s="1"/>
  <c r="G121" s="1"/>
  <c r="G127" s="1"/>
  <c r="H109" s="1"/>
  <c r="H121" s="1"/>
  <c r="H127" s="1"/>
  <c r="I109" s="1"/>
  <c r="I121" s="1"/>
  <c r="F121" i="1738"/>
  <c r="F127" s="1"/>
  <c r="G109" s="1"/>
  <c r="G121" s="1"/>
  <c r="G127" s="1"/>
  <c r="H109" s="1"/>
  <c r="H121" s="1"/>
  <c r="H127" s="1"/>
  <c r="I109" s="1"/>
  <c r="I121" s="1"/>
  <c r="F120" i="1748"/>
  <c r="F126" s="1"/>
  <c r="G108" s="1"/>
  <c r="G120" s="1"/>
  <c r="G126" s="1"/>
  <c r="H108" s="1"/>
  <c r="H120" s="1"/>
  <c r="F120" i="1746"/>
  <c r="F126" s="1"/>
  <c r="G108" s="1"/>
  <c r="G120" s="1"/>
  <c r="G126" s="1"/>
  <c r="H108" s="1"/>
  <c r="H120" s="1"/>
  <c r="F120" i="1745"/>
  <c r="F126" s="1"/>
  <c r="G108" s="1"/>
  <c r="G120" s="1"/>
  <c r="G126" s="1"/>
  <c r="H108" s="1"/>
  <c r="H120" s="1"/>
  <c r="F121" i="1743"/>
  <c r="F127" s="1"/>
  <c r="G109" s="1"/>
  <c r="G121" s="1"/>
  <c r="G127" s="1"/>
  <c r="H109" s="1"/>
  <c r="H121" s="1"/>
  <c r="H127" s="1"/>
  <c r="I109" s="1"/>
  <c r="I121" s="1"/>
  <c r="F120" i="1738"/>
  <c r="F126" s="1"/>
  <c r="G108" s="1"/>
  <c r="G120" s="1"/>
  <c r="G126" s="1"/>
  <c r="H108" s="1"/>
  <c r="H120" s="1"/>
  <c r="E137" i="1748"/>
  <c r="F134" s="1"/>
  <c r="F165" i="1743"/>
  <c r="G165" s="1"/>
  <c r="F83" i="1745"/>
  <c r="F89"/>
  <c r="F95"/>
  <c r="G71" s="1"/>
  <c r="E99"/>
  <c r="E142" s="1"/>
  <c r="F82" i="1743"/>
  <c r="F88"/>
  <c r="F89" i="1742"/>
  <c r="F83"/>
  <c r="F95"/>
  <c r="G71" s="1"/>
  <c r="E99"/>
  <c r="E142" s="1"/>
  <c r="F89" i="1740"/>
  <c r="F83"/>
  <c r="E99"/>
  <c r="E142" s="1"/>
  <c r="F84" i="1738"/>
  <c r="F90"/>
  <c r="F96" s="1"/>
  <c r="G72" s="1"/>
  <c r="F80"/>
  <c r="F86"/>
  <c r="F82" i="1745"/>
  <c r="F88"/>
  <c r="F94" s="1"/>
  <c r="G70" s="1"/>
  <c r="F89" i="1743"/>
  <c r="F83"/>
  <c r="E99"/>
  <c r="E142" s="1"/>
  <c r="F88" i="1742"/>
  <c r="F82"/>
  <c r="F88" i="1740"/>
  <c r="F82"/>
  <c r="F81" i="1738"/>
  <c r="F87"/>
  <c r="F89" i="1736"/>
  <c r="F83"/>
  <c r="E99"/>
  <c r="E142" s="1"/>
  <c r="F90"/>
  <c r="F84"/>
  <c r="F96" s="1"/>
  <c r="G72" s="1"/>
  <c r="F86"/>
  <c r="F80"/>
  <c r="F136" i="1740"/>
  <c r="F137" s="1"/>
  <c r="G134" s="1"/>
  <c r="H182"/>
  <c r="I55"/>
  <c r="H156"/>
  <c r="H135"/>
  <c r="H59"/>
  <c r="E140" i="1741"/>
  <c r="E169" s="1"/>
  <c r="E134"/>
  <c r="E60"/>
  <c r="E141" s="1"/>
  <c r="E172" s="1"/>
  <c r="E62"/>
  <c r="E134" i="1736"/>
  <c r="E140"/>
  <c r="E169" s="1"/>
  <c r="E176" s="1"/>
  <c r="E60"/>
  <c r="E141" s="1"/>
  <c r="E172" s="1"/>
  <c r="E62"/>
  <c r="E140" i="1734"/>
  <c r="E169" s="1"/>
  <c r="E134"/>
  <c r="E136" s="1"/>
  <c r="E60"/>
  <c r="E141" s="1"/>
  <c r="E172" s="1"/>
  <c r="E62"/>
  <c r="F182" i="1737"/>
  <c r="F59"/>
  <c r="F156"/>
  <c r="F135"/>
  <c r="G55"/>
  <c r="F156" i="1734"/>
  <c r="F135"/>
  <c r="G55"/>
  <c r="F182"/>
  <c r="F59"/>
  <c r="E134" i="1749"/>
  <c r="E136" s="1"/>
  <c r="E140"/>
  <c r="E169" s="1"/>
  <c r="E60"/>
  <c r="E141" s="1"/>
  <c r="E172" s="1"/>
  <c r="E62"/>
  <c r="E134" i="1747"/>
  <c r="E136" s="1"/>
  <c r="E144" s="1"/>
  <c r="E160" s="1"/>
  <c r="E164" s="1"/>
  <c r="E166" s="1"/>
  <c r="E140"/>
  <c r="E169" s="1"/>
  <c r="E60"/>
  <c r="E141" s="1"/>
  <c r="E172" s="1"/>
  <c r="E62"/>
  <c r="E134" i="1745"/>
  <c r="E136" s="1"/>
  <c r="E140"/>
  <c r="E169" s="1"/>
  <c r="E176" s="1"/>
  <c r="E60"/>
  <c r="E141" s="1"/>
  <c r="E172" s="1"/>
  <c r="E62"/>
  <c r="E134" i="1743"/>
  <c r="E136" s="1"/>
  <c r="E140"/>
  <c r="E169" s="1"/>
  <c r="E176" s="1"/>
  <c r="E60"/>
  <c r="E141" s="1"/>
  <c r="E172" s="1"/>
  <c r="E62"/>
  <c r="F182" i="1749"/>
  <c r="F59"/>
  <c r="F156"/>
  <c r="F135"/>
  <c r="G55"/>
  <c r="F182" i="1743"/>
  <c r="G55"/>
  <c r="F156"/>
  <c r="F135"/>
  <c r="F59"/>
  <c r="F58" i="1740"/>
  <c r="F165" i="1742"/>
  <c r="G165" s="1"/>
  <c r="G121" i="1749"/>
  <c r="G127" s="1"/>
  <c r="H109" s="1"/>
  <c r="H121" s="1"/>
  <c r="H127" s="1"/>
  <c r="I109" s="1"/>
  <c r="I121" s="1"/>
  <c r="F82"/>
  <c r="F88"/>
  <c r="F81" i="1748"/>
  <c r="F87"/>
  <c r="F93"/>
  <c r="G69" s="1"/>
  <c r="F82" i="1747"/>
  <c r="F88"/>
  <c r="F94" s="1"/>
  <c r="G70" s="1"/>
  <c r="F82" i="1746"/>
  <c r="F88"/>
  <c r="F94" s="1"/>
  <c r="G70" s="1"/>
  <c r="F89" i="1744"/>
  <c r="F83"/>
  <c r="E99"/>
  <c r="E142" s="1"/>
  <c r="F88" i="1741"/>
  <c r="F82"/>
  <c r="F82" i="1739"/>
  <c r="F88"/>
  <c r="F83" i="1737"/>
  <c r="F89"/>
  <c r="E99"/>
  <c r="E142" s="1"/>
  <c r="G120" i="1749"/>
  <c r="G126"/>
  <c r="H108" s="1"/>
  <c r="H120" s="1"/>
  <c r="F89"/>
  <c r="F83"/>
  <c r="F95" s="1"/>
  <c r="G71" s="1"/>
  <c r="E99"/>
  <c r="E142" s="1"/>
  <c r="F90" i="1748"/>
  <c r="F84"/>
  <c r="F86"/>
  <c r="F80"/>
  <c r="F89" i="1747"/>
  <c r="F83"/>
  <c r="E99"/>
  <c r="E142" s="1"/>
  <c r="F89" i="1746"/>
  <c r="F83"/>
  <c r="F95" s="1"/>
  <c r="G71" s="1"/>
  <c r="E99"/>
  <c r="E142" s="1"/>
  <c r="E130" i="1744"/>
  <c r="F88"/>
  <c r="F82"/>
  <c r="F94" s="1"/>
  <c r="G70" s="1"/>
  <c r="F83" i="1741"/>
  <c r="F89"/>
  <c r="E99"/>
  <c r="E142" s="1"/>
  <c r="F83" i="1739"/>
  <c r="F89"/>
  <c r="E99"/>
  <c r="E142" s="1"/>
  <c r="F82" i="1737"/>
  <c r="F88"/>
  <c r="F94" s="1"/>
  <c r="G70" s="1"/>
  <c r="F83" i="1735"/>
  <c r="F89"/>
  <c r="F95" s="1"/>
  <c r="G71" s="1"/>
  <c r="E99"/>
  <c r="E142" s="1"/>
  <c r="F82" i="1734"/>
  <c r="F88"/>
  <c r="F90" i="1735"/>
  <c r="F84"/>
  <c r="F86"/>
  <c r="F80"/>
  <c r="F81" i="1734"/>
  <c r="F87"/>
  <c r="F93"/>
  <c r="G69" s="1"/>
  <c r="G135" i="1736"/>
  <c r="G59"/>
  <c r="G182"/>
  <c r="G156"/>
  <c r="H55"/>
  <c r="H182" i="1738"/>
  <c r="I55"/>
  <c r="H156"/>
  <c r="H135"/>
  <c r="H59"/>
  <c r="F182" i="1742"/>
  <c r="G55"/>
  <c r="F156"/>
  <c r="F135"/>
  <c r="F59"/>
  <c r="E140" i="1746"/>
  <c r="E169" s="1"/>
  <c r="E134"/>
  <c r="E136" s="1"/>
  <c r="E60"/>
  <c r="E141" s="1"/>
  <c r="E172" s="1"/>
  <c r="E134" i="1744"/>
  <c r="E136" s="1"/>
  <c r="E140"/>
  <c r="E169" s="1"/>
  <c r="E60"/>
  <c r="E141" s="1"/>
  <c r="E172" s="1"/>
  <c r="F182" i="1748"/>
  <c r="F59"/>
  <c r="F156"/>
  <c r="F135"/>
  <c r="G55"/>
  <c r="F182" i="1746"/>
  <c r="F59"/>
  <c r="F156"/>
  <c r="F135"/>
  <c r="G55"/>
  <c r="F182" i="1744"/>
  <c r="F59"/>
  <c r="F156"/>
  <c r="F135"/>
  <c r="G55"/>
  <c r="E137" i="1747"/>
  <c r="F134" s="1"/>
  <c r="F136" s="1"/>
  <c r="E137" i="1743"/>
  <c r="F134" s="1"/>
  <c r="E130" i="1749"/>
  <c r="E130" i="1748"/>
  <c r="E130" i="1746"/>
  <c r="E130" i="1745"/>
  <c r="E130" i="1742"/>
  <c r="E130" i="1741"/>
  <c r="E130" i="1740"/>
  <c r="E144" s="1"/>
  <c r="E160" s="1"/>
  <c r="E164" s="1"/>
  <c r="E166" s="1"/>
  <c r="E130" i="1738"/>
  <c r="E130" i="1743"/>
  <c r="E130" i="1737"/>
  <c r="E130" i="1736"/>
  <c r="E130" i="1734"/>
  <c r="E171" i="1749"/>
  <c r="E176"/>
  <c r="E19"/>
  <c r="A20"/>
  <c r="G165"/>
  <c r="E171" i="1748"/>
  <c r="E176"/>
  <c r="E19"/>
  <c r="A20"/>
  <c r="G165"/>
  <c r="E171" i="1747"/>
  <c r="E176"/>
  <c r="E192"/>
  <c r="F163"/>
  <c r="E19"/>
  <c r="A20"/>
  <c r="G165"/>
  <c r="E171" i="1746"/>
  <c r="E176"/>
  <c r="E19"/>
  <c r="A20"/>
  <c r="G165"/>
  <c r="H165" i="1745"/>
  <c r="E20"/>
  <c r="E24" s="1"/>
  <c r="E188" s="1"/>
  <c r="A21"/>
  <c r="E171" i="1744"/>
  <c r="E176"/>
  <c r="E19"/>
  <c r="A20"/>
  <c r="G165"/>
  <c r="E20" i="1743"/>
  <c r="E24" s="1"/>
  <c r="E188" s="1"/>
  <c r="A21"/>
  <c r="H165"/>
  <c r="H165" i="1742"/>
  <c r="E20"/>
  <c r="E24" s="1"/>
  <c r="E188" s="1"/>
  <c r="A21"/>
  <c r="E171" i="1741"/>
  <c r="E176"/>
  <c r="G165"/>
  <c r="E19"/>
  <c r="A20"/>
  <c r="H165" i="1740"/>
  <c r="E20"/>
  <c r="E24" s="1"/>
  <c r="E188" s="1"/>
  <c r="A21"/>
  <c r="E171" i="1739"/>
  <c r="E176"/>
  <c r="E19"/>
  <c r="A20"/>
  <c r="G165"/>
  <c r="H165" i="1738"/>
  <c r="E20"/>
  <c r="E24" s="1"/>
  <c r="E188" s="1"/>
  <c r="A21"/>
  <c r="E19" i="1737"/>
  <c r="A20"/>
  <c r="G165"/>
  <c r="E171"/>
  <c r="E176"/>
  <c r="E20" i="1736"/>
  <c r="E24" s="1"/>
  <c r="E188" s="1"/>
  <c r="A21"/>
  <c r="H165"/>
  <c r="E171" i="1735"/>
  <c r="E176"/>
  <c r="E19"/>
  <c r="A20"/>
  <c r="G165"/>
  <c r="E171" i="1734"/>
  <c r="E176"/>
  <c r="E19"/>
  <c r="A20"/>
  <c r="G165"/>
  <c r="E62" i="1737" l="1"/>
  <c r="F96" i="1749"/>
  <c r="G72" s="1"/>
  <c r="F93" i="1745"/>
  <c r="G69" s="1"/>
  <c r="E144" i="1744"/>
  <c r="E160" s="1"/>
  <c r="E164" s="1"/>
  <c r="E166" s="1"/>
  <c r="F94" i="1748"/>
  <c r="G70" s="1"/>
  <c r="F93" i="1749"/>
  <c r="G69" s="1"/>
  <c r="F95" i="1748"/>
  <c r="G71" s="1"/>
  <c r="F93" i="1736"/>
  <c r="G69" s="1"/>
  <c r="F96" i="1739"/>
  <c r="G72" s="1"/>
  <c r="F96" i="1741"/>
  <c r="G72" s="1"/>
  <c r="F93" i="1744"/>
  <c r="G69" s="1"/>
  <c r="F94" i="1736"/>
  <c r="G70" s="1"/>
  <c r="F95" i="1738"/>
  <c r="G71" s="1"/>
  <c r="F96" i="1740"/>
  <c r="G72" s="1"/>
  <c r="F96" i="1742"/>
  <c r="G72" s="1"/>
  <c r="F96" i="1737"/>
  <c r="G72" s="1"/>
  <c r="F94" i="1742"/>
  <c r="G70" s="1"/>
  <c r="F96" i="1746"/>
  <c r="G72" s="1"/>
  <c r="F96" i="1735"/>
  <c r="G72" s="1"/>
  <c r="F94" i="1734"/>
  <c r="G70" s="1"/>
  <c r="F95" i="1739"/>
  <c r="G71" s="1"/>
  <c r="F94"/>
  <c r="G70" s="1"/>
  <c r="F94" i="1741"/>
  <c r="G70" s="1"/>
  <c r="F93" i="1738"/>
  <c r="G69" s="1"/>
  <c r="F94" i="1740"/>
  <c r="G70" s="1"/>
  <c r="F95" i="1743"/>
  <c r="G71" s="1"/>
  <c r="F96" i="1745"/>
  <c r="G72" s="1"/>
  <c r="F94" i="1738"/>
  <c r="G70" s="1"/>
  <c r="F93" i="1735"/>
  <c r="G69" s="1"/>
  <c r="F93" i="1739"/>
  <c r="G69" s="1"/>
  <c r="F96" i="1747"/>
  <c r="G72" s="1"/>
  <c r="F95" i="1741"/>
  <c r="G71" s="1"/>
  <c r="F95" i="1747"/>
  <c r="G71" s="1"/>
  <c r="F96" i="1748"/>
  <c r="G72" s="1"/>
  <c r="F95" i="1744"/>
  <c r="G71" s="1"/>
  <c r="F94" i="1749"/>
  <c r="G70" s="1"/>
  <c r="F95" i="1736"/>
  <c r="G71" s="1"/>
  <c r="F95" i="1740"/>
  <c r="G71" s="1"/>
  <c r="F94" i="1743"/>
  <c r="G70" s="1"/>
  <c r="F93" i="1742"/>
  <c r="G69" s="1"/>
  <c r="F96" i="1743"/>
  <c r="G72" s="1"/>
  <c r="F95" i="1734"/>
  <c r="G71" s="1"/>
  <c r="F96"/>
  <c r="G72" s="1"/>
  <c r="G88"/>
  <c r="G82"/>
  <c r="G82" i="1737"/>
  <c r="G88"/>
  <c r="G83" i="1746"/>
  <c r="G89"/>
  <c r="G88" i="1741"/>
  <c r="G82"/>
  <c r="G82" i="1747"/>
  <c r="G88"/>
  <c r="G136" i="1740"/>
  <c r="G137" s="1"/>
  <c r="H134" s="1"/>
  <c r="G88"/>
  <c r="G82"/>
  <c r="G89" i="1743"/>
  <c r="G83"/>
  <c r="G82" i="1736"/>
  <c r="G88"/>
  <c r="G83" i="1738"/>
  <c r="G89"/>
  <c r="G90" i="1740"/>
  <c r="G84"/>
  <c r="G90" i="1742"/>
  <c r="G84"/>
  <c r="G82" i="1738"/>
  <c r="G88"/>
  <c r="G82" i="1735"/>
  <c r="G88"/>
  <c r="G81" i="1739"/>
  <c r="G87"/>
  <c r="G81" i="1746"/>
  <c r="G87"/>
  <c r="G84" i="1739"/>
  <c r="G90"/>
  <c r="G90" i="1741"/>
  <c r="G84"/>
  <c r="G90" i="1746"/>
  <c r="G84"/>
  <c r="G90" i="1747"/>
  <c r="G84"/>
  <c r="E192" i="1740"/>
  <c r="F163"/>
  <c r="G83" i="1741"/>
  <c r="G89"/>
  <c r="G88" i="1749"/>
  <c r="G82"/>
  <c r="G94" s="1"/>
  <c r="H70" s="1"/>
  <c r="G83" i="1736"/>
  <c r="G89"/>
  <c r="G89" i="1740"/>
  <c r="G83"/>
  <c r="G88" i="1743"/>
  <c r="G82"/>
  <c r="G81" i="1742"/>
  <c r="G87"/>
  <c r="G84" i="1743"/>
  <c r="G90"/>
  <c r="G90" i="1734"/>
  <c r="G84"/>
  <c r="G135" i="1746"/>
  <c r="H55"/>
  <c r="G182"/>
  <c r="G156"/>
  <c r="G59"/>
  <c r="I135" i="1738"/>
  <c r="I59"/>
  <c r="I182"/>
  <c r="I156"/>
  <c r="J55"/>
  <c r="H182" i="1736"/>
  <c r="I55"/>
  <c r="H156"/>
  <c r="H135"/>
  <c r="H59"/>
  <c r="E181" i="1735"/>
  <c r="E183" s="1"/>
  <c r="E181" i="1739"/>
  <c r="E183" s="1"/>
  <c r="E181" i="1747"/>
  <c r="E183" s="1"/>
  <c r="E177"/>
  <c r="E181" i="1749"/>
  <c r="E183" s="1"/>
  <c r="E181" i="1737"/>
  <c r="E183" s="1"/>
  <c r="E181" i="1744"/>
  <c r="E183" s="1"/>
  <c r="E177"/>
  <c r="F60" i="1740"/>
  <c r="F61"/>
  <c r="F62"/>
  <c r="G135" i="1743"/>
  <c r="G59"/>
  <c r="G182"/>
  <c r="G156"/>
  <c r="H55"/>
  <c r="G182" i="1749"/>
  <c r="G156"/>
  <c r="G59"/>
  <c r="G135"/>
  <c r="H55"/>
  <c r="G135" i="1737"/>
  <c r="H55"/>
  <c r="G182"/>
  <c r="G156"/>
  <c r="G59"/>
  <c r="E136" i="1736"/>
  <c r="E144" s="1"/>
  <c r="E160" s="1"/>
  <c r="E164" s="1"/>
  <c r="E166" s="1"/>
  <c r="I182" i="1740"/>
  <c r="I156"/>
  <c r="J55"/>
  <c r="I135"/>
  <c r="I59"/>
  <c r="E181" i="1743"/>
  <c r="E183" s="1"/>
  <c r="E181" i="1742"/>
  <c r="E183" s="1"/>
  <c r="E177"/>
  <c r="E136"/>
  <c r="E144" s="1"/>
  <c r="E160" s="1"/>
  <c r="E164" s="1"/>
  <c r="E166" s="1"/>
  <c r="E137"/>
  <c r="F134" s="1"/>
  <c r="G135" i="1741"/>
  <c r="H55"/>
  <c r="G182"/>
  <c r="G156"/>
  <c r="G59"/>
  <c r="E136" i="1735"/>
  <c r="E144" s="1"/>
  <c r="E160" s="1"/>
  <c r="E164" s="1"/>
  <c r="E166" s="1"/>
  <c r="E136" i="1739"/>
  <c r="E144" s="1"/>
  <c r="E160" s="1"/>
  <c r="E164" s="1"/>
  <c r="E166" s="1"/>
  <c r="E181" i="1738"/>
  <c r="E183" s="1"/>
  <c r="E181" i="1748"/>
  <c r="E183" s="1"/>
  <c r="E62" i="1744"/>
  <c r="E62" i="1746"/>
  <c r="E144"/>
  <c r="E160" s="1"/>
  <c r="E164" s="1"/>
  <c r="E166" s="1"/>
  <c r="F95" i="1737"/>
  <c r="G71" s="1"/>
  <c r="E144" i="1743"/>
  <c r="E160" s="1"/>
  <c r="E164" s="1"/>
  <c r="E166" s="1"/>
  <c r="E144" i="1745"/>
  <c r="E160" s="1"/>
  <c r="E164" s="1"/>
  <c r="E166" s="1"/>
  <c r="E144" i="1749"/>
  <c r="E160" s="1"/>
  <c r="E164" s="1"/>
  <c r="E166" s="1"/>
  <c r="E137" i="1744"/>
  <c r="F134" s="1"/>
  <c r="F136" s="1"/>
  <c r="E137" i="1746"/>
  <c r="F134" s="1"/>
  <c r="F136" s="1"/>
  <c r="E137" i="1745"/>
  <c r="F134" s="1"/>
  <c r="E137" i="1749"/>
  <c r="F134" s="1"/>
  <c r="F136" s="1"/>
  <c r="E137" i="1734"/>
  <c r="F134" s="1"/>
  <c r="F137" i="1747"/>
  <c r="G134" s="1"/>
  <c r="E62" i="1738"/>
  <c r="F93" i="1737"/>
  <c r="G69" s="1"/>
  <c r="F136" i="1743"/>
  <c r="G135" i="1744"/>
  <c r="H55"/>
  <c r="G182"/>
  <c r="G156"/>
  <c r="G59"/>
  <c r="G182" i="1748"/>
  <c r="G156"/>
  <c r="G59"/>
  <c r="G135"/>
  <c r="H55"/>
  <c r="G135" i="1742"/>
  <c r="G59"/>
  <c r="G182"/>
  <c r="G156"/>
  <c r="H55"/>
  <c r="G87" i="1734"/>
  <c r="G81"/>
  <c r="G84" i="1735"/>
  <c r="G90"/>
  <c r="G83"/>
  <c r="G89"/>
  <c r="G83" i="1739"/>
  <c r="G89"/>
  <c r="E181" i="1741"/>
  <c r="E183" s="1"/>
  <c r="G88" i="1744"/>
  <c r="G82"/>
  <c r="E181" i="1746"/>
  <c r="E183" s="1"/>
  <c r="E177"/>
  <c r="G83" i="1747"/>
  <c r="G89"/>
  <c r="G90" i="1748"/>
  <c r="G84"/>
  <c r="G89" i="1749"/>
  <c r="G83"/>
  <c r="G88" i="1739"/>
  <c r="G82"/>
  <c r="G83" i="1744"/>
  <c r="G89"/>
  <c r="G88" i="1746"/>
  <c r="G82"/>
  <c r="G87" i="1748"/>
  <c r="G81"/>
  <c r="F58" i="1743"/>
  <c r="F58" i="1745"/>
  <c r="F58" i="1747"/>
  <c r="F58" i="1749"/>
  <c r="G182" i="1734"/>
  <c r="G156"/>
  <c r="G59"/>
  <c r="G135"/>
  <c r="H55"/>
  <c r="F58"/>
  <c r="F58" i="1736"/>
  <c r="F58" i="1741"/>
  <c r="E136"/>
  <c r="E144" s="1"/>
  <c r="E160" s="1"/>
  <c r="E164" s="1"/>
  <c r="E166" s="1"/>
  <c r="G90" i="1736"/>
  <c r="G84"/>
  <c r="E181"/>
  <c r="E183" s="1"/>
  <c r="E177"/>
  <c r="G87" i="1738"/>
  <c r="G81"/>
  <c r="G88" i="1742"/>
  <c r="G82"/>
  <c r="G82" i="1745"/>
  <c r="G88"/>
  <c r="G90" i="1738"/>
  <c r="G84"/>
  <c r="E181" i="1740"/>
  <c r="E183" s="1"/>
  <c r="E177"/>
  <c r="E178" s="1"/>
  <c r="G83" i="1742"/>
  <c r="G89"/>
  <c r="E181" i="1745"/>
  <c r="E183" s="1"/>
  <c r="E177"/>
  <c r="G89"/>
  <c r="G83"/>
  <c r="F136" i="1748"/>
  <c r="F137" s="1"/>
  <c r="G134" s="1"/>
  <c r="G122" i="1749"/>
  <c r="G128" s="1"/>
  <c r="H110" s="1"/>
  <c r="H122" s="1"/>
  <c r="H128" s="1"/>
  <c r="I110" s="1"/>
  <c r="I122" s="1"/>
  <c r="I128" s="1"/>
  <c r="J110" s="1"/>
  <c r="J122" s="1"/>
  <c r="F58" i="1748"/>
  <c r="F58" i="1742"/>
  <c r="G182" i="1735"/>
  <c r="G156"/>
  <c r="G59"/>
  <c r="G135"/>
  <c r="H55"/>
  <c r="F58"/>
  <c r="F58" i="1737"/>
  <c r="E136"/>
  <c r="E144" s="1"/>
  <c r="E160" s="1"/>
  <c r="E164" s="1"/>
  <c r="E166" s="1"/>
  <c r="F58" i="1739"/>
  <c r="I182"/>
  <c r="I156"/>
  <c r="I59"/>
  <c r="I135"/>
  <c r="J55"/>
  <c r="G87" i="1736"/>
  <c r="G81"/>
  <c r="G81" i="1743"/>
  <c r="G87"/>
  <c r="G84" i="1745"/>
  <c r="G90"/>
  <c r="G87" i="1740"/>
  <c r="G81"/>
  <c r="G81" i="1745"/>
  <c r="G87"/>
  <c r="G182"/>
  <c r="G156"/>
  <c r="H55"/>
  <c r="G135"/>
  <c r="G59"/>
  <c r="G182" i="1747"/>
  <c r="G156"/>
  <c r="G59"/>
  <c r="G135"/>
  <c r="H55"/>
  <c r="E136" i="1738"/>
  <c r="E144" s="1"/>
  <c r="E160" s="1"/>
  <c r="E164" s="1"/>
  <c r="E166" s="1"/>
  <c r="E181" i="1734"/>
  <c r="E183" s="1"/>
  <c r="G89"/>
  <c r="G83"/>
  <c r="G81" i="1735"/>
  <c r="G87"/>
  <c r="G84" i="1737"/>
  <c r="G90"/>
  <c r="G81" i="1741"/>
  <c r="G87"/>
  <c r="G90" i="1744"/>
  <c r="G84"/>
  <c r="G81" i="1747"/>
  <c r="G87"/>
  <c r="G88" i="1748"/>
  <c r="G82"/>
  <c r="G94" s="1"/>
  <c r="H70" s="1"/>
  <c r="G87" i="1749"/>
  <c r="G81"/>
  <c r="G81" i="1744"/>
  <c r="G87"/>
  <c r="G89" i="1748"/>
  <c r="G83"/>
  <c r="G95" s="1"/>
  <c r="H71" s="1"/>
  <c r="G90" i="1749"/>
  <c r="G84"/>
  <c r="G96" s="1"/>
  <c r="H72" s="1"/>
  <c r="E178" i="1744"/>
  <c r="E178" i="1746"/>
  <c r="E178" i="1747"/>
  <c r="F137" i="1746"/>
  <c r="G134" s="1"/>
  <c r="F137" i="1749"/>
  <c r="G134" s="1"/>
  <c r="G136" s="1"/>
  <c r="E178" i="1745"/>
  <c r="E144" i="1734"/>
  <c r="E160" s="1"/>
  <c r="E164" s="1"/>
  <c r="E166" s="1"/>
  <c r="E178" i="1736"/>
  <c r="E144" i="1748"/>
  <c r="E160" s="1"/>
  <c r="E164" s="1"/>
  <c r="E166" s="1"/>
  <c r="E178" i="1742"/>
  <c r="H165" i="1749"/>
  <c r="A21"/>
  <c r="E20"/>
  <c r="E24" s="1"/>
  <c r="E188" s="1"/>
  <c r="H165" i="1748"/>
  <c r="A21"/>
  <c r="E20"/>
  <c r="E24" s="1"/>
  <c r="E188" s="1"/>
  <c r="H165" i="1747"/>
  <c r="A21"/>
  <c r="E20"/>
  <c r="E24" s="1"/>
  <c r="E188" s="1"/>
  <c r="A21" i="1746"/>
  <c r="E20"/>
  <c r="E24" s="1"/>
  <c r="E188" s="1"/>
  <c r="H165"/>
  <c r="A22" i="1745"/>
  <c r="E22" s="1"/>
  <c r="I19" i="49" s="1"/>
  <c r="E21" i="1745"/>
  <c r="E40" s="1"/>
  <c r="I165"/>
  <c r="H165" i="1744"/>
  <c r="A21"/>
  <c r="E20"/>
  <c r="E24" s="1"/>
  <c r="E188" s="1"/>
  <c r="I165" i="1743"/>
  <c r="A22"/>
  <c r="E22" s="1"/>
  <c r="K19" i="49" s="1"/>
  <c r="E21" i="1743"/>
  <c r="E40" s="1"/>
  <c r="A22" i="1742"/>
  <c r="E22" s="1"/>
  <c r="L19" i="49" s="1"/>
  <c r="E21" i="1742"/>
  <c r="E40" s="1"/>
  <c r="I165"/>
  <c r="A21" i="1741"/>
  <c r="E20"/>
  <c r="E24" s="1"/>
  <c r="E188" s="1"/>
  <c r="H165"/>
  <c r="A22" i="1740"/>
  <c r="E22" s="1"/>
  <c r="N19" i="49" s="1"/>
  <c r="E21" i="1740"/>
  <c r="E40" s="1"/>
  <c r="I165"/>
  <c r="H165" i="1739"/>
  <c r="A21"/>
  <c r="E20"/>
  <c r="E24" s="1"/>
  <c r="E188" s="1"/>
  <c r="A22" i="1738"/>
  <c r="E22" s="1"/>
  <c r="P19" i="49" s="1"/>
  <c r="E21" i="1738"/>
  <c r="E40" s="1"/>
  <c r="I165"/>
  <c r="H165" i="1737"/>
  <c r="A21"/>
  <c r="E20"/>
  <c r="E24" s="1"/>
  <c r="E188" s="1"/>
  <c r="I165" i="1736"/>
  <c r="A22"/>
  <c r="E22" s="1"/>
  <c r="R19" i="49" s="1"/>
  <c r="E21" i="1736"/>
  <c r="E40" s="1"/>
  <c r="H165" i="1735"/>
  <c r="A21"/>
  <c r="E20"/>
  <c r="E24" s="1"/>
  <c r="E188" s="1"/>
  <c r="H165" i="1734"/>
  <c r="A21"/>
  <c r="E20"/>
  <c r="E24" s="1"/>
  <c r="E188" s="1"/>
  <c r="H136" i="1740" l="1"/>
  <c r="H137"/>
  <c r="I134" s="1"/>
  <c r="I136" s="1"/>
  <c r="G95" i="1738"/>
  <c r="H71" s="1"/>
  <c r="G94" i="1747"/>
  <c r="H70" s="1"/>
  <c r="G95" i="1746"/>
  <c r="H71" s="1"/>
  <c r="G94" i="1734"/>
  <c r="H70" s="1"/>
  <c r="E192" i="1744"/>
  <c r="F163"/>
  <c r="G94" i="1742"/>
  <c r="H70" s="1"/>
  <c r="G95" i="1739"/>
  <c r="H71" s="1"/>
  <c r="G94" i="1737"/>
  <c r="H70" s="1"/>
  <c r="G95" i="1745"/>
  <c r="H71" s="1"/>
  <c r="G96" i="1738"/>
  <c r="H72" s="1"/>
  <c r="G94" i="1745"/>
  <c r="H70" s="1"/>
  <c r="G95" i="1744"/>
  <c r="H71" s="1"/>
  <c r="G95" i="1740"/>
  <c r="H71" s="1"/>
  <c r="G95" i="1736"/>
  <c r="H71" s="1"/>
  <c r="G94" i="1739"/>
  <c r="H70" s="1"/>
  <c r="G95" i="1747"/>
  <c r="H71" s="1"/>
  <c r="G96" i="1744"/>
  <c r="H72" s="1"/>
  <c r="G96" i="1737"/>
  <c r="H72" s="1"/>
  <c r="G95" i="1734"/>
  <c r="H71" s="1"/>
  <c r="G96" i="1735"/>
  <c r="H72" s="1"/>
  <c r="G94"/>
  <c r="H70" s="1"/>
  <c r="G96" i="1742"/>
  <c r="H72" s="1"/>
  <c r="G96" i="1740"/>
  <c r="H72" s="1"/>
  <c r="G96" i="1745"/>
  <c r="H72" s="1"/>
  <c r="G96" i="1736"/>
  <c r="H72" s="1"/>
  <c r="G96" i="1747"/>
  <c r="H72" s="1"/>
  <c r="G96" i="1746"/>
  <c r="H72" s="1"/>
  <c r="G96" i="1741"/>
  <c r="H72" s="1"/>
  <c r="G96" i="1739"/>
  <c r="H72" s="1"/>
  <c r="G95" i="1743"/>
  <c r="H71" s="1"/>
  <c r="G94" i="1740"/>
  <c r="H70" s="1"/>
  <c r="G95" i="1749"/>
  <c r="H71" s="1"/>
  <c r="G96" i="1748"/>
  <c r="H72" s="1"/>
  <c r="G95" i="1742"/>
  <c r="H71" s="1"/>
  <c r="G94" i="1746"/>
  <c r="H70" s="1"/>
  <c r="G94" i="1744"/>
  <c r="H70" s="1"/>
  <c r="G95" i="1735"/>
  <c r="H71" s="1"/>
  <c r="G96" i="1743"/>
  <c r="H72" s="1"/>
  <c r="G94"/>
  <c r="H70" s="1"/>
  <c r="G95" i="1741"/>
  <c r="H71" s="1"/>
  <c r="G94" i="1738"/>
  <c r="H70" s="1"/>
  <c r="G94" i="1736"/>
  <c r="H70" s="1"/>
  <c r="G94" i="1741"/>
  <c r="H70" s="1"/>
  <c r="H83" i="1748"/>
  <c r="H89"/>
  <c r="H84" i="1745"/>
  <c r="H90"/>
  <c r="H88"/>
  <c r="H82"/>
  <c r="H90" i="1748"/>
  <c r="H84"/>
  <c r="H89" i="1736"/>
  <c r="H83"/>
  <c r="H90" i="1746"/>
  <c r="H84"/>
  <c r="H90" i="1741"/>
  <c r="H84"/>
  <c r="H96" s="1"/>
  <c r="I72" s="1"/>
  <c r="H84" i="1739"/>
  <c r="H90"/>
  <c r="H90" i="1740"/>
  <c r="H84"/>
  <c r="H82"/>
  <c r="H88"/>
  <c r="H88" i="1737"/>
  <c r="H82"/>
  <c r="H89" i="1742"/>
  <c r="H83"/>
  <c r="H88" i="1746"/>
  <c r="H82"/>
  <c r="H88" i="1744"/>
  <c r="H82"/>
  <c r="H89" i="1735"/>
  <c r="H83"/>
  <c r="H84" i="1743"/>
  <c r="H90"/>
  <c r="H82"/>
  <c r="H88"/>
  <c r="H89" i="1741"/>
  <c r="H83"/>
  <c r="H82" i="1738"/>
  <c r="H88"/>
  <c r="H82" i="1736"/>
  <c r="H88"/>
  <c r="H88" i="1741"/>
  <c r="H82"/>
  <c r="H90" i="1749"/>
  <c r="H84"/>
  <c r="H88" i="1748"/>
  <c r="H82"/>
  <c r="H84" i="1744"/>
  <c r="H90"/>
  <c r="H96" s="1"/>
  <c r="I72" s="1"/>
  <c r="H90" i="1737"/>
  <c r="H84"/>
  <c r="H89" i="1734"/>
  <c r="H83"/>
  <c r="F163" i="1738"/>
  <c r="E192"/>
  <c r="H182" i="1745"/>
  <c r="I55"/>
  <c r="H156"/>
  <c r="H135"/>
  <c r="H59"/>
  <c r="J182" i="1739"/>
  <c r="J59"/>
  <c r="J156"/>
  <c r="J135"/>
  <c r="F60"/>
  <c r="F61"/>
  <c r="E192" i="1737"/>
  <c r="F163"/>
  <c r="F60" i="1735"/>
  <c r="F61"/>
  <c r="G136" i="1748"/>
  <c r="G137" s="1"/>
  <c r="H134" s="1"/>
  <c r="H89" i="1745"/>
  <c r="H83"/>
  <c r="H90" i="1738"/>
  <c r="H84"/>
  <c r="H82" i="1742"/>
  <c r="H88"/>
  <c r="H90" i="1736"/>
  <c r="H84"/>
  <c r="E192" i="1741"/>
  <c r="F163"/>
  <c r="F60"/>
  <c r="F61"/>
  <c r="F60" i="1736"/>
  <c r="F61"/>
  <c r="F62" s="1"/>
  <c r="F61" i="1734"/>
  <c r="F60"/>
  <c r="F62" s="1"/>
  <c r="H83" i="1744"/>
  <c r="H89"/>
  <c r="H82" i="1739"/>
  <c r="H88"/>
  <c r="H89" i="1749"/>
  <c r="H83"/>
  <c r="H95" s="1"/>
  <c r="I71" s="1"/>
  <c r="H83" i="1747"/>
  <c r="H89"/>
  <c r="H89" i="1739"/>
  <c r="H83"/>
  <c r="H90" i="1735"/>
  <c r="H84"/>
  <c r="H182" i="1742"/>
  <c r="I55"/>
  <c r="H156"/>
  <c r="H135"/>
  <c r="H59"/>
  <c r="G136" i="1747"/>
  <c r="G137" s="1"/>
  <c r="H134" s="1"/>
  <c r="H136" s="1"/>
  <c r="F136" i="1734"/>
  <c r="F137" s="1"/>
  <c r="G134" s="1"/>
  <c r="F136" i="1745"/>
  <c r="F137" s="1"/>
  <c r="G134" s="1"/>
  <c r="E192" i="1749"/>
  <c r="F163"/>
  <c r="F163" i="1743"/>
  <c r="E192"/>
  <c r="E192" i="1746"/>
  <c r="F163"/>
  <c r="F58" i="1744"/>
  <c r="F163" i="1739"/>
  <c r="E192"/>
  <c r="F163" i="1735"/>
  <c r="E192"/>
  <c r="H182" i="1741"/>
  <c r="H59"/>
  <c r="H156"/>
  <c r="H135"/>
  <c r="I55"/>
  <c r="F136" i="1742"/>
  <c r="F137"/>
  <c r="G134" s="1"/>
  <c r="J156" i="1740"/>
  <c r="J135"/>
  <c r="J182"/>
  <c r="J59"/>
  <c r="E192" i="1736"/>
  <c r="F163"/>
  <c r="H156" i="1737"/>
  <c r="H135"/>
  <c r="I55"/>
  <c r="H182"/>
  <c r="H59"/>
  <c r="H182" i="1749"/>
  <c r="H59"/>
  <c r="H156"/>
  <c r="H135"/>
  <c r="I55"/>
  <c r="G58" i="1740"/>
  <c r="H83"/>
  <c r="H89"/>
  <c r="H88" i="1749"/>
  <c r="H82"/>
  <c r="H84" i="1747"/>
  <c r="H90"/>
  <c r="H82" i="1735"/>
  <c r="H88"/>
  <c r="H90" i="1742"/>
  <c r="H84"/>
  <c r="H83" i="1738"/>
  <c r="H89"/>
  <c r="H83" i="1743"/>
  <c r="H89"/>
  <c r="H88" i="1747"/>
  <c r="H82"/>
  <c r="H89" i="1746"/>
  <c r="H83"/>
  <c r="H82" i="1734"/>
  <c r="H88"/>
  <c r="E177" i="1741"/>
  <c r="E178" s="1"/>
  <c r="E177" i="1743"/>
  <c r="E178" s="1"/>
  <c r="E177" i="1737"/>
  <c r="E178" s="1"/>
  <c r="E177" i="1749"/>
  <c r="E178" s="1"/>
  <c r="E177" i="1739"/>
  <c r="E178" s="1"/>
  <c r="E177" i="1735"/>
  <c r="E178" s="1"/>
  <c r="E192" i="1748"/>
  <c r="F163"/>
  <c r="F163" i="1734"/>
  <c r="E192"/>
  <c r="G136" i="1746"/>
  <c r="G137" s="1"/>
  <c r="H134" s="1"/>
  <c r="H136" s="1"/>
  <c r="H182" i="1747"/>
  <c r="H59"/>
  <c r="H156"/>
  <c r="H135"/>
  <c r="I55"/>
  <c r="F60" i="1737"/>
  <c r="F61"/>
  <c r="H182" i="1735"/>
  <c r="H59"/>
  <c r="H156"/>
  <c r="H135"/>
  <c r="I55"/>
  <c r="F60" i="1742"/>
  <c r="F61"/>
  <c r="F62" s="1"/>
  <c r="F61" i="1748"/>
  <c r="F60"/>
  <c r="H182" i="1734"/>
  <c r="H59"/>
  <c r="H156"/>
  <c r="H135"/>
  <c r="I55"/>
  <c r="F61" i="1749"/>
  <c r="F60"/>
  <c r="F61" i="1747"/>
  <c r="F60"/>
  <c r="F60" i="1745"/>
  <c r="F61"/>
  <c r="F60" i="1743"/>
  <c r="F61"/>
  <c r="H156" i="1748"/>
  <c r="H135"/>
  <c r="I55"/>
  <c r="H182"/>
  <c r="H59"/>
  <c r="H135" i="1744"/>
  <c r="H59"/>
  <c r="H156"/>
  <c r="H182"/>
  <c r="I55"/>
  <c r="G81" i="1737"/>
  <c r="G87"/>
  <c r="F58" i="1738"/>
  <c r="E192" i="1745"/>
  <c r="F163"/>
  <c r="G83" i="1737"/>
  <c r="G89"/>
  <c r="F58" i="1746"/>
  <c r="F163" i="1742"/>
  <c r="E192"/>
  <c r="H182" i="1743"/>
  <c r="I55"/>
  <c r="H156"/>
  <c r="H135"/>
  <c r="H59"/>
  <c r="I182" i="1736"/>
  <c r="I156"/>
  <c r="J55"/>
  <c r="I135"/>
  <c r="I59"/>
  <c r="J156" i="1738"/>
  <c r="J182"/>
  <c r="J59"/>
  <c r="J135"/>
  <c r="H182" i="1746"/>
  <c r="H59"/>
  <c r="H156"/>
  <c r="H135"/>
  <c r="I55"/>
  <c r="E177" i="1734"/>
  <c r="E178" s="1"/>
  <c r="E137" i="1738"/>
  <c r="F134" s="1"/>
  <c r="E137" i="1737"/>
  <c r="F134" s="1"/>
  <c r="E137" i="1741"/>
  <c r="F134" s="1"/>
  <c r="F137" i="1743"/>
  <c r="G134" s="1"/>
  <c r="G136" s="1"/>
  <c r="F137" i="1744"/>
  <c r="G134" s="1"/>
  <c r="G136" s="1"/>
  <c r="E177" i="1748"/>
  <c r="E178" s="1"/>
  <c r="E177" i="1738"/>
  <c r="E178" s="1"/>
  <c r="E137" i="1739"/>
  <c r="F134" s="1"/>
  <c r="E137" i="1735"/>
  <c r="F134" s="1"/>
  <c r="I137" i="1740"/>
  <c r="J134" s="1"/>
  <c r="E137" i="1736"/>
  <c r="F134" s="1"/>
  <c r="G137" i="1749"/>
  <c r="H134" s="1"/>
  <c r="H136" s="1"/>
  <c r="G96" i="1734"/>
  <c r="H72" s="1"/>
  <c r="E21" i="1749"/>
  <c r="E40" s="1"/>
  <c r="A22"/>
  <c r="E22" s="1"/>
  <c r="E19" i="49" s="1"/>
  <c r="I165" i="1749"/>
  <c r="E21" i="1748"/>
  <c r="E40" s="1"/>
  <c r="A22"/>
  <c r="E22" s="1"/>
  <c r="F19" i="49" s="1"/>
  <c r="I165" i="1748"/>
  <c r="E21" i="1747"/>
  <c r="E40" s="1"/>
  <c r="A22"/>
  <c r="E22" s="1"/>
  <c r="G19" i="49" s="1"/>
  <c r="I165" i="1747"/>
  <c r="I165" i="1746"/>
  <c r="E21"/>
  <c r="E40" s="1"/>
  <c r="A22"/>
  <c r="E22" s="1"/>
  <c r="H19" i="49" s="1"/>
  <c r="J165" i="1745"/>
  <c r="J243"/>
  <c r="E186"/>
  <c r="F40"/>
  <c r="E21" i="1744"/>
  <c r="E40" s="1"/>
  <c r="A22"/>
  <c r="E22" s="1"/>
  <c r="J19" i="49" s="1"/>
  <c r="I165" i="1744"/>
  <c r="J243" i="1743"/>
  <c r="J165"/>
  <c r="E186"/>
  <c r="F40"/>
  <c r="J243" i="1742"/>
  <c r="J165"/>
  <c r="E186"/>
  <c r="F40"/>
  <c r="I165" i="1741"/>
  <c r="E21"/>
  <c r="E40" s="1"/>
  <c r="A22"/>
  <c r="E22" s="1"/>
  <c r="M19" i="49" s="1"/>
  <c r="J165" i="1740"/>
  <c r="J243"/>
  <c r="E186"/>
  <c r="F40"/>
  <c r="E21" i="1739"/>
  <c r="E40" s="1"/>
  <c r="A22"/>
  <c r="E22" s="1"/>
  <c r="O19" i="49" s="1"/>
  <c r="I165" i="1739"/>
  <c r="E186" i="1738"/>
  <c r="F40"/>
  <c r="J165"/>
  <c r="J243"/>
  <c r="E21" i="1737"/>
  <c r="E40" s="1"/>
  <c r="A22"/>
  <c r="E22" s="1"/>
  <c r="Q19" i="49" s="1"/>
  <c r="I165" i="1737"/>
  <c r="J243" i="1736"/>
  <c r="J165"/>
  <c r="E186"/>
  <c r="F40"/>
  <c r="E21" i="1735"/>
  <c r="E40" s="1"/>
  <c r="A22"/>
  <c r="E22" s="1"/>
  <c r="S19" i="49" s="1"/>
  <c r="I165" i="1735"/>
  <c r="E21" i="1734"/>
  <c r="E40" s="1"/>
  <c r="A22"/>
  <c r="E22" s="1"/>
  <c r="T19" i="49" s="1"/>
  <c r="I165" i="1734"/>
  <c r="H95" i="1736" l="1"/>
  <c r="I71" s="1"/>
  <c r="F62" i="1743"/>
  <c r="F62" i="1745"/>
  <c r="F62" i="1747"/>
  <c r="F62" i="1749"/>
  <c r="H96" i="1745"/>
  <c r="I72" s="1"/>
  <c r="H95" i="1748"/>
  <c r="I71" s="1"/>
  <c r="F62"/>
  <c r="F62" i="1737"/>
  <c r="G137" i="1743"/>
  <c r="H134" s="1"/>
  <c r="G95" i="1737"/>
  <c r="H71" s="1"/>
  <c r="H96" i="1742"/>
  <c r="I72" s="1"/>
  <c r="F62" i="1741"/>
  <c r="F62" i="1735"/>
  <c r="F62" i="1739"/>
  <c r="H137" i="1746"/>
  <c r="I134" s="1"/>
  <c r="I136" s="1"/>
  <c r="H95" i="1743"/>
  <c r="I71" s="1"/>
  <c r="H95" i="1738"/>
  <c r="I71" s="1"/>
  <c r="H95" i="1739"/>
  <c r="I71" s="1"/>
  <c r="H95" i="1747"/>
  <c r="I71" s="1"/>
  <c r="H95" i="1745"/>
  <c r="I71" s="1"/>
  <c r="H95" i="1734"/>
  <c r="I71" s="1"/>
  <c r="H96" i="1737"/>
  <c r="I72" s="1"/>
  <c r="H96" i="1747"/>
  <c r="I72" s="1"/>
  <c r="H95" i="1740"/>
  <c r="I71" s="1"/>
  <c r="H95" i="1744"/>
  <c r="I71" s="1"/>
  <c r="H96" i="1736"/>
  <c r="I72" s="1"/>
  <c r="H96" i="1738"/>
  <c r="I72" s="1"/>
  <c r="H95" i="1742"/>
  <c r="I71" s="1"/>
  <c r="H96" i="1740"/>
  <c r="I72" s="1"/>
  <c r="H96" i="1739"/>
  <c r="I72" s="1"/>
  <c r="H96" i="1735"/>
  <c r="I72" s="1"/>
  <c r="H95" i="1741"/>
  <c r="I71" s="1"/>
  <c r="H96" i="1743"/>
  <c r="I72" s="1"/>
  <c r="H95" i="1735"/>
  <c r="I71" s="1"/>
  <c r="H96" i="1746"/>
  <c r="I72" s="1"/>
  <c r="G58" i="1743"/>
  <c r="G58" i="1745"/>
  <c r="G58" i="1747"/>
  <c r="G58" i="1749"/>
  <c r="G58" i="1737"/>
  <c r="I83" i="1738"/>
  <c r="I89"/>
  <c r="I83" i="1740"/>
  <c r="I89"/>
  <c r="G136" i="1734"/>
  <c r="G137" s="1"/>
  <c r="H134" s="1"/>
  <c r="I89" i="1747"/>
  <c r="I83"/>
  <c r="G58" i="1734"/>
  <c r="G58" i="1736"/>
  <c r="I90"/>
  <c r="I84"/>
  <c r="I84" i="1738"/>
  <c r="I90"/>
  <c r="G58" i="1735"/>
  <c r="G58" i="1739"/>
  <c r="I90" i="1737"/>
  <c r="I84"/>
  <c r="I90" i="1740"/>
  <c r="I84"/>
  <c r="I90" i="1739"/>
  <c r="I84"/>
  <c r="H89" i="1737"/>
  <c r="H83"/>
  <c r="G136" i="1745"/>
  <c r="G137" s="1"/>
  <c r="H134" s="1"/>
  <c r="G58" i="1741"/>
  <c r="H136" i="1748"/>
  <c r="H137"/>
  <c r="I134" s="1"/>
  <c r="I83" i="1741"/>
  <c r="I89"/>
  <c r="I84" i="1743"/>
  <c r="I90"/>
  <c r="I90" i="1746"/>
  <c r="I84"/>
  <c r="I89" i="1748"/>
  <c r="I83"/>
  <c r="H90" i="1734"/>
  <c r="H84"/>
  <c r="F136" i="1736"/>
  <c r="F137" s="1"/>
  <c r="G134" s="1"/>
  <c r="F136" i="1739"/>
  <c r="F137" s="1"/>
  <c r="G134" s="1"/>
  <c r="F136" i="1738"/>
  <c r="F137" s="1"/>
  <c r="G134" s="1"/>
  <c r="J182" i="1736"/>
  <c r="J59"/>
  <c r="J156"/>
  <c r="J135"/>
  <c r="I135" i="1743"/>
  <c r="I59"/>
  <c r="I182"/>
  <c r="I156"/>
  <c r="J55"/>
  <c r="F60" i="1746"/>
  <c r="F61"/>
  <c r="F62" s="1"/>
  <c r="I135" i="1744"/>
  <c r="J55"/>
  <c r="I182"/>
  <c r="I156"/>
  <c r="I59"/>
  <c r="I182" i="1734"/>
  <c r="I59"/>
  <c r="I135"/>
  <c r="J55"/>
  <c r="I156"/>
  <c r="I182" i="1747"/>
  <c r="I156"/>
  <c r="I59"/>
  <c r="I135"/>
  <c r="J55"/>
  <c r="G61" i="1740"/>
  <c r="G60"/>
  <c r="I156" i="1737"/>
  <c r="I135"/>
  <c r="J55"/>
  <c r="I182"/>
  <c r="I59"/>
  <c r="F60" i="1744"/>
  <c r="F61"/>
  <c r="F62" s="1"/>
  <c r="G137"/>
  <c r="H134" s="1"/>
  <c r="H136" s="1"/>
  <c r="H95" i="1746"/>
  <c r="I71" s="1"/>
  <c r="H137" i="1749"/>
  <c r="I134" s="1"/>
  <c r="I136" s="1"/>
  <c r="H96"/>
  <c r="I72" s="1"/>
  <c r="H96" i="1748"/>
  <c r="I72" s="1"/>
  <c r="H136" i="1743"/>
  <c r="H137" s="1"/>
  <c r="I134" s="1"/>
  <c r="I136" s="1"/>
  <c r="J136" i="1740"/>
  <c r="J137" s="1"/>
  <c r="F136" i="1735"/>
  <c r="F137" s="1"/>
  <c r="G134" s="1"/>
  <c r="F136" i="1741"/>
  <c r="F137" s="1"/>
  <c r="G134" s="1"/>
  <c r="F136" i="1737"/>
  <c r="F137" s="1"/>
  <c r="G134" s="1"/>
  <c r="I182" i="1746"/>
  <c r="I156"/>
  <c r="I59"/>
  <c r="I135"/>
  <c r="I137" s="1"/>
  <c r="J134" s="1"/>
  <c r="J136" s="1"/>
  <c r="J55"/>
  <c r="F60" i="1738"/>
  <c r="F61"/>
  <c r="I182" i="1748"/>
  <c r="I156"/>
  <c r="I59"/>
  <c r="I135"/>
  <c r="J55"/>
  <c r="G58"/>
  <c r="G58" i="1742"/>
  <c r="J55" i="1735"/>
  <c r="I182"/>
  <c r="I156"/>
  <c r="I59"/>
  <c r="I135"/>
  <c r="I83" i="1743"/>
  <c r="I89"/>
  <c r="I90" i="1742"/>
  <c r="I84"/>
  <c r="I90" i="1747"/>
  <c r="I84"/>
  <c r="I182" i="1749"/>
  <c r="I156"/>
  <c r="I59"/>
  <c r="I135"/>
  <c r="I137" s="1"/>
  <c r="J134" s="1"/>
  <c r="J136" s="1"/>
  <c r="J55"/>
  <c r="G136" i="1742"/>
  <c r="G137" s="1"/>
  <c r="H134" s="1"/>
  <c r="I182" i="1741"/>
  <c r="I59"/>
  <c r="I135"/>
  <c r="J55"/>
  <c r="I156"/>
  <c r="I182" i="1742"/>
  <c r="I156"/>
  <c r="J55"/>
  <c r="I135"/>
  <c r="I59"/>
  <c r="I84" i="1735"/>
  <c r="I90"/>
  <c r="I89" i="1739"/>
  <c r="I83"/>
  <c r="I83" i="1749"/>
  <c r="I89"/>
  <c r="I89" i="1744"/>
  <c r="I83"/>
  <c r="I89" i="1745"/>
  <c r="I83"/>
  <c r="I182"/>
  <c r="I156"/>
  <c r="J55"/>
  <c r="I135"/>
  <c r="I59"/>
  <c r="I83" i="1734"/>
  <c r="I89"/>
  <c r="I90" i="1744"/>
  <c r="I84"/>
  <c r="I83" i="1735"/>
  <c r="I89"/>
  <c r="I89" i="1742"/>
  <c r="I83"/>
  <c r="I84" i="1741"/>
  <c r="I90"/>
  <c r="I83" i="1736"/>
  <c r="I89"/>
  <c r="I90" i="1745"/>
  <c r="I84"/>
  <c r="H137" i="1747"/>
  <c r="I134" s="1"/>
  <c r="I136" s="1"/>
  <c r="E186" i="1749"/>
  <c r="F40"/>
  <c r="J165"/>
  <c r="J243"/>
  <c r="E186" i="1748"/>
  <c r="F40"/>
  <c r="J165"/>
  <c r="J243"/>
  <c r="J165" i="1747"/>
  <c r="E186"/>
  <c r="F40"/>
  <c r="J243"/>
  <c r="E186" i="1746"/>
  <c r="F40"/>
  <c r="J165"/>
  <c r="J243"/>
  <c r="F186" i="1745"/>
  <c r="G40"/>
  <c r="E186" i="1744"/>
  <c r="F40"/>
  <c r="J165"/>
  <c r="J243"/>
  <c r="F186" i="1743"/>
  <c r="G40"/>
  <c r="F186" i="1742"/>
  <c r="G40"/>
  <c r="E186" i="1741"/>
  <c r="F40"/>
  <c r="J165"/>
  <c r="J243"/>
  <c r="F186" i="1740"/>
  <c r="G40"/>
  <c r="J165" i="1739"/>
  <c r="E186"/>
  <c r="F40"/>
  <c r="J243"/>
  <c r="F186" i="1738"/>
  <c r="G40"/>
  <c r="J165" i="1737"/>
  <c r="E186"/>
  <c r="F40"/>
  <c r="J243"/>
  <c r="F186" i="1736"/>
  <c r="G40"/>
  <c r="E186" i="1735"/>
  <c r="F40"/>
  <c r="J165"/>
  <c r="J243"/>
  <c r="E186" i="1734"/>
  <c r="F40"/>
  <c r="J165"/>
  <c r="J243"/>
  <c r="F16" i="1440"/>
  <c r="F17" s="1"/>
  <c r="F18" s="1"/>
  <c r="F20" s="1"/>
  <c r="H16"/>
  <c r="H17" s="1"/>
  <c r="H18" s="1"/>
  <c r="H20" s="1"/>
  <c r="I16"/>
  <c r="I17" s="1"/>
  <c r="I18" s="1"/>
  <c r="I20" s="1"/>
  <c r="L16"/>
  <c r="L17" s="1"/>
  <c r="L18" s="1"/>
  <c r="L20" s="1"/>
  <c r="M16"/>
  <c r="M17" s="1"/>
  <c r="M18" s="1"/>
  <c r="M20" s="1"/>
  <c r="N16"/>
  <c r="N17" s="1"/>
  <c r="N18" s="1"/>
  <c r="N20" s="1"/>
  <c r="G62" i="1740" l="1"/>
  <c r="I96" i="1747"/>
  <c r="J72" s="1"/>
  <c r="F62" i="1738"/>
  <c r="H137" i="1744"/>
  <c r="I134" s="1"/>
  <c r="I136" s="1"/>
  <c r="I96" i="1739"/>
  <c r="J72" s="1"/>
  <c r="I96" i="1737"/>
  <c r="J72" s="1"/>
  <c r="I96" i="1736"/>
  <c r="J72" s="1"/>
  <c r="I96" i="1745"/>
  <c r="J72" s="1"/>
  <c r="I96" i="1738"/>
  <c r="J72" s="1"/>
  <c r="I96" i="1735"/>
  <c r="J72" s="1"/>
  <c r="H96" i="1734"/>
  <c r="I72" s="1"/>
  <c r="I96" i="1746"/>
  <c r="J72" s="1"/>
  <c r="I96" i="1743"/>
  <c r="J72" s="1"/>
  <c r="I96" i="1741"/>
  <c r="J72" s="1"/>
  <c r="I96" i="1744"/>
  <c r="J72" s="1"/>
  <c r="H95" i="1737"/>
  <c r="I71" s="1"/>
  <c r="I96" i="1742"/>
  <c r="J72" s="1"/>
  <c r="J90" s="1"/>
  <c r="I96" i="1740"/>
  <c r="J72" s="1"/>
  <c r="J90" s="1"/>
  <c r="J84" i="1742"/>
  <c r="G58" i="1738"/>
  <c r="G136"/>
  <c r="G137"/>
  <c r="H134" s="1"/>
  <c r="G136" i="1736"/>
  <c r="G137"/>
  <c r="H134" s="1"/>
  <c r="J90" i="1744"/>
  <c r="J84"/>
  <c r="H136" i="1742"/>
  <c r="H137" s="1"/>
  <c r="I134" s="1"/>
  <c r="H58" i="1740"/>
  <c r="G136" i="1739"/>
  <c r="G137" s="1"/>
  <c r="H134" s="1"/>
  <c r="I84" i="1734"/>
  <c r="I90"/>
  <c r="J84" i="1738"/>
  <c r="J90"/>
  <c r="J156" i="1745"/>
  <c r="J135"/>
  <c r="J182"/>
  <c r="J59"/>
  <c r="J182" i="1742"/>
  <c r="J59"/>
  <c r="J156"/>
  <c r="J135"/>
  <c r="J59" i="1741"/>
  <c r="J156"/>
  <c r="J135"/>
  <c r="J182"/>
  <c r="J156" i="1749"/>
  <c r="J135"/>
  <c r="J137" s="1"/>
  <c r="J182"/>
  <c r="J59"/>
  <c r="J156" i="1735"/>
  <c r="J182"/>
  <c r="J59"/>
  <c r="J135"/>
  <c r="G60" i="1742"/>
  <c r="G61"/>
  <c r="G60" i="1748"/>
  <c r="G61"/>
  <c r="J156" i="1746"/>
  <c r="J135"/>
  <c r="J137" s="1"/>
  <c r="J182"/>
  <c r="J59"/>
  <c r="I84" i="1749"/>
  <c r="I90"/>
  <c r="J156" i="1747"/>
  <c r="J135"/>
  <c r="J182"/>
  <c r="J59"/>
  <c r="J135" i="1734"/>
  <c r="J182"/>
  <c r="J59"/>
  <c r="J156"/>
  <c r="G60" i="1739"/>
  <c r="G61"/>
  <c r="G61" i="1749"/>
  <c r="G60"/>
  <c r="G61" i="1747"/>
  <c r="G60"/>
  <c r="I137" i="1744"/>
  <c r="J134" s="1"/>
  <c r="J136" s="1"/>
  <c r="J90" i="1745"/>
  <c r="J84"/>
  <c r="J84" i="1741"/>
  <c r="J90"/>
  <c r="J90" i="1735"/>
  <c r="J84"/>
  <c r="J84" i="1747"/>
  <c r="J90"/>
  <c r="J156" i="1748"/>
  <c r="J135"/>
  <c r="J182"/>
  <c r="J59"/>
  <c r="G136" i="1737"/>
  <c r="G137" s="1"/>
  <c r="H134" s="1"/>
  <c r="G136" i="1741"/>
  <c r="G137" s="1"/>
  <c r="H134" s="1"/>
  <c r="G136" i="1735"/>
  <c r="G137" s="1"/>
  <c r="H134" s="1"/>
  <c r="I84" i="1748"/>
  <c r="I90"/>
  <c r="I83" i="1746"/>
  <c r="I89"/>
  <c r="G58" i="1744"/>
  <c r="J59" i="1737"/>
  <c r="J156"/>
  <c r="J135"/>
  <c r="J182"/>
  <c r="J182" i="1744"/>
  <c r="J59"/>
  <c r="J156"/>
  <c r="J135"/>
  <c r="J137" s="1"/>
  <c r="G58" i="1746"/>
  <c r="J182" i="1743"/>
  <c r="J59"/>
  <c r="J156"/>
  <c r="J135"/>
  <c r="J90" i="1746"/>
  <c r="J84"/>
  <c r="J84" i="1743"/>
  <c r="J90"/>
  <c r="I136" i="1748"/>
  <c r="I137" s="1"/>
  <c r="J134" s="1"/>
  <c r="J136" s="1"/>
  <c r="G60" i="1741"/>
  <c r="G61"/>
  <c r="H136" i="1745"/>
  <c r="H137" s="1"/>
  <c r="I134" s="1"/>
  <c r="I89" i="1737"/>
  <c r="I83"/>
  <c r="J84" i="1739"/>
  <c r="J90"/>
  <c r="J84" i="1737"/>
  <c r="J90"/>
  <c r="G61" i="1735"/>
  <c r="G60"/>
  <c r="J84" i="1736"/>
  <c r="J90"/>
  <c r="G60"/>
  <c r="G61"/>
  <c r="G60" i="1734"/>
  <c r="G61"/>
  <c r="H136"/>
  <c r="H137" s="1"/>
  <c r="I134" s="1"/>
  <c r="G60" i="1737"/>
  <c r="G61"/>
  <c r="G60" i="1745"/>
  <c r="G61"/>
  <c r="G61" i="1743"/>
  <c r="G60"/>
  <c r="I137" i="1747"/>
  <c r="J134" s="1"/>
  <c r="J136" s="1"/>
  <c r="I137" i="1743"/>
  <c r="J134" s="1"/>
  <c r="J136" s="1"/>
  <c r="J137" s="1"/>
  <c r="F186" i="1749"/>
  <c r="G40"/>
  <c r="F186" i="1748"/>
  <c r="G40"/>
  <c r="F186" i="1747"/>
  <c r="G40"/>
  <c r="F186" i="1746"/>
  <c r="G40"/>
  <c r="G186" i="1745"/>
  <c r="H40"/>
  <c r="F186" i="1744"/>
  <c r="G40"/>
  <c r="G186" i="1743"/>
  <c r="H40"/>
  <c r="G186" i="1742"/>
  <c r="H40"/>
  <c r="F186" i="1741"/>
  <c r="G40"/>
  <c r="G186" i="1740"/>
  <c r="H40"/>
  <c r="F186" i="1739"/>
  <c r="G40"/>
  <c r="G186" i="1738"/>
  <c r="H40"/>
  <c r="F186" i="1737"/>
  <c r="G40"/>
  <c r="G186" i="1736"/>
  <c r="H40"/>
  <c r="F186" i="1735"/>
  <c r="G40"/>
  <c r="F186" i="1734"/>
  <c r="G40"/>
  <c r="B16" i="1440"/>
  <c r="B17" s="1"/>
  <c r="B18" s="1"/>
  <c r="B20" s="1"/>
  <c r="D16"/>
  <c r="D17" s="1"/>
  <c r="D18" s="1"/>
  <c r="D20" s="1"/>
  <c r="G16"/>
  <c r="G17" s="1"/>
  <c r="G18" s="1"/>
  <c r="G20" s="1"/>
  <c r="J16"/>
  <c r="J17" s="1"/>
  <c r="J18" s="1"/>
  <c r="J20" s="1"/>
  <c r="K16"/>
  <c r="K17" s="1"/>
  <c r="K18" s="1"/>
  <c r="K20" s="1"/>
  <c r="Q16"/>
  <c r="Q17" s="1"/>
  <c r="Q18" s="1"/>
  <c r="Q20" s="1"/>
  <c r="C16"/>
  <c r="C17" s="1"/>
  <c r="C18" s="1"/>
  <c r="C20" s="1"/>
  <c r="E16"/>
  <c r="E17" s="1"/>
  <c r="E18" s="1"/>
  <c r="E20" s="1"/>
  <c r="O16"/>
  <c r="O17" s="1"/>
  <c r="O18" s="1"/>
  <c r="O20" s="1"/>
  <c r="P16"/>
  <c r="P17" s="1"/>
  <c r="P18" s="1"/>
  <c r="P20" s="1"/>
  <c r="AD73" i="461"/>
  <c r="AD74"/>
  <c r="AD75"/>
  <c r="AD76"/>
  <c r="AD77"/>
  <c r="AD78"/>
  <c r="AD79"/>
  <c r="AD80"/>
  <c r="AD81"/>
  <c r="AD82"/>
  <c r="AD72"/>
  <c r="AE96" i="378"/>
  <c r="AB70" i="461"/>
  <c r="AC70" s="1"/>
  <c r="AD70"/>
  <c r="AB71"/>
  <c r="AC71" s="1"/>
  <c r="AD71"/>
  <c r="AD61"/>
  <c r="AB62"/>
  <c r="AC62" s="1"/>
  <c r="AD62"/>
  <c r="AD63"/>
  <c r="AD64"/>
  <c r="AD65"/>
  <c r="AB66"/>
  <c r="AC66"/>
  <c r="AD66"/>
  <c r="AB67"/>
  <c r="AC67" s="1"/>
  <c r="AD67"/>
  <c r="AD68"/>
  <c r="AD69"/>
  <c r="AE96"/>
  <c r="G62" i="1735" l="1"/>
  <c r="J84" i="1740"/>
  <c r="I96" i="1749"/>
  <c r="J72" s="1"/>
  <c r="J90" s="1"/>
  <c r="I96" i="1734"/>
  <c r="J72" s="1"/>
  <c r="I96" i="1748"/>
  <c r="J72" s="1"/>
  <c r="J90" s="1"/>
  <c r="I136" i="1745"/>
  <c r="I137" s="1"/>
  <c r="J134" s="1"/>
  <c r="J84" i="1749"/>
  <c r="G62" i="1737"/>
  <c r="I136" i="1734"/>
  <c r="I137" s="1"/>
  <c r="J134" s="1"/>
  <c r="G62"/>
  <c r="H58" i="1735"/>
  <c r="G62" i="1741"/>
  <c r="G61" i="1746"/>
  <c r="G60"/>
  <c r="G61" i="1744"/>
  <c r="G60"/>
  <c r="H136" i="1735"/>
  <c r="H136" i="1741"/>
  <c r="H137" s="1"/>
  <c r="I134" s="1"/>
  <c r="H136" i="1737"/>
  <c r="H137" s="1"/>
  <c r="I134" s="1"/>
  <c r="G62" i="1747"/>
  <c r="J84" i="1734"/>
  <c r="J90"/>
  <c r="H136" i="1739"/>
  <c r="H137" s="1"/>
  <c r="I134" s="1"/>
  <c r="H61" i="1740"/>
  <c r="H60"/>
  <c r="I136" i="1742"/>
  <c r="H136" i="1736"/>
  <c r="H137" s="1"/>
  <c r="I134" s="1"/>
  <c r="H136" i="1738"/>
  <c r="H137" s="1"/>
  <c r="I134" s="1"/>
  <c r="J137" i="1748"/>
  <c r="G62" i="1749"/>
  <c r="G62" i="1739"/>
  <c r="G62" i="1748"/>
  <c r="G61" i="1738"/>
  <c r="G60"/>
  <c r="G62" i="1743"/>
  <c r="G62" i="1745"/>
  <c r="G62" i="1736"/>
  <c r="J137" i="1747"/>
  <c r="G62" i="1742"/>
  <c r="G186" i="1749"/>
  <c r="H40"/>
  <c r="G186" i="1748"/>
  <c r="H40"/>
  <c r="G186" i="1747"/>
  <c r="H40"/>
  <c r="G186" i="1746"/>
  <c r="H40"/>
  <c r="H186" i="1745"/>
  <c r="F295" s="1"/>
  <c r="I40"/>
  <c r="G186" i="1744"/>
  <c r="H40"/>
  <c r="H186" i="1743"/>
  <c r="F295" s="1"/>
  <c r="I40"/>
  <c r="H186" i="1742"/>
  <c r="F295" s="1"/>
  <c r="I40"/>
  <c r="G186" i="1741"/>
  <c r="H40"/>
  <c r="H186" i="1740"/>
  <c r="F295" s="1"/>
  <c r="I40"/>
  <c r="G186" i="1739"/>
  <c r="H40"/>
  <c r="H186" i="1738"/>
  <c r="F295" s="1"/>
  <c r="I40"/>
  <c r="G186" i="1737"/>
  <c r="H40"/>
  <c r="H186" i="1736"/>
  <c r="F295" s="1"/>
  <c r="I40"/>
  <c r="G186" i="1735"/>
  <c r="H40"/>
  <c r="G186" i="1734"/>
  <c r="H40"/>
  <c r="AB63" i="461"/>
  <c r="AC63" s="1"/>
  <c r="AB68"/>
  <c r="AB64"/>
  <c r="AB34"/>
  <c r="AB34" i="378"/>
  <c r="G62" i="1738" l="1"/>
  <c r="J84" i="1748"/>
  <c r="I136" i="1736"/>
  <c r="I137" s="1"/>
  <c r="J134" s="1"/>
  <c r="I136" i="1741"/>
  <c r="I137" s="1"/>
  <c r="J134" s="1"/>
  <c r="I136" i="1738"/>
  <c r="I137"/>
  <c r="J134" s="1"/>
  <c r="I136" i="1737"/>
  <c r="I137"/>
  <c r="J134" s="1"/>
  <c r="J136" i="1734"/>
  <c r="J137"/>
  <c r="H58" i="1736"/>
  <c r="H58" i="1745"/>
  <c r="H58" i="1738"/>
  <c r="H58" i="1748"/>
  <c r="H58" i="1739"/>
  <c r="H58" i="1749"/>
  <c r="I136" i="1739"/>
  <c r="I137" s="1"/>
  <c r="J134" s="1"/>
  <c r="H61" i="1735"/>
  <c r="H60"/>
  <c r="J136" i="1745"/>
  <c r="J137" s="1"/>
  <c r="H58" i="1742"/>
  <c r="H58" i="1743"/>
  <c r="H62" i="1740"/>
  <c r="H58" i="1747"/>
  <c r="H58" i="1741"/>
  <c r="H58" i="1734"/>
  <c r="H58" i="1737"/>
  <c r="I137" i="1742"/>
  <c r="J134" s="1"/>
  <c r="J136" s="1"/>
  <c r="J137" s="1"/>
  <c r="H137" i="1735"/>
  <c r="I134" s="1"/>
  <c r="G62" i="1744"/>
  <c r="G62" i="1746"/>
  <c r="H186" i="1749"/>
  <c r="F295" s="1"/>
  <c r="I40"/>
  <c r="H186" i="1748"/>
  <c r="F295" s="1"/>
  <c r="I40"/>
  <c r="H186" i="1747"/>
  <c r="F295" s="1"/>
  <c r="I40"/>
  <c r="H186" i="1746"/>
  <c r="F295" s="1"/>
  <c r="I40"/>
  <c r="I186" i="1745"/>
  <c r="I295" s="1"/>
  <c r="J40"/>
  <c r="J186" s="1"/>
  <c r="L295" s="1"/>
  <c r="H186" i="1744"/>
  <c r="F295" s="1"/>
  <c r="I40"/>
  <c r="I186" i="1743"/>
  <c r="I295" s="1"/>
  <c r="J40"/>
  <c r="J186" s="1"/>
  <c r="L295" s="1"/>
  <c r="I186" i="1742"/>
  <c r="I295" s="1"/>
  <c r="J40"/>
  <c r="J186" s="1"/>
  <c r="L295" s="1"/>
  <c r="H186" i="1741"/>
  <c r="F295" s="1"/>
  <c r="I40"/>
  <c r="I186" i="1740"/>
  <c r="I295" s="1"/>
  <c r="J40"/>
  <c r="J186" s="1"/>
  <c r="L295" s="1"/>
  <c r="H186" i="1739"/>
  <c r="F295" s="1"/>
  <c r="I40"/>
  <c r="I186" i="1738"/>
  <c r="I295" s="1"/>
  <c r="J40"/>
  <c r="J186" s="1"/>
  <c r="L295" s="1"/>
  <c r="H186" i="1737"/>
  <c r="F295" s="1"/>
  <c r="I40"/>
  <c r="I186" i="1736"/>
  <c r="I295" s="1"/>
  <c r="J40"/>
  <c r="J186" s="1"/>
  <c r="L295" s="1"/>
  <c r="H186" i="1735"/>
  <c r="F295" s="1"/>
  <c r="I40"/>
  <c r="H186" i="1734"/>
  <c r="F295" s="1"/>
  <c r="I40"/>
  <c r="AC68" i="461"/>
  <c r="AB69"/>
  <c r="AC69" s="1"/>
  <c r="AC64"/>
  <c r="AB65"/>
  <c r="AC65" s="1"/>
  <c r="J136" i="1739" l="1"/>
  <c r="J137" s="1"/>
  <c r="H58" i="1744"/>
  <c r="H60" i="1737"/>
  <c r="H61"/>
  <c r="H61" i="1734"/>
  <c r="H60"/>
  <c r="H61" i="1747"/>
  <c r="H60"/>
  <c r="I58" i="1740"/>
  <c r="H60" i="1742"/>
  <c r="H61"/>
  <c r="H60" i="1745"/>
  <c r="H61"/>
  <c r="H61" i="1736"/>
  <c r="H60"/>
  <c r="H58" i="1746"/>
  <c r="I136" i="1735"/>
  <c r="I137" s="1"/>
  <c r="J134" s="1"/>
  <c r="H61" i="1741"/>
  <c r="H60"/>
  <c r="H60" i="1743"/>
  <c r="H61"/>
  <c r="H62" i="1735"/>
  <c r="H61" i="1749"/>
  <c r="H60"/>
  <c r="H61" i="1739"/>
  <c r="H60"/>
  <c r="H60" i="1748"/>
  <c r="H61"/>
  <c r="H60" i="1738"/>
  <c r="H61"/>
  <c r="J136" i="1737"/>
  <c r="J137" s="1"/>
  <c r="J136" i="1738"/>
  <c r="J137" s="1"/>
  <c r="J136" i="1741"/>
  <c r="J137" s="1"/>
  <c r="J136" i="1736"/>
  <c r="J137" s="1"/>
  <c r="I186" i="1749"/>
  <c r="I295" s="1"/>
  <c r="J40"/>
  <c r="J186" s="1"/>
  <c r="L295" s="1"/>
  <c r="I186" i="1748"/>
  <c r="I295" s="1"/>
  <c r="J40"/>
  <c r="J186" s="1"/>
  <c r="L295" s="1"/>
  <c r="I186" i="1747"/>
  <c r="I295" s="1"/>
  <c r="J40"/>
  <c r="J186" s="1"/>
  <c r="L295" s="1"/>
  <c r="I186" i="1746"/>
  <c r="I295" s="1"/>
  <c r="J40"/>
  <c r="J186" s="1"/>
  <c r="L295" s="1"/>
  <c r="I186" i="1744"/>
  <c r="I295" s="1"/>
  <c r="J40"/>
  <c r="J186" s="1"/>
  <c r="L295" s="1"/>
  <c r="I186" i="1741"/>
  <c r="I295" s="1"/>
  <c r="J40"/>
  <c r="J186" s="1"/>
  <c r="L295" s="1"/>
  <c r="I186" i="1739"/>
  <c r="I295" s="1"/>
  <c r="J40"/>
  <c r="J186" s="1"/>
  <c r="L295" s="1"/>
  <c r="I186" i="1737"/>
  <c r="I295" s="1"/>
  <c r="J40"/>
  <c r="J186" s="1"/>
  <c r="L295" s="1"/>
  <c r="I186" i="1735"/>
  <c r="I295" s="1"/>
  <c r="J40"/>
  <c r="J186" s="1"/>
  <c r="L295" s="1"/>
  <c r="I186" i="1734"/>
  <c r="I295" s="1"/>
  <c r="J40"/>
  <c r="J186" s="1"/>
  <c r="L295" s="1"/>
  <c r="H62" i="1743" l="1"/>
  <c r="H62" i="1738"/>
  <c r="H62" i="1736"/>
  <c r="H62" i="1745"/>
  <c r="H62" i="1742"/>
  <c r="I58" i="1738"/>
  <c r="J136" i="1735"/>
  <c r="J137" s="1"/>
  <c r="I58" i="1736"/>
  <c r="I58" i="1745"/>
  <c r="I58" i="1742"/>
  <c r="H62" i="1749"/>
  <c r="I60" i="1740"/>
  <c r="I61"/>
  <c r="H62" i="1747"/>
  <c r="H62" i="1748"/>
  <c r="H62" i="1739"/>
  <c r="I58" i="1735"/>
  <c r="I58" i="1743"/>
  <c r="H62" i="1741"/>
  <c r="H60" i="1746"/>
  <c r="H61"/>
  <c r="H62" i="1734"/>
  <c r="H62" i="1737"/>
  <c r="H60" i="1744"/>
  <c r="H61"/>
  <c r="AC94" i="461"/>
  <c r="AE98" s="1"/>
  <c r="AC93"/>
  <c r="AD98" s="1"/>
  <c r="AC92"/>
  <c r="AC98" s="1"/>
  <c r="AC91"/>
  <c r="AB98" s="1"/>
  <c r="AC90"/>
  <c r="AA98" s="1"/>
  <c r="AC89"/>
  <c r="Z98" s="1"/>
  <c r="AD60"/>
  <c r="AE60" s="1"/>
  <c r="AD59"/>
  <c r="AE59" s="1"/>
  <c r="AD58"/>
  <c r="AE58" s="1"/>
  <c r="AB58"/>
  <c r="AB59" s="1"/>
  <c r="AD57"/>
  <c r="AE57" s="1"/>
  <c r="AD56"/>
  <c r="AE56" s="1"/>
  <c r="AD55"/>
  <c r="AE55" s="1"/>
  <c r="AD54"/>
  <c r="AE54" s="1"/>
  <c r="AB54"/>
  <c r="AB55" s="1"/>
  <c r="AD53"/>
  <c r="AE53" s="1"/>
  <c r="AD52"/>
  <c r="AE52" s="1"/>
  <c r="AD51"/>
  <c r="AE51" s="1"/>
  <c r="AD50"/>
  <c r="AE50" s="1"/>
  <c r="AB50"/>
  <c r="AB51" s="1"/>
  <c r="AD49"/>
  <c r="AE49" s="1"/>
  <c r="AD48"/>
  <c r="AE48" s="1"/>
  <c r="AD47"/>
  <c r="AE47" s="1"/>
  <c r="AD46"/>
  <c r="AB46"/>
  <c r="AB47" s="1"/>
  <c r="AD45"/>
  <c r="AD44"/>
  <c r="AE44" s="1"/>
  <c r="AD43"/>
  <c r="AE43" s="1"/>
  <c r="AD42"/>
  <c r="AE42" s="1"/>
  <c r="AB42"/>
  <c r="AB43" s="1"/>
  <c r="AD41"/>
  <c r="AE41" s="1"/>
  <c r="AD40"/>
  <c r="AD39"/>
  <c r="AD38"/>
  <c r="AB38"/>
  <c r="AB39" s="1"/>
  <c r="AD37"/>
  <c r="AD36"/>
  <c r="AE36" s="1"/>
  <c r="AD35"/>
  <c r="AE35" s="1"/>
  <c r="AD34"/>
  <c r="AE34" s="1"/>
  <c r="AC34"/>
  <c r="AB35"/>
  <c r="H62" i="1744" l="1"/>
  <c r="H62" i="1746"/>
  <c r="I58" i="1744"/>
  <c r="I58" i="1737"/>
  <c r="I58" i="1734"/>
  <c r="I58" i="1746"/>
  <c r="I58" i="1741"/>
  <c r="I60" i="1735"/>
  <c r="I61"/>
  <c r="I58" i="1739"/>
  <c r="I58" i="1748"/>
  <c r="I58" i="1747"/>
  <c r="I61" i="1736"/>
  <c r="I60"/>
  <c r="I61" i="1743"/>
  <c r="I60"/>
  <c r="I62" i="1740"/>
  <c r="I58" i="1749"/>
  <c r="I61" i="1742"/>
  <c r="I60"/>
  <c r="I60" i="1745"/>
  <c r="I61"/>
  <c r="I61" i="1738"/>
  <c r="I60"/>
  <c r="AE37" i="461"/>
  <c r="AF37" s="1"/>
  <c r="AE38"/>
  <c r="AE40"/>
  <c r="AE45"/>
  <c r="AE46"/>
  <c r="AF49" s="1"/>
  <c r="AE39"/>
  <c r="AF48"/>
  <c r="AF51"/>
  <c r="AC46"/>
  <c r="AC50"/>
  <c r="AB48"/>
  <c r="AC47"/>
  <c r="AB52"/>
  <c r="AC51"/>
  <c r="AB60"/>
  <c r="AC59"/>
  <c r="AB36"/>
  <c r="AC35"/>
  <c r="AB40"/>
  <c r="AC39"/>
  <c r="AB44"/>
  <c r="AC43"/>
  <c r="AB56"/>
  <c r="AC55"/>
  <c r="AC38"/>
  <c r="AF38"/>
  <c r="AC42"/>
  <c r="AF47"/>
  <c r="AC54"/>
  <c r="AC58"/>
  <c r="I62" i="1736" l="1"/>
  <c r="I62" i="1738"/>
  <c r="I62" i="1743"/>
  <c r="J58" i="1738"/>
  <c r="I60" i="1749"/>
  <c r="I61"/>
  <c r="J58" i="1736"/>
  <c r="I60" i="1747"/>
  <c r="I61"/>
  <c r="I61" i="1748"/>
  <c r="I60"/>
  <c r="I60" i="1741"/>
  <c r="I61"/>
  <c r="I61" i="1746"/>
  <c r="I60"/>
  <c r="I61" i="1734"/>
  <c r="I60"/>
  <c r="I60" i="1744"/>
  <c r="I61"/>
  <c r="I62" s="1"/>
  <c r="I62" i="1745"/>
  <c r="J58" i="1740"/>
  <c r="J58" i="1743"/>
  <c r="I61" i="1739"/>
  <c r="I60"/>
  <c r="I62" i="1735"/>
  <c r="I61" i="1737"/>
  <c r="I60"/>
  <c r="I62" i="1742"/>
  <c r="AC60" i="461"/>
  <c r="AB61"/>
  <c r="AC61" s="1"/>
  <c r="AE64"/>
  <c r="AE62"/>
  <c r="AE63"/>
  <c r="AE61"/>
  <c r="AF57"/>
  <c r="AF45"/>
  <c r="AF50"/>
  <c r="AB57"/>
  <c r="AC57" s="1"/>
  <c r="AC56"/>
  <c r="AB45"/>
  <c r="AC45" s="1"/>
  <c r="AC44"/>
  <c r="AB41"/>
  <c r="AC41" s="1"/>
  <c r="AC40"/>
  <c r="AB37"/>
  <c r="AC37" s="1"/>
  <c r="AC36"/>
  <c r="AE67"/>
  <c r="AE65"/>
  <c r="AB53"/>
  <c r="AC53" s="1"/>
  <c r="AC52"/>
  <c r="AB49"/>
  <c r="AC49" s="1"/>
  <c r="AC48"/>
  <c r="AF55"/>
  <c r="AG55" s="1"/>
  <c r="AH61" s="1"/>
  <c r="AF43"/>
  <c r="AF54"/>
  <c r="AG54" s="1"/>
  <c r="AH60" s="1"/>
  <c r="AF52"/>
  <c r="AG52" s="1"/>
  <c r="AH58" s="1"/>
  <c r="AF56"/>
  <c r="AF44"/>
  <c r="AG48" s="1"/>
  <c r="AH54" s="1"/>
  <c r="AF40"/>
  <c r="AF61"/>
  <c r="AG61" s="1"/>
  <c r="AH67" s="1"/>
  <c r="AF59"/>
  <c r="AG47"/>
  <c r="AH53" s="1"/>
  <c r="AF41"/>
  <c r="AG45" s="1"/>
  <c r="AH51" s="1"/>
  <c r="AF60"/>
  <c r="AF53"/>
  <c r="AG53" s="1"/>
  <c r="AH59" s="1"/>
  <c r="AG51"/>
  <c r="AH57" s="1"/>
  <c r="AG49"/>
  <c r="AH55" s="1"/>
  <c r="AF58"/>
  <c r="AF46"/>
  <c r="AF42"/>
  <c r="AF39"/>
  <c r="AF64"/>
  <c r="AG64" s="1"/>
  <c r="AH70" s="1"/>
  <c r="AD91" s="1"/>
  <c r="AB99" s="1"/>
  <c r="J58" i="1742" l="1"/>
  <c r="J58" i="1735"/>
  <c r="I62" i="1739"/>
  <c r="J60" i="1743"/>
  <c r="J61"/>
  <c r="I62" i="1746"/>
  <c r="I62" i="1741"/>
  <c r="I62" i="1748"/>
  <c r="I62" i="1747"/>
  <c r="I62" i="1737"/>
  <c r="J61" i="1740"/>
  <c r="J60"/>
  <c r="J58" i="1745"/>
  <c r="J58" i="1744"/>
  <c r="I62" i="1734"/>
  <c r="J61" i="1736"/>
  <c r="J60"/>
  <c r="I62" i="1749"/>
  <c r="J61" i="1738"/>
  <c r="J60"/>
  <c r="AG59" i="461"/>
  <c r="AH65" s="1"/>
  <c r="AG58"/>
  <c r="AH64" s="1"/>
  <c r="AG60"/>
  <c r="AH66" s="1"/>
  <c r="AD90" s="1"/>
  <c r="AA99" s="1"/>
  <c r="AG46"/>
  <c r="AH52" s="1"/>
  <c r="AG50"/>
  <c r="AH56" s="1"/>
  <c r="AF65"/>
  <c r="AG65" s="1"/>
  <c r="AH71" s="1"/>
  <c r="AE89"/>
  <c r="Z100" s="1"/>
  <c r="AE69"/>
  <c r="AE71"/>
  <c r="AF62"/>
  <c r="AG62" s="1"/>
  <c r="AH68" s="1"/>
  <c r="AG57"/>
  <c r="AH63" s="1"/>
  <c r="AE66"/>
  <c r="AF67" s="1"/>
  <c r="AE68"/>
  <c r="AG56"/>
  <c r="AH62" s="1"/>
  <c r="AD89" s="1"/>
  <c r="Z99" s="1"/>
  <c r="AF63"/>
  <c r="AG63" s="1"/>
  <c r="AH69" s="1"/>
  <c r="J62" i="1738" l="1"/>
  <c r="J58" i="1734"/>
  <c r="J61" i="1745"/>
  <c r="J60"/>
  <c r="J62" i="1740"/>
  <c r="J58" i="1747"/>
  <c r="J58" i="1748"/>
  <c r="J58" i="1741"/>
  <c r="J58" i="1746"/>
  <c r="J58" i="1749"/>
  <c r="J62" i="1736"/>
  <c r="J60" i="1744"/>
  <c r="J61"/>
  <c r="J58" i="1737"/>
  <c r="J62" i="1743"/>
  <c r="J58" i="1739"/>
  <c r="J61" i="1735"/>
  <c r="J60"/>
  <c r="J61" i="1742"/>
  <c r="J60"/>
  <c r="AF68" i="461"/>
  <c r="AG68" s="1"/>
  <c r="AH74" s="1"/>
  <c r="AD92" s="1"/>
  <c r="AC99" s="1"/>
  <c r="AE70"/>
  <c r="AE73"/>
  <c r="AF71"/>
  <c r="AG71" s="1"/>
  <c r="AH77" s="1"/>
  <c r="AG67"/>
  <c r="AH73" s="1"/>
  <c r="AE72"/>
  <c r="AF72" s="1"/>
  <c r="AG72" s="1"/>
  <c r="AE90"/>
  <c r="AA100" s="1"/>
  <c r="AF69"/>
  <c r="AG69" s="1"/>
  <c r="AH75" s="1"/>
  <c r="AF66"/>
  <c r="AG66" s="1"/>
  <c r="AH72" s="1"/>
  <c r="AE75"/>
  <c r="J61" i="1737" l="1"/>
  <c r="J60"/>
  <c r="J60" i="1746"/>
  <c r="J61"/>
  <c r="J62" i="1745"/>
  <c r="J62" i="1735"/>
  <c r="J60" i="1739"/>
  <c r="J61"/>
  <c r="J62" i="1744"/>
  <c r="J61" i="1749"/>
  <c r="J60"/>
  <c r="J61" i="1741"/>
  <c r="J60"/>
  <c r="J60" i="1748"/>
  <c r="J61"/>
  <c r="J61" i="1747"/>
  <c r="J60"/>
  <c r="J61" i="1734"/>
  <c r="J60"/>
  <c r="J62" i="1742"/>
  <c r="AH78" i="461"/>
  <c r="AD93" s="1"/>
  <c r="AD99" s="1"/>
  <c r="AE79"/>
  <c r="AE76"/>
  <c r="AE77"/>
  <c r="AE91"/>
  <c r="AB100" s="1"/>
  <c r="AF73"/>
  <c r="AG73" s="1"/>
  <c r="AH79" s="1"/>
  <c r="AF70"/>
  <c r="AG70" s="1"/>
  <c r="AH76" s="1"/>
  <c r="AE74"/>
  <c r="AF74" s="1"/>
  <c r="J62" i="1747" l="1"/>
  <c r="J62" i="1748"/>
  <c r="J62" i="1741"/>
  <c r="J62" i="1746"/>
  <c r="J62" i="1737"/>
  <c r="J62" i="1734"/>
  <c r="J62" i="1749"/>
  <c r="J62" i="1739"/>
  <c r="AF76" i="461"/>
  <c r="AG76" s="1"/>
  <c r="AH82" s="1"/>
  <c r="AD94" s="1"/>
  <c r="AE99" s="1"/>
  <c r="AG74"/>
  <c r="AH80" s="1"/>
  <c r="AE78"/>
  <c r="AE92"/>
  <c r="AC100" s="1"/>
  <c r="AF77"/>
  <c r="AG77" s="1"/>
  <c r="AE81"/>
  <c r="AF75"/>
  <c r="AG75" s="1"/>
  <c r="AH81" s="1"/>
  <c r="AF79"/>
  <c r="AE80"/>
  <c r="AF80" s="1"/>
  <c r="AG80" s="1"/>
  <c r="AG79" l="1"/>
  <c r="AE82"/>
  <c r="AF81"/>
  <c r="AG81" s="1"/>
  <c r="AE93"/>
  <c r="AD100" s="1"/>
  <c r="AF78"/>
  <c r="AG78" s="1"/>
  <c r="AE94" l="1"/>
  <c r="AE100" s="1"/>
  <c r="AF82"/>
  <c r="AG82" s="1"/>
  <c r="J36" i="5" l="1"/>
  <c r="K36"/>
  <c r="L36"/>
  <c r="M36"/>
  <c r="N36"/>
  <c r="O36"/>
  <c r="P36"/>
  <c r="Q36"/>
  <c r="R36"/>
  <c r="S36"/>
  <c r="E36"/>
  <c r="F36"/>
  <c r="G36"/>
  <c r="H36"/>
  <c r="I36"/>
  <c r="C33" i="9" l="1"/>
  <c r="C38" s="1"/>
  <c r="A57" i="4"/>
  <c r="A59" s="1"/>
  <c r="A62" l="1"/>
  <c r="A64" s="1"/>
  <c r="A66" s="1"/>
  <c r="A68" s="1"/>
  <c r="D33" i="9"/>
  <c r="C11"/>
  <c r="C17" s="1"/>
  <c r="C16" l="1"/>
  <c r="C13"/>
  <c r="C15"/>
  <c r="C14"/>
  <c r="AC89" i="378" l="1"/>
  <c r="Z98" s="1"/>
  <c r="AD35" l="1"/>
  <c r="AE35" s="1"/>
  <c r="AD36"/>
  <c r="AE36" s="1"/>
  <c r="AD37"/>
  <c r="AE37" s="1"/>
  <c r="AD38"/>
  <c r="AE38" s="1"/>
  <c r="AD39"/>
  <c r="AE39" s="1"/>
  <c r="AD40"/>
  <c r="AE40" s="1"/>
  <c r="AD41"/>
  <c r="AE41" s="1"/>
  <c r="AD42"/>
  <c r="AE42" s="1"/>
  <c r="AD43"/>
  <c r="AE43" s="1"/>
  <c r="AD44"/>
  <c r="AE44" s="1"/>
  <c r="AD45"/>
  <c r="AE45" s="1"/>
  <c r="AD46"/>
  <c r="AE46" s="1"/>
  <c r="AD47"/>
  <c r="AE47" s="1"/>
  <c r="AD48"/>
  <c r="AE48" s="1"/>
  <c r="AD49"/>
  <c r="AE49" s="1"/>
  <c r="AD50"/>
  <c r="AE50" s="1"/>
  <c r="AD51"/>
  <c r="AE51" s="1"/>
  <c r="AD52"/>
  <c r="AE52" s="1"/>
  <c r="AD53"/>
  <c r="AE53" s="1"/>
  <c r="AD54"/>
  <c r="AE54" s="1"/>
  <c r="AD55"/>
  <c r="AD56"/>
  <c r="AD57"/>
  <c r="AD58"/>
  <c r="AD59"/>
  <c r="AD60"/>
  <c r="AD34"/>
  <c r="Z71"/>
  <c r="Z73" s="1"/>
  <c r="AC90"/>
  <c r="AA98" s="1"/>
  <c r="AC91"/>
  <c r="AB98" s="1"/>
  <c r="AC92"/>
  <c r="AC98" s="1"/>
  <c r="AC93"/>
  <c r="AD98" s="1"/>
  <c r="AC94"/>
  <c r="AE98" s="1"/>
  <c r="AE60" l="1"/>
  <c r="AE58"/>
  <c r="AE56"/>
  <c r="AF37"/>
  <c r="AE34"/>
  <c r="AE59"/>
  <c r="AE57"/>
  <c r="AE55"/>
  <c r="AF52"/>
  <c r="AF48"/>
  <c r="AF40"/>
  <c r="AF54"/>
  <c r="AF50"/>
  <c r="AF46"/>
  <c r="AF44"/>
  <c r="AF42"/>
  <c r="AF38"/>
  <c r="AF53"/>
  <c r="AF51"/>
  <c r="AF49"/>
  <c r="AF47"/>
  <c r="AF45"/>
  <c r="AF43"/>
  <c r="AF41"/>
  <c r="AF39"/>
  <c r="Z72"/>
  <c r="Z82"/>
  <c r="Z80"/>
  <c r="Z78"/>
  <c r="Z76"/>
  <c r="Z74"/>
  <c r="AD62"/>
  <c r="AE62" s="1"/>
  <c r="AD64"/>
  <c r="AE64" s="1"/>
  <c r="AF55"/>
  <c r="Z83"/>
  <c r="Z81"/>
  <c r="Z79"/>
  <c r="Z77"/>
  <c r="Z75"/>
  <c r="AD61"/>
  <c r="AE61" s="1"/>
  <c r="AD63"/>
  <c r="AE63" s="1"/>
  <c r="AF59" l="1"/>
  <c r="AG59" s="1"/>
  <c r="AH65" s="1"/>
  <c r="AD67"/>
  <c r="AF58"/>
  <c r="AD66"/>
  <c r="AF57"/>
  <c r="AG57" s="1"/>
  <c r="AH63" s="1"/>
  <c r="AD65"/>
  <c r="AF64"/>
  <c r="AF60"/>
  <c r="AD68"/>
  <c r="AF56"/>
  <c r="AG45"/>
  <c r="AH51" s="1"/>
  <c r="AG49"/>
  <c r="AH55" s="1"/>
  <c r="AG53"/>
  <c r="AH59" s="1"/>
  <c r="AG46"/>
  <c r="AH52" s="1"/>
  <c r="AG50"/>
  <c r="AH56" s="1"/>
  <c r="AG54"/>
  <c r="AH60" s="1"/>
  <c r="AG58"/>
  <c r="AH64" s="1"/>
  <c r="AG47"/>
  <c r="AH53" s="1"/>
  <c r="AG51"/>
  <c r="AH57" s="1"/>
  <c r="AG55"/>
  <c r="AH61" s="1"/>
  <c r="AG48"/>
  <c r="AH54" s="1"/>
  <c r="AG52"/>
  <c r="AH58" s="1"/>
  <c r="AG56"/>
  <c r="AH62" s="1"/>
  <c r="AD89" s="1"/>
  <c r="Z99" s="1"/>
  <c r="AG64" l="1"/>
  <c r="AH70" s="1"/>
  <c r="AD91" s="1"/>
  <c r="AB99" s="1"/>
  <c r="AG60"/>
  <c r="AE65"/>
  <c r="AD69"/>
  <c r="AF63"/>
  <c r="AG63" s="1"/>
  <c r="AH69" s="1"/>
  <c r="AE66"/>
  <c r="AD70"/>
  <c r="AD71"/>
  <c r="AE67"/>
  <c r="AF61"/>
  <c r="AG61" s="1"/>
  <c r="AH67" s="1"/>
  <c r="AE68"/>
  <c r="AD72"/>
  <c r="AE89"/>
  <c r="Z100" s="1"/>
  <c r="AF65"/>
  <c r="AG65" s="1"/>
  <c r="AH71" s="1"/>
  <c r="AF62"/>
  <c r="AG62" s="1"/>
  <c r="AH68" s="1"/>
  <c r="AF66"/>
  <c r="AB35"/>
  <c r="AC34"/>
  <c r="E33" i="9"/>
  <c r="F33" s="1"/>
  <c r="G33" s="1"/>
  <c r="H33" s="1"/>
  <c r="I33" s="1"/>
  <c r="J33" s="1"/>
  <c r="K33" s="1"/>
  <c r="L33" s="1"/>
  <c r="M33" s="1"/>
  <c r="N33" s="1"/>
  <c r="O33" s="1"/>
  <c r="AG66" i="378" l="1"/>
  <c r="AH72" s="1"/>
  <c r="AF67"/>
  <c r="AG67" s="1"/>
  <c r="AH73" s="1"/>
  <c r="AD75"/>
  <c r="AE71"/>
  <c r="AE70"/>
  <c r="AD74"/>
  <c r="AD73"/>
  <c r="AE69"/>
  <c r="AE72"/>
  <c r="AD76"/>
  <c r="AF70"/>
  <c r="AG70" s="1"/>
  <c r="AH76" s="1"/>
  <c r="AF69"/>
  <c r="AG69" s="1"/>
  <c r="AH75" s="1"/>
  <c r="AE90"/>
  <c r="AA100" s="1"/>
  <c r="AF68"/>
  <c r="AG68" s="1"/>
  <c r="AH74" s="1"/>
  <c r="AD92" s="1"/>
  <c r="AC99" s="1"/>
  <c r="AH66"/>
  <c r="AD90" s="1"/>
  <c r="AA99" s="1"/>
  <c r="AC35"/>
  <c r="AB36"/>
  <c r="C35" i="9"/>
  <c r="AE76" i="378" l="1"/>
  <c r="AD80"/>
  <c r="AE80" s="1"/>
  <c r="AF72"/>
  <c r="AG72" s="1"/>
  <c r="AE91"/>
  <c r="AB100" s="1"/>
  <c r="AF71"/>
  <c r="AG71" s="1"/>
  <c r="AH77" s="1"/>
  <c r="AD77"/>
  <c r="AE73"/>
  <c r="AE74"/>
  <c r="AD78"/>
  <c r="AD79"/>
  <c r="AE75"/>
  <c r="AB37"/>
  <c r="AC36"/>
  <c r="AE78" l="1"/>
  <c r="AD82"/>
  <c r="AE82" s="1"/>
  <c r="AF76"/>
  <c r="AG76" s="1"/>
  <c r="AF74"/>
  <c r="AG74" s="1"/>
  <c r="AH80" s="1"/>
  <c r="AD83"/>
  <c r="AE83" s="1"/>
  <c r="AE79"/>
  <c r="AE92"/>
  <c r="AC100" s="1"/>
  <c r="AD81"/>
  <c r="AE81" s="1"/>
  <c r="AF83" s="1"/>
  <c r="AE77"/>
  <c r="AF80" s="1"/>
  <c r="AG80" s="1"/>
  <c r="AF75"/>
  <c r="AG75" s="1"/>
  <c r="AH81" s="1"/>
  <c r="AF73"/>
  <c r="AG73" s="1"/>
  <c r="AH79" s="1"/>
  <c r="AH78"/>
  <c r="AD93" s="1"/>
  <c r="AD99" s="1"/>
  <c r="AF79"/>
  <c r="AG79" s="1"/>
  <c r="AB38"/>
  <c r="AC37"/>
  <c r="AF77" l="1"/>
  <c r="AG83"/>
  <c r="AF82"/>
  <c r="AE94"/>
  <c r="AE100" s="1"/>
  <c r="AF78"/>
  <c r="AG78" s="1"/>
  <c r="AG77"/>
  <c r="AH83" s="1"/>
  <c r="AH82"/>
  <c r="AD94" s="1"/>
  <c r="AE99" s="1"/>
  <c r="AE93"/>
  <c r="AD100" s="1"/>
  <c r="AF81"/>
  <c r="AG81" s="1"/>
  <c r="AB39"/>
  <c r="AC38"/>
  <c r="C22" i="9"/>
  <c r="AG82" i="378" l="1"/>
  <c r="C26" i="9"/>
  <c r="D47" i="1749" s="1"/>
  <c r="C24" i="9"/>
  <c r="D45" i="1749" s="1"/>
  <c r="C25" i="9"/>
  <c r="D46" i="1749" s="1"/>
  <c r="C23" i="9"/>
  <c r="D44" i="1749" s="1"/>
  <c r="AC39" i="378"/>
  <c r="AB40"/>
  <c r="J189" i="1749" l="1"/>
  <c r="I189"/>
  <c r="H189"/>
  <c r="E189"/>
  <c r="D44" i="1747"/>
  <c r="D44" i="1748"/>
  <c r="D45" i="1747"/>
  <c r="D45" i="1748"/>
  <c r="D46" i="1747"/>
  <c r="D46" i="1748"/>
  <c r="D47" i="1747"/>
  <c r="D47" i="1748"/>
  <c r="H189" i="1747"/>
  <c r="J189"/>
  <c r="I189"/>
  <c r="E189"/>
  <c r="D44" i="1745"/>
  <c r="D44" i="1746"/>
  <c r="D45" i="1745"/>
  <c r="D45" i="1746"/>
  <c r="D46" i="1745"/>
  <c r="D46" i="1746"/>
  <c r="D47" i="1745"/>
  <c r="D47" i="1746"/>
  <c r="J189" i="1745"/>
  <c r="H189"/>
  <c r="I189"/>
  <c r="E189"/>
  <c r="D44" i="1743"/>
  <c r="D44" i="1744"/>
  <c r="D45" i="1743"/>
  <c r="D45" i="1744"/>
  <c r="D46" i="1743"/>
  <c r="D46" i="1744"/>
  <c r="D47" i="1743"/>
  <c r="D47" i="1744"/>
  <c r="J189" i="1743"/>
  <c r="H189"/>
  <c r="I189"/>
  <c r="E189"/>
  <c r="D44" i="1741"/>
  <c r="D44" i="1742"/>
  <c r="D45" i="1741"/>
  <c r="D45" i="1742"/>
  <c r="D46" i="1741"/>
  <c r="D46" i="1742"/>
  <c r="D47" i="1741"/>
  <c r="D47" i="1742"/>
  <c r="H189" i="1741"/>
  <c r="I189"/>
  <c r="J189"/>
  <c r="E189"/>
  <c r="D44" i="1739"/>
  <c r="D44" i="1740"/>
  <c r="D45" i="1739"/>
  <c r="D45" i="1740"/>
  <c r="D46" i="1739"/>
  <c r="D46" i="1740"/>
  <c r="D47" i="1739"/>
  <c r="D47" i="1740"/>
  <c r="I189" i="1739"/>
  <c r="J189"/>
  <c r="H189"/>
  <c r="E189"/>
  <c r="D44" i="1737"/>
  <c r="D44" i="1738"/>
  <c r="D45" i="1737"/>
  <c r="D45" i="1738"/>
  <c r="D46" i="1737"/>
  <c r="D46" i="1738"/>
  <c r="D47" i="1737"/>
  <c r="D47" i="1738"/>
  <c r="J189" i="1737"/>
  <c r="I189"/>
  <c r="H189"/>
  <c r="E189"/>
  <c r="D45" i="1735"/>
  <c r="D45" i="1736"/>
  <c r="D44" i="1735"/>
  <c r="D44" i="1736"/>
  <c r="D46" i="1735"/>
  <c r="D46" i="1736"/>
  <c r="D47" i="1735"/>
  <c r="D47" i="1736"/>
  <c r="J189" i="1735"/>
  <c r="I189"/>
  <c r="H189"/>
  <c r="E189"/>
  <c r="D44" i="1734"/>
  <c r="D45"/>
  <c r="D46"/>
  <c r="D47"/>
  <c r="AB41" i="378"/>
  <c r="AC40"/>
  <c r="J189" i="1748" l="1"/>
  <c r="I189"/>
  <c r="H189"/>
  <c r="E189"/>
  <c r="H189" i="1746"/>
  <c r="I189"/>
  <c r="J189"/>
  <c r="E189"/>
  <c r="I189" i="1744"/>
  <c r="H189"/>
  <c r="J189"/>
  <c r="E189"/>
  <c r="J189" i="1742"/>
  <c r="I189"/>
  <c r="H189"/>
  <c r="E189"/>
  <c r="J189" i="1740"/>
  <c r="I189"/>
  <c r="H189"/>
  <c r="E189"/>
  <c r="J189" i="1738"/>
  <c r="H189"/>
  <c r="I189"/>
  <c r="E189"/>
  <c r="J189" i="1736"/>
  <c r="I189"/>
  <c r="H189"/>
  <c r="E189"/>
  <c r="H189" i="1734"/>
  <c r="I189"/>
  <c r="J189"/>
  <c r="E189"/>
  <c r="AB42" i="378"/>
  <c r="AC41"/>
  <c r="AC42" l="1"/>
  <c r="AB43"/>
  <c r="AC43" l="1"/>
  <c r="AB44"/>
  <c r="AB45" l="1"/>
  <c r="AC44"/>
  <c r="AB46" l="1"/>
  <c r="AC45"/>
  <c r="AC46" l="1"/>
  <c r="AB47"/>
  <c r="AC47" l="1"/>
  <c r="AB48"/>
  <c r="AC48" l="1"/>
  <c r="AB49"/>
  <c r="AB50" l="1"/>
  <c r="AC49"/>
  <c r="AC50" l="1"/>
  <c r="AB51"/>
  <c r="AC51" l="1"/>
  <c r="AB52"/>
  <c r="AB53" l="1"/>
  <c r="AC52"/>
  <c r="AB54" l="1"/>
  <c r="AC53"/>
  <c r="AC54" l="1"/>
  <c r="AB55"/>
  <c r="AC55" l="1"/>
  <c r="AB56"/>
  <c r="AB57" l="1"/>
  <c r="AC56"/>
  <c r="AB58" l="1"/>
  <c r="AC57"/>
  <c r="AC58" l="1"/>
  <c r="AB59"/>
  <c r="AC59" l="1"/>
  <c r="AB60"/>
  <c r="AC60" l="1"/>
  <c r="C12" i="9" l="1"/>
  <c r="D38" s="1"/>
  <c r="C27"/>
  <c r="D48" i="1749" s="1"/>
  <c r="D48" i="1747" l="1"/>
  <c r="D48" i="1748"/>
  <c r="D48" i="1745"/>
  <c r="D48" i="1746"/>
  <c r="D48" i="1743"/>
  <c r="D48" i="1744"/>
  <c r="D48" i="1741"/>
  <c r="D48" i="1742"/>
  <c r="D48" i="1739"/>
  <c r="D48" i="1740"/>
  <c r="D48" i="1737"/>
  <c r="D48" i="1738"/>
  <c r="D48" i="1735"/>
  <c r="D48" i="1736"/>
  <c r="D48" i="1734"/>
  <c r="C40" i="9"/>
  <c r="C41" s="1"/>
  <c r="B41"/>
  <c r="D36" i="5" l="1"/>
  <c r="E25" i="1737" l="1"/>
  <c r="E25" i="1741"/>
  <c r="E25" i="1749"/>
  <c r="E25" i="1740"/>
  <c r="E25" i="1743"/>
  <c r="E25" i="1747"/>
  <c r="E25" i="1748"/>
  <c r="E25" i="1739"/>
  <c r="E25" i="1738"/>
  <c r="E25" i="1746"/>
  <c r="E25" i="1745"/>
  <c r="E25" i="1735"/>
  <c r="E155" i="1745" l="1"/>
  <c r="E157" s="1"/>
  <c r="F153" s="1"/>
  <c r="E104"/>
  <c r="E123" s="1"/>
  <c r="E170"/>
  <c r="E173" s="1"/>
  <c r="E66"/>
  <c r="E91" s="1"/>
  <c r="E155" i="1738"/>
  <c r="E157" s="1"/>
  <c r="F153" s="1"/>
  <c r="E104"/>
  <c r="E123" s="1"/>
  <c r="E170"/>
  <c r="E173" s="1"/>
  <c r="E66"/>
  <c r="E91" s="1"/>
  <c r="E155" i="1748"/>
  <c r="E157" s="1"/>
  <c r="F153" s="1"/>
  <c r="E66"/>
  <c r="E91" s="1"/>
  <c r="E170"/>
  <c r="E173" s="1"/>
  <c r="E104"/>
  <c r="E123" s="1"/>
  <c r="E170" i="1743"/>
  <c r="E173" s="1"/>
  <c r="E66"/>
  <c r="E91" s="1"/>
  <c r="E155"/>
  <c r="E157" s="1"/>
  <c r="F153" s="1"/>
  <c r="E104"/>
  <c r="E123" s="1"/>
  <c r="E170" i="1749"/>
  <c r="E173" s="1"/>
  <c r="E104"/>
  <c r="E123" s="1"/>
  <c r="E155"/>
  <c r="E157" s="1"/>
  <c r="F153" s="1"/>
  <c r="E66"/>
  <c r="E91" s="1"/>
  <c r="E155" i="1737"/>
  <c r="E157" s="1"/>
  <c r="F153" s="1"/>
  <c r="E66"/>
  <c r="E91" s="1"/>
  <c r="E170"/>
  <c r="E173" s="1"/>
  <c r="E104"/>
  <c r="E123" s="1"/>
  <c r="E170" i="1735"/>
  <c r="E173" s="1"/>
  <c r="E104"/>
  <c r="E123" s="1"/>
  <c r="E155"/>
  <c r="E157" s="1"/>
  <c r="F153" s="1"/>
  <c r="E66"/>
  <c r="E91" s="1"/>
  <c r="E155" i="1746"/>
  <c r="E157" s="1"/>
  <c r="F153" s="1"/>
  <c r="E66"/>
  <c r="E91" s="1"/>
  <c r="E170"/>
  <c r="E173" s="1"/>
  <c r="E104"/>
  <c r="E123" s="1"/>
  <c r="E170" i="1739"/>
  <c r="E173" s="1"/>
  <c r="E104"/>
  <c r="E123" s="1"/>
  <c r="E155"/>
  <c r="E157" s="1"/>
  <c r="F153" s="1"/>
  <c r="E66"/>
  <c r="E91" s="1"/>
  <c r="E170" i="1747"/>
  <c r="E173" s="1"/>
  <c r="E104"/>
  <c r="E123" s="1"/>
  <c r="E155"/>
  <c r="E157" s="1"/>
  <c r="F153" s="1"/>
  <c r="E66"/>
  <c r="E91" s="1"/>
  <c r="E155" i="1740"/>
  <c r="E157" s="1"/>
  <c r="F153" s="1"/>
  <c r="E66"/>
  <c r="E91" s="1"/>
  <c r="E170"/>
  <c r="E173" s="1"/>
  <c r="E104"/>
  <c r="E123" s="1"/>
  <c r="E170" i="1741"/>
  <c r="E173" s="1"/>
  <c r="E155"/>
  <c r="E157" s="1"/>
  <c r="F153" s="1"/>
  <c r="E66"/>
  <c r="E91" s="1"/>
  <c r="E104"/>
  <c r="E123" s="1"/>
  <c r="F25"/>
  <c r="F25" i="1743"/>
  <c r="F25" i="1735"/>
  <c r="G25" i="1749"/>
  <c r="G25" i="1747"/>
  <c r="F25"/>
  <c r="F25" i="1738"/>
  <c r="G25" i="1739"/>
  <c r="F25"/>
  <c r="F25" i="1737"/>
  <c r="F25" i="1746"/>
  <c r="F25" i="1748"/>
  <c r="G25"/>
  <c r="F25" i="1749"/>
  <c r="G25" i="1741"/>
  <c r="F25" i="1740"/>
  <c r="G25"/>
  <c r="E25" i="1742"/>
  <c r="E25" i="1744"/>
  <c r="E25" i="1734"/>
  <c r="E25" i="1736"/>
  <c r="G25" i="1737"/>
  <c r="E170" i="1734" l="1"/>
  <c r="E173" s="1"/>
  <c r="E104"/>
  <c r="E123" s="1"/>
  <c r="E155"/>
  <c r="E157" s="1"/>
  <c r="F153" s="1"/>
  <c r="E66"/>
  <c r="E91" s="1"/>
  <c r="E155" i="1742"/>
  <c r="E157" s="1"/>
  <c r="F153" s="1"/>
  <c r="E66"/>
  <c r="E91" s="1"/>
  <c r="E170"/>
  <c r="E173" s="1"/>
  <c r="E104"/>
  <c r="E123" s="1"/>
  <c r="F155" i="1740"/>
  <c r="F66"/>
  <c r="F92" s="1"/>
  <c r="G68" s="1"/>
  <c r="F170"/>
  <c r="F104"/>
  <c r="F124" s="1"/>
  <c r="G106" s="1"/>
  <c r="G118" s="1"/>
  <c r="G124" s="1"/>
  <c r="H106" s="1"/>
  <c r="H118" s="1"/>
  <c r="H124" s="1"/>
  <c r="I106" s="1"/>
  <c r="I118" s="1"/>
  <c r="I124" s="1"/>
  <c r="J106" s="1"/>
  <c r="J118" s="1"/>
  <c r="J124" s="1"/>
  <c r="F170" i="1749"/>
  <c r="F104"/>
  <c r="F124" s="1"/>
  <c r="G106" s="1"/>
  <c r="G118" s="1"/>
  <c r="G124" s="1"/>
  <c r="H106" s="1"/>
  <c r="H118" s="1"/>
  <c r="H124" s="1"/>
  <c r="I106" s="1"/>
  <c r="I118" s="1"/>
  <c r="I124" s="1"/>
  <c r="J106" s="1"/>
  <c r="J118" s="1"/>
  <c r="J124" s="1"/>
  <c r="F155"/>
  <c r="F66"/>
  <c r="F92" s="1"/>
  <c r="G68" s="1"/>
  <c r="F155" i="1748"/>
  <c r="F66"/>
  <c r="F92" s="1"/>
  <c r="G68" s="1"/>
  <c r="F170"/>
  <c r="F104"/>
  <c r="F124" s="1"/>
  <c r="G106" s="1"/>
  <c r="G118" s="1"/>
  <c r="G124" s="1"/>
  <c r="H106" s="1"/>
  <c r="H118" s="1"/>
  <c r="H124" s="1"/>
  <c r="I106" s="1"/>
  <c r="I118" s="1"/>
  <c r="I124" s="1"/>
  <c r="J106" s="1"/>
  <c r="J118" s="1"/>
  <c r="J124" s="1"/>
  <c r="F155" i="1737"/>
  <c r="F66"/>
  <c r="F92" s="1"/>
  <c r="G68" s="1"/>
  <c r="F170"/>
  <c r="F104"/>
  <c r="F124" s="1"/>
  <c r="G106" s="1"/>
  <c r="G118" s="1"/>
  <c r="G124" s="1"/>
  <c r="H106" s="1"/>
  <c r="H118" s="1"/>
  <c r="H124" s="1"/>
  <c r="I106" s="1"/>
  <c r="I118" s="1"/>
  <c r="I124" s="1"/>
  <c r="J106" s="1"/>
  <c r="J118" s="1"/>
  <c r="J124" s="1"/>
  <c r="G170" i="1739"/>
  <c r="G66"/>
  <c r="G93" s="1"/>
  <c r="H69" s="1"/>
  <c r="G155"/>
  <c r="G104"/>
  <c r="G125" s="1"/>
  <c r="H107" s="1"/>
  <c r="H119" s="1"/>
  <c r="H125" s="1"/>
  <c r="I107" s="1"/>
  <c r="I119" s="1"/>
  <c r="I125" s="1"/>
  <c r="J107" s="1"/>
  <c r="J119" s="1"/>
  <c r="J125" s="1"/>
  <c r="F170" i="1747"/>
  <c r="F104"/>
  <c r="F124" s="1"/>
  <c r="G106" s="1"/>
  <c r="G118" s="1"/>
  <c r="G124" s="1"/>
  <c r="H106" s="1"/>
  <c r="H118" s="1"/>
  <c r="H124" s="1"/>
  <c r="I106" s="1"/>
  <c r="I118" s="1"/>
  <c r="I124" s="1"/>
  <c r="J106" s="1"/>
  <c r="J118" s="1"/>
  <c r="J124" s="1"/>
  <c r="F155"/>
  <c r="F66"/>
  <c r="F92" s="1"/>
  <c r="G68" s="1"/>
  <c r="G170" i="1749"/>
  <c r="G66"/>
  <c r="G93" s="1"/>
  <c r="H69" s="1"/>
  <c r="G155"/>
  <c r="G104"/>
  <c r="G125" s="1"/>
  <c r="H107" s="1"/>
  <c r="H119" s="1"/>
  <c r="H125" s="1"/>
  <c r="I107" s="1"/>
  <c r="I119" s="1"/>
  <c r="I125" s="1"/>
  <c r="J107" s="1"/>
  <c r="J119" s="1"/>
  <c r="J125" s="1"/>
  <c r="F155" i="1743"/>
  <c r="F104"/>
  <c r="F124" s="1"/>
  <c r="G106" s="1"/>
  <c r="G118" s="1"/>
  <c r="G124" s="1"/>
  <c r="H106" s="1"/>
  <c r="H118" s="1"/>
  <c r="H124" s="1"/>
  <c r="I106" s="1"/>
  <c r="I118" s="1"/>
  <c r="I124" s="1"/>
  <c r="J106" s="1"/>
  <c r="J118" s="1"/>
  <c r="J124" s="1"/>
  <c r="F170"/>
  <c r="F66"/>
  <c r="F92" s="1"/>
  <c r="G68" s="1"/>
  <c r="E100" i="1741"/>
  <c r="E143" s="1"/>
  <c r="F67"/>
  <c r="F154" i="1740"/>
  <c r="F157"/>
  <c r="G153" s="1"/>
  <c r="F154" i="1747"/>
  <c r="F157"/>
  <c r="G153" s="1"/>
  <c r="F154" i="1739"/>
  <c r="F154" i="1746"/>
  <c r="F154" i="1735"/>
  <c r="F154" i="1737"/>
  <c r="F157" s="1"/>
  <c r="G153" s="1"/>
  <c r="F154" i="1749"/>
  <c r="F157" s="1"/>
  <c r="G153" s="1"/>
  <c r="F154" i="1743"/>
  <c r="F157" s="1"/>
  <c r="G153" s="1"/>
  <c r="F154" i="1748"/>
  <c r="F157" s="1"/>
  <c r="G153" s="1"/>
  <c r="F154" i="1738"/>
  <c r="F154" i="1745"/>
  <c r="G155" i="1737"/>
  <c r="G104"/>
  <c r="G125" s="1"/>
  <c r="H107" s="1"/>
  <c r="H119" s="1"/>
  <c r="H125" s="1"/>
  <c r="I107" s="1"/>
  <c r="I119" s="1"/>
  <c r="I125" s="1"/>
  <c r="J107" s="1"/>
  <c r="J119" s="1"/>
  <c r="J125" s="1"/>
  <c r="G170"/>
  <c r="G66"/>
  <c r="G93" s="1"/>
  <c r="H69" s="1"/>
  <c r="E170" i="1736"/>
  <c r="E173" s="1"/>
  <c r="E104"/>
  <c r="E123" s="1"/>
  <c r="E155"/>
  <c r="E157" s="1"/>
  <c r="F153" s="1"/>
  <c r="E66"/>
  <c r="E91" s="1"/>
  <c r="E104" i="1744"/>
  <c r="E123" s="1"/>
  <c r="E155"/>
  <c r="E157" s="1"/>
  <c r="F153" s="1"/>
  <c r="E170"/>
  <c r="E173" s="1"/>
  <c r="E66"/>
  <c r="E91" s="1"/>
  <c r="G155" i="1740"/>
  <c r="G104"/>
  <c r="G125" s="1"/>
  <c r="H107" s="1"/>
  <c r="H119" s="1"/>
  <c r="H125" s="1"/>
  <c r="I107" s="1"/>
  <c r="I119" s="1"/>
  <c r="I125" s="1"/>
  <c r="J107" s="1"/>
  <c r="J119" s="1"/>
  <c r="J125" s="1"/>
  <c r="G170"/>
  <c r="G66"/>
  <c r="G93" s="1"/>
  <c r="H69" s="1"/>
  <c r="G170" i="1741"/>
  <c r="G66"/>
  <c r="G93" s="1"/>
  <c r="H69" s="1"/>
  <c r="G155"/>
  <c r="G104"/>
  <c r="G125" s="1"/>
  <c r="H107" s="1"/>
  <c r="H119" s="1"/>
  <c r="H125" s="1"/>
  <c r="I107" s="1"/>
  <c r="I119" s="1"/>
  <c r="I125" s="1"/>
  <c r="J107" s="1"/>
  <c r="J119" s="1"/>
  <c r="J125" s="1"/>
  <c r="G155" i="1748"/>
  <c r="G104"/>
  <c r="G125" s="1"/>
  <c r="H107" s="1"/>
  <c r="H119" s="1"/>
  <c r="H125" s="1"/>
  <c r="I107" s="1"/>
  <c r="I119" s="1"/>
  <c r="I125" s="1"/>
  <c r="J107" s="1"/>
  <c r="J119" s="1"/>
  <c r="J125" s="1"/>
  <c r="G170"/>
  <c r="G66"/>
  <c r="G93" s="1"/>
  <c r="H69" s="1"/>
  <c r="F155" i="1746"/>
  <c r="F66"/>
  <c r="F92" s="1"/>
  <c r="G68" s="1"/>
  <c r="F170"/>
  <c r="F104"/>
  <c r="F124" s="1"/>
  <c r="G106" s="1"/>
  <c r="G118" s="1"/>
  <c r="G124" s="1"/>
  <c r="H106" s="1"/>
  <c r="H118" s="1"/>
  <c r="H124" s="1"/>
  <c r="I106" s="1"/>
  <c r="I118" s="1"/>
  <c r="I124" s="1"/>
  <c r="J106" s="1"/>
  <c r="J118" s="1"/>
  <c r="J124" s="1"/>
  <c r="F170" i="1739"/>
  <c r="F104"/>
  <c r="F124" s="1"/>
  <c r="G106" s="1"/>
  <c r="G118" s="1"/>
  <c r="G124" s="1"/>
  <c r="H106" s="1"/>
  <c r="H118" s="1"/>
  <c r="H124" s="1"/>
  <c r="I106" s="1"/>
  <c r="I118" s="1"/>
  <c r="I124" s="1"/>
  <c r="J106" s="1"/>
  <c r="J118" s="1"/>
  <c r="J124" s="1"/>
  <c r="F155"/>
  <c r="F157" s="1"/>
  <c r="G153" s="1"/>
  <c r="F66"/>
  <c r="F92" s="1"/>
  <c r="G68" s="1"/>
  <c r="F170" i="1738"/>
  <c r="F104"/>
  <c r="F124" s="1"/>
  <c r="G106" s="1"/>
  <c r="G118" s="1"/>
  <c r="G124" s="1"/>
  <c r="H106" s="1"/>
  <c r="H118" s="1"/>
  <c r="H124" s="1"/>
  <c r="I106" s="1"/>
  <c r="I118" s="1"/>
  <c r="I124" s="1"/>
  <c r="J106" s="1"/>
  <c r="J118" s="1"/>
  <c r="J124" s="1"/>
  <c r="F155"/>
  <c r="F66"/>
  <c r="F92" s="1"/>
  <c r="G68" s="1"/>
  <c r="G170" i="1747"/>
  <c r="G66"/>
  <c r="G93" s="1"/>
  <c r="H69" s="1"/>
  <c r="G155"/>
  <c r="G104"/>
  <c r="G125" s="1"/>
  <c r="H107" s="1"/>
  <c r="H119" s="1"/>
  <c r="H125" s="1"/>
  <c r="I107" s="1"/>
  <c r="I119" s="1"/>
  <c r="I125" s="1"/>
  <c r="J107" s="1"/>
  <c r="J119" s="1"/>
  <c r="J125" s="1"/>
  <c r="F155" i="1735"/>
  <c r="F157" s="1"/>
  <c r="G153" s="1"/>
  <c r="F104"/>
  <c r="F124" s="1"/>
  <c r="G106" s="1"/>
  <c r="G118" s="1"/>
  <c r="G124" s="1"/>
  <c r="H106" s="1"/>
  <c r="H118" s="1"/>
  <c r="H124" s="1"/>
  <c r="I106" s="1"/>
  <c r="I118" s="1"/>
  <c r="I124" s="1"/>
  <c r="J106" s="1"/>
  <c r="J118" s="1"/>
  <c r="J124" s="1"/>
  <c r="F170"/>
  <c r="F66"/>
  <c r="F92" s="1"/>
  <c r="G68" s="1"/>
  <c r="F170" i="1741"/>
  <c r="F104"/>
  <c r="F124" s="1"/>
  <c r="G106" s="1"/>
  <c r="G118" s="1"/>
  <c r="G124" s="1"/>
  <c r="H106" s="1"/>
  <c r="H118" s="1"/>
  <c r="H124" s="1"/>
  <c r="I106" s="1"/>
  <c r="I118" s="1"/>
  <c r="I124" s="1"/>
  <c r="J106" s="1"/>
  <c r="J118" s="1"/>
  <c r="J124" s="1"/>
  <c r="F155"/>
  <c r="F66"/>
  <c r="F92" s="1"/>
  <c r="G68" s="1"/>
  <c r="E131"/>
  <c r="F105"/>
  <c r="F154"/>
  <c r="F157"/>
  <c r="G153" s="1"/>
  <c r="E131" i="1740"/>
  <c r="F105"/>
  <c r="E100"/>
  <c r="E143" s="1"/>
  <c r="F67"/>
  <c r="E100" i="1747"/>
  <c r="E143" s="1"/>
  <c r="F67"/>
  <c r="E131"/>
  <c r="F105"/>
  <c r="F67" i="1739"/>
  <c r="E100"/>
  <c r="E143" s="1"/>
  <c r="E131"/>
  <c r="F105"/>
  <c r="F105" i="1746"/>
  <c r="E131"/>
  <c r="E100"/>
  <c r="E143" s="1"/>
  <c r="F67"/>
  <c r="E100" i="1735"/>
  <c r="E143" s="1"/>
  <c r="F67"/>
  <c r="F105"/>
  <c r="E131"/>
  <c r="F105" i="1737"/>
  <c r="E131"/>
  <c r="F67"/>
  <c r="E100"/>
  <c r="E143" s="1"/>
  <c r="F67" i="1749"/>
  <c r="E100"/>
  <c r="E143" s="1"/>
  <c r="F105"/>
  <c r="E131"/>
  <c r="E131" i="1743"/>
  <c r="F105"/>
  <c r="E100"/>
  <c r="E143" s="1"/>
  <c r="F67"/>
  <c r="F105" i="1748"/>
  <c r="E131"/>
  <c r="E100"/>
  <c r="E143" s="1"/>
  <c r="F67"/>
  <c r="F67" i="1738"/>
  <c r="E100"/>
  <c r="E143" s="1"/>
  <c r="E131"/>
  <c r="F105"/>
  <c r="E100" i="1745"/>
  <c r="E143" s="1"/>
  <c r="F67"/>
  <c r="E131"/>
  <c r="F105"/>
  <c r="F25"/>
  <c r="G25" i="1734"/>
  <c r="F25"/>
  <c r="F25" i="1742"/>
  <c r="G25" i="1736"/>
  <c r="F25"/>
  <c r="G25" i="1744"/>
  <c r="F25"/>
  <c r="G25" i="1745"/>
  <c r="G25" i="1742"/>
  <c r="G25" i="1735"/>
  <c r="G25" i="1743"/>
  <c r="G25" i="1746"/>
  <c r="G25" i="1738"/>
  <c r="F157" i="1746" l="1"/>
  <c r="G153" s="1"/>
  <c r="F157" i="1738"/>
  <c r="G153" s="1"/>
  <c r="G154" i="1748"/>
  <c r="G170" i="1735"/>
  <c r="G66"/>
  <c r="G93" s="1"/>
  <c r="H69" s="1"/>
  <c r="G155"/>
  <c r="G104"/>
  <c r="G125" s="1"/>
  <c r="H107" s="1"/>
  <c r="H119" s="1"/>
  <c r="H125" s="1"/>
  <c r="I107" s="1"/>
  <c r="I119" s="1"/>
  <c r="I125" s="1"/>
  <c r="J107" s="1"/>
  <c r="J119" s="1"/>
  <c r="J125" s="1"/>
  <c r="G155" i="1744"/>
  <c r="G66"/>
  <c r="G93" s="1"/>
  <c r="H69" s="1"/>
  <c r="G170"/>
  <c r="G104"/>
  <c r="G125" s="1"/>
  <c r="H107" s="1"/>
  <c r="H119" s="1"/>
  <c r="H125" s="1"/>
  <c r="I107" s="1"/>
  <c r="I119" s="1"/>
  <c r="I125" s="1"/>
  <c r="J107" s="1"/>
  <c r="J119" s="1"/>
  <c r="J125" s="1"/>
  <c r="F170" i="1734"/>
  <c r="F104"/>
  <c r="F124" s="1"/>
  <c r="G106" s="1"/>
  <c r="G118" s="1"/>
  <c r="G124" s="1"/>
  <c r="H106" s="1"/>
  <c r="H118" s="1"/>
  <c r="H124" s="1"/>
  <c r="I106" s="1"/>
  <c r="I118" s="1"/>
  <c r="I124" s="1"/>
  <c r="J106" s="1"/>
  <c r="J118" s="1"/>
  <c r="J124" s="1"/>
  <c r="F155"/>
  <c r="F66"/>
  <c r="F92" s="1"/>
  <c r="G68" s="1"/>
  <c r="F170" i="1745"/>
  <c r="F66"/>
  <c r="F92" s="1"/>
  <c r="G68" s="1"/>
  <c r="F155"/>
  <c r="F157" s="1"/>
  <c r="G153" s="1"/>
  <c r="F104"/>
  <c r="F124" s="1"/>
  <c r="G106" s="1"/>
  <c r="G118" s="1"/>
  <c r="G124" s="1"/>
  <c r="H106" s="1"/>
  <c r="H118" s="1"/>
  <c r="H124" s="1"/>
  <c r="I106" s="1"/>
  <c r="I118" s="1"/>
  <c r="I124" s="1"/>
  <c r="J106" s="1"/>
  <c r="J118" s="1"/>
  <c r="J124" s="1"/>
  <c r="F129"/>
  <c r="F117"/>
  <c r="F130" s="1"/>
  <c r="F144" s="1"/>
  <c r="F160" s="1"/>
  <c r="F164" s="1"/>
  <c r="F166" s="1"/>
  <c r="F85" i="1748"/>
  <c r="F99" s="1"/>
  <c r="F142" s="1"/>
  <c r="F97"/>
  <c r="F140" s="1"/>
  <c r="F79"/>
  <c r="F98" s="1"/>
  <c r="F141" s="1"/>
  <c r="F172" s="1"/>
  <c r="F97" i="1743"/>
  <c r="F140" s="1"/>
  <c r="F79"/>
  <c r="F98" s="1"/>
  <c r="F141" s="1"/>
  <c r="F172" s="1"/>
  <c r="F85"/>
  <c r="F99" s="1"/>
  <c r="F142" s="1"/>
  <c r="F97" i="1735"/>
  <c r="F140" s="1"/>
  <c r="F79"/>
  <c r="F98" s="1"/>
  <c r="F141" s="1"/>
  <c r="F172" s="1"/>
  <c r="F85"/>
  <c r="F99" s="1"/>
  <c r="F142" s="1"/>
  <c r="F97" i="1746"/>
  <c r="F140" s="1"/>
  <c r="F79"/>
  <c r="F98" s="1"/>
  <c r="F141" s="1"/>
  <c r="F172" s="1"/>
  <c r="F85"/>
  <c r="F99" s="1"/>
  <c r="F142" s="1"/>
  <c r="F85" i="1747"/>
  <c r="F99" s="1"/>
  <c r="F142" s="1"/>
  <c r="F97"/>
  <c r="F140" s="1"/>
  <c r="F79"/>
  <c r="F98" s="1"/>
  <c r="F141" s="1"/>
  <c r="F172" s="1"/>
  <c r="F85" i="1740"/>
  <c r="F99" s="1"/>
  <c r="F142" s="1"/>
  <c r="F97"/>
  <c r="F140" s="1"/>
  <c r="F79"/>
  <c r="F98" s="1"/>
  <c r="F141" s="1"/>
  <c r="F172" s="1"/>
  <c r="F117"/>
  <c r="F130" s="1"/>
  <c r="F144" s="1"/>
  <c r="F129"/>
  <c r="F123"/>
  <c r="G154" i="1741"/>
  <c r="G157" s="1"/>
  <c r="H153" s="1"/>
  <c r="F129"/>
  <c r="F117"/>
  <c r="F130" s="1"/>
  <c r="F144" s="1"/>
  <c r="G86"/>
  <c r="G80"/>
  <c r="H81" i="1740"/>
  <c r="H87"/>
  <c r="H93" s="1"/>
  <c r="I69" s="1"/>
  <c r="G155" i="1738"/>
  <c r="G66"/>
  <c r="G93" s="1"/>
  <c r="H69" s="1"/>
  <c r="G170"/>
  <c r="G104"/>
  <c r="G125" s="1"/>
  <c r="H107" s="1"/>
  <c r="H119" s="1"/>
  <c r="H125" s="1"/>
  <c r="I107" s="1"/>
  <c r="I119" s="1"/>
  <c r="I125" s="1"/>
  <c r="J107" s="1"/>
  <c r="J119" s="1"/>
  <c r="J125" s="1"/>
  <c r="G170" i="1743"/>
  <c r="G104"/>
  <c r="G125" s="1"/>
  <c r="H107" s="1"/>
  <c r="H119" s="1"/>
  <c r="H125" s="1"/>
  <c r="I107" s="1"/>
  <c r="I119" s="1"/>
  <c r="I125" s="1"/>
  <c r="J107" s="1"/>
  <c r="J119" s="1"/>
  <c r="J125" s="1"/>
  <c r="G155"/>
  <c r="G66"/>
  <c r="G93" s="1"/>
  <c r="H69" s="1"/>
  <c r="G155" i="1742"/>
  <c r="G104"/>
  <c r="G125" s="1"/>
  <c r="H107" s="1"/>
  <c r="H119" s="1"/>
  <c r="H125" s="1"/>
  <c r="I107" s="1"/>
  <c r="I119" s="1"/>
  <c r="I125" s="1"/>
  <c r="J107" s="1"/>
  <c r="J119" s="1"/>
  <c r="J125" s="1"/>
  <c r="G170"/>
  <c r="G66"/>
  <c r="G93" s="1"/>
  <c r="H69" s="1"/>
  <c r="F155" i="1744"/>
  <c r="F104"/>
  <c r="F124" s="1"/>
  <c r="G106" s="1"/>
  <c r="G118" s="1"/>
  <c r="G124" s="1"/>
  <c r="H106" s="1"/>
  <c r="H118" s="1"/>
  <c r="H124" s="1"/>
  <c r="I106" s="1"/>
  <c r="I118" s="1"/>
  <c r="I124" s="1"/>
  <c r="J106" s="1"/>
  <c r="J118" s="1"/>
  <c r="J124" s="1"/>
  <c r="F170"/>
  <c r="F66"/>
  <c r="F92" s="1"/>
  <c r="G68" s="1"/>
  <c r="F170" i="1736"/>
  <c r="F66"/>
  <c r="F92" s="1"/>
  <c r="G68" s="1"/>
  <c r="F155"/>
  <c r="F104"/>
  <c r="F124" s="1"/>
  <c r="G106" s="1"/>
  <c r="G118" s="1"/>
  <c r="G124" s="1"/>
  <c r="H106" s="1"/>
  <c r="H118" s="1"/>
  <c r="H124" s="1"/>
  <c r="I106" s="1"/>
  <c r="I118" s="1"/>
  <c r="I124" s="1"/>
  <c r="J106" s="1"/>
  <c r="J118" s="1"/>
  <c r="J124" s="1"/>
  <c r="F155" i="1742"/>
  <c r="F66"/>
  <c r="F92" s="1"/>
  <c r="G68" s="1"/>
  <c r="F170"/>
  <c r="F104"/>
  <c r="F124" s="1"/>
  <c r="G106" s="1"/>
  <c r="G118" s="1"/>
  <c r="G124" s="1"/>
  <c r="H106" s="1"/>
  <c r="H118" s="1"/>
  <c r="H124" s="1"/>
  <c r="I106" s="1"/>
  <c r="I118" s="1"/>
  <c r="I124" s="1"/>
  <c r="J106" s="1"/>
  <c r="J118" s="1"/>
  <c r="J124" s="1"/>
  <c r="G170" i="1734"/>
  <c r="G66"/>
  <c r="G93" s="1"/>
  <c r="H69" s="1"/>
  <c r="G155"/>
  <c r="G104"/>
  <c r="G125" s="1"/>
  <c r="H107" s="1"/>
  <c r="H119" s="1"/>
  <c r="H125" s="1"/>
  <c r="I107" s="1"/>
  <c r="I119" s="1"/>
  <c r="I125" s="1"/>
  <c r="J107" s="1"/>
  <c r="J119" s="1"/>
  <c r="J125" s="1"/>
  <c r="F97" i="1738"/>
  <c r="F140" s="1"/>
  <c r="F79"/>
  <c r="F98" s="1"/>
  <c r="F141" s="1"/>
  <c r="F172" s="1"/>
  <c r="F85"/>
  <c r="F99" s="1"/>
  <c r="F142" s="1"/>
  <c r="F91"/>
  <c r="F129" i="1748"/>
  <c r="F117"/>
  <c r="F130" s="1"/>
  <c r="F144" s="1"/>
  <c r="F160" s="1"/>
  <c r="F164" s="1"/>
  <c r="F166" s="1"/>
  <c r="F117" i="1749"/>
  <c r="F130" s="1"/>
  <c r="F144" s="1"/>
  <c r="F129"/>
  <c r="F123"/>
  <c r="F97"/>
  <c r="F140" s="1"/>
  <c r="F79"/>
  <c r="F98" s="1"/>
  <c r="F141" s="1"/>
  <c r="F172" s="1"/>
  <c r="F85"/>
  <c r="F99" s="1"/>
  <c r="F142" s="1"/>
  <c r="F97" i="1737"/>
  <c r="F140" s="1"/>
  <c r="F79"/>
  <c r="F98" s="1"/>
  <c r="F141" s="1"/>
  <c r="F172" s="1"/>
  <c r="F85"/>
  <c r="F99" s="1"/>
  <c r="F142" s="1"/>
  <c r="F117"/>
  <c r="F130" s="1"/>
  <c r="F144" s="1"/>
  <c r="F160" s="1"/>
  <c r="F164" s="1"/>
  <c r="F166" s="1"/>
  <c r="F129"/>
  <c r="F123"/>
  <c r="F117" i="1735"/>
  <c r="F130" s="1"/>
  <c r="F144" s="1"/>
  <c r="F129"/>
  <c r="F123"/>
  <c r="F129" i="1746"/>
  <c r="F117"/>
  <c r="F130" s="1"/>
  <c r="F144" s="1"/>
  <c r="F160" s="1"/>
  <c r="F164" s="1"/>
  <c r="F166" s="1"/>
  <c r="F97" i="1739"/>
  <c r="F140" s="1"/>
  <c r="F79"/>
  <c r="F98" s="1"/>
  <c r="F141" s="1"/>
  <c r="F172" s="1"/>
  <c r="F85"/>
  <c r="F99" s="1"/>
  <c r="F142" s="1"/>
  <c r="E131" i="1744"/>
  <c r="F105"/>
  <c r="F154" i="1736"/>
  <c r="F157" s="1"/>
  <c r="G153" s="1"/>
  <c r="F154" i="1742"/>
  <c r="F157" s="1"/>
  <c r="G153" s="1"/>
  <c r="F154" i="1734"/>
  <c r="F157" s="1"/>
  <c r="G153" s="1"/>
  <c r="F160" i="1741"/>
  <c r="F164" s="1"/>
  <c r="F166" s="1"/>
  <c r="F160" i="1749"/>
  <c r="F164" s="1"/>
  <c r="F166" s="1"/>
  <c r="F160" i="1735"/>
  <c r="F164" s="1"/>
  <c r="F166" s="1"/>
  <c r="F160" i="1740"/>
  <c r="F164" s="1"/>
  <c r="F166" s="1"/>
  <c r="G155" i="1746"/>
  <c r="G104"/>
  <c r="G125" s="1"/>
  <c r="H107" s="1"/>
  <c r="H119" s="1"/>
  <c r="H125" s="1"/>
  <c r="I107" s="1"/>
  <c r="I119" s="1"/>
  <c r="I125" s="1"/>
  <c r="J107" s="1"/>
  <c r="J119" s="1"/>
  <c r="J125" s="1"/>
  <c r="G170"/>
  <c r="G66"/>
  <c r="G93" s="1"/>
  <c r="H69" s="1"/>
  <c r="G155" i="1745"/>
  <c r="G66"/>
  <c r="G93" s="1"/>
  <c r="H69" s="1"/>
  <c r="G170"/>
  <c r="G104"/>
  <c r="G125" s="1"/>
  <c r="H107" s="1"/>
  <c r="H119" s="1"/>
  <c r="H125" s="1"/>
  <c r="I107" s="1"/>
  <c r="I119" s="1"/>
  <c r="I125" s="1"/>
  <c r="J107" s="1"/>
  <c r="J119" s="1"/>
  <c r="J125" s="1"/>
  <c r="G170" i="1736"/>
  <c r="G66"/>
  <c r="G93" s="1"/>
  <c r="H69" s="1"/>
  <c r="G155"/>
  <c r="G104"/>
  <c r="G125" s="1"/>
  <c r="H107" s="1"/>
  <c r="H119" s="1"/>
  <c r="H125" s="1"/>
  <c r="I107" s="1"/>
  <c r="I119" s="1"/>
  <c r="I125" s="1"/>
  <c r="J107" s="1"/>
  <c r="J119" s="1"/>
  <c r="J125" s="1"/>
  <c r="F97" i="1745"/>
  <c r="F140" s="1"/>
  <c r="F79"/>
  <c r="F98" s="1"/>
  <c r="F141" s="1"/>
  <c r="F172" s="1"/>
  <c r="F85"/>
  <c r="F99" s="1"/>
  <c r="F142" s="1"/>
  <c r="F117" i="1738"/>
  <c r="F130" s="1"/>
  <c r="F144" s="1"/>
  <c r="F160" s="1"/>
  <c r="F164" s="1"/>
  <c r="F166" s="1"/>
  <c r="F129"/>
  <c r="F123"/>
  <c r="F129" i="1743"/>
  <c r="F117"/>
  <c r="F130" s="1"/>
  <c r="F144" s="1"/>
  <c r="F160" s="1"/>
  <c r="F164" s="1"/>
  <c r="F166" s="1"/>
  <c r="F129" i="1739"/>
  <c r="F117"/>
  <c r="F130" s="1"/>
  <c r="F144" s="1"/>
  <c r="F160" s="1"/>
  <c r="F164" s="1"/>
  <c r="F166" s="1"/>
  <c r="F117" i="1747"/>
  <c r="F130" s="1"/>
  <c r="F144" s="1"/>
  <c r="F160" s="1"/>
  <c r="F164" s="1"/>
  <c r="F166" s="1"/>
  <c r="F129"/>
  <c r="F123"/>
  <c r="G80" i="1735"/>
  <c r="G86"/>
  <c r="H81" i="1747"/>
  <c r="H87"/>
  <c r="G86" i="1738"/>
  <c r="G80"/>
  <c r="G80" i="1739"/>
  <c r="G86"/>
  <c r="G86" i="1746"/>
  <c r="G80"/>
  <c r="H81" i="1748"/>
  <c r="H87"/>
  <c r="H81" i="1741"/>
  <c r="H87"/>
  <c r="E100" i="1744"/>
  <c r="E143" s="1"/>
  <c r="F67"/>
  <c r="F154"/>
  <c r="F157" s="1"/>
  <c r="G153" s="1"/>
  <c r="E100" i="1736"/>
  <c r="E143" s="1"/>
  <c r="F67"/>
  <c r="F105"/>
  <c r="E131"/>
  <c r="H87" i="1737"/>
  <c r="H81"/>
  <c r="G154" i="1738"/>
  <c r="G154" i="1743"/>
  <c r="G157" s="1"/>
  <c r="H153" s="1"/>
  <c r="G154" i="1749"/>
  <c r="G154" i="1737"/>
  <c r="G157" s="1"/>
  <c r="H153" s="1"/>
  <c r="G154" i="1735"/>
  <c r="G154" i="1746"/>
  <c r="G157" s="1"/>
  <c r="H153" s="1"/>
  <c r="G154" i="1739"/>
  <c r="G157" s="1"/>
  <c r="H153" s="1"/>
  <c r="G154" i="1747"/>
  <c r="G157" s="1"/>
  <c r="H153" s="1"/>
  <c r="G154" i="1740"/>
  <c r="F85" i="1741"/>
  <c r="F99" s="1"/>
  <c r="F142" s="1"/>
  <c r="F97"/>
  <c r="F140" s="1"/>
  <c r="F79"/>
  <c r="F98" s="1"/>
  <c r="F141" s="1"/>
  <c r="F172" s="1"/>
  <c r="G80" i="1743"/>
  <c r="G86"/>
  <c r="H87" i="1749"/>
  <c r="H81"/>
  <c r="G86" i="1747"/>
  <c r="G80"/>
  <c r="H81" i="1739"/>
  <c r="H87"/>
  <c r="G80" i="1737"/>
  <c r="G86"/>
  <c r="G86" i="1748"/>
  <c r="G80"/>
  <c r="G86" i="1749"/>
  <c r="G80"/>
  <c r="G80" i="1740"/>
  <c r="G86"/>
  <c r="E131" i="1742"/>
  <c r="F105"/>
  <c r="E100"/>
  <c r="E143" s="1"/>
  <c r="F67"/>
  <c r="E100" i="1734"/>
  <c r="E143" s="1"/>
  <c r="F67"/>
  <c r="F105"/>
  <c r="E131"/>
  <c r="G92" i="1749" l="1"/>
  <c r="H68" s="1"/>
  <c r="G92" i="1738"/>
  <c r="H68" s="1"/>
  <c r="F123" i="1743"/>
  <c r="F91" i="1745"/>
  <c r="G92" i="1740"/>
  <c r="H68" s="1"/>
  <c r="H93" i="1741"/>
  <c r="I69" s="1"/>
  <c r="H93" i="1748"/>
  <c r="I69" s="1"/>
  <c r="G92" i="1746"/>
  <c r="H68" s="1"/>
  <c r="G92" i="1739"/>
  <c r="H68" s="1"/>
  <c r="G92" i="1747"/>
  <c r="H68" s="1"/>
  <c r="G92" i="1743"/>
  <c r="H68" s="1"/>
  <c r="G92" i="1737"/>
  <c r="H68" s="1"/>
  <c r="H93" i="1739"/>
  <c r="I69" s="1"/>
  <c r="H93" i="1737"/>
  <c r="I69" s="1"/>
  <c r="G92" i="1748"/>
  <c r="H68" s="1"/>
  <c r="H93" i="1749"/>
  <c r="I69" s="1"/>
  <c r="H93" i="1747"/>
  <c r="I69" s="1"/>
  <c r="G92" i="1735"/>
  <c r="H68" s="1"/>
  <c r="F91" i="1737"/>
  <c r="F91" i="1749"/>
  <c r="H80" i="1740"/>
  <c r="H86"/>
  <c r="H92" s="1"/>
  <c r="I68" s="1"/>
  <c r="I87" i="1739"/>
  <c r="I81"/>
  <c r="H154"/>
  <c r="H154" i="1737"/>
  <c r="H154" i="1743"/>
  <c r="I81" i="1748"/>
  <c r="I87"/>
  <c r="H86" i="1746"/>
  <c r="H80"/>
  <c r="H80" i="1739"/>
  <c r="H86"/>
  <c r="F192"/>
  <c r="G163"/>
  <c r="G154" i="1742"/>
  <c r="H86" i="1748"/>
  <c r="H80"/>
  <c r="I81" i="1749"/>
  <c r="I87"/>
  <c r="I87" i="1747"/>
  <c r="I81"/>
  <c r="G163"/>
  <c r="F192"/>
  <c r="F192" i="1743"/>
  <c r="G163"/>
  <c r="G154" i="1734"/>
  <c r="G154" i="1736"/>
  <c r="G163" i="1746"/>
  <c r="F192"/>
  <c r="F117" i="1734"/>
  <c r="F130" s="1"/>
  <c r="F144" s="1"/>
  <c r="F129"/>
  <c r="F123"/>
  <c r="H86" i="1749"/>
  <c r="H80"/>
  <c r="F177" i="1741"/>
  <c r="F181"/>
  <c r="F183" s="1"/>
  <c r="H154" i="1746"/>
  <c r="G154" i="1744"/>
  <c r="G157" s="1"/>
  <c r="H153" s="1"/>
  <c r="F97"/>
  <c r="F140" s="1"/>
  <c r="F79"/>
  <c r="F98" s="1"/>
  <c r="F141" s="1"/>
  <c r="F172" s="1"/>
  <c r="F85"/>
  <c r="F99" s="1"/>
  <c r="F142" s="1"/>
  <c r="H80" i="1735"/>
  <c r="H86"/>
  <c r="G105" i="1747"/>
  <c r="F131"/>
  <c r="F100" i="1745"/>
  <c r="F143" s="1"/>
  <c r="F145" s="1"/>
  <c r="G67"/>
  <c r="H81"/>
  <c r="H87"/>
  <c r="H87" i="1746"/>
  <c r="H81"/>
  <c r="F192" i="1740"/>
  <c r="G163"/>
  <c r="F192" i="1749"/>
  <c r="G163"/>
  <c r="G163" i="1741"/>
  <c r="F192"/>
  <c r="F97" i="1734"/>
  <c r="F140" s="1"/>
  <c r="F79"/>
  <c r="F98" s="1"/>
  <c r="F141" s="1"/>
  <c r="F172" s="1"/>
  <c r="F85"/>
  <c r="F99" s="1"/>
  <c r="F142" s="1"/>
  <c r="F85" i="1742"/>
  <c r="F99" s="1"/>
  <c r="F142" s="1"/>
  <c r="F97"/>
  <c r="F140" s="1"/>
  <c r="F79"/>
  <c r="F98" s="1"/>
  <c r="F141" s="1"/>
  <c r="F172" s="1"/>
  <c r="F117"/>
  <c r="F130" s="1"/>
  <c r="F144" s="1"/>
  <c r="F129"/>
  <c r="F123"/>
  <c r="F148" i="1741"/>
  <c r="F149" s="1"/>
  <c r="F171" s="1"/>
  <c r="F169"/>
  <c r="F117" i="1736"/>
  <c r="F130" s="1"/>
  <c r="F144" s="1"/>
  <c r="F129"/>
  <c r="F123"/>
  <c r="G105" i="1738"/>
  <c r="F131"/>
  <c r="F177" i="1745"/>
  <c r="F181"/>
  <c r="F183" s="1"/>
  <c r="F148"/>
  <c r="F149" s="1"/>
  <c r="F171" s="1"/>
  <c r="F169"/>
  <c r="F192" i="1737"/>
  <c r="G163"/>
  <c r="F192" i="1745"/>
  <c r="G163"/>
  <c r="F129" i="1744"/>
  <c r="F117"/>
  <c r="F130" s="1"/>
  <c r="F144" s="1"/>
  <c r="F160" s="1"/>
  <c r="F164" s="1"/>
  <c r="F166" s="1"/>
  <c r="G105" i="1737"/>
  <c r="F131"/>
  <c r="F181"/>
  <c r="F183" s="1"/>
  <c r="F177"/>
  <c r="F148"/>
  <c r="F149" s="1"/>
  <c r="F171" s="1"/>
  <c r="F169"/>
  <c r="F181" i="1749"/>
  <c r="F183" s="1"/>
  <c r="F177"/>
  <c r="F169"/>
  <c r="F148"/>
  <c r="F149" s="1"/>
  <c r="F171" s="1"/>
  <c r="F177" i="1738"/>
  <c r="F181"/>
  <c r="F183" s="1"/>
  <c r="F148"/>
  <c r="F149" s="1"/>
  <c r="F171" s="1"/>
  <c r="F169"/>
  <c r="F148" i="1740"/>
  <c r="F149" s="1"/>
  <c r="F171" s="1"/>
  <c r="F169"/>
  <c r="F148" i="1747"/>
  <c r="F149" s="1"/>
  <c r="F171" s="1"/>
  <c r="F169"/>
  <c r="F169" i="1748"/>
  <c r="F148"/>
  <c r="F149" s="1"/>
  <c r="F171" s="1"/>
  <c r="G154" i="1745"/>
  <c r="F91" i="1741"/>
  <c r="G157" i="1740"/>
  <c r="H153" s="1"/>
  <c r="G157" i="1735"/>
  <c r="H153" s="1"/>
  <c r="G157" i="1749"/>
  <c r="H153" s="1"/>
  <c r="G157" i="1738"/>
  <c r="H153" s="1"/>
  <c r="F123" i="1739"/>
  <c r="F91"/>
  <c r="F123" i="1746"/>
  <c r="F123" i="1748"/>
  <c r="G92" i="1741"/>
  <c r="H68" s="1"/>
  <c r="F123"/>
  <c r="F91" i="1740"/>
  <c r="F91" i="1747"/>
  <c r="F91" i="1746"/>
  <c r="F91" i="1735"/>
  <c r="F91" i="1743"/>
  <c r="F91" i="1748"/>
  <c r="F123" i="1745"/>
  <c r="F192" i="1748"/>
  <c r="G163"/>
  <c r="H86" i="1737"/>
  <c r="H80"/>
  <c r="H80" i="1747"/>
  <c r="H86"/>
  <c r="H80" i="1743"/>
  <c r="H86"/>
  <c r="H154" i="1747"/>
  <c r="I87" i="1737"/>
  <c r="I81"/>
  <c r="F97" i="1736"/>
  <c r="F140" s="1"/>
  <c r="F79"/>
  <c r="F98" s="1"/>
  <c r="F141" s="1"/>
  <c r="F172" s="1"/>
  <c r="F85"/>
  <c r="F99" s="1"/>
  <c r="F142" s="1"/>
  <c r="I87" i="1741"/>
  <c r="I81"/>
  <c r="H80" i="1738"/>
  <c r="H86"/>
  <c r="G105" i="1743"/>
  <c r="F131"/>
  <c r="H87" i="1736"/>
  <c r="H81"/>
  <c r="G163" i="1735"/>
  <c r="F192"/>
  <c r="F192" i="1738"/>
  <c r="G163"/>
  <c r="F181" i="1739"/>
  <c r="F183" s="1"/>
  <c r="F177"/>
  <c r="F148"/>
  <c r="F149" s="1"/>
  <c r="F171" s="1"/>
  <c r="F169"/>
  <c r="G105" i="1735"/>
  <c r="F131"/>
  <c r="F100" i="1737"/>
  <c r="F143" s="1"/>
  <c r="F145" s="1"/>
  <c r="G67"/>
  <c r="F100" i="1749"/>
  <c r="F143" s="1"/>
  <c r="F145" s="1"/>
  <c r="G67"/>
  <c r="G105"/>
  <c r="F131"/>
  <c r="G67" i="1738"/>
  <c r="F100"/>
  <c r="F143" s="1"/>
  <c r="F145" s="1"/>
  <c r="H81" i="1734"/>
  <c r="H87"/>
  <c r="G86" i="1742"/>
  <c r="G80"/>
  <c r="G86" i="1736"/>
  <c r="G80"/>
  <c r="G86" i="1744"/>
  <c r="G80"/>
  <c r="H81" i="1742"/>
  <c r="H87"/>
  <c r="H81" i="1743"/>
  <c r="H87"/>
  <c r="H81" i="1738"/>
  <c r="H87"/>
  <c r="I81" i="1740"/>
  <c r="I87"/>
  <c r="H154" i="1741"/>
  <c r="F131" i="1740"/>
  <c r="G105"/>
  <c r="F177"/>
  <c r="F181"/>
  <c r="F183" s="1"/>
  <c r="F177" i="1747"/>
  <c r="F181"/>
  <c r="F183" s="1"/>
  <c r="F177" i="1746"/>
  <c r="F181"/>
  <c r="F183" s="1"/>
  <c r="F148"/>
  <c r="F149" s="1"/>
  <c r="F171" s="1"/>
  <c r="F169"/>
  <c r="F181" i="1735"/>
  <c r="F183" s="1"/>
  <c r="F177"/>
  <c r="F148"/>
  <c r="F149" s="1"/>
  <c r="F171" s="1"/>
  <c r="F169"/>
  <c r="F181" i="1743"/>
  <c r="F183" s="1"/>
  <c r="F177"/>
  <c r="F148"/>
  <c r="F149" s="1"/>
  <c r="F171" s="1"/>
  <c r="F169"/>
  <c r="F181" i="1748"/>
  <c r="F183" s="1"/>
  <c r="F177"/>
  <c r="G86" i="1745"/>
  <c r="G80"/>
  <c r="G86" i="1734"/>
  <c r="G80"/>
  <c r="H81" i="1744"/>
  <c r="H87"/>
  <c r="H81" i="1735"/>
  <c r="H87"/>
  <c r="F160" i="1734"/>
  <c r="F164" s="1"/>
  <c r="F166" s="1"/>
  <c r="F160" i="1742"/>
  <c r="F164" s="1"/>
  <c r="F166" s="1"/>
  <c r="F160" i="1736"/>
  <c r="F164" s="1"/>
  <c r="F166" s="1"/>
  <c r="G157" i="1748"/>
  <c r="H153" s="1"/>
  <c r="H92" i="1738" l="1"/>
  <c r="I68" s="1"/>
  <c r="H92" i="1735"/>
  <c r="I68" s="1"/>
  <c r="H92" i="1749"/>
  <c r="I68" s="1"/>
  <c r="G92" i="1744"/>
  <c r="H68" s="1"/>
  <c r="H92" i="1747"/>
  <c r="I68" s="1"/>
  <c r="H92" i="1737"/>
  <c r="I68" s="1"/>
  <c r="I93" i="1748"/>
  <c r="J69" s="1"/>
  <c r="I93" i="1749"/>
  <c r="J69" s="1"/>
  <c r="H92" i="1739"/>
  <c r="I68" s="1"/>
  <c r="H92" i="1746"/>
  <c r="I68" s="1"/>
  <c r="I93" i="1739"/>
  <c r="J69" s="1"/>
  <c r="H93" i="1744"/>
  <c r="I69" s="1"/>
  <c r="I93" i="1740"/>
  <c r="J69" s="1"/>
  <c r="H93" i="1743"/>
  <c r="I69" s="1"/>
  <c r="H93" i="1742"/>
  <c r="I69" s="1"/>
  <c r="H93" i="1735"/>
  <c r="I69" s="1"/>
  <c r="G92" i="1742"/>
  <c r="H68" s="1"/>
  <c r="H93" i="1734"/>
  <c r="I69" s="1"/>
  <c r="H93" i="1736"/>
  <c r="I69" s="1"/>
  <c r="I93" i="1737"/>
  <c r="J69" s="1"/>
  <c r="H93" i="1745"/>
  <c r="I69" s="1"/>
  <c r="G92"/>
  <c r="H68" s="1"/>
  <c r="H93" i="1738"/>
  <c r="I69" s="1"/>
  <c r="G92" i="1736"/>
  <c r="H68" s="1"/>
  <c r="I93" i="1741"/>
  <c r="J69" s="1"/>
  <c r="F91" i="1736"/>
  <c r="H92" i="1743"/>
  <c r="I68" s="1"/>
  <c r="F91" i="1742"/>
  <c r="F91" i="1734"/>
  <c r="H93" i="1746"/>
  <c r="I69" s="1"/>
  <c r="F91" i="1744"/>
  <c r="I81" i="1735"/>
  <c r="I87"/>
  <c r="I87" i="1742"/>
  <c r="I81"/>
  <c r="I87" i="1734"/>
  <c r="I81"/>
  <c r="I86" i="1737"/>
  <c r="I80"/>
  <c r="I86" i="1739"/>
  <c r="I80"/>
  <c r="J81"/>
  <c r="J87"/>
  <c r="H80" i="1745"/>
  <c r="H86"/>
  <c r="I81" i="1738"/>
  <c r="I87"/>
  <c r="H80" i="1736"/>
  <c r="H86"/>
  <c r="J81" i="1741"/>
  <c r="J87"/>
  <c r="I80" i="1743"/>
  <c r="I86"/>
  <c r="G163" i="1744"/>
  <c r="F192"/>
  <c r="H154" i="1748"/>
  <c r="G163" i="1742"/>
  <c r="F192"/>
  <c r="I87" i="1744"/>
  <c r="I81"/>
  <c r="F176" i="1743"/>
  <c r="F178" s="1"/>
  <c r="F173"/>
  <c r="F176" i="1735"/>
  <c r="F178" s="1"/>
  <c r="F173"/>
  <c r="F176" i="1746"/>
  <c r="F178" s="1"/>
  <c r="F173"/>
  <c r="G117" i="1740"/>
  <c r="G130" s="1"/>
  <c r="G144" s="1"/>
  <c r="G160" s="1"/>
  <c r="G164" s="1"/>
  <c r="G129"/>
  <c r="G123"/>
  <c r="J81"/>
  <c r="J87"/>
  <c r="J93" s="1"/>
  <c r="I81" i="1743"/>
  <c r="I87"/>
  <c r="I93" s="1"/>
  <c r="J69" s="1"/>
  <c r="H86" i="1744"/>
  <c r="H80"/>
  <c r="H86" i="1742"/>
  <c r="H80"/>
  <c r="H92" s="1"/>
  <c r="I68" s="1"/>
  <c r="G97" i="1749"/>
  <c r="G140" s="1"/>
  <c r="G79"/>
  <c r="G98" s="1"/>
  <c r="G141" s="1"/>
  <c r="G172" s="1"/>
  <c r="G85"/>
  <c r="G99" s="1"/>
  <c r="G142" s="1"/>
  <c r="G85" i="1737"/>
  <c r="G99" s="1"/>
  <c r="G142" s="1"/>
  <c r="G97"/>
  <c r="G140" s="1"/>
  <c r="G79"/>
  <c r="G98" s="1"/>
  <c r="G141" s="1"/>
  <c r="G172" s="1"/>
  <c r="F176" i="1739"/>
  <c r="F178" s="1"/>
  <c r="F173"/>
  <c r="I87" i="1736"/>
  <c r="I81"/>
  <c r="I80" i="1738"/>
  <c r="I86"/>
  <c r="G67" i="1736"/>
  <c r="F100"/>
  <c r="F143" s="1"/>
  <c r="F145" s="1"/>
  <c r="J81" i="1737"/>
  <c r="J87"/>
  <c r="I80" i="1747"/>
  <c r="I86"/>
  <c r="G67" i="1748"/>
  <c r="F100"/>
  <c r="F143" s="1"/>
  <c r="F145" s="1"/>
  <c r="G67" i="1735"/>
  <c r="F100"/>
  <c r="F143" s="1"/>
  <c r="F145" s="1"/>
  <c r="G67" i="1747"/>
  <c r="F100"/>
  <c r="F143" s="1"/>
  <c r="F145" s="1"/>
  <c r="H80" i="1741"/>
  <c r="H86"/>
  <c r="F131" i="1746"/>
  <c r="G105"/>
  <c r="F131" i="1739"/>
  <c r="G105"/>
  <c r="H154" i="1738"/>
  <c r="H154" i="1735"/>
  <c r="F100" i="1741"/>
  <c r="F143" s="1"/>
  <c r="F145" s="1"/>
  <c r="G67"/>
  <c r="F176" i="1748"/>
  <c r="F178" s="1"/>
  <c r="F173"/>
  <c r="F176" i="1749"/>
  <c r="F178" s="1"/>
  <c r="F173"/>
  <c r="G129" i="1737"/>
  <c r="G117"/>
  <c r="G130" s="1"/>
  <c r="G144" s="1"/>
  <c r="G160" s="1"/>
  <c r="G164" s="1"/>
  <c r="F176" i="1745"/>
  <c r="F178" s="1"/>
  <c r="F173"/>
  <c r="F131" i="1736"/>
  <c r="G105"/>
  <c r="F100" i="1742"/>
  <c r="F143" s="1"/>
  <c r="F145" s="1"/>
  <c r="G67"/>
  <c r="F148"/>
  <c r="F149" s="1"/>
  <c r="F171" s="1"/>
  <c r="F169"/>
  <c r="F100" i="1734"/>
  <c r="F143" s="1"/>
  <c r="F145" s="1"/>
  <c r="G67"/>
  <c r="I81" i="1746"/>
  <c r="I87"/>
  <c r="I81" i="1745"/>
  <c r="I87"/>
  <c r="G129" i="1747"/>
  <c r="G117"/>
  <c r="G130" s="1"/>
  <c r="G144" s="1"/>
  <c r="G160" s="1"/>
  <c r="G164" s="1"/>
  <c r="I80" i="1735"/>
  <c r="I86"/>
  <c r="F100" i="1744"/>
  <c r="F143" s="1"/>
  <c r="F145" s="1"/>
  <c r="G67"/>
  <c r="H154"/>
  <c r="I80" i="1749"/>
  <c r="I86"/>
  <c r="F131" i="1734"/>
  <c r="G105"/>
  <c r="J87" i="1749"/>
  <c r="J81"/>
  <c r="I80" i="1746"/>
  <c r="I86"/>
  <c r="J87" i="1748"/>
  <c r="J81"/>
  <c r="I86" i="1740"/>
  <c r="I80"/>
  <c r="G166" i="1737"/>
  <c r="G166" i="1740"/>
  <c r="G166" i="1747"/>
  <c r="G163" i="1736"/>
  <c r="F192"/>
  <c r="F192" i="1734"/>
  <c r="G163"/>
  <c r="G97" i="1738"/>
  <c r="G140" s="1"/>
  <c r="G79"/>
  <c r="G98" s="1"/>
  <c r="G141" s="1"/>
  <c r="G172" s="1"/>
  <c r="G85"/>
  <c r="G99" s="1"/>
  <c r="G142" s="1"/>
  <c r="G129" i="1749"/>
  <c r="G117"/>
  <c r="G130" s="1"/>
  <c r="G144" s="1"/>
  <c r="G160" s="1"/>
  <c r="G164" s="1"/>
  <c r="G166" s="1"/>
  <c r="G129" i="1735"/>
  <c r="G117"/>
  <c r="G130" s="1"/>
  <c r="G144" s="1"/>
  <c r="G160" s="1"/>
  <c r="G164" s="1"/>
  <c r="G123"/>
  <c r="G129" i="1743"/>
  <c r="G117"/>
  <c r="G130" s="1"/>
  <c r="G144" s="1"/>
  <c r="G160" s="1"/>
  <c r="G164" s="1"/>
  <c r="F177" i="1736"/>
  <c r="F181"/>
  <c r="F183" s="1"/>
  <c r="F148"/>
  <c r="F149" s="1"/>
  <c r="F171" s="1"/>
  <c r="F169"/>
  <c r="G105" i="1745"/>
  <c r="F131"/>
  <c r="G67" i="1743"/>
  <c r="F100"/>
  <c r="F143" s="1"/>
  <c r="F145" s="1"/>
  <c r="F100" i="1746"/>
  <c r="F143" s="1"/>
  <c r="F145" s="1"/>
  <c r="G67"/>
  <c r="F100" i="1740"/>
  <c r="F143" s="1"/>
  <c r="F145" s="1"/>
  <c r="G67"/>
  <c r="F131" i="1741"/>
  <c r="G105"/>
  <c r="F131" i="1748"/>
  <c r="G105"/>
  <c r="G67" i="1739"/>
  <c r="F100"/>
  <c r="F143" s="1"/>
  <c r="F145" s="1"/>
  <c r="H154" i="1749"/>
  <c r="H154" i="1740"/>
  <c r="F176" i="1747"/>
  <c r="F178" s="1"/>
  <c r="F173"/>
  <c r="F176" i="1740"/>
  <c r="F178" s="1"/>
  <c r="F173"/>
  <c r="F176" i="1738"/>
  <c r="F178" s="1"/>
  <c r="F173"/>
  <c r="F176" i="1737"/>
  <c r="F178" s="1"/>
  <c r="F173"/>
  <c r="G129" i="1738"/>
  <c r="G117"/>
  <c r="G130" s="1"/>
  <c r="G144" s="1"/>
  <c r="G160" s="1"/>
  <c r="G164" s="1"/>
  <c r="G166" s="1"/>
  <c r="F176" i="1741"/>
  <c r="F178" s="1"/>
  <c r="F173"/>
  <c r="F131" i="1742"/>
  <c r="G105"/>
  <c r="F181"/>
  <c r="F183" s="1"/>
  <c r="F177"/>
  <c r="F177" i="1734"/>
  <c r="F181"/>
  <c r="F183" s="1"/>
  <c r="F169"/>
  <c r="F148"/>
  <c r="F149" s="1"/>
  <c r="F171" s="1"/>
  <c r="G97" i="1745"/>
  <c r="G140" s="1"/>
  <c r="G79"/>
  <c r="G98" s="1"/>
  <c r="G141" s="1"/>
  <c r="G172" s="1"/>
  <c r="G85"/>
  <c r="G99" s="1"/>
  <c r="G142" s="1"/>
  <c r="F177" i="1744"/>
  <c r="F181"/>
  <c r="F183" s="1"/>
  <c r="F148"/>
  <c r="F149" s="1"/>
  <c r="F171" s="1"/>
  <c r="F169"/>
  <c r="G92" i="1734"/>
  <c r="H68" s="1"/>
  <c r="G166" i="1735"/>
  <c r="G157" i="1745"/>
  <c r="H153" s="1"/>
  <c r="F123" i="1744"/>
  <c r="G157" i="1736"/>
  <c r="H153" s="1"/>
  <c r="G157" i="1734"/>
  <c r="H153" s="1"/>
  <c r="G166" i="1743"/>
  <c r="I93" i="1747"/>
  <c r="J69" s="1"/>
  <c r="H92" i="1748"/>
  <c r="I68" s="1"/>
  <c r="G157" i="1742"/>
  <c r="H153" s="1"/>
  <c r="H154" s="1"/>
  <c r="J25" i="1749"/>
  <c r="H25"/>
  <c r="I25"/>
  <c r="I93" i="1738" l="1"/>
  <c r="J69" s="1"/>
  <c r="I92" i="1737"/>
  <c r="J68" s="1"/>
  <c r="I93" i="1742"/>
  <c r="J69" s="1"/>
  <c r="I93" i="1735"/>
  <c r="J69" s="1"/>
  <c r="I92" i="1749"/>
  <c r="J68" s="1"/>
  <c r="I92" i="1740"/>
  <c r="J68" s="1"/>
  <c r="I92" i="1746"/>
  <c r="J68" s="1"/>
  <c r="J93" i="1749"/>
  <c r="I92" i="1735"/>
  <c r="J68" s="1"/>
  <c r="G123" i="1747"/>
  <c r="I93" i="1745"/>
  <c r="J69" s="1"/>
  <c r="I92" i="1743"/>
  <c r="J68" s="1"/>
  <c r="J93" i="1741"/>
  <c r="H92" i="1736"/>
  <c r="I68" s="1"/>
  <c r="H92" i="1741"/>
  <c r="I68" s="1"/>
  <c r="I92" i="1747"/>
  <c r="J68" s="1"/>
  <c r="J93" i="1737"/>
  <c r="I92" i="1738"/>
  <c r="J68" s="1"/>
  <c r="I93" i="1736"/>
  <c r="J69" s="1"/>
  <c r="G91" i="1737"/>
  <c r="G91" i="1749"/>
  <c r="I93" i="1744"/>
  <c r="J69" s="1"/>
  <c r="J93" i="1739"/>
  <c r="I92"/>
  <c r="J68" s="1"/>
  <c r="H92" i="1745"/>
  <c r="I68" s="1"/>
  <c r="I93" i="1734"/>
  <c r="J69" s="1"/>
  <c r="G91" i="1745"/>
  <c r="G123" i="1738"/>
  <c r="G91"/>
  <c r="J93" i="1748"/>
  <c r="I93" i="1746"/>
  <c r="J69" s="1"/>
  <c r="G123" i="1737"/>
  <c r="H92" i="1744"/>
  <c r="I68" s="1"/>
  <c r="G192" i="1738"/>
  <c r="H163"/>
  <c r="J80" i="1735"/>
  <c r="J86"/>
  <c r="I86" i="1741"/>
  <c r="I80"/>
  <c r="J81" i="1736"/>
  <c r="J87"/>
  <c r="I80" i="1745"/>
  <c r="I86"/>
  <c r="J87" i="1734"/>
  <c r="J81"/>
  <c r="H163" i="1749"/>
  <c r="G192"/>
  <c r="J87" i="1746"/>
  <c r="J81"/>
  <c r="I86" i="1744"/>
  <c r="I80"/>
  <c r="J87"/>
  <c r="J81"/>
  <c r="J80" i="1739"/>
  <c r="J86"/>
  <c r="J87" i="1735"/>
  <c r="J81"/>
  <c r="I170" i="1749"/>
  <c r="I155"/>
  <c r="I104"/>
  <c r="I127" s="1"/>
  <c r="J109" s="1"/>
  <c r="J121" s="1"/>
  <c r="J127" s="1"/>
  <c r="I297"/>
  <c r="I66"/>
  <c r="I95" s="1"/>
  <c r="J71" s="1"/>
  <c r="H155"/>
  <c r="H157" s="1"/>
  <c r="I153" s="1"/>
  <c r="H66"/>
  <c r="H94" s="1"/>
  <c r="I70" s="1"/>
  <c r="F297"/>
  <c r="H170"/>
  <c r="H104"/>
  <c r="H126" s="1"/>
  <c r="I108" s="1"/>
  <c r="I120" s="1"/>
  <c r="I126" s="1"/>
  <c r="J108" s="1"/>
  <c r="J120" s="1"/>
  <c r="J126" s="1"/>
  <c r="J87" i="1747"/>
  <c r="J81"/>
  <c r="H154" i="1734"/>
  <c r="H154" i="1745"/>
  <c r="H163" i="1735"/>
  <c r="G192"/>
  <c r="H86" i="1734"/>
  <c r="H80"/>
  <c r="G181" i="1745"/>
  <c r="G183" s="1"/>
  <c r="G148"/>
  <c r="G149" s="1"/>
  <c r="G171" s="1"/>
  <c r="G169"/>
  <c r="F176" i="1734"/>
  <c r="F178" s="1"/>
  <c r="F173"/>
  <c r="G129" i="1748"/>
  <c r="G117"/>
  <c r="G130" s="1"/>
  <c r="G144" s="1"/>
  <c r="G160" s="1"/>
  <c r="G164" s="1"/>
  <c r="G166" s="1"/>
  <c r="G117" i="1741"/>
  <c r="G130" s="1"/>
  <c r="G144" s="1"/>
  <c r="G160" s="1"/>
  <c r="G164" s="1"/>
  <c r="G166" s="1"/>
  <c r="G129"/>
  <c r="G123"/>
  <c r="G85" i="1740"/>
  <c r="G99" s="1"/>
  <c r="G142" s="1"/>
  <c r="G97"/>
  <c r="G140" s="1"/>
  <c r="G79"/>
  <c r="G98" s="1"/>
  <c r="G141" s="1"/>
  <c r="G172" s="1"/>
  <c r="G85" i="1746"/>
  <c r="G99" s="1"/>
  <c r="G142" s="1"/>
  <c r="G97"/>
  <c r="G140" s="1"/>
  <c r="G79"/>
  <c r="G98" s="1"/>
  <c r="G141" s="1"/>
  <c r="G172" s="1"/>
  <c r="F176" i="1736"/>
  <c r="F178" s="1"/>
  <c r="F173"/>
  <c r="G181" i="1738"/>
  <c r="G183" s="1"/>
  <c r="G177"/>
  <c r="G148"/>
  <c r="G149" s="1"/>
  <c r="G171" s="1"/>
  <c r="G169"/>
  <c r="G97" i="1744"/>
  <c r="G140" s="1"/>
  <c r="G79"/>
  <c r="G98" s="1"/>
  <c r="G141" s="1"/>
  <c r="G172" s="1"/>
  <c r="G85"/>
  <c r="G99" s="1"/>
  <c r="G142" s="1"/>
  <c r="G97" i="1741"/>
  <c r="G140" s="1"/>
  <c r="G79"/>
  <c r="G98" s="1"/>
  <c r="G141" s="1"/>
  <c r="G172" s="1"/>
  <c r="G85"/>
  <c r="G99" s="1"/>
  <c r="G142" s="1"/>
  <c r="G117" i="1739"/>
  <c r="G130" s="1"/>
  <c r="G144" s="1"/>
  <c r="G160" s="1"/>
  <c r="G164" s="1"/>
  <c r="G166" s="1"/>
  <c r="G129"/>
  <c r="G123"/>
  <c r="G117" i="1746"/>
  <c r="G130" s="1"/>
  <c r="G144" s="1"/>
  <c r="G160" s="1"/>
  <c r="G164" s="1"/>
  <c r="G166" s="1"/>
  <c r="G129"/>
  <c r="G123"/>
  <c r="G85" i="1747"/>
  <c r="G99" s="1"/>
  <c r="G142" s="1"/>
  <c r="G97"/>
  <c r="G140" s="1"/>
  <c r="G79"/>
  <c r="G98" s="1"/>
  <c r="G141" s="1"/>
  <c r="G172" s="1"/>
  <c r="G85" i="1735"/>
  <c r="G99" s="1"/>
  <c r="G142" s="1"/>
  <c r="G97"/>
  <c r="G140" s="1"/>
  <c r="G79"/>
  <c r="G98" s="1"/>
  <c r="G141" s="1"/>
  <c r="G172" s="1"/>
  <c r="G97" i="1748"/>
  <c r="G140" s="1"/>
  <c r="G79"/>
  <c r="G98" s="1"/>
  <c r="G141" s="1"/>
  <c r="G172" s="1"/>
  <c r="G85"/>
  <c r="G99" s="1"/>
  <c r="G142" s="1"/>
  <c r="G97" i="1736"/>
  <c r="G140" s="1"/>
  <c r="G79"/>
  <c r="G98" s="1"/>
  <c r="G141" s="1"/>
  <c r="G172" s="1"/>
  <c r="G85"/>
  <c r="G99" s="1"/>
  <c r="G142" s="1"/>
  <c r="G181" i="1737"/>
  <c r="G183" s="1"/>
  <c r="G177"/>
  <c r="G177" i="1749"/>
  <c r="G181"/>
  <c r="G183" s="1"/>
  <c r="G148"/>
  <c r="G149" s="1"/>
  <c r="G171" s="1"/>
  <c r="G169"/>
  <c r="G123" i="1743"/>
  <c r="G123" i="1749"/>
  <c r="L297"/>
  <c r="J170"/>
  <c r="J104"/>
  <c r="J128" s="1"/>
  <c r="J155"/>
  <c r="J66"/>
  <c r="J96" s="1"/>
  <c r="I80" i="1748"/>
  <c r="I86"/>
  <c r="I92" s="1"/>
  <c r="J68" s="1"/>
  <c r="H163" i="1743"/>
  <c r="G192"/>
  <c r="H154" i="1736"/>
  <c r="G105" i="1744"/>
  <c r="F131"/>
  <c r="F176"/>
  <c r="F178" s="1"/>
  <c r="F173"/>
  <c r="G100" i="1745"/>
  <c r="G143" s="1"/>
  <c r="G145" s="1"/>
  <c r="H67"/>
  <c r="G129" i="1742"/>
  <c r="G117"/>
  <c r="G130" s="1"/>
  <c r="G144" s="1"/>
  <c r="G160" s="1"/>
  <c r="G164" s="1"/>
  <c r="G166" s="1"/>
  <c r="H105" i="1738"/>
  <c r="G131"/>
  <c r="G97" i="1739"/>
  <c r="G140" s="1"/>
  <c r="G79"/>
  <c r="G98" s="1"/>
  <c r="G141" s="1"/>
  <c r="G172" s="1"/>
  <c r="G85"/>
  <c r="G99" s="1"/>
  <c r="G142" s="1"/>
  <c r="G97" i="1743"/>
  <c r="G140" s="1"/>
  <c r="G79"/>
  <c r="G98" s="1"/>
  <c r="G141" s="1"/>
  <c r="G172" s="1"/>
  <c r="G85"/>
  <c r="G99" s="1"/>
  <c r="G142" s="1"/>
  <c r="G117" i="1745"/>
  <c r="G130" s="1"/>
  <c r="G144" s="1"/>
  <c r="G160" s="1"/>
  <c r="G164" s="1"/>
  <c r="G166" s="1"/>
  <c r="G129"/>
  <c r="G123"/>
  <c r="G131" i="1735"/>
  <c r="H105"/>
  <c r="H67" i="1738"/>
  <c r="G100"/>
  <c r="G143" s="1"/>
  <c r="G145" s="1"/>
  <c r="H163" i="1747"/>
  <c r="G192"/>
  <c r="G192" i="1740"/>
  <c r="H163"/>
  <c r="H163" i="1737"/>
  <c r="G192"/>
  <c r="J86" i="1740"/>
  <c r="J80"/>
  <c r="J86" i="1746"/>
  <c r="J80"/>
  <c r="G117" i="1734"/>
  <c r="G130" s="1"/>
  <c r="G144" s="1"/>
  <c r="G160" s="1"/>
  <c r="G164" s="1"/>
  <c r="G129"/>
  <c r="G123"/>
  <c r="J80" i="1749"/>
  <c r="J86"/>
  <c r="H105" i="1747"/>
  <c r="G131"/>
  <c r="J87" i="1745"/>
  <c r="J81"/>
  <c r="G85" i="1734"/>
  <c r="G99" s="1"/>
  <c r="G142" s="1"/>
  <c r="G97"/>
  <c r="G140" s="1"/>
  <c r="G79"/>
  <c r="G98" s="1"/>
  <c r="G141" s="1"/>
  <c r="G172" s="1"/>
  <c r="F176" i="1742"/>
  <c r="F178" s="1"/>
  <c r="F173"/>
  <c r="G97"/>
  <c r="G140" s="1"/>
  <c r="G79"/>
  <c r="G98" s="1"/>
  <c r="G141" s="1"/>
  <c r="G172" s="1"/>
  <c r="G85"/>
  <c r="G99" s="1"/>
  <c r="G142" s="1"/>
  <c r="G117" i="1736"/>
  <c r="G130" s="1"/>
  <c r="G144" s="1"/>
  <c r="G160" s="1"/>
  <c r="G164" s="1"/>
  <c r="G166" s="1"/>
  <c r="G129"/>
  <c r="G123"/>
  <c r="H105" i="1737"/>
  <c r="G131"/>
  <c r="J80" i="1747"/>
  <c r="J86"/>
  <c r="J80" i="1738"/>
  <c r="J86"/>
  <c r="G100" i="1737"/>
  <c r="G143" s="1"/>
  <c r="G145" s="1"/>
  <c r="H67"/>
  <c r="G169"/>
  <c r="G148"/>
  <c r="G149" s="1"/>
  <c r="G171" s="1"/>
  <c r="H67" i="1749"/>
  <c r="G100"/>
  <c r="G143" s="1"/>
  <c r="G145" s="1"/>
  <c r="I86" i="1742"/>
  <c r="I80"/>
  <c r="J81" i="1743"/>
  <c r="J87"/>
  <c r="J93" s="1"/>
  <c r="H105" i="1740"/>
  <c r="G131"/>
  <c r="J80" i="1743"/>
  <c r="J86"/>
  <c r="I86" i="1736"/>
  <c r="I80"/>
  <c r="J81" i="1738"/>
  <c r="J87"/>
  <c r="J80" i="1737"/>
  <c r="J86"/>
  <c r="J81" i="1742"/>
  <c r="J87"/>
  <c r="G166" i="1734"/>
  <c r="J25" i="1748"/>
  <c r="H25" i="1746"/>
  <c r="I25" i="1748"/>
  <c r="J25" i="1746"/>
  <c r="J25" i="1747"/>
  <c r="I25" i="1746"/>
  <c r="I25" i="1747"/>
  <c r="H25" i="1748"/>
  <c r="H25" i="1747"/>
  <c r="J93" i="1744" l="1"/>
  <c r="I92" i="1745"/>
  <c r="J68" s="1"/>
  <c r="I92" i="1741"/>
  <c r="J68" s="1"/>
  <c r="J92" i="1735"/>
  <c r="J92" i="1737"/>
  <c r="I92" i="1736"/>
  <c r="J68" s="1"/>
  <c r="J92" i="1743"/>
  <c r="J92" i="1749"/>
  <c r="J93" i="1747"/>
  <c r="J93" i="1735"/>
  <c r="J92" i="1739"/>
  <c r="J93" i="1742"/>
  <c r="J92" i="1738"/>
  <c r="J92" i="1747"/>
  <c r="J92" i="1746"/>
  <c r="J92" i="1740"/>
  <c r="G91" i="1736"/>
  <c r="G91" i="1748"/>
  <c r="G91" i="1735"/>
  <c r="G91" i="1747"/>
  <c r="G91" i="1741"/>
  <c r="G91" i="1744"/>
  <c r="G91" i="1746"/>
  <c r="G91" i="1740"/>
  <c r="H92" i="1734"/>
  <c r="I68" s="1"/>
  <c r="J93" i="1746"/>
  <c r="J93" i="1734"/>
  <c r="J93" i="1738"/>
  <c r="I92" i="1742"/>
  <c r="J68" s="1"/>
  <c r="J93" i="1745"/>
  <c r="I92" i="1744"/>
  <c r="J68" s="1"/>
  <c r="J93" i="1736"/>
  <c r="J80" i="1742"/>
  <c r="J86"/>
  <c r="G192"/>
  <c r="H163"/>
  <c r="I154" i="1749"/>
  <c r="I157" s="1"/>
  <c r="J153" s="1"/>
  <c r="J86" i="1744"/>
  <c r="J80"/>
  <c r="G192" i="1736"/>
  <c r="H163"/>
  <c r="F297" i="1748"/>
  <c r="H170"/>
  <c r="H104"/>
  <c r="H126" s="1"/>
  <c r="I108" s="1"/>
  <c r="I120" s="1"/>
  <c r="I126" s="1"/>
  <c r="J108" s="1"/>
  <c r="J120" s="1"/>
  <c r="J126" s="1"/>
  <c r="H155"/>
  <c r="H157" s="1"/>
  <c r="I153" s="1"/>
  <c r="I154" s="1"/>
  <c r="H66"/>
  <c r="H94" s="1"/>
  <c r="I70" s="1"/>
  <c r="J155" i="1746"/>
  <c r="J66"/>
  <c r="J96" s="1"/>
  <c r="L297"/>
  <c r="J170"/>
  <c r="J104"/>
  <c r="J128" s="1"/>
  <c r="H155" i="1747"/>
  <c r="H157" s="1"/>
  <c r="I153" s="1"/>
  <c r="H66"/>
  <c r="H94" s="1"/>
  <c r="I70" s="1"/>
  <c r="F297"/>
  <c r="H170"/>
  <c r="H104"/>
  <c r="H126" s="1"/>
  <c r="I108" s="1"/>
  <c r="I120" s="1"/>
  <c r="I126" s="1"/>
  <c r="J108" s="1"/>
  <c r="J120" s="1"/>
  <c r="J126" s="1"/>
  <c r="I170"/>
  <c r="I155"/>
  <c r="I104"/>
  <c r="I127" s="1"/>
  <c r="J109" s="1"/>
  <c r="J121" s="1"/>
  <c r="J127" s="1"/>
  <c r="I297"/>
  <c r="I66"/>
  <c r="I95" s="1"/>
  <c r="J71" s="1"/>
  <c r="L297"/>
  <c r="J170"/>
  <c r="J104"/>
  <c r="J128" s="1"/>
  <c r="J155"/>
  <c r="J66"/>
  <c r="J96" s="1"/>
  <c r="I297" i="1748"/>
  <c r="I66"/>
  <c r="I95" s="1"/>
  <c r="J71" s="1"/>
  <c r="I170"/>
  <c r="I155"/>
  <c r="I104"/>
  <c r="I127" s="1"/>
  <c r="J109" s="1"/>
  <c r="J121" s="1"/>
  <c r="J127" s="1"/>
  <c r="J155"/>
  <c r="J66"/>
  <c r="J96" s="1"/>
  <c r="L297"/>
  <c r="J170"/>
  <c r="J104"/>
  <c r="J128" s="1"/>
  <c r="H117" i="1740"/>
  <c r="H130" s="1"/>
  <c r="H144" s="1"/>
  <c r="H160" s="1"/>
  <c r="H164" s="1"/>
  <c r="H129"/>
  <c r="H123"/>
  <c r="H97" i="1749"/>
  <c r="H140" s="1"/>
  <c r="H79"/>
  <c r="H98" s="1"/>
  <c r="H141" s="1"/>
  <c r="H172" s="1"/>
  <c r="H85"/>
  <c r="H99" s="1"/>
  <c r="H142" s="1"/>
  <c r="G176" i="1737"/>
  <c r="G173"/>
  <c r="H129"/>
  <c r="H117"/>
  <c r="H130" s="1"/>
  <c r="H144" s="1"/>
  <c r="H160" s="1"/>
  <c r="H164" s="1"/>
  <c r="G148" i="1734"/>
  <c r="G149" s="1"/>
  <c r="G171" s="1"/>
  <c r="G169"/>
  <c r="H117" i="1747"/>
  <c r="H130" s="1"/>
  <c r="H144" s="1"/>
  <c r="H160" s="1"/>
  <c r="H164" s="1"/>
  <c r="H129"/>
  <c r="H123"/>
  <c r="H105" i="1734"/>
  <c r="G131"/>
  <c r="H85" i="1738"/>
  <c r="H99" s="1"/>
  <c r="H142" s="1"/>
  <c r="H97"/>
  <c r="H140" s="1"/>
  <c r="H79"/>
  <c r="H98" s="1"/>
  <c r="H141" s="1"/>
  <c r="H172" s="1"/>
  <c r="G117" i="1744"/>
  <c r="G130" s="1"/>
  <c r="G144" s="1"/>
  <c r="G160" s="1"/>
  <c r="G164" s="1"/>
  <c r="G166" s="1"/>
  <c r="G129"/>
  <c r="G123"/>
  <c r="H105" i="1749"/>
  <c r="G131"/>
  <c r="G177" i="1736"/>
  <c r="G181"/>
  <c r="G183" s="1"/>
  <c r="G148"/>
  <c r="G149" s="1"/>
  <c r="G171" s="1"/>
  <c r="G169"/>
  <c r="G177" i="1748"/>
  <c r="G181"/>
  <c r="G183" s="1"/>
  <c r="G148"/>
  <c r="G149" s="1"/>
  <c r="G171" s="1"/>
  <c r="G169"/>
  <c r="G181" i="1735"/>
  <c r="G183" s="1"/>
  <c r="G177"/>
  <c r="G181" i="1747"/>
  <c r="G183" s="1"/>
  <c r="G177"/>
  <c r="H105" i="1739"/>
  <c r="G131"/>
  <c r="G192"/>
  <c r="H163"/>
  <c r="G181" i="1741"/>
  <c r="G183" s="1"/>
  <c r="G177"/>
  <c r="G169"/>
  <c r="G148"/>
  <c r="G149" s="1"/>
  <c r="G171" s="1"/>
  <c r="G177" i="1744"/>
  <c r="G181"/>
  <c r="G183" s="1"/>
  <c r="G148"/>
  <c r="G149" s="1"/>
  <c r="G171" s="1"/>
  <c r="G169"/>
  <c r="G177" i="1746"/>
  <c r="G181"/>
  <c r="G183" s="1"/>
  <c r="G177" i="1740"/>
  <c r="G181"/>
  <c r="G183" s="1"/>
  <c r="G91" i="1742"/>
  <c r="G91" i="1734"/>
  <c r="H166" i="1737"/>
  <c r="H166" i="1747"/>
  <c r="G91" i="1743"/>
  <c r="G91" i="1739"/>
  <c r="G123" i="1742"/>
  <c r="G123" i="1748"/>
  <c r="G177" i="1745"/>
  <c r="I297" i="1746"/>
  <c r="I66"/>
  <c r="I95" s="1"/>
  <c r="J71" s="1"/>
  <c r="I170"/>
  <c r="I155"/>
  <c r="I104"/>
  <c r="I127" s="1"/>
  <c r="J109" s="1"/>
  <c r="J121" s="1"/>
  <c r="J127" s="1"/>
  <c r="F297"/>
  <c r="H170"/>
  <c r="H104"/>
  <c r="H126" s="1"/>
  <c r="I108" s="1"/>
  <c r="I120" s="1"/>
  <c r="I126" s="1"/>
  <c r="J108" s="1"/>
  <c r="J120" s="1"/>
  <c r="J126" s="1"/>
  <c r="H155"/>
  <c r="H157" s="1"/>
  <c r="I153" s="1"/>
  <c r="H66"/>
  <c r="H94" s="1"/>
  <c r="I70" s="1"/>
  <c r="G192" i="1734"/>
  <c r="H163"/>
  <c r="J80" i="1736"/>
  <c r="J86"/>
  <c r="H97" i="1737"/>
  <c r="H140" s="1"/>
  <c r="H79"/>
  <c r="H98" s="1"/>
  <c r="H141" s="1"/>
  <c r="H172" s="1"/>
  <c r="H85"/>
  <c r="H99" s="1"/>
  <c r="H142" s="1"/>
  <c r="G131" i="1736"/>
  <c r="H105"/>
  <c r="G181" i="1742"/>
  <c r="G183" s="1"/>
  <c r="G177"/>
  <c r="G169"/>
  <c r="G148"/>
  <c r="G149" s="1"/>
  <c r="G171" s="1"/>
  <c r="G177" i="1734"/>
  <c r="G181"/>
  <c r="G183" s="1"/>
  <c r="H129" i="1735"/>
  <c r="H117"/>
  <c r="H130" s="1"/>
  <c r="H144" s="1"/>
  <c r="H160" s="1"/>
  <c r="H164" s="1"/>
  <c r="H166" s="1"/>
  <c r="G131" i="1745"/>
  <c r="H105"/>
  <c r="G192"/>
  <c r="H163"/>
  <c r="G177" i="1743"/>
  <c r="G181"/>
  <c r="G183" s="1"/>
  <c r="G148"/>
  <c r="G149" s="1"/>
  <c r="G171" s="1"/>
  <c r="G169"/>
  <c r="G177" i="1739"/>
  <c r="G181"/>
  <c r="G183" s="1"/>
  <c r="G148"/>
  <c r="G149" s="1"/>
  <c r="G171" s="1"/>
  <c r="G169"/>
  <c r="H129" i="1738"/>
  <c r="H117"/>
  <c r="H130" s="1"/>
  <c r="H144" s="1"/>
  <c r="H160" s="1"/>
  <c r="H164" s="1"/>
  <c r="H85" i="1745"/>
  <c r="H99" s="1"/>
  <c r="H142" s="1"/>
  <c r="H97"/>
  <c r="H140" s="1"/>
  <c r="H79"/>
  <c r="H98" s="1"/>
  <c r="H141" s="1"/>
  <c r="H172" s="1"/>
  <c r="J86" i="1748"/>
  <c r="J80"/>
  <c r="H105" i="1743"/>
  <c r="G131"/>
  <c r="G176" i="1749"/>
  <c r="G178" s="1"/>
  <c r="G173"/>
  <c r="G100" i="1736"/>
  <c r="G143" s="1"/>
  <c r="G145" s="1"/>
  <c r="H67"/>
  <c r="G100" i="1748"/>
  <c r="G143" s="1"/>
  <c r="G145" s="1"/>
  <c r="H67"/>
  <c r="H67" i="1735"/>
  <c r="G100"/>
  <c r="G143" s="1"/>
  <c r="G145" s="1"/>
  <c r="G148"/>
  <c r="G149" s="1"/>
  <c r="G171" s="1"/>
  <c r="G169"/>
  <c r="G100" i="1747"/>
  <c r="G143" s="1"/>
  <c r="G145" s="1"/>
  <c r="H67"/>
  <c r="G169"/>
  <c r="G148"/>
  <c r="G149" s="1"/>
  <c r="G171" s="1"/>
  <c r="H105" i="1746"/>
  <c r="G131"/>
  <c r="G192"/>
  <c r="H163"/>
  <c r="G100" i="1741"/>
  <c r="G143" s="1"/>
  <c r="G145" s="1"/>
  <c r="H67"/>
  <c r="G100" i="1744"/>
  <c r="G143" s="1"/>
  <c r="G145" s="1"/>
  <c r="H67"/>
  <c r="G176" i="1738"/>
  <c r="G178" s="1"/>
  <c r="G173"/>
  <c r="H67" i="1746"/>
  <c r="G100"/>
  <c r="G143" s="1"/>
  <c r="G145" s="1"/>
  <c r="G148"/>
  <c r="G149" s="1"/>
  <c r="G171" s="1"/>
  <c r="G169"/>
  <c r="G100" i="1740"/>
  <c r="G143" s="1"/>
  <c r="G145" s="1"/>
  <c r="H67"/>
  <c r="G148"/>
  <c r="G149" s="1"/>
  <c r="G171" s="1"/>
  <c r="G169"/>
  <c r="H105" i="1741"/>
  <c r="G131"/>
  <c r="H163"/>
  <c r="G192"/>
  <c r="H163" i="1748"/>
  <c r="G192"/>
  <c r="G176" i="1745"/>
  <c r="G173"/>
  <c r="I80" i="1734"/>
  <c r="I92" s="1"/>
  <c r="J68" s="1"/>
  <c r="I86"/>
  <c r="I82" i="1749"/>
  <c r="I88"/>
  <c r="J83"/>
  <c r="J95" s="1"/>
  <c r="J89"/>
  <c r="J80" i="1745"/>
  <c r="J86"/>
  <c r="J80" i="1741"/>
  <c r="J86"/>
  <c r="H166" i="1740"/>
  <c r="G178" i="1737"/>
  <c r="H166" i="1738"/>
  <c r="I25" i="1745"/>
  <c r="J25"/>
  <c r="H25"/>
  <c r="H123" i="1735" l="1"/>
  <c r="J92" i="1736"/>
  <c r="H91" i="1738"/>
  <c r="J92" i="1744"/>
  <c r="J92" i="1742"/>
  <c r="J92" i="1745"/>
  <c r="J92" i="1748"/>
  <c r="J92" i="1741"/>
  <c r="I94" i="1749"/>
  <c r="J70" s="1"/>
  <c r="J88" s="1"/>
  <c r="H123" i="1737"/>
  <c r="J80" i="1734"/>
  <c r="J86"/>
  <c r="H192" i="1735"/>
  <c r="I163"/>
  <c r="J82" i="1749"/>
  <c r="H155" i="1745"/>
  <c r="H157" s="1"/>
  <c r="I153" s="1"/>
  <c r="H104"/>
  <c r="H126" s="1"/>
  <c r="I108" s="1"/>
  <c r="I120" s="1"/>
  <c r="I126" s="1"/>
  <c r="J108" s="1"/>
  <c r="J120" s="1"/>
  <c r="J126" s="1"/>
  <c r="F297"/>
  <c r="H170"/>
  <c r="H66"/>
  <c r="H94" s="1"/>
  <c r="I70" s="1"/>
  <c r="L297"/>
  <c r="J170"/>
  <c r="J66"/>
  <c r="J96" s="1"/>
  <c r="J155"/>
  <c r="J104"/>
  <c r="J128" s="1"/>
  <c r="I163" i="1738"/>
  <c r="H192"/>
  <c r="G176" i="1740"/>
  <c r="G173"/>
  <c r="H97"/>
  <c r="H140" s="1"/>
  <c r="H79"/>
  <c r="H98" s="1"/>
  <c r="H141" s="1"/>
  <c r="H172" s="1"/>
  <c r="H85"/>
  <c r="H99" s="1"/>
  <c r="H142" s="1"/>
  <c r="G176" i="1746"/>
  <c r="G178" s="1"/>
  <c r="G173"/>
  <c r="H85" i="1744"/>
  <c r="H99" s="1"/>
  <c r="H142" s="1"/>
  <c r="H97"/>
  <c r="H140" s="1"/>
  <c r="H79"/>
  <c r="H98" s="1"/>
  <c r="H141" s="1"/>
  <c r="H172" s="1"/>
  <c r="H85" i="1741"/>
  <c r="H99" s="1"/>
  <c r="H142" s="1"/>
  <c r="H97"/>
  <c r="H140" s="1"/>
  <c r="H79"/>
  <c r="H98" s="1"/>
  <c r="H141" s="1"/>
  <c r="H172" s="1"/>
  <c r="H97" i="1747"/>
  <c r="H140" s="1"/>
  <c r="H79"/>
  <c r="H98" s="1"/>
  <c r="H141" s="1"/>
  <c r="H172" s="1"/>
  <c r="H85"/>
  <c r="H99" s="1"/>
  <c r="H142" s="1"/>
  <c r="G176" i="1735"/>
  <c r="G178" s="1"/>
  <c r="G173"/>
  <c r="H85" i="1748"/>
  <c r="H99" s="1"/>
  <c r="H142" s="1"/>
  <c r="H97"/>
  <c r="H140" s="1"/>
  <c r="H79"/>
  <c r="H98" s="1"/>
  <c r="H141" s="1"/>
  <c r="H172" s="1"/>
  <c r="H85" i="1736"/>
  <c r="H99" s="1"/>
  <c r="H142" s="1"/>
  <c r="H97"/>
  <c r="H140" s="1"/>
  <c r="H79"/>
  <c r="H98" s="1"/>
  <c r="H141" s="1"/>
  <c r="H172" s="1"/>
  <c r="H181" i="1745"/>
  <c r="H183" s="1"/>
  <c r="G176" i="1739"/>
  <c r="G173"/>
  <c r="G176" i="1743"/>
  <c r="G178" s="1"/>
  <c r="G173"/>
  <c r="H117" i="1745"/>
  <c r="H130" s="1"/>
  <c r="H144" s="1"/>
  <c r="H160" s="1"/>
  <c r="H164" s="1"/>
  <c r="H129"/>
  <c r="H123"/>
  <c r="I105" i="1735"/>
  <c r="G176" i="1742"/>
  <c r="G173"/>
  <c r="H181" i="1737"/>
  <c r="H183" s="1"/>
  <c r="H177"/>
  <c r="E293"/>
  <c r="E300" s="1"/>
  <c r="H148"/>
  <c r="H149" s="1"/>
  <c r="H169"/>
  <c r="I88" i="1746"/>
  <c r="I82"/>
  <c r="I94" s="1"/>
  <c r="J70" s="1"/>
  <c r="J83"/>
  <c r="J89"/>
  <c r="G131" i="1748"/>
  <c r="H105"/>
  <c r="H67" i="1739"/>
  <c r="G100"/>
  <c r="G143" s="1"/>
  <c r="G145" s="1"/>
  <c r="I163" i="1747"/>
  <c r="H192"/>
  <c r="G100" i="1734"/>
  <c r="G143" s="1"/>
  <c r="G145" s="1"/>
  <c r="H67"/>
  <c r="G176" i="1744"/>
  <c r="G173"/>
  <c r="G176" i="1748"/>
  <c r="G178" s="1"/>
  <c r="G173"/>
  <c r="G176" i="1736"/>
  <c r="G178" s="1"/>
  <c r="G173"/>
  <c r="H105" i="1744"/>
  <c r="G131"/>
  <c r="G192"/>
  <c r="H163"/>
  <c r="H181" i="1738"/>
  <c r="H183" s="1"/>
  <c r="H177"/>
  <c r="H129" i="1734"/>
  <c r="H117"/>
  <c r="H130" s="1"/>
  <c r="H144" s="1"/>
  <c r="H160" s="1"/>
  <c r="H164" s="1"/>
  <c r="H166" s="1"/>
  <c r="G176"/>
  <c r="G178" s="1"/>
  <c r="G173"/>
  <c r="I105" i="1737"/>
  <c r="H181" i="1749"/>
  <c r="H183" s="1"/>
  <c r="H169"/>
  <c r="E293"/>
  <c r="E300" s="1"/>
  <c r="H148"/>
  <c r="H149" s="1"/>
  <c r="J89" i="1748"/>
  <c r="J83"/>
  <c r="I154" i="1747"/>
  <c r="I157" s="1"/>
  <c r="J153" s="1"/>
  <c r="I82" i="1748"/>
  <c r="I88"/>
  <c r="J154" i="1749"/>
  <c r="J157" s="1"/>
  <c r="H166" i="1745"/>
  <c r="I297"/>
  <c r="I104"/>
  <c r="I127" s="1"/>
  <c r="J109" s="1"/>
  <c r="J121" s="1"/>
  <c r="J127" s="1"/>
  <c r="I170"/>
  <c r="I155"/>
  <c r="I66"/>
  <c r="I95" s="1"/>
  <c r="J71" s="1"/>
  <c r="H192" i="1740"/>
  <c r="I163"/>
  <c r="H129" i="1741"/>
  <c r="H117"/>
  <c r="H130" s="1"/>
  <c r="H144" s="1"/>
  <c r="H160" s="1"/>
  <c r="H164" s="1"/>
  <c r="H97" i="1746"/>
  <c r="H140" s="1"/>
  <c r="H79"/>
  <c r="H98" s="1"/>
  <c r="H141" s="1"/>
  <c r="H172" s="1"/>
  <c r="H85"/>
  <c r="H99" s="1"/>
  <c r="H142" s="1"/>
  <c r="H129"/>
  <c r="H117"/>
  <c r="H130" s="1"/>
  <c r="H144" s="1"/>
  <c r="H160" s="1"/>
  <c r="H164" s="1"/>
  <c r="H166" s="1"/>
  <c r="G176" i="1747"/>
  <c r="G178" s="1"/>
  <c r="G173"/>
  <c r="H97" i="1735"/>
  <c r="H140" s="1"/>
  <c r="H79"/>
  <c r="H98" s="1"/>
  <c r="H141" s="1"/>
  <c r="H172" s="1"/>
  <c r="H85"/>
  <c r="H99" s="1"/>
  <c r="H142" s="1"/>
  <c r="H129" i="1743"/>
  <c r="H117"/>
  <c r="H130" s="1"/>
  <c r="H144" s="1"/>
  <c r="H160" s="1"/>
  <c r="H164" s="1"/>
  <c r="H166" s="1"/>
  <c r="E293" i="1745"/>
  <c r="E300" s="1"/>
  <c r="H148"/>
  <c r="H149" s="1"/>
  <c r="H169"/>
  <c r="H129" i="1736"/>
  <c r="H117"/>
  <c r="H130" s="1"/>
  <c r="H144" s="1"/>
  <c r="H160" s="1"/>
  <c r="H164" s="1"/>
  <c r="I154" i="1746"/>
  <c r="I157" s="1"/>
  <c r="J153" s="1"/>
  <c r="J154" s="1"/>
  <c r="J157" s="1"/>
  <c r="H105" i="1742"/>
  <c r="G131"/>
  <c r="H67" i="1743"/>
  <c r="G100"/>
  <c r="G143" s="1"/>
  <c r="G145" s="1"/>
  <c r="I163" i="1737"/>
  <c r="H192"/>
  <c r="H67" i="1742"/>
  <c r="G100"/>
  <c r="G143" s="1"/>
  <c r="G145" s="1"/>
  <c r="G176" i="1741"/>
  <c r="G178" s="1"/>
  <c r="G173"/>
  <c r="H117" i="1739"/>
  <c r="H130" s="1"/>
  <c r="H144" s="1"/>
  <c r="H160" s="1"/>
  <c r="H164" s="1"/>
  <c r="H166" s="1"/>
  <c r="H129"/>
  <c r="H123"/>
  <c r="H129" i="1749"/>
  <c r="H117"/>
  <c r="H130" s="1"/>
  <c r="H144" s="1"/>
  <c r="H160" s="1"/>
  <c r="H164" s="1"/>
  <c r="H166" s="1"/>
  <c r="I67" i="1738"/>
  <c r="E293"/>
  <c r="E300" s="1"/>
  <c r="H148"/>
  <c r="H149" s="1"/>
  <c r="H169"/>
  <c r="H131" i="1747"/>
  <c r="I105"/>
  <c r="I105" i="1740"/>
  <c r="J83" i="1747"/>
  <c r="J89"/>
  <c r="I82"/>
  <c r="I88"/>
  <c r="H166" i="1741"/>
  <c r="H91" i="1745"/>
  <c r="H123" i="1738"/>
  <c r="G178" i="1739"/>
  <c r="G178" i="1742"/>
  <c r="H91" i="1737"/>
  <c r="G178" i="1745"/>
  <c r="G178" i="1740"/>
  <c r="G178" i="1744"/>
  <c r="H91" i="1749"/>
  <c r="I157" i="1748"/>
  <c r="J153" s="1"/>
  <c r="J154" s="1"/>
  <c r="J157" s="1"/>
  <c r="H166" i="1736"/>
  <c r="J25" i="1744"/>
  <c r="H25"/>
  <c r="I25"/>
  <c r="J94" i="1749" l="1"/>
  <c r="H91" i="1740"/>
  <c r="J95" i="1747"/>
  <c r="H123" i="1743"/>
  <c r="H91" i="1746"/>
  <c r="H123" i="1741"/>
  <c r="J95" i="1748"/>
  <c r="I94"/>
  <c r="J70" s="1"/>
  <c r="J95" i="1746"/>
  <c r="H123" i="1734"/>
  <c r="H91" i="1747"/>
  <c r="H91" i="1741"/>
  <c r="H91" i="1744"/>
  <c r="J92" i="1734"/>
  <c r="I94" i="1747"/>
  <c r="J70" s="1"/>
  <c r="J82" s="1"/>
  <c r="H123" i="1749"/>
  <c r="H123" i="1736"/>
  <c r="H192" i="1746"/>
  <c r="I163"/>
  <c r="I163" i="1739"/>
  <c r="H192"/>
  <c r="J88" i="1748"/>
  <c r="J82"/>
  <c r="F297" i="1744"/>
  <c r="H170"/>
  <c r="H66"/>
  <c r="H94" s="1"/>
  <c r="I70" s="1"/>
  <c r="H155"/>
  <c r="H157" s="1"/>
  <c r="I153" s="1"/>
  <c r="H104"/>
  <c r="H126" s="1"/>
  <c r="I108" s="1"/>
  <c r="I120" s="1"/>
  <c r="I126" s="1"/>
  <c r="J108" s="1"/>
  <c r="J120" s="1"/>
  <c r="J126" s="1"/>
  <c r="I104"/>
  <c r="I127" s="1"/>
  <c r="J109" s="1"/>
  <c r="J121" s="1"/>
  <c r="J127" s="1"/>
  <c r="I297"/>
  <c r="I170"/>
  <c r="I66"/>
  <c r="I95" s="1"/>
  <c r="J71" s="1"/>
  <c r="I155"/>
  <c r="J155"/>
  <c r="J104"/>
  <c r="J128" s="1"/>
  <c r="L297"/>
  <c r="J170"/>
  <c r="J66"/>
  <c r="J96" s="1"/>
  <c r="I105" i="1738"/>
  <c r="H192" i="1741"/>
  <c r="I163"/>
  <c r="I117" i="1740"/>
  <c r="I123" s="1"/>
  <c r="I129" i="1747"/>
  <c r="I117"/>
  <c r="I130" s="1"/>
  <c r="I144" s="1"/>
  <c r="H176" i="1738"/>
  <c r="H192" i="1749"/>
  <c r="I163"/>
  <c r="I105" i="1739"/>
  <c r="H97" i="1742"/>
  <c r="H140" s="1"/>
  <c r="H79"/>
  <c r="H98" s="1"/>
  <c r="H141" s="1"/>
  <c r="H172" s="1"/>
  <c r="H85"/>
  <c r="H99" s="1"/>
  <c r="H142" s="1"/>
  <c r="H85" i="1743"/>
  <c r="H99" s="1"/>
  <c r="H142" s="1"/>
  <c r="H97"/>
  <c r="H140" s="1"/>
  <c r="H79"/>
  <c r="H98" s="1"/>
  <c r="H141" s="1"/>
  <c r="H172" s="1"/>
  <c r="H129" i="1742"/>
  <c r="H117"/>
  <c r="H130" s="1"/>
  <c r="H144" s="1"/>
  <c r="H160" s="1"/>
  <c r="H164" s="1"/>
  <c r="H166" s="1"/>
  <c r="H176" i="1745"/>
  <c r="I163" i="1743"/>
  <c r="H192"/>
  <c r="H181" i="1746"/>
  <c r="H183" s="1"/>
  <c r="H177"/>
  <c r="E293"/>
  <c r="E300" s="1"/>
  <c r="H148"/>
  <c r="H149" s="1"/>
  <c r="H169"/>
  <c r="J89" i="1745"/>
  <c r="J83"/>
  <c r="I163"/>
  <c r="H192"/>
  <c r="H298" i="1749"/>
  <c r="H300" s="1"/>
  <c r="H171"/>
  <c r="H176"/>
  <c r="H173"/>
  <c r="I117" i="1737"/>
  <c r="I123" s="1"/>
  <c r="H97" i="1734"/>
  <c r="H140" s="1"/>
  <c r="H79"/>
  <c r="H98" s="1"/>
  <c r="H141" s="1"/>
  <c r="H172" s="1"/>
  <c r="H85"/>
  <c r="H99" s="1"/>
  <c r="H142" s="1"/>
  <c r="H129" i="1748"/>
  <c r="H117"/>
  <c r="H130" s="1"/>
  <c r="H144" s="1"/>
  <c r="H160" s="1"/>
  <c r="H164" s="1"/>
  <c r="H166" s="1"/>
  <c r="H176" i="1737"/>
  <c r="H178" s="1"/>
  <c r="I117" i="1735"/>
  <c r="I123" s="1"/>
  <c r="H169" i="1736"/>
  <c r="E293"/>
  <c r="E300" s="1"/>
  <c r="H148"/>
  <c r="H149" s="1"/>
  <c r="E293" i="1748"/>
  <c r="E300" s="1"/>
  <c r="H148"/>
  <c r="H149" s="1"/>
  <c r="H169"/>
  <c r="H100" i="1747"/>
  <c r="H143" s="1"/>
  <c r="H145" s="1"/>
  <c r="I67"/>
  <c r="I67" i="1741"/>
  <c r="H169"/>
  <c r="E293"/>
  <c r="E300" s="1"/>
  <c r="H148"/>
  <c r="H149" s="1"/>
  <c r="H100" i="1744"/>
  <c r="H143" s="1"/>
  <c r="H145" s="1"/>
  <c r="I67"/>
  <c r="H148"/>
  <c r="H149" s="1"/>
  <c r="H169"/>
  <c r="E293"/>
  <c r="E300" s="1"/>
  <c r="I67" i="1740"/>
  <c r="H91" i="1735"/>
  <c r="H123" i="1746"/>
  <c r="I160" i="1747"/>
  <c r="I164" s="1"/>
  <c r="H177" i="1749"/>
  <c r="H178" i="1738"/>
  <c r="H177" i="1745"/>
  <c r="H178" s="1"/>
  <c r="H91" i="1736"/>
  <c r="H91" i="1748"/>
  <c r="H192" i="1736"/>
  <c r="I163"/>
  <c r="I67" i="1749"/>
  <c r="H100"/>
  <c r="H143" s="1"/>
  <c r="H145" s="1"/>
  <c r="I67" i="1737"/>
  <c r="H100" i="1745"/>
  <c r="H143" s="1"/>
  <c r="H145" s="1"/>
  <c r="I67"/>
  <c r="H171" i="1738"/>
  <c r="H298"/>
  <c r="H300" s="1"/>
  <c r="I85"/>
  <c r="I79"/>
  <c r="H131" i="1749"/>
  <c r="I105"/>
  <c r="I105" i="1736"/>
  <c r="H298" i="1745"/>
  <c r="H300" s="1"/>
  <c r="H171"/>
  <c r="H173" s="1"/>
  <c r="I105" i="1743"/>
  <c r="H181" i="1735"/>
  <c r="H183" s="1"/>
  <c r="H177"/>
  <c r="E293"/>
  <c r="E300" s="1"/>
  <c r="H148"/>
  <c r="H149" s="1"/>
  <c r="H169"/>
  <c r="H100" i="1746"/>
  <c r="H143" s="1"/>
  <c r="H145" s="1"/>
  <c r="I67"/>
  <c r="I105" i="1741"/>
  <c r="H192" i="1734"/>
  <c r="I163"/>
  <c r="J154" i="1747"/>
  <c r="J157" s="1"/>
  <c r="I105" i="1734"/>
  <c r="H117" i="1744"/>
  <c r="H130" s="1"/>
  <c r="H144" s="1"/>
  <c r="H160" s="1"/>
  <c r="H164" s="1"/>
  <c r="H166" s="1"/>
  <c r="H129"/>
  <c r="H123"/>
  <c r="H79" i="1739"/>
  <c r="H98" s="1"/>
  <c r="H141" s="1"/>
  <c r="H172" s="1"/>
  <c r="H85"/>
  <c r="H99" s="1"/>
  <c r="H142" s="1"/>
  <c r="H97"/>
  <c r="H140" s="1"/>
  <c r="J88" i="1746"/>
  <c r="J82"/>
  <c r="H171" i="1737"/>
  <c r="H298"/>
  <c r="H300" s="1"/>
  <c r="H131" i="1745"/>
  <c r="I105"/>
  <c r="H177" i="1736"/>
  <c r="H181"/>
  <c r="H183" s="1"/>
  <c r="H181" i="1748"/>
  <c r="H183" s="1"/>
  <c r="H177"/>
  <c r="H177" i="1747"/>
  <c r="H181"/>
  <c r="H183" s="1"/>
  <c r="H169"/>
  <c r="E293"/>
  <c r="E300" s="1"/>
  <c r="H148"/>
  <c r="H149" s="1"/>
  <c r="H177" i="1741"/>
  <c r="H181"/>
  <c r="H183" s="1"/>
  <c r="H181" i="1744"/>
  <c r="H183" s="1"/>
  <c r="H181" i="1740"/>
  <c r="H183" s="1"/>
  <c r="H177"/>
  <c r="E293"/>
  <c r="E300" s="1"/>
  <c r="H148"/>
  <c r="H149" s="1"/>
  <c r="H169"/>
  <c r="I88" i="1745"/>
  <c r="I82"/>
  <c r="I154"/>
  <c r="I166" i="1747"/>
  <c r="I25" i="1743"/>
  <c r="J25"/>
  <c r="H25"/>
  <c r="H177" i="1744" l="1"/>
  <c r="J88" i="1747"/>
  <c r="J94" i="1746"/>
  <c r="I94" i="1745"/>
  <c r="J70" s="1"/>
  <c r="H91" i="1734"/>
  <c r="J95" i="1745"/>
  <c r="H91" i="1743"/>
  <c r="H91" i="1742"/>
  <c r="I123" i="1747"/>
  <c r="J94" i="1748"/>
  <c r="J94" i="1747"/>
  <c r="H193" i="1745"/>
  <c r="H194" s="1"/>
  <c r="H195" s="1"/>
  <c r="H199" s="1"/>
  <c r="J88"/>
  <c r="J82"/>
  <c r="J94" s="1"/>
  <c r="I163" i="1744"/>
  <c r="H192"/>
  <c r="I170" i="1743"/>
  <c r="I155"/>
  <c r="I66"/>
  <c r="I95" s="1"/>
  <c r="J71" s="1"/>
  <c r="I297"/>
  <c r="I104"/>
  <c r="I127" s="1"/>
  <c r="J109" s="1"/>
  <c r="J121" s="1"/>
  <c r="J127" s="1"/>
  <c r="H176" i="1740"/>
  <c r="I129" i="1745"/>
  <c r="I117"/>
  <c r="I130" s="1"/>
  <c r="I144" s="1"/>
  <c r="E293" i="1739"/>
  <c r="E300" s="1"/>
  <c r="H148"/>
  <c r="H149" s="1"/>
  <c r="H169"/>
  <c r="I117" i="1741"/>
  <c r="I123" s="1"/>
  <c r="I97" i="1746"/>
  <c r="I140" s="1"/>
  <c r="I79"/>
  <c r="I98" s="1"/>
  <c r="I141" s="1"/>
  <c r="I172" s="1"/>
  <c r="I85"/>
  <c r="I99" s="1"/>
  <c r="I142" s="1"/>
  <c r="H176" i="1735"/>
  <c r="H178" s="1"/>
  <c r="I117" i="1743"/>
  <c r="I123" s="1"/>
  <c r="I117" i="1736"/>
  <c r="I123" s="1"/>
  <c r="I79" i="1737"/>
  <c r="I85"/>
  <c r="I97" i="1749"/>
  <c r="I140" s="1"/>
  <c r="I79"/>
  <c r="I98" s="1"/>
  <c r="I141" s="1"/>
  <c r="I172" s="1"/>
  <c r="I85"/>
  <c r="I99" s="1"/>
  <c r="I142" s="1"/>
  <c r="I67" i="1748"/>
  <c r="H100"/>
  <c r="H143" s="1"/>
  <c r="H145" s="1"/>
  <c r="H131" i="1746"/>
  <c r="I105"/>
  <c r="H171" i="1744"/>
  <c r="H298"/>
  <c r="H300" s="1"/>
  <c r="I85" i="1747"/>
  <c r="I99" s="1"/>
  <c r="I142" s="1"/>
  <c r="I97"/>
  <c r="I140" s="1"/>
  <c r="I79"/>
  <c r="I98" s="1"/>
  <c r="I141" s="1"/>
  <c r="I172" s="1"/>
  <c r="H176" i="1748"/>
  <c r="H178" s="1"/>
  <c r="J105" i="1735"/>
  <c r="H192" i="1748"/>
  <c r="I163"/>
  <c r="I67" i="1734"/>
  <c r="J105" i="1737"/>
  <c r="H176" i="1746"/>
  <c r="H178" s="1"/>
  <c r="H192" i="1742"/>
  <c r="I163"/>
  <c r="I67" i="1743"/>
  <c r="H169"/>
  <c r="E293"/>
  <c r="E300" s="1"/>
  <c r="H148"/>
  <c r="H149" s="1"/>
  <c r="I67" i="1742"/>
  <c r="I117" i="1739"/>
  <c r="I123" s="1"/>
  <c r="I131" i="1747"/>
  <c r="J105"/>
  <c r="I117" i="1738"/>
  <c r="I123" s="1"/>
  <c r="J89" i="1744"/>
  <c r="J83"/>
  <c r="I88"/>
  <c r="I82"/>
  <c r="I160" i="1745"/>
  <c r="I164" s="1"/>
  <c r="H178" i="1749"/>
  <c r="I166" i="1745"/>
  <c r="F297" i="1743"/>
  <c r="H170"/>
  <c r="H66"/>
  <c r="H94" s="1"/>
  <c r="I70" s="1"/>
  <c r="H155"/>
  <c r="H157" s="1"/>
  <c r="I153" s="1"/>
  <c r="H104"/>
  <c r="H126" s="1"/>
  <c r="J155"/>
  <c r="J104"/>
  <c r="J128" s="1"/>
  <c r="L297"/>
  <c r="J170"/>
  <c r="J66"/>
  <c r="J96" s="1"/>
  <c r="I192" i="1747"/>
  <c r="J163"/>
  <c r="H298" i="1740"/>
  <c r="H300" s="1"/>
  <c r="H171"/>
  <c r="H298" i="1747"/>
  <c r="H300" s="1"/>
  <c r="H171"/>
  <c r="H176"/>
  <c r="H173"/>
  <c r="H181" i="1739"/>
  <c r="H183" s="1"/>
  <c r="H177"/>
  <c r="I105" i="1744"/>
  <c r="H131"/>
  <c r="I117" i="1734"/>
  <c r="I123" s="1"/>
  <c r="H298" i="1735"/>
  <c r="H300" s="1"/>
  <c r="H171"/>
  <c r="I129" i="1749"/>
  <c r="I117"/>
  <c r="I130" s="1"/>
  <c r="I144" s="1"/>
  <c r="I160" s="1"/>
  <c r="I164" s="1"/>
  <c r="I166" s="1"/>
  <c r="I85" i="1745"/>
  <c r="I99" s="1"/>
  <c r="I142" s="1"/>
  <c r="I97"/>
  <c r="I140" s="1"/>
  <c r="I79"/>
  <c r="I98" s="1"/>
  <c r="I141" s="1"/>
  <c r="I172" s="1"/>
  <c r="I67" i="1736"/>
  <c r="I67" i="1735"/>
  <c r="I79" i="1740"/>
  <c r="I85"/>
  <c r="H176" i="1744"/>
  <c r="H178" s="1"/>
  <c r="H173"/>
  <c r="I97"/>
  <c r="I140" s="1"/>
  <c r="I79"/>
  <c r="I98" s="1"/>
  <c r="I141" s="1"/>
  <c r="I172" s="1"/>
  <c r="I85"/>
  <c r="I99" s="1"/>
  <c r="I142" s="1"/>
  <c r="H298" i="1741"/>
  <c r="H300" s="1"/>
  <c r="H171"/>
  <c r="H176"/>
  <c r="H178" s="1"/>
  <c r="I85"/>
  <c r="I79"/>
  <c r="H171" i="1748"/>
  <c r="H173" s="1"/>
  <c r="H298"/>
  <c r="H300" s="1"/>
  <c r="H171" i="1736"/>
  <c r="H298"/>
  <c r="H300" s="1"/>
  <c r="H176"/>
  <c r="H178" s="1"/>
  <c r="H177" i="1734"/>
  <c r="H181"/>
  <c r="H183" s="1"/>
  <c r="H169"/>
  <c r="E293"/>
  <c r="E300" s="1"/>
  <c r="H148"/>
  <c r="H149" s="1"/>
  <c r="H193" i="1749"/>
  <c r="H194" s="1"/>
  <c r="H195" s="1"/>
  <c r="H199" s="1"/>
  <c r="H298" i="1746"/>
  <c r="H300" s="1"/>
  <c r="H171"/>
  <c r="H173" s="1"/>
  <c r="H177" i="1743"/>
  <c r="H181"/>
  <c r="H183" s="1"/>
  <c r="H181" i="1742"/>
  <c r="H183" s="1"/>
  <c r="H177"/>
  <c r="E293"/>
  <c r="E300" s="1"/>
  <c r="H148"/>
  <c r="H149" s="1"/>
  <c r="H169"/>
  <c r="J105" i="1740"/>
  <c r="I154" i="1744"/>
  <c r="I157" s="1"/>
  <c r="J153" s="1"/>
  <c r="I157" i="1745"/>
  <c r="J153" s="1"/>
  <c r="H178" i="1740"/>
  <c r="H178" i="1747"/>
  <c r="H91" i="1739"/>
  <c r="I91" i="1738"/>
  <c r="H123" i="1748"/>
  <c r="H123" i="1742"/>
  <c r="I25"/>
  <c r="J25"/>
  <c r="H25"/>
  <c r="I91" i="1740" l="1"/>
  <c r="I94" i="1744"/>
  <c r="J70" s="1"/>
  <c r="J95"/>
  <c r="I123" i="1745"/>
  <c r="I91" i="1744"/>
  <c r="I91" i="1745"/>
  <c r="I123" i="1749"/>
  <c r="I91" i="1737"/>
  <c r="H193" i="1748"/>
  <c r="H194" s="1"/>
  <c r="H195" s="1"/>
  <c r="H199" s="1"/>
  <c r="I192" i="1749"/>
  <c r="J163"/>
  <c r="J105" i="1739"/>
  <c r="J105" i="1741"/>
  <c r="H193" i="1746"/>
  <c r="H194" s="1"/>
  <c r="H195" s="1"/>
  <c r="H199" s="1"/>
  <c r="J67" i="1737"/>
  <c r="J105" i="1736"/>
  <c r="F297" i="1742"/>
  <c r="H170"/>
  <c r="H104"/>
  <c r="H126" s="1"/>
  <c r="I108" s="1"/>
  <c r="I120" s="1"/>
  <c r="I126" s="1"/>
  <c r="J108" s="1"/>
  <c r="J120" s="1"/>
  <c r="J126" s="1"/>
  <c r="H155"/>
  <c r="H157" s="1"/>
  <c r="I153" s="1"/>
  <c r="I154" s="1"/>
  <c r="H66"/>
  <c r="H94" s="1"/>
  <c r="I297"/>
  <c r="I66"/>
  <c r="I95" s="1"/>
  <c r="J71" s="1"/>
  <c r="I170"/>
  <c r="I155"/>
  <c r="I104"/>
  <c r="I127" s="1"/>
  <c r="J109" s="1"/>
  <c r="J121" s="1"/>
  <c r="J127" s="1"/>
  <c r="H131" i="1748"/>
  <c r="I105"/>
  <c r="J154" i="1745"/>
  <c r="H298" i="1742"/>
  <c r="H300" s="1"/>
  <c r="H171"/>
  <c r="H171" i="1734"/>
  <c r="H298"/>
  <c r="H300" s="1"/>
  <c r="H176"/>
  <c r="I181" i="1744"/>
  <c r="I183" s="1"/>
  <c r="I148"/>
  <c r="I149" s="1"/>
  <c r="I169"/>
  <c r="I79" i="1735"/>
  <c r="I85"/>
  <c r="I79" i="1736"/>
  <c r="I85"/>
  <c r="I177" i="1745"/>
  <c r="I181"/>
  <c r="I183" s="1"/>
  <c r="J105" i="1734"/>
  <c r="I129" i="1744"/>
  <c r="I117"/>
  <c r="I130" s="1"/>
  <c r="I144" s="1"/>
  <c r="I177" s="1"/>
  <c r="I108" i="1743"/>
  <c r="H131"/>
  <c r="I82"/>
  <c r="I88"/>
  <c r="J117" i="1747"/>
  <c r="J130" s="1"/>
  <c r="J144" s="1"/>
  <c r="J160" s="1"/>
  <c r="J164" s="1"/>
  <c r="J129"/>
  <c r="J123"/>
  <c r="J131" s="1"/>
  <c r="I85" i="1743"/>
  <c r="I97"/>
  <c r="I140" s="1"/>
  <c r="I79"/>
  <c r="I169" i="1747"/>
  <c r="I148"/>
  <c r="I149" s="1"/>
  <c r="I117" i="1746"/>
  <c r="I130" s="1"/>
  <c r="I144" s="1"/>
  <c r="I160" s="1"/>
  <c r="I164" s="1"/>
  <c r="I166" s="1"/>
  <c r="I129"/>
  <c r="I123"/>
  <c r="H298" i="1739"/>
  <c r="H300" s="1"/>
  <c r="H171"/>
  <c r="I131" i="1745"/>
  <c r="J105"/>
  <c r="I160" i="1744"/>
  <c r="I164" s="1"/>
  <c r="H196" i="1749"/>
  <c r="H178" i="1734"/>
  <c r="I91" i="1747"/>
  <c r="I91" i="1749"/>
  <c r="I91" i="1746"/>
  <c r="J155" i="1742"/>
  <c r="J66"/>
  <c r="J96" s="1"/>
  <c r="L297"/>
  <c r="J170"/>
  <c r="J104"/>
  <c r="J128" s="1"/>
  <c r="H131"/>
  <c r="I105"/>
  <c r="J67" i="1738"/>
  <c r="I67" i="1739"/>
  <c r="J154" i="1744"/>
  <c r="J117" i="1740"/>
  <c r="J123" s="1"/>
  <c r="H176" i="1742"/>
  <c r="H178" s="1"/>
  <c r="H173"/>
  <c r="J67" i="1744"/>
  <c r="I100"/>
  <c r="I143" s="1"/>
  <c r="I145" s="1"/>
  <c r="H193"/>
  <c r="H194" s="1"/>
  <c r="H195" s="1"/>
  <c r="H199" s="1"/>
  <c r="J67" i="1740"/>
  <c r="J67" i="1745"/>
  <c r="I100"/>
  <c r="I143" s="1"/>
  <c r="I145" s="1"/>
  <c r="I148"/>
  <c r="I149" s="1"/>
  <c r="I169"/>
  <c r="J105" i="1749"/>
  <c r="I131"/>
  <c r="H193" i="1747"/>
  <c r="H194" s="1"/>
  <c r="H195" s="1"/>
  <c r="H199" s="1"/>
  <c r="I154" i="1743"/>
  <c r="I157" s="1"/>
  <c r="J153" s="1"/>
  <c r="J154" s="1"/>
  <c r="J157" s="1"/>
  <c r="I192" i="1745"/>
  <c r="J163"/>
  <c r="J88" i="1744"/>
  <c r="J82"/>
  <c r="J105" i="1738"/>
  <c r="I85" i="1742"/>
  <c r="I79"/>
  <c r="H298" i="1743"/>
  <c r="H300" s="1"/>
  <c r="H171"/>
  <c r="H176"/>
  <c r="H178" s="1"/>
  <c r="H173"/>
  <c r="J117" i="1737"/>
  <c r="J123" s="1"/>
  <c r="I79" i="1734"/>
  <c r="I85"/>
  <c r="J117" i="1735"/>
  <c r="I181" i="1747"/>
  <c r="I183" s="1"/>
  <c r="I177"/>
  <c r="I85" i="1748"/>
  <c r="I99" s="1"/>
  <c r="I142" s="1"/>
  <c r="I97"/>
  <c r="I140" s="1"/>
  <c r="I79"/>
  <c r="I98" s="1"/>
  <c r="I141" s="1"/>
  <c r="I172" s="1"/>
  <c r="I177" i="1749"/>
  <c r="I181"/>
  <c r="I183" s="1"/>
  <c r="I148"/>
  <c r="I149" s="1"/>
  <c r="I169"/>
  <c r="J105" i="1743"/>
  <c r="I181" i="1746"/>
  <c r="I183" s="1"/>
  <c r="I177"/>
  <c r="I169"/>
  <c r="I148"/>
  <c r="I149" s="1"/>
  <c r="H176" i="1739"/>
  <c r="H178" s="1"/>
  <c r="J83" i="1743"/>
  <c r="J89"/>
  <c r="I91" i="1741"/>
  <c r="J166" i="1747"/>
  <c r="J192" s="1"/>
  <c r="H100" i="1743"/>
  <c r="H143" s="1"/>
  <c r="H145" s="1"/>
  <c r="I166" i="1744"/>
  <c r="H196" i="1745"/>
  <c r="I25" i="1741"/>
  <c r="J25"/>
  <c r="H25"/>
  <c r="I26" i="1748"/>
  <c r="I98" i="1743" l="1"/>
  <c r="I141" s="1"/>
  <c r="I172" s="1"/>
  <c r="J95"/>
  <c r="I91" i="1734"/>
  <c r="I94" i="1743"/>
  <c r="J70" s="1"/>
  <c r="I123" i="1744"/>
  <c r="H196"/>
  <c r="J94"/>
  <c r="H196" i="1747"/>
  <c r="I91" i="1743"/>
  <c r="J82"/>
  <c r="J88"/>
  <c r="I226" i="1748"/>
  <c r="I211"/>
  <c r="J163" i="1744"/>
  <c r="I192"/>
  <c r="I176" i="1746"/>
  <c r="I178" s="1"/>
  <c r="K298" i="1749"/>
  <c r="K300" s="1"/>
  <c r="I171"/>
  <c r="I181" i="1748"/>
  <c r="I183" s="1"/>
  <c r="J67" i="1734"/>
  <c r="H204" i="1747"/>
  <c r="H205" s="1"/>
  <c r="H197"/>
  <c r="H198" s="1"/>
  <c r="I176" i="1745"/>
  <c r="I178" s="1"/>
  <c r="J79" i="1740"/>
  <c r="J85"/>
  <c r="J91" s="1"/>
  <c r="H197" i="1744"/>
  <c r="H198" s="1"/>
  <c r="H204"/>
  <c r="H205" s="1"/>
  <c r="H193" i="1742"/>
  <c r="H194" s="1"/>
  <c r="H195" s="1"/>
  <c r="H199" s="1"/>
  <c r="J67" i="1746"/>
  <c r="I100"/>
  <c r="I143" s="1"/>
  <c r="I145" s="1"/>
  <c r="I100" i="1749"/>
  <c r="I143" s="1"/>
  <c r="I145" s="1"/>
  <c r="J67"/>
  <c r="H204"/>
  <c r="H205" s="1"/>
  <c r="H197"/>
  <c r="H198" s="1"/>
  <c r="I171" i="1747"/>
  <c r="K298"/>
  <c r="K300" s="1"/>
  <c r="J67" i="1743"/>
  <c r="I100"/>
  <c r="I143" s="1"/>
  <c r="I148"/>
  <c r="I149" s="1"/>
  <c r="I169"/>
  <c r="J105" i="1744"/>
  <c r="I131"/>
  <c r="K298"/>
  <c r="K300" s="1"/>
  <c r="I171"/>
  <c r="J83" i="1742"/>
  <c r="J89"/>
  <c r="I70"/>
  <c r="H100"/>
  <c r="H143" s="1"/>
  <c r="H145" s="1"/>
  <c r="J117" i="1739"/>
  <c r="J123" s="1"/>
  <c r="L297" i="1741"/>
  <c r="J170"/>
  <c r="J104"/>
  <c r="J128" s="1"/>
  <c r="J155"/>
  <c r="J66"/>
  <c r="J96" s="1"/>
  <c r="H155"/>
  <c r="H157" s="1"/>
  <c r="I153" s="1"/>
  <c r="H66"/>
  <c r="H94" s="1"/>
  <c r="F297"/>
  <c r="H170"/>
  <c r="H173" s="1"/>
  <c r="H104"/>
  <c r="H126" s="1"/>
  <c r="I170"/>
  <c r="I155"/>
  <c r="I297"/>
  <c r="I66"/>
  <c r="I95" s="1"/>
  <c r="J71" s="1"/>
  <c r="I104"/>
  <c r="I127" s="1"/>
  <c r="J109" s="1"/>
  <c r="J121" s="1"/>
  <c r="J127" s="1"/>
  <c r="H204" i="1745"/>
  <c r="H205" s="1"/>
  <c r="H197"/>
  <c r="H198" s="1"/>
  <c r="J67" i="1741"/>
  <c r="K298" i="1746"/>
  <c r="K300" s="1"/>
  <c r="I171"/>
  <c r="I173" s="1"/>
  <c r="J117" i="1743"/>
  <c r="J123" s="1"/>
  <c r="I176" i="1749"/>
  <c r="I178" s="1"/>
  <c r="I173"/>
  <c r="I169" i="1748"/>
  <c r="I148"/>
  <c r="I149" s="1"/>
  <c r="H193" i="1743"/>
  <c r="H194" s="1"/>
  <c r="H195" s="1"/>
  <c r="H199" s="1"/>
  <c r="J117" i="1738"/>
  <c r="J123" s="1"/>
  <c r="J117" i="1749"/>
  <c r="J130" s="1"/>
  <c r="J144" s="1"/>
  <c r="J160" s="1"/>
  <c r="J164" s="1"/>
  <c r="J129"/>
  <c r="J123"/>
  <c r="J131" s="1"/>
  <c r="K298" i="1745"/>
  <c r="K300" s="1"/>
  <c r="I171"/>
  <c r="I173" s="1"/>
  <c r="J97"/>
  <c r="J140" s="1"/>
  <c r="J79"/>
  <c r="J98" s="1"/>
  <c r="J141" s="1"/>
  <c r="J172" s="1"/>
  <c r="J85"/>
  <c r="J99" s="1"/>
  <c r="J142" s="1"/>
  <c r="J97" i="1744"/>
  <c r="J140" s="1"/>
  <c r="J79"/>
  <c r="J98" s="1"/>
  <c r="J141" s="1"/>
  <c r="J172" s="1"/>
  <c r="J85"/>
  <c r="J99" s="1"/>
  <c r="J142" s="1"/>
  <c r="I85" i="1739"/>
  <c r="I79"/>
  <c r="J85" i="1738"/>
  <c r="J79"/>
  <c r="I117" i="1742"/>
  <c r="I130" s="1"/>
  <c r="I144" s="1"/>
  <c r="I160" s="1"/>
  <c r="I164" s="1"/>
  <c r="I166" s="1"/>
  <c r="I129"/>
  <c r="I123"/>
  <c r="I100" i="1747"/>
  <c r="I143" s="1"/>
  <c r="I145" s="1"/>
  <c r="J67"/>
  <c r="J129" i="1745"/>
  <c r="J117"/>
  <c r="J130" s="1"/>
  <c r="J144" s="1"/>
  <c r="J160" s="1"/>
  <c r="J164" s="1"/>
  <c r="J166" s="1"/>
  <c r="J192" s="1"/>
  <c r="I131" i="1746"/>
  <c r="J105"/>
  <c r="I192"/>
  <c r="J163"/>
  <c r="I176" i="1747"/>
  <c r="I173"/>
  <c r="I120" i="1743"/>
  <c r="I129"/>
  <c r="J117" i="1734"/>
  <c r="J123" s="1"/>
  <c r="I176" i="1744"/>
  <c r="I178" s="1"/>
  <c r="I173"/>
  <c r="I129" i="1748"/>
  <c r="I117"/>
  <c r="I130" s="1"/>
  <c r="I144" s="1"/>
  <c r="I160" s="1"/>
  <c r="I164" s="1"/>
  <c r="I166" s="1"/>
  <c r="J117" i="1736"/>
  <c r="J123" s="1"/>
  <c r="J79" i="1737"/>
  <c r="J85"/>
  <c r="J117" i="1741"/>
  <c r="J123" s="1"/>
  <c r="I91" i="1748"/>
  <c r="I178" i="1747"/>
  <c r="J123" i="1735"/>
  <c r="I91" i="1742"/>
  <c r="J157" i="1744"/>
  <c r="I99" i="1743"/>
  <c r="I142" s="1"/>
  <c r="I91" i="1736"/>
  <c r="I91" i="1735"/>
  <c r="J157" i="1745"/>
  <c r="I157" i="1742"/>
  <c r="J153" s="1"/>
  <c r="J154" s="1"/>
  <c r="J157" s="1"/>
  <c r="H196" i="1746"/>
  <c r="J166" i="1749"/>
  <c r="J192" s="1"/>
  <c r="H196" i="1748"/>
  <c r="I25" i="1740"/>
  <c r="J25"/>
  <c r="H25"/>
  <c r="F26" i="1748"/>
  <c r="F226" s="1"/>
  <c r="F227" s="1"/>
  <c r="F7" i="49" s="1"/>
  <c r="H26" i="1736"/>
  <c r="H26" i="1739"/>
  <c r="H26" i="1743"/>
  <c r="H26" i="1747"/>
  <c r="G26" i="1736"/>
  <c r="G226" s="1"/>
  <c r="G26" i="1740"/>
  <c r="G226" s="1"/>
  <c r="G26" i="1744"/>
  <c r="G226" s="1"/>
  <c r="G26" i="1748"/>
  <c r="G226" s="1"/>
  <c r="F26" i="1736"/>
  <c r="F226" s="1"/>
  <c r="F227" s="1"/>
  <c r="R7" i="49" s="1"/>
  <c r="F26" i="1740"/>
  <c r="F226" s="1"/>
  <c r="F227" s="1"/>
  <c r="N7" i="49" s="1"/>
  <c r="F26" i="1744"/>
  <c r="F226" s="1"/>
  <c r="F227" s="1"/>
  <c r="J7" i="49" s="1"/>
  <c r="F26" i="1749"/>
  <c r="F226" s="1"/>
  <c r="F227" s="1"/>
  <c r="E7" i="49" s="1"/>
  <c r="H26" i="1734"/>
  <c r="J26" i="1736"/>
  <c r="I26" i="1738"/>
  <c r="J26" i="1740"/>
  <c r="J26" i="1744"/>
  <c r="J26" i="1748"/>
  <c r="H26" i="1738"/>
  <c r="H26" i="1742"/>
  <c r="H26" i="1746"/>
  <c r="G26" i="1735"/>
  <c r="G226" s="1"/>
  <c r="G26" i="1739"/>
  <c r="G226" s="1"/>
  <c r="G26" i="1743"/>
  <c r="G226" s="1"/>
  <c r="G26" i="1747"/>
  <c r="G226" s="1"/>
  <c r="F26" i="1735"/>
  <c r="F226" s="1"/>
  <c r="F227" s="1"/>
  <c r="S7" i="49" s="1"/>
  <c r="F26" i="1739"/>
  <c r="F226" s="1"/>
  <c r="F227" s="1"/>
  <c r="O7" i="49" s="1"/>
  <c r="F26" i="1743"/>
  <c r="F226" s="1"/>
  <c r="F227" s="1"/>
  <c r="K7" i="49" s="1"/>
  <c r="F26" i="1747"/>
  <c r="F226" s="1"/>
  <c r="F227" s="1"/>
  <c r="G7" i="49" s="1"/>
  <c r="I26" i="1735"/>
  <c r="I26" i="1737"/>
  <c r="I26" i="1739"/>
  <c r="I26" i="1741"/>
  <c r="I26" i="1743"/>
  <c r="I26" i="1745"/>
  <c r="I26" i="1747"/>
  <c r="I26" i="1749"/>
  <c r="J26" i="1742"/>
  <c r="J26" i="1746"/>
  <c r="H26" i="1748"/>
  <c r="H26" i="1737"/>
  <c r="H26" i="1741"/>
  <c r="H26" i="1745"/>
  <c r="G26" i="1734"/>
  <c r="G226" s="1"/>
  <c r="G26" i="1738"/>
  <c r="G226" s="1"/>
  <c r="G26" i="1742"/>
  <c r="G226" s="1"/>
  <c r="G26" i="1746"/>
  <c r="G226" s="1"/>
  <c r="F26" i="1734"/>
  <c r="F226" s="1"/>
  <c r="F227" s="1"/>
  <c r="T7" i="49" s="1"/>
  <c r="F26" i="1738"/>
  <c r="F226" s="1"/>
  <c r="F227" s="1"/>
  <c r="P7" i="49" s="1"/>
  <c r="F26" i="1742"/>
  <c r="F226" s="1"/>
  <c r="F227" s="1"/>
  <c r="L7" i="49" s="1"/>
  <c r="F26" i="1746"/>
  <c r="F226" s="1"/>
  <c r="F227" s="1"/>
  <c r="H7" i="49" s="1"/>
  <c r="I26" i="1734"/>
  <c r="J26"/>
  <c r="I26" i="1736"/>
  <c r="J26" i="1738"/>
  <c r="I26" i="1740"/>
  <c r="I26" i="1744"/>
  <c r="H26" i="1735"/>
  <c r="H26" i="1740"/>
  <c r="H26" i="1744"/>
  <c r="H26" i="1749"/>
  <c r="G26" i="1737"/>
  <c r="G226" s="1"/>
  <c r="G26" i="1741"/>
  <c r="G226" s="1"/>
  <c r="G26" i="1745"/>
  <c r="G226" s="1"/>
  <c r="G26" i="1749"/>
  <c r="G226" s="1"/>
  <c r="F26" i="1737"/>
  <c r="F226" s="1"/>
  <c r="F227" s="1"/>
  <c r="Q7" i="49" s="1"/>
  <c r="F26" i="1741"/>
  <c r="F226" s="1"/>
  <c r="F227" s="1"/>
  <c r="M7" i="49" s="1"/>
  <c r="F26" i="1745"/>
  <c r="F226" s="1"/>
  <c r="F227" s="1"/>
  <c r="I7" i="49" s="1"/>
  <c r="J26" i="1735"/>
  <c r="J26" i="1737"/>
  <c r="J26" i="1739"/>
  <c r="J26" i="1741"/>
  <c r="J26" i="1743"/>
  <c r="J26" i="1745"/>
  <c r="J26" i="1747"/>
  <c r="J26" i="1749"/>
  <c r="I26" i="1742"/>
  <c r="I26" i="1746"/>
  <c r="J95" i="1742" l="1"/>
  <c r="J91" i="1738"/>
  <c r="J123" i="1745"/>
  <c r="J131" s="1"/>
  <c r="J94" i="1743"/>
  <c r="J91" i="1737"/>
  <c r="I91" i="1739"/>
  <c r="J91" i="1744"/>
  <c r="J100" s="1"/>
  <c r="J143" s="1"/>
  <c r="J91" i="1745"/>
  <c r="J100" s="1"/>
  <c r="J143" s="1"/>
  <c r="I123" i="1748"/>
  <c r="H196" i="1743"/>
  <c r="I193" i="1745"/>
  <c r="I194" s="1"/>
  <c r="I195" s="1"/>
  <c r="I199" s="1"/>
  <c r="I193" i="1746"/>
  <c r="I194" s="1"/>
  <c r="I195" s="1"/>
  <c r="I199" s="1"/>
  <c r="I226"/>
  <c r="I211"/>
  <c r="J226" i="1745"/>
  <c r="J244"/>
  <c r="J245" s="1"/>
  <c r="D246" s="1"/>
  <c r="J226" i="1741"/>
  <c r="J244"/>
  <c r="J245" s="1"/>
  <c r="D246" s="1"/>
  <c r="J226" i="1737"/>
  <c r="J244"/>
  <c r="J245" s="1"/>
  <c r="D246" s="1"/>
  <c r="G227" i="1745"/>
  <c r="I8" i="49" s="1"/>
  <c r="G227" i="1737"/>
  <c r="Q8" i="49" s="1"/>
  <c r="H226" i="1744"/>
  <c r="E260"/>
  <c r="J20" i="49" s="1"/>
  <c r="E260" i="1735"/>
  <c r="S20" i="49" s="1"/>
  <c r="H226" i="1735"/>
  <c r="I226" i="1740"/>
  <c r="I211"/>
  <c r="I226" i="1736"/>
  <c r="I211"/>
  <c r="I226" i="1734"/>
  <c r="I211"/>
  <c r="G227" i="1742"/>
  <c r="L8" i="49" s="1"/>
  <c r="G227" i="1734"/>
  <c r="T8" i="49" s="1"/>
  <c r="E260" i="1741"/>
  <c r="M20" i="49" s="1"/>
  <c r="H226" i="1741"/>
  <c r="H226" i="1748"/>
  <c r="E260"/>
  <c r="F20" i="49" s="1"/>
  <c r="J226" i="1742"/>
  <c r="J244"/>
  <c r="J245" s="1"/>
  <c r="D246" s="1"/>
  <c r="I226" i="1747"/>
  <c r="I211"/>
  <c r="I226" i="1743"/>
  <c r="I211"/>
  <c r="I226" i="1739"/>
  <c r="I211"/>
  <c r="I226" i="1735"/>
  <c r="I211"/>
  <c r="G227" i="1743"/>
  <c r="K8" i="49" s="1"/>
  <c r="G227" i="1735"/>
  <c r="S8" i="49" s="1"/>
  <c r="H226" i="1742"/>
  <c r="E260"/>
  <c r="L20" i="49" s="1"/>
  <c r="J226" i="1748"/>
  <c r="J244"/>
  <c r="J245" s="1"/>
  <c r="D246" s="1"/>
  <c r="J226" i="1740"/>
  <c r="J244"/>
  <c r="J245" s="1"/>
  <c r="D246" s="1"/>
  <c r="J226" i="1736"/>
  <c r="J244"/>
  <c r="J245" s="1"/>
  <c r="D246" s="1"/>
  <c r="G227" i="1749"/>
  <c r="E8" i="49" s="1"/>
  <c r="G227" i="1740"/>
  <c r="N8" i="49" s="1"/>
  <c r="E260" i="1747"/>
  <c r="G20" i="49" s="1"/>
  <c r="H226" i="1747"/>
  <c r="E260" i="1739"/>
  <c r="O20" i="49" s="1"/>
  <c r="H226" i="1739"/>
  <c r="G227" i="1748"/>
  <c r="F8" i="49" s="1"/>
  <c r="J155" i="1740"/>
  <c r="J66"/>
  <c r="J96" s="1"/>
  <c r="L297"/>
  <c r="J170"/>
  <c r="J104"/>
  <c r="J128" s="1"/>
  <c r="H197" i="1748"/>
  <c r="H198" s="1"/>
  <c r="H204"/>
  <c r="H205" s="1"/>
  <c r="H197" i="1746"/>
  <c r="H198" s="1"/>
  <c r="H204"/>
  <c r="H205" s="1"/>
  <c r="J67" i="1735"/>
  <c r="J67" i="1736"/>
  <c r="I100" i="1748"/>
  <c r="I143" s="1"/>
  <c r="I145" s="1"/>
  <c r="J67"/>
  <c r="I192"/>
  <c r="J163"/>
  <c r="I193" i="1744"/>
  <c r="I194" s="1"/>
  <c r="I195" s="1"/>
  <c r="I199" s="1"/>
  <c r="I126" i="1743"/>
  <c r="I130"/>
  <c r="I144" s="1"/>
  <c r="I160" s="1"/>
  <c r="I164" s="1"/>
  <c r="I166" s="1"/>
  <c r="J97" i="1747"/>
  <c r="J140" s="1"/>
  <c r="J79"/>
  <c r="J98" s="1"/>
  <c r="J141" s="1"/>
  <c r="J172" s="1"/>
  <c r="J85"/>
  <c r="J99" s="1"/>
  <c r="J142" s="1"/>
  <c r="J105" i="1742"/>
  <c r="I131"/>
  <c r="I192"/>
  <c r="J163"/>
  <c r="J181" i="1744"/>
  <c r="J183" s="1"/>
  <c r="J169"/>
  <c r="J148"/>
  <c r="J149" s="1"/>
  <c r="J145"/>
  <c r="J177" i="1745"/>
  <c r="J181"/>
  <c r="J183" s="1"/>
  <c r="J148"/>
  <c r="J149" s="1"/>
  <c r="J169"/>
  <c r="J145"/>
  <c r="I176" i="1748"/>
  <c r="H193" i="1741"/>
  <c r="H194" s="1"/>
  <c r="H195" s="1"/>
  <c r="H199" s="1"/>
  <c r="I70"/>
  <c r="H100"/>
  <c r="H143" s="1"/>
  <c r="H145" s="1"/>
  <c r="I88" i="1742"/>
  <c r="I99" s="1"/>
  <c r="I142" s="1"/>
  <c r="I82"/>
  <c r="I98" s="1"/>
  <c r="I141" s="1"/>
  <c r="I172" s="1"/>
  <c r="I97"/>
  <c r="I140" s="1"/>
  <c r="I176" i="1743"/>
  <c r="J97" i="1749"/>
  <c r="J140" s="1"/>
  <c r="J79"/>
  <c r="J98" s="1"/>
  <c r="J141" s="1"/>
  <c r="J172" s="1"/>
  <c r="J85"/>
  <c r="J99" s="1"/>
  <c r="J142" s="1"/>
  <c r="J211" i="1748"/>
  <c r="J212" s="1"/>
  <c r="I212"/>
  <c r="I145" i="1743"/>
  <c r="H196" i="1742"/>
  <c r="I177" i="1748"/>
  <c r="J226" i="1749"/>
  <c r="J244"/>
  <c r="J245" s="1"/>
  <c r="D246" s="1"/>
  <c r="I226" i="1742"/>
  <c r="I211"/>
  <c r="J226" i="1747"/>
  <c r="J244"/>
  <c r="J245" s="1"/>
  <c r="D246" s="1"/>
  <c r="J226" i="1743"/>
  <c r="J244"/>
  <c r="J245" s="1"/>
  <c r="D246" s="1"/>
  <c r="J226" i="1739"/>
  <c r="J244"/>
  <c r="J245" s="1"/>
  <c r="D246" s="1"/>
  <c r="J226" i="1735"/>
  <c r="J244"/>
  <c r="J245" s="1"/>
  <c r="D246" s="1"/>
  <c r="G227" i="1741"/>
  <c r="M8" i="49" s="1"/>
  <c r="E260" i="1749"/>
  <c r="E20" i="49" s="1"/>
  <c r="H226" i="1749"/>
  <c r="H226" i="1740"/>
  <c r="E260"/>
  <c r="N20" i="49" s="1"/>
  <c r="I226" i="1744"/>
  <c r="I211"/>
  <c r="J226" i="1738"/>
  <c r="J244"/>
  <c r="J245" s="1"/>
  <c r="D246" s="1"/>
  <c r="J226" i="1734"/>
  <c r="J244"/>
  <c r="J245" s="1"/>
  <c r="D246" s="1"/>
  <c r="G227" i="1746"/>
  <c r="H8" i="49" s="1"/>
  <c r="G227" i="1738"/>
  <c r="P8" i="49" s="1"/>
  <c r="H226" i="1745"/>
  <c r="E260"/>
  <c r="I20" i="49" s="1"/>
  <c r="H226" i="1737"/>
  <c r="E260"/>
  <c r="Q20" i="49" s="1"/>
  <c r="J226" i="1746"/>
  <c r="J244"/>
  <c r="J245" s="1"/>
  <c r="D246" s="1"/>
  <c r="I226" i="1749"/>
  <c r="I211"/>
  <c r="I226" i="1745"/>
  <c r="I211"/>
  <c r="I226" i="1741"/>
  <c r="I211"/>
  <c r="I226" i="1737"/>
  <c r="I211"/>
  <c r="G227" i="1747"/>
  <c r="G8" i="49" s="1"/>
  <c r="G227" i="1739"/>
  <c r="O8" i="49" s="1"/>
  <c r="H226" i="1746"/>
  <c r="E260"/>
  <c r="H20" i="49" s="1"/>
  <c r="H226" i="1738"/>
  <c r="E260"/>
  <c r="P20" i="49" s="1"/>
  <c r="J226" i="1744"/>
  <c r="J244"/>
  <c r="J245" s="1"/>
  <c r="D246" s="1"/>
  <c r="I226" i="1738"/>
  <c r="I211"/>
  <c r="E260" i="1734"/>
  <c r="T20" i="49" s="1"/>
  <c r="H226" i="1734"/>
  <c r="G227" i="1744"/>
  <c r="J8" i="49" s="1"/>
  <c r="G227" i="1736"/>
  <c r="R8" i="49" s="1"/>
  <c r="E260" i="1743"/>
  <c r="K20" i="49" s="1"/>
  <c r="H226" i="1743"/>
  <c r="E260" i="1736"/>
  <c r="R20" i="49" s="1"/>
  <c r="H226" i="1736"/>
  <c r="F297" i="1740"/>
  <c r="H170"/>
  <c r="H173" s="1"/>
  <c r="H104"/>
  <c r="H126" s="1"/>
  <c r="H155"/>
  <c r="H157" s="1"/>
  <c r="I153" s="1"/>
  <c r="H66"/>
  <c r="H94" s="1"/>
  <c r="I297"/>
  <c r="I66"/>
  <c r="I95" s="1"/>
  <c r="J71" s="1"/>
  <c r="I170"/>
  <c r="I155"/>
  <c r="I104"/>
  <c r="I127" s="1"/>
  <c r="J109" s="1"/>
  <c r="J121" s="1"/>
  <c r="J127" s="1"/>
  <c r="I181" i="1743"/>
  <c r="I183" s="1"/>
  <c r="J67" i="1742"/>
  <c r="J105" i="1748"/>
  <c r="I131"/>
  <c r="I193" i="1747"/>
  <c r="I194" s="1"/>
  <c r="I195" s="1"/>
  <c r="I199" s="1"/>
  <c r="J129" i="1746"/>
  <c r="J117"/>
  <c r="J130" s="1"/>
  <c r="J144" s="1"/>
  <c r="J160" s="1"/>
  <c r="J164" s="1"/>
  <c r="J166" s="1"/>
  <c r="J192" s="1"/>
  <c r="J67" i="1739"/>
  <c r="H204" i="1743"/>
  <c r="H205" s="1"/>
  <c r="H197"/>
  <c r="H198" s="1"/>
  <c r="I171" i="1748"/>
  <c r="I173" s="1"/>
  <c r="K298"/>
  <c r="K300" s="1"/>
  <c r="I193" i="1749"/>
  <c r="I194" s="1"/>
  <c r="I195" s="1"/>
  <c r="I199" s="1"/>
  <c r="J79" i="1741"/>
  <c r="J85"/>
  <c r="J83"/>
  <c r="J89"/>
  <c r="I108"/>
  <c r="H131"/>
  <c r="I154"/>
  <c r="I157" s="1"/>
  <c r="J153" s="1"/>
  <c r="J117" i="1744"/>
  <c r="J130" s="1"/>
  <c r="J144" s="1"/>
  <c r="J160" s="1"/>
  <c r="J164" s="1"/>
  <c r="J166" s="1"/>
  <c r="J192" s="1"/>
  <c r="J129"/>
  <c r="J123"/>
  <c r="J131" s="1"/>
  <c r="I171" i="1743"/>
  <c r="I173" s="1"/>
  <c r="K298"/>
  <c r="K300" s="1"/>
  <c r="J97"/>
  <c r="J140" s="1"/>
  <c r="J79"/>
  <c r="J98" s="1"/>
  <c r="J141" s="1"/>
  <c r="J172" s="1"/>
  <c r="J85"/>
  <c r="J99" s="1"/>
  <c r="J142" s="1"/>
  <c r="J85" i="1746"/>
  <c r="J99" s="1"/>
  <c r="J142" s="1"/>
  <c r="J97"/>
  <c r="J140" s="1"/>
  <c r="J79"/>
  <c r="J98" s="1"/>
  <c r="J141" s="1"/>
  <c r="J172" s="1"/>
  <c r="J85" i="1734"/>
  <c r="J79"/>
  <c r="N293" i="1745"/>
  <c r="H25" i="1739"/>
  <c r="I25"/>
  <c r="J25"/>
  <c r="I177" i="1743" l="1"/>
  <c r="J95" i="1741"/>
  <c r="I196" i="1747"/>
  <c r="I94" i="1742"/>
  <c r="I178" i="1748"/>
  <c r="I193" s="1"/>
  <c r="I194" s="1"/>
  <c r="I195" s="1"/>
  <c r="I199" s="1"/>
  <c r="J177" i="1746"/>
  <c r="J181"/>
  <c r="J183" s="1"/>
  <c r="J181" i="1743"/>
  <c r="J183" s="1"/>
  <c r="J148"/>
  <c r="J149" s="1"/>
  <c r="J154" i="1741"/>
  <c r="J157"/>
  <c r="I197" i="1747"/>
  <c r="I198" s="1"/>
  <c r="I204"/>
  <c r="I205" s="1"/>
  <c r="I154" i="1740"/>
  <c r="I157"/>
  <c r="J153" s="1"/>
  <c r="H193"/>
  <c r="H194" s="1"/>
  <c r="H195" s="1"/>
  <c r="H199" s="1"/>
  <c r="H227" i="1744"/>
  <c r="J9" i="49" s="1"/>
  <c r="G228" i="1744"/>
  <c r="J211" i="1738"/>
  <c r="J212" s="1"/>
  <c r="I212"/>
  <c r="H227" i="1739"/>
  <c r="O9" i="49" s="1"/>
  <c r="G228" i="1739"/>
  <c r="H227" i="1747"/>
  <c r="G9" i="49" s="1"/>
  <c r="G228" i="1747"/>
  <c r="J211" i="1737"/>
  <c r="J212" s="1"/>
  <c r="I212"/>
  <c r="J211" i="1741"/>
  <c r="J212" s="1"/>
  <c r="I212"/>
  <c r="J211" i="1745"/>
  <c r="J212" s="1"/>
  <c r="I212"/>
  <c r="I212" i="1749"/>
  <c r="D213" s="1"/>
  <c r="J211"/>
  <c r="J212" s="1"/>
  <c r="H227" i="1746"/>
  <c r="H9" i="49" s="1"/>
  <c r="G228" i="1746"/>
  <c r="I212" i="1744"/>
  <c r="J211"/>
  <c r="J212" s="1"/>
  <c r="H227" i="1741"/>
  <c r="M9" i="49" s="1"/>
  <c r="G228" i="1741"/>
  <c r="I212" i="1742"/>
  <c r="D213" s="1"/>
  <c r="J211"/>
  <c r="J212" s="1"/>
  <c r="I148"/>
  <c r="I149" s="1"/>
  <c r="I169"/>
  <c r="N298" i="1745"/>
  <c r="J171"/>
  <c r="J171" i="1744"/>
  <c r="N298"/>
  <c r="I192" i="1743"/>
  <c r="J163"/>
  <c r="J85" i="1748"/>
  <c r="J99" s="1"/>
  <c r="J142" s="1"/>
  <c r="J97"/>
  <c r="J140" s="1"/>
  <c r="J79"/>
  <c r="J98" s="1"/>
  <c r="J141" s="1"/>
  <c r="J172" s="1"/>
  <c r="H227" i="1740"/>
  <c r="N9" i="49" s="1"/>
  <c r="G228" i="1740"/>
  <c r="H227" i="1743"/>
  <c r="K9" i="49" s="1"/>
  <c r="G228" i="1743"/>
  <c r="H227" i="1742"/>
  <c r="L9" i="49" s="1"/>
  <c r="G228" i="1742"/>
  <c r="H227" i="1745"/>
  <c r="I9" i="49" s="1"/>
  <c r="G228" i="1745"/>
  <c r="N293" i="1744"/>
  <c r="N300" s="1"/>
  <c r="D213" i="1748"/>
  <c r="J91" i="1749"/>
  <c r="J100" s="1"/>
  <c r="J143" s="1"/>
  <c r="N293" s="1"/>
  <c r="H196" i="1741"/>
  <c r="J177" i="1744"/>
  <c r="J91" i="1747"/>
  <c r="J100" s="1"/>
  <c r="J143" s="1"/>
  <c r="N293" s="1"/>
  <c r="I196" i="1744"/>
  <c r="I196" i="1746"/>
  <c r="I170" i="1739"/>
  <c r="I155"/>
  <c r="I104"/>
  <c r="I127" s="1"/>
  <c r="J109" s="1"/>
  <c r="J121" s="1"/>
  <c r="J127" s="1"/>
  <c r="I297"/>
  <c r="I66"/>
  <c r="I95" s="1"/>
  <c r="J71" s="1"/>
  <c r="L297"/>
  <c r="J170"/>
  <c r="J104"/>
  <c r="J128" s="1"/>
  <c r="J155"/>
  <c r="J66"/>
  <c r="J96" s="1"/>
  <c r="H155"/>
  <c r="H157" s="1"/>
  <c r="I153" s="1"/>
  <c r="H66"/>
  <c r="H94" s="1"/>
  <c r="F297"/>
  <c r="H170"/>
  <c r="H173" s="1"/>
  <c r="H104"/>
  <c r="H126" s="1"/>
  <c r="J148" i="1746"/>
  <c r="J149" s="1"/>
  <c r="J169"/>
  <c r="I120" i="1741"/>
  <c r="I129"/>
  <c r="J79" i="1739"/>
  <c r="J85"/>
  <c r="J117" i="1748"/>
  <c r="J130" s="1"/>
  <c r="J144" s="1"/>
  <c r="J160" s="1"/>
  <c r="J164" s="1"/>
  <c r="J166" s="1"/>
  <c r="J192" s="1"/>
  <c r="J129"/>
  <c r="J123"/>
  <c r="J131" s="1"/>
  <c r="J85" i="1742"/>
  <c r="J79"/>
  <c r="J91" s="1"/>
  <c r="J89" i="1740"/>
  <c r="J83"/>
  <c r="I70"/>
  <c r="H100"/>
  <c r="H143" s="1"/>
  <c r="H145" s="1"/>
  <c r="I108"/>
  <c r="H131"/>
  <c r="H227" i="1736"/>
  <c r="R9" i="49" s="1"/>
  <c r="G228" i="1736"/>
  <c r="H227" i="1738"/>
  <c r="P9" i="49" s="1"/>
  <c r="G228" i="1738"/>
  <c r="H197" i="1742"/>
  <c r="H198" s="1"/>
  <c r="H204"/>
  <c r="H205" s="1"/>
  <c r="J181" i="1749"/>
  <c r="J183" s="1"/>
  <c r="J177"/>
  <c r="J169"/>
  <c r="J148"/>
  <c r="J149" s="1"/>
  <c r="J145"/>
  <c r="I177" i="1742"/>
  <c r="I181"/>
  <c r="I183" s="1"/>
  <c r="I82" i="1741"/>
  <c r="I98" s="1"/>
  <c r="I141" s="1"/>
  <c r="I172" s="1"/>
  <c r="I88"/>
  <c r="I99" s="1"/>
  <c r="I142" s="1"/>
  <c r="I97"/>
  <c r="I140" s="1"/>
  <c r="J176" i="1745"/>
  <c r="J178" s="1"/>
  <c r="J173"/>
  <c r="J176" i="1744"/>
  <c r="J173"/>
  <c r="J117" i="1742"/>
  <c r="J130" s="1"/>
  <c r="J144" s="1"/>
  <c r="J160" s="1"/>
  <c r="J164" s="1"/>
  <c r="J166" s="1"/>
  <c r="J192" s="1"/>
  <c r="J129"/>
  <c r="J123"/>
  <c r="J131" s="1"/>
  <c r="J181" i="1747"/>
  <c r="J183" s="1"/>
  <c r="J177"/>
  <c r="J169"/>
  <c r="J148"/>
  <c r="J149" s="1"/>
  <c r="J145"/>
  <c r="J108" i="1743"/>
  <c r="I131"/>
  <c r="J85" i="1736"/>
  <c r="J79"/>
  <c r="J85" i="1735"/>
  <c r="J79"/>
  <c r="H227" i="1748"/>
  <c r="F9" i="49" s="1"/>
  <c r="G228" i="1748"/>
  <c r="H227" i="1749"/>
  <c r="E9" i="49" s="1"/>
  <c r="G228" i="1749"/>
  <c r="H227" i="1735"/>
  <c r="S9" i="49" s="1"/>
  <c r="G228" i="1735"/>
  <c r="J211"/>
  <c r="J212" s="1"/>
  <c r="I212"/>
  <c r="J211" i="1739"/>
  <c r="J212" s="1"/>
  <c r="I212"/>
  <c r="J211" i="1743"/>
  <c r="J212" s="1"/>
  <c r="I212"/>
  <c r="I212" i="1747"/>
  <c r="J211"/>
  <c r="J212" s="1"/>
  <c r="H227" i="1734"/>
  <c r="T9" i="49" s="1"/>
  <c r="G228" i="1734"/>
  <c r="J211"/>
  <c r="J212" s="1"/>
  <c r="I212"/>
  <c r="I212" i="1736"/>
  <c r="J211"/>
  <c r="J212" s="1"/>
  <c r="I212" i="1740"/>
  <c r="J211"/>
  <c r="J212" s="1"/>
  <c r="H227" i="1737"/>
  <c r="Q9" i="49" s="1"/>
  <c r="G228" i="1737"/>
  <c r="I212" i="1746"/>
  <c r="J211"/>
  <c r="J212" s="1"/>
  <c r="N300" i="1745"/>
  <c r="J91" i="1734"/>
  <c r="J91" i="1746"/>
  <c r="J100" s="1"/>
  <c r="J143" s="1"/>
  <c r="N293" s="1"/>
  <c r="J91" i="1743"/>
  <c r="J100" s="1"/>
  <c r="J143" s="1"/>
  <c r="J91" i="1741"/>
  <c r="I196" i="1749"/>
  <c r="J123" i="1746"/>
  <c r="J131" s="1"/>
  <c r="I178" i="1743"/>
  <c r="I193" s="1"/>
  <c r="I194" s="1"/>
  <c r="I195" s="1"/>
  <c r="I196" i="1745"/>
  <c r="J25" i="1738"/>
  <c r="H25"/>
  <c r="I25"/>
  <c r="F24" i="1743"/>
  <c r="F188" s="1"/>
  <c r="F189" s="1"/>
  <c r="F24" i="1747"/>
  <c r="F188" s="1"/>
  <c r="F189" s="1"/>
  <c r="F24" i="1736"/>
  <c r="F188" s="1"/>
  <c r="F189" s="1"/>
  <c r="F24" i="1744"/>
  <c r="F188" s="1"/>
  <c r="F189" s="1"/>
  <c r="F24" i="1739"/>
  <c r="F188" s="1"/>
  <c r="F189" s="1"/>
  <c r="F24" i="1734"/>
  <c r="F188" s="1"/>
  <c r="F189" s="1"/>
  <c r="F24" i="1742"/>
  <c r="F188" s="1"/>
  <c r="F189" s="1"/>
  <c r="F24" i="1741"/>
  <c r="F188" s="1"/>
  <c r="F189" s="1"/>
  <c r="F24" i="1749"/>
  <c r="F188" s="1"/>
  <c r="F189" s="1"/>
  <c r="F24" i="1745"/>
  <c r="F188" s="1"/>
  <c r="F189" s="1"/>
  <c r="F24" i="1737"/>
  <c r="F188" s="1"/>
  <c r="F189" s="1"/>
  <c r="F24" i="1748"/>
  <c r="F188" s="1"/>
  <c r="F189" s="1"/>
  <c r="F24" i="1740"/>
  <c r="F188" s="1"/>
  <c r="F189" s="1"/>
  <c r="F24" i="1738"/>
  <c r="F188" s="1"/>
  <c r="F189" s="1"/>
  <c r="F24" i="1746"/>
  <c r="F188" s="1"/>
  <c r="F189" s="1"/>
  <c r="H196" i="1740" l="1"/>
  <c r="D213"/>
  <c r="D213" i="1736"/>
  <c r="D213" i="1743"/>
  <c r="D213" i="1739"/>
  <c r="D213" i="1735"/>
  <c r="I94" i="1741"/>
  <c r="J95" i="1740"/>
  <c r="J70" i="1742"/>
  <c r="I100"/>
  <c r="I143" s="1"/>
  <c r="I145" s="1"/>
  <c r="I199" i="1743"/>
  <c r="I196"/>
  <c r="F193" i="1738"/>
  <c r="F194" s="1"/>
  <c r="F195" s="1"/>
  <c r="F199" s="1"/>
  <c r="F193" i="1745"/>
  <c r="F194" s="1"/>
  <c r="F195" s="1"/>
  <c r="F199" s="1"/>
  <c r="F193" i="1734"/>
  <c r="F194" s="1"/>
  <c r="F195" s="1"/>
  <c r="F199" s="1"/>
  <c r="F193" i="1744"/>
  <c r="F194" s="1"/>
  <c r="F195" s="1"/>
  <c r="F199" s="1"/>
  <c r="F193" i="1747"/>
  <c r="F194" s="1"/>
  <c r="F195" s="1"/>
  <c r="F199" s="1"/>
  <c r="I297" i="1738"/>
  <c r="I104"/>
  <c r="I127" s="1"/>
  <c r="J109" s="1"/>
  <c r="J121" s="1"/>
  <c r="J127" s="1"/>
  <c r="I170"/>
  <c r="I155"/>
  <c r="I66"/>
  <c r="I95" s="1"/>
  <c r="J71" s="1"/>
  <c r="L297"/>
  <c r="J170"/>
  <c r="J104"/>
  <c r="J128" s="1"/>
  <c r="J155"/>
  <c r="J66"/>
  <c r="J96" s="1"/>
  <c r="I197" i="1749"/>
  <c r="I198" s="1"/>
  <c r="I204"/>
  <c r="I205" s="1"/>
  <c r="D229" i="1734"/>
  <c r="I227"/>
  <c r="T10" i="49" s="1"/>
  <c r="H228" i="1734"/>
  <c r="D229" i="1749"/>
  <c r="I227"/>
  <c r="E10" i="49" s="1"/>
  <c r="H228" i="1749"/>
  <c r="J120" i="1743"/>
  <c r="J129"/>
  <c r="N298" i="1747"/>
  <c r="J171"/>
  <c r="J70" i="1741"/>
  <c r="I100"/>
  <c r="I143" s="1"/>
  <c r="I145" s="1"/>
  <c r="J176" i="1749"/>
  <c r="J178" s="1"/>
  <c r="D229" i="1738"/>
  <c r="I227"/>
  <c r="P10" i="49" s="1"/>
  <c r="H228" i="1738"/>
  <c r="I120" i="1740"/>
  <c r="I129"/>
  <c r="I82"/>
  <c r="I98" s="1"/>
  <c r="I141" s="1"/>
  <c r="I172" s="1"/>
  <c r="I88"/>
  <c r="I99" s="1"/>
  <c r="I142" s="1"/>
  <c r="I97"/>
  <c r="I140" s="1"/>
  <c r="I126" i="1741"/>
  <c r="I130"/>
  <c r="I144" s="1"/>
  <c r="I160" s="1"/>
  <c r="I164" s="1"/>
  <c r="I166" s="1"/>
  <c r="J176" i="1746"/>
  <c r="I108" i="1739"/>
  <c r="H131"/>
  <c r="I154"/>
  <c r="I157" s="1"/>
  <c r="J153" s="1"/>
  <c r="J83"/>
  <c r="J89"/>
  <c r="I227" i="1745"/>
  <c r="I10" i="49" s="1"/>
  <c r="D229" i="1745"/>
  <c r="H228"/>
  <c r="I227" i="1743"/>
  <c r="K10" i="49" s="1"/>
  <c r="D229" i="1743"/>
  <c r="H228"/>
  <c r="J177" i="1748"/>
  <c r="J181"/>
  <c r="J183" s="1"/>
  <c r="K298" i="1742"/>
  <c r="K300" s="1"/>
  <c r="I171"/>
  <c r="I227" i="1741"/>
  <c r="M10" i="49" s="1"/>
  <c r="D229" i="1741"/>
  <c r="H228"/>
  <c r="I227" i="1747"/>
  <c r="G10" i="49" s="1"/>
  <c r="D229" i="1747"/>
  <c r="H228"/>
  <c r="D229" i="1744"/>
  <c r="I227"/>
  <c r="J10" i="49" s="1"/>
  <c r="H228" i="1744"/>
  <c r="H204" i="1740"/>
  <c r="H205" s="1"/>
  <c r="H197"/>
  <c r="H198" s="1"/>
  <c r="J154"/>
  <c r="J157" s="1"/>
  <c r="J171" i="1743"/>
  <c r="N298"/>
  <c r="N300" i="1747"/>
  <c r="J178" i="1744"/>
  <c r="J145" i="1743"/>
  <c r="J178" i="1746"/>
  <c r="F193" i="1748"/>
  <c r="F194" s="1"/>
  <c r="F195" s="1"/>
  <c r="F199" s="1"/>
  <c r="F193" i="1741"/>
  <c r="F194" s="1"/>
  <c r="F195" s="1"/>
  <c r="F199" s="1"/>
  <c r="F193" i="1746"/>
  <c r="F194" s="1"/>
  <c r="F195" s="1"/>
  <c r="F199" s="1"/>
  <c r="F193" i="1740"/>
  <c r="F194" s="1"/>
  <c r="F195" s="1"/>
  <c r="F199" s="1"/>
  <c r="F193" i="1737"/>
  <c r="F194" s="1"/>
  <c r="F195" s="1"/>
  <c r="F199" s="1"/>
  <c r="F193" i="1749"/>
  <c r="F194" s="1"/>
  <c r="F195" s="1"/>
  <c r="F199" s="1"/>
  <c r="F193" i="1742"/>
  <c r="F194" s="1"/>
  <c r="F195" s="1"/>
  <c r="F199" s="1"/>
  <c r="F193" i="1739"/>
  <c r="F194" s="1"/>
  <c r="F195" s="1"/>
  <c r="F199" s="1"/>
  <c r="F193" i="1736"/>
  <c r="F194" s="1"/>
  <c r="F195" s="1"/>
  <c r="F199" s="1"/>
  <c r="F193" i="1743"/>
  <c r="F194" s="1"/>
  <c r="F195" s="1"/>
  <c r="F199" s="1"/>
  <c r="H155" i="1738"/>
  <c r="H157" s="1"/>
  <c r="I153" s="1"/>
  <c r="H66"/>
  <c r="H94" s="1"/>
  <c r="F297"/>
  <c r="H170"/>
  <c r="H173" s="1"/>
  <c r="H104"/>
  <c r="H126" s="1"/>
  <c r="I197" i="1745"/>
  <c r="I198" s="1"/>
  <c r="I204"/>
  <c r="I205" s="1"/>
  <c r="D229" i="1737"/>
  <c r="I227"/>
  <c r="Q10" i="49" s="1"/>
  <c r="H228" i="1737"/>
  <c r="D229" i="1735"/>
  <c r="I227"/>
  <c r="S10" i="49" s="1"/>
  <c r="H228" i="1735"/>
  <c r="I227" i="1748"/>
  <c r="F10" i="49" s="1"/>
  <c r="D229" i="1748"/>
  <c r="H228"/>
  <c r="J176" i="1747"/>
  <c r="J178" s="1"/>
  <c r="J173"/>
  <c r="J193" i="1744"/>
  <c r="J194" s="1"/>
  <c r="J195" s="1"/>
  <c r="J199" s="1"/>
  <c r="J193" i="1745"/>
  <c r="J194" s="1"/>
  <c r="J195" s="1"/>
  <c r="J199" s="1"/>
  <c r="I148" i="1741"/>
  <c r="I149" s="1"/>
  <c r="I169"/>
  <c r="I177"/>
  <c r="I181"/>
  <c r="I183" s="1"/>
  <c r="J171" i="1749"/>
  <c r="J173" s="1"/>
  <c r="N298"/>
  <c r="N300" s="1"/>
  <c r="D229" i="1736"/>
  <c r="I227"/>
  <c r="R10" i="49" s="1"/>
  <c r="H228" i="1736"/>
  <c r="N298" i="1746"/>
  <c r="N300" s="1"/>
  <c r="J171"/>
  <c r="J173" s="1"/>
  <c r="H193" i="1739"/>
  <c r="H194" s="1"/>
  <c r="H195" s="1"/>
  <c r="H199" s="1"/>
  <c r="I70"/>
  <c r="H100"/>
  <c r="H143" s="1"/>
  <c r="H145" s="1"/>
  <c r="I197" i="1746"/>
  <c r="I198" s="1"/>
  <c r="I204"/>
  <c r="I205" s="1"/>
  <c r="I197" i="1744"/>
  <c r="I198" s="1"/>
  <c r="I204"/>
  <c r="I205" s="1"/>
  <c r="H204" i="1741"/>
  <c r="H205" s="1"/>
  <c r="H197"/>
  <c r="H198" s="1"/>
  <c r="D229" i="1742"/>
  <c r="I227"/>
  <c r="L10" i="49" s="1"/>
  <c r="H228" i="1742"/>
  <c r="D229" i="1740"/>
  <c r="I227"/>
  <c r="N10" i="49" s="1"/>
  <c r="H228" i="1740"/>
  <c r="J148" i="1748"/>
  <c r="J149" s="1"/>
  <c r="J169"/>
  <c r="I176" i="1742"/>
  <c r="I178" s="1"/>
  <c r="I173"/>
  <c r="D229" i="1746"/>
  <c r="I227"/>
  <c r="H10" i="49" s="1"/>
  <c r="H228" i="1746"/>
  <c r="D229" i="1739"/>
  <c r="I227"/>
  <c r="O10" i="49" s="1"/>
  <c r="H228" i="1739"/>
  <c r="D213" i="1746"/>
  <c r="D213" i="1734"/>
  <c r="D213" i="1747"/>
  <c r="J91" i="1735"/>
  <c r="J91" i="1736"/>
  <c r="J91" i="1739"/>
  <c r="J145" i="1746"/>
  <c r="J91" i="1748"/>
  <c r="J100" s="1"/>
  <c r="J143" s="1"/>
  <c r="N293" s="1"/>
  <c r="D213" i="1744"/>
  <c r="D213" i="1745"/>
  <c r="D213" i="1741"/>
  <c r="D213" i="1737"/>
  <c r="D213" i="1738"/>
  <c r="J169" i="1743"/>
  <c r="I196" i="1748"/>
  <c r="G24" i="1744"/>
  <c r="G188" s="1"/>
  <c r="G189" s="1"/>
  <c r="G24" i="1739"/>
  <c r="G188" s="1"/>
  <c r="G189" s="1"/>
  <c r="G24" i="1738"/>
  <c r="G188" s="1"/>
  <c r="G189" s="1"/>
  <c r="G24" i="1737"/>
  <c r="G188" s="1"/>
  <c r="G189" s="1"/>
  <c r="G24" i="1745"/>
  <c r="G188" s="1"/>
  <c r="G189" s="1"/>
  <c r="H25" i="1737"/>
  <c r="I25"/>
  <c r="J25"/>
  <c r="G24" i="1749"/>
  <c r="G188" s="1"/>
  <c r="G189" s="1"/>
  <c r="G24" i="1746"/>
  <c r="G188" s="1"/>
  <c r="G189" s="1"/>
  <c r="G24" i="1734"/>
  <c r="G188" s="1"/>
  <c r="G189" s="1"/>
  <c r="G24" i="1742"/>
  <c r="G188" s="1"/>
  <c r="G189" s="1"/>
  <c r="G24" i="1741"/>
  <c r="G188" s="1"/>
  <c r="G189" s="1"/>
  <c r="G24" i="1740"/>
  <c r="G188" s="1"/>
  <c r="G189" s="1"/>
  <c r="G24" i="1736"/>
  <c r="G188" s="1"/>
  <c r="G189" s="1"/>
  <c r="G24" i="1748"/>
  <c r="G188" s="1"/>
  <c r="G189" s="1"/>
  <c r="G24" i="1747"/>
  <c r="G188" s="1"/>
  <c r="G189" s="1"/>
  <c r="G24" i="1743"/>
  <c r="G188" s="1"/>
  <c r="G189" s="1"/>
  <c r="J95" i="1739" l="1"/>
  <c r="F196" i="1736"/>
  <c r="F197" s="1"/>
  <c r="F198" s="1"/>
  <c r="J88" i="1742"/>
  <c r="J97"/>
  <c r="J140" s="1"/>
  <c r="J82"/>
  <c r="J98" s="1"/>
  <c r="J141" s="1"/>
  <c r="J172" s="1"/>
  <c r="F196"/>
  <c r="F197" s="1"/>
  <c r="F198" s="1"/>
  <c r="F196" i="1741"/>
  <c r="F197" s="1"/>
  <c r="F198" s="1"/>
  <c r="J145" i="1748"/>
  <c r="F196" i="1734"/>
  <c r="F197" s="1"/>
  <c r="F198" s="1"/>
  <c r="J193" i="1749"/>
  <c r="J194" s="1"/>
  <c r="J195" s="1"/>
  <c r="J199" s="1"/>
  <c r="J193" i="1746"/>
  <c r="J194" s="1"/>
  <c r="J195" s="1"/>
  <c r="J199" s="1"/>
  <c r="J154" i="1739"/>
  <c r="G193" i="1743"/>
  <c r="G194" s="1"/>
  <c r="G195" s="1"/>
  <c r="G199" s="1"/>
  <c r="G193" i="1740"/>
  <c r="G194" s="1"/>
  <c r="G195" s="1"/>
  <c r="G199" s="1"/>
  <c r="G193" i="1746"/>
  <c r="G194" s="1"/>
  <c r="G195" s="1"/>
  <c r="G199" s="1"/>
  <c r="J155" i="1737"/>
  <c r="J66"/>
  <c r="J96" s="1"/>
  <c r="L297"/>
  <c r="J170"/>
  <c r="J104"/>
  <c r="J128" s="1"/>
  <c r="G193"/>
  <c r="G194" s="1"/>
  <c r="G195" s="1"/>
  <c r="G199" s="1"/>
  <c r="J176" i="1743"/>
  <c r="J173"/>
  <c r="G193" i="1747"/>
  <c r="G194" s="1"/>
  <c r="G195" s="1"/>
  <c r="G199" s="1"/>
  <c r="G193" i="1736"/>
  <c r="G194" s="1"/>
  <c r="G195" s="1"/>
  <c r="G199" s="1"/>
  <c r="G193" i="1741"/>
  <c r="G194" s="1"/>
  <c r="G195" s="1"/>
  <c r="G199" s="1"/>
  <c r="G193" i="1734"/>
  <c r="G194" s="1"/>
  <c r="G195" s="1"/>
  <c r="G199" s="1"/>
  <c r="G193" i="1749"/>
  <c r="G194" s="1"/>
  <c r="G195" s="1"/>
  <c r="G199" s="1"/>
  <c r="I297" i="1737"/>
  <c r="I66"/>
  <c r="I95" s="1"/>
  <c r="J71" s="1"/>
  <c r="I170"/>
  <c r="I155"/>
  <c r="I104"/>
  <c r="I127" s="1"/>
  <c r="J109" s="1"/>
  <c r="J121" s="1"/>
  <c r="J127" s="1"/>
  <c r="G193" i="1745"/>
  <c r="G194" s="1"/>
  <c r="G195" s="1"/>
  <c r="G199" s="1"/>
  <c r="G193" i="1738"/>
  <c r="G194" s="1"/>
  <c r="G195" s="1"/>
  <c r="G199" s="1"/>
  <c r="G193" i="1744"/>
  <c r="G194" s="1"/>
  <c r="G195" s="1"/>
  <c r="G199" s="1"/>
  <c r="I197" i="1748"/>
  <c r="I198" s="1"/>
  <c r="I204"/>
  <c r="I205" s="1"/>
  <c r="D281" i="1739"/>
  <c r="J227"/>
  <c r="O11" i="49" s="1"/>
  <c r="I228" i="1739"/>
  <c r="J227" i="1746"/>
  <c r="H11" i="49" s="1"/>
  <c r="D281" i="1746"/>
  <c r="I228"/>
  <c r="J176" i="1748"/>
  <c r="H266" i="1740"/>
  <c r="H266" i="1742"/>
  <c r="H266" i="1736"/>
  <c r="I176" i="1741"/>
  <c r="I178" s="1"/>
  <c r="J193" i="1747"/>
  <c r="J194" s="1"/>
  <c r="J195" s="1"/>
  <c r="J199" s="1"/>
  <c r="H266" i="1748"/>
  <c r="J227"/>
  <c r="F11" i="49" s="1"/>
  <c r="D281" i="1748"/>
  <c r="I228"/>
  <c r="H266" i="1735"/>
  <c r="H266" i="1737"/>
  <c r="I108" i="1738"/>
  <c r="H131"/>
  <c r="I154"/>
  <c r="J227" i="1744"/>
  <c r="J11" i="49" s="1"/>
  <c r="D281" i="1744"/>
  <c r="I228"/>
  <c r="I192" i="1741"/>
  <c r="J163"/>
  <c r="I126" i="1740"/>
  <c r="I130"/>
  <c r="I144" s="1"/>
  <c r="I160" s="1"/>
  <c r="I164" s="1"/>
  <c r="I166" s="1"/>
  <c r="D281" i="1738"/>
  <c r="J227"/>
  <c r="P11" i="49" s="1"/>
  <c r="I228" i="1738"/>
  <c r="J82" i="1741"/>
  <c r="J98" s="1"/>
  <c r="J141" s="1"/>
  <c r="J172" s="1"/>
  <c r="J88"/>
  <c r="J99" s="1"/>
  <c r="J142" s="1"/>
  <c r="J97"/>
  <c r="J140" s="1"/>
  <c r="J126" i="1743"/>
  <c r="J131" s="1"/>
  <c r="J130"/>
  <c r="J144" s="1"/>
  <c r="J227" i="1749"/>
  <c r="E11" i="49" s="1"/>
  <c r="D281" i="1749"/>
  <c r="I228"/>
  <c r="D281" i="1734"/>
  <c r="J227"/>
  <c r="T11" i="49" s="1"/>
  <c r="I228" i="1734"/>
  <c r="J83" i="1738"/>
  <c r="J89"/>
  <c r="H196" i="1739"/>
  <c r="J196" i="1745"/>
  <c r="J196" i="1744"/>
  <c r="F196" i="1743"/>
  <c r="F197" s="1"/>
  <c r="F198" s="1"/>
  <c r="F196" i="1739"/>
  <c r="F197" s="1"/>
  <c r="F198" s="1"/>
  <c r="F196" i="1749"/>
  <c r="F197" s="1"/>
  <c r="F198" s="1"/>
  <c r="F196" i="1737"/>
  <c r="F197" s="1"/>
  <c r="F198" s="1"/>
  <c r="F196" i="1740"/>
  <c r="F197" s="1"/>
  <c r="F198" s="1"/>
  <c r="F196" i="1746"/>
  <c r="F197" s="1"/>
  <c r="F198" s="1"/>
  <c r="F196" i="1748"/>
  <c r="F197" s="1"/>
  <c r="F198" s="1"/>
  <c r="J178"/>
  <c r="I94" i="1740"/>
  <c r="F196" i="1747"/>
  <c r="F197" s="1"/>
  <c r="F198" s="1"/>
  <c r="F196" i="1744"/>
  <c r="F197" s="1"/>
  <c r="F198" s="1"/>
  <c r="F196" i="1745"/>
  <c r="F197" s="1"/>
  <c r="F198" s="1"/>
  <c r="F196" i="1738"/>
  <c r="F197" s="1"/>
  <c r="F198" s="1"/>
  <c r="G193" i="1748"/>
  <c r="G194" s="1"/>
  <c r="G195" s="1"/>
  <c r="G199" s="1"/>
  <c r="G193" i="1742"/>
  <c r="G194" s="1"/>
  <c r="G195" s="1"/>
  <c r="G199" s="1"/>
  <c r="F297" i="1737"/>
  <c r="H170"/>
  <c r="H173" s="1"/>
  <c r="H104"/>
  <c r="H126" s="1"/>
  <c r="H155"/>
  <c r="H157" s="1"/>
  <c r="I153" s="1"/>
  <c r="H66"/>
  <c r="H94" s="1"/>
  <c r="G193" i="1739"/>
  <c r="G194" s="1"/>
  <c r="G195" s="1"/>
  <c r="G199" s="1"/>
  <c r="H266"/>
  <c r="H266" i="1746"/>
  <c r="I193" i="1742"/>
  <c r="I194" s="1"/>
  <c r="I195" s="1"/>
  <c r="I199" s="1"/>
  <c r="N298" i="1748"/>
  <c r="N300" s="1"/>
  <c r="J171"/>
  <c r="J173" s="1"/>
  <c r="D281" i="1740"/>
  <c r="J227"/>
  <c r="N11" i="49" s="1"/>
  <c r="I228" i="1740"/>
  <c r="D281" i="1742"/>
  <c r="J227"/>
  <c r="L11" i="49" s="1"/>
  <c r="I228" i="1742"/>
  <c r="I82" i="1739"/>
  <c r="I98" s="1"/>
  <c r="I141" s="1"/>
  <c r="I172" s="1"/>
  <c r="I88"/>
  <c r="I99" s="1"/>
  <c r="I142" s="1"/>
  <c r="I97"/>
  <c r="I140" s="1"/>
  <c r="J227" i="1736"/>
  <c r="R11" i="49" s="1"/>
  <c r="D281" i="1736"/>
  <c r="I228"/>
  <c r="I171" i="1741"/>
  <c r="I173" s="1"/>
  <c r="K298"/>
  <c r="K300" s="1"/>
  <c r="J227" i="1735"/>
  <c r="S11" i="49" s="1"/>
  <c r="D281" i="1735"/>
  <c r="I228"/>
  <c r="D281" i="1737"/>
  <c r="J227"/>
  <c r="Q11" i="49" s="1"/>
  <c r="I228" i="1737"/>
  <c r="H193" i="1738"/>
  <c r="H194" s="1"/>
  <c r="H195" s="1"/>
  <c r="H199" s="1"/>
  <c r="I70"/>
  <c r="H100"/>
  <c r="H143" s="1"/>
  <c r="H145" s="1"/>
  <c r="H266" i="1744"/>
  <c r="H266" i="1747"/>
  <c r="J227"/>
  <c r="G11" i="49" s="1"/>
  <c r="D281" i="1747"/>
  <c r="I228"/>
  <c r="H266" i="1741"/>
  <c r="D281"/>
  <c r="J227"/>
  <c r="M11" i="49" s="1"/>
  <c r="I228" i="1741"/>
  <c r="H266" i="1743"/>
  <c r="J227"/>
  <c r="K11" i="49" s="1"/>
  <c r="D281" i="1743"/>
  <c r="I228"/>
  <c r="H266" i="1745"/>
  <c r="D281"/>
  <c r="J227"/>
  <c r="I11" i="49" s="1"/>
  <c r="I228" i="1745"/>
  <c r="I120" i="1739"/>
  <c r="I129"/>
  <c r="J108" i="1741"/>
  <c r="I131"/>
  <c r="I148" i="1740"/>
  <c r="I149" s="1"/>
  <c r="I169"/>
  <c r="I177"/>
  <c r="I181"/>
  <c r="I183" s="1"/>
  <c r="H266" i="1738"/>
  <c r="H266" i="1749"/>
  <c r="H266" i="1734"/>
  <c r="I197" i="1743"/>
  <c r="I198" s="1"/>
  <c r="I204"/>
  <c r="I205" s="1"/>
  <c r="I25" i="1736"/>
  <c r="J25"/>
  <c r="H25"/>
  <c r="H196" i="1738" l="1"/>
  <c r="J95"/>
  <c r="G196" i="1736"/>
  <c r="G197" s="1"/>
  <c r="G198" s="1"/>
  <c r="J94" i="1742"/>
  <c r="J100" s="1"/>
  <c r="J143" s="1"/>
  <c r="N293" s="1"/>
  <c r="J99"/>
  <c r="J142" s="1"/>
  <c r="J148"/>
  <c r="J149" s="1"/>
  <c r="J169"/>
  <c r="J176" s="1"/>
  <c r="I196"/>
  <c r="G196" i="1739"/>
  <c r="G197" s="1"/>
  <c r="G198" s="1"/>
  <c r="J94" i="1741"/>
  <c r="J100" s="1"/>
  <c r="J143" s="1"/>
  <c r="G196" i="1749"/>
  <c r="G197" s="1"/>
  <c r="G198" s="1"/>
  <c r="G196" i="1734"/>
  <c r="G197" s="1"/>
  <c r="G198" s="1"/>
  <c r="G196" i="1737"/>
  <c r="G197" s="1"/>
  <c r="G198" s="1"/>
  <c r="I193" i="1741"/>
  <c r="I194" s="1"/>
  <c r="I195" s="1"/>
  <c r="I199" s="1"/>
  <c r="J193" i="1748"/>
  <c r="J194" s="1"/>
  <c r="J195" s="1"/>
  <c r="J199" s="1"/>
  <c r="L297" i="1736"/>
  <c r="J170"/>
  <c r="J66"/>
  <c r="J96" s="1"/>
  <c r="J155"/>
  <c r="J104"/>
  <c r="J128" s="1"/>
  <c r="H268" i="1734"/>
  <c r="I266"/>
  <c r="H267"/>
  <c r="H268" i="1738"/>
  <c r="I266"/>
  <c r="H267"/>
  <c r="I176" i="1740"/>
  <c r="J228" i="1743"/>
  <c r="D232" s="1"/>
  <c r="F286" s="1"/>
  <c r="J228" i="1747"/>
  <c r="D232" s="1"/>
  <c r="F286" s="1"/>
  <c r="H268" i="1744"/>
  <c r="H267"/>
  <c r="I266"/>
  <c r="H204" i="1738"/>
  <c r="H205" s="1"/>
  <c r="H197"/>
  <c r="H198" s="1"/>
  <c r="J228" i="1735"/>
  <c r="D232" s="1"/>
  <c r="F286" s="1"/>
  <c r="J228" i="1736"/>
  <c r="D232" s="1"/>
  <c r="F286" s="1"/>
  <c r="I148" i="1739"/>
  <c r="I149" s="1"/>
  <c r="I169"/>
  <c r="I181"/>
  <c r="I183" s="1"/>
  <c r="I197" i="1742"/>
  <c r="I198" s="1"/>
  <c r="I204"/>
  <c r="I205" s="1"/>
  <c r="H268" i="1746"/>
  <c r="I266"/>
  <c r="H267"/>
  <c r="I70" i="1737"/>
  <c r="H100"/>
  <c r="H143" s="1"/>
  <c r="H145" s="1"/>
  <c r="I108"/>
  <c r="H131"/>
  <c r="J204" i="1745"/>
  <c r="J205" s="1"/>
  <c r="D206" s="1"/>
  <c r="J197"/>
  <c r="J198" s="1"/>
  <c r="J228" i="1734"/>
  <c r="D232" s="1"/>
  <c r="F286" s="1"/>
  <c r="J228" i="1738"/>
  <c r="D232" s="1"/>
  <c r="F286" s="1"/>
  <c r="J108" i="1740"/>
  <c r="I131"/>
  <c r="I120" i="1738"/>
  <c r="I129"/>
  <c r="H267" i="1737"/>
  <c r="H268"/>
  <c r="I266"/>
  <c r="H267" i="1735"/>
  <c r="H268"/>
  <c r="I266"/>
  <c r="J228" i="1739"/>
  <c r="D232" s="1"/>
  <c r="F286" s="1"/>
  <c r="J83" i="1737"/>
  <c r="J89"/>
  <c r="H155" i="1736"/>
  <c r="H157" s="1"/>
  <c r="I153" s="1"/>
  <c r="H104"/>
  <c r="H126" s="1"/>
  <c r="F297"/>
  <c r="H170"/>
  <c r="H173" s="1"/>
  <c r="H66"/>
  <c r="H94" s="1"/>
  <c r="I170"/>
  <c r="I155"/>
  <c r="I104"/>
  <c r="I127" s="1"/>
  <c r="J109" s="1"/>
  <c r="J121" s="1"/>
  <c r="J127" s="1"/>
  <c r="I297"/>
  <c r="I66"/>
  <c r="I95" s="1"/>
  <c r="J71" s="1"/>
  <c r="H267" i="1749"/>
  <c r="H268"/>
  <c r="I266"/>
  <c r="K298" i="1740"/>
  <c r="K300" s="1"/>
  <c r="I171"/>
  <c r="I173" s="1"/>
  <c r="J120" i="1741"/>
  <c r="J129"/>
  <c r="I126" i="1739"/>
  <c r="I130"/>
  <c r="I144" s="1"/>
  <c r="I160" s="1"/>
  <c r="I164" s="1"/>
  <c r="I166" s="1"/>
  <c r="J228" i="1745"/>
  <c r="D232" s="1"/>
  <c r="F286" s="1"/>
  <c r="H267"/>
  <c r="H268"/>
  <c r="I266"/>
  <c r="H267" i="1743"/>
  <c r="H268"/>
  <c r="I266"/>
  <c r="J228" i="1741"/>
  <c r="D232" s="1"/>
  <c r="F286" s="1"/>
  <c r="H267"/>
  <c r="H268"/>
  <c r="I266"/>
  <c r="H267" i="1747"/>
  <c r="H268"/>
  <c r="I266"/>
  <c r="I82" i="1738"/>
  <c r="I98" s="1"/>
  <c r="I141" s="1"/>
  <c r="I172" s="1"/>
  <c r="I88"/>
  <c r="I99" s="1"/>
  <c r="I142" s="1"/>
  <c r="I97"/>
  <c r="I140" s="1"/>
  <c r="J228" i="1737"/>
  <c r="D232" s="1"/>
  <c r="F286" s="1"/>
  <c r="J228" i="1742"/>
  <c r="D232" s="1"/>
  <c r="F286" s="1"/>
  <c r="J228" i="1740"/>
  <c r="D232" s="1"/>
  <c r="F286" s="1"/>
  <c r="H267" i="1739"/>
  <c r="H268"/>
  <c r="I266"/>
  <c r="I154" i="1737"/>
  <c r="H193"/>
  <c r="H194" s="1"/>
  <c r="H195" s="1"/>
  <c r="H199" s="1"/>
  <c r="J70" i="1740"/>
  <c r="I100"/>
  <c r="I143" s="1"/>
  <c r="I145" s="1"/>
  <c r="J197" i="1744"/>
  <c r="J198" s="1"/>
  <c r="J204"/>
  <c r="J205" s="1"/>
  <c r="D206" s="1"/>
  <c r="H204" i="1739"/>
  <c r="H205" s="1"/>
  <c r="H197"/>
  <c r="H198" s="1"/>
  <c r="J228" i="1749"/>
  <c r="D232" s="1"/>
  <c r="F286" s="1"/>
  <c r="J160" i="1743"/>
  <c r="J164" s="1"/>
  <c r="J166" s="1"/>
  <c r="J177"/>
  <c r="J178" s="1"/>
  <c r="J148" i="1741"/>
  <c r="J149" s="1"/>
  <c r="J169"/>
  <c r="J145"/>
  <c r="J181"/>
  <c r="J183" s="1"/>
  <c r="I192" i="1740"/>
  <c r="J163"/>
  <c r="J228" i="1744"/>
  <c r="D232" s="1"/>
  <c r="F286" s="1"/>
  <c r="J228" i="1748"/>
  <c r="D232" s="1"/>
  <c r="F286" s="1"/>
  <c r="H268"/>
  <c r="I266"/>
  <c r="H267"/>
  <c r="H268" i="1736"/>
  <c r="I266"/>
  <c r="H267"/>
  <c r="H268" i="1742"/>
  <c r="I266"/>
  <c r="H267"/>
  <c r="H268" i="1740"/>
  <c r="I266"/>
  <c r="H267"/>
  <c r="J228" i="1746"/>
  <c r="D232" s="1"/>
  <c r="F286" s="1"/>
  <c r="I178" i="1740"/>
  <c r="I94" i="1739"/>
  <c r="G196" i="1742"/>
  <c r="G197" s="1"/>
  <c r="G198" s="1"/>
  <c r="G196" i="1748"/>
  <c r="G197" s="1"/>
  <c r="G198" s="1"/>
  <c r="I157" i="1738"/>
  <c r="J153" s="1"/>
  <c r="J196" i="1747"/>
  <c r="G196" i="1744"/>
  <c r="G197" s="1"/>
  <c r="G198" s="1"/>
  <c r="G196" i="1738"/>
  <c r="G197" s="1"/>
  <c r="G198" s="1"/>
  <c r="G196" i="1745"/>
  <c r="G197" s="1"/>
  <c r="G198" s="1"/>
  <c r="G196" i="1741"/>
  <c r="G197" s="1"/>
  <c r="G198" s="1"/>
  <c r="G196" i="1747"/>
  <c r="G197" s="1"/>
  <c r="G198" s="1"/>
  <c r="G196" i="1746"/>
  <c r="G197" s="1"/>
  <c r="G198" s="1"/>
  <c r="G196" i="1740"/>
  <c r="G197" s="1"/>
  <c r="G198" s="1"/>
  <c r="G196" i="1743"/>
  <c r="G197" s="1"/>
  <c r="G198" s="1"/>
  <c r="J157" i="1739"/>
  <c r="J196" i="1746"/>
  <c r="J196" i="1749"/>
  <c r="V10" i="49"/>
  <c r="I25" i="1734"/>
  <c r="I25" i="1735"/>
  <c r="H25" i="1734"/>
  <c r="J25" i="1735"/>
  <c r="H25"/>
  <c r="J25" i="1734"/>
  <c r="J95" i="1737" l="1"/>
  <c r="N298" i="1742"/>
  <c r="N300" s="1"/>
  <c r="J171"/>
  <c r="J173" s="1"/>
  <c r="J177"/>
  <c r="J178" s="1"/>
  <c r="J145"/>
  <c r="J181"/>
  <c r="J183" s="1"/>
  <c r="I193" i="1740"/>
  <c r="I194" s="1"/>
  <c r="I195" s="1"/>
  <c r="I199" s="1"/>
  <c r="I170" i="1735"/>
  <c r="I155"/>
  <c r="I104"/>
  <c r="I127" s="1"/>
  <c r="J109" s="1"/>
  <c r="J121" s="1"/>
  <c r="J127" s="1"/>
  <c r="I297"/>
  <c r="I66"/>
  <c r="I95" s="1"/>
  <c r="J71" s="1"/>
  <c r="J204" i="1749"/>
  <c r="J205" s="1"/>
  <c r="D206" s="1"/>
  <c r="J197"/>
  <c r="J198" s="1"/>
  <c r="J154" i="1738"/>
  <c r="J70" i="1739"/>
  <c r="I100"/>
  <c r="I143" s="1"/>
  <c r="I145" s="1"/>
  <c r="J266" i="1742"/>
  <c r="I267"/>
  <c r="I275" s="1"/>
  <c r="I268"/>
  <c r="I268" i="1748"/>
  <c r="J266"/>
  <c r="I267"/>
  <c r="I275" s="1"/>
  <c r="N298" i="1741"/>
  <c r="J171"/>
  <c r="J192" i="1743"/>
  <c r="J193" s="1"/>
  <c r="J194" s="1"/>
  <c r="J195" s="1"/>
  <c r="N293"/>
  <c r="N300" s="1"/>
  <c r="J88" i="1740"/>
  <c r="J99" s="1"/>
  <c r="J142" s="1"/>
  <c r="J82"/>
  <c r="J98" s="1"/>
  <c r="J141" s="1"/>
  <c r="J172" s="1"/>
  <c r="J97"/>
  <c r="J140" s="1"/>
  <c r="I169" i="1738"/>
  <c r="I148"/>
  <c r="I149" s="1"/>
  <c r="I181"/>
  <c r="I183" s="1"/>
  <c r="J266" i="1747"/>
  <c r="I267"/>
  <c r="I275" s="1"/>
  <c r="I276" s="1"/>
  <c r="G15" i="49" s="1"/>
  <c r="I268" i="1747"/>
  <c r="J266" i="1743"/>
  <c r="I267"/>
  <c r="I275" s="1"/>
  <c r="I268"/>
  <c r="I192" i="1739"/>
  <c r="J163"/>
  <c r="J266" i="1749"/>
  <c r="I267"/>
  <c r="I275" s="1"/>
  <c r="I276" s="1"/>
  <c r="E15" i="49" s="1"/>
  <c r="I268" i="1749"/>
  <c r="I70" i="1736"/>
  <c r="H100"/>
  <c r="H143" s="1"/>
  <c r="H145" s="1"/>
  <c r="I154"/>
  <c r="I157" s="1"/>
  <c r="J153" s="1"/>
  <c r="J266" i="1735"/>
  <c r="I267"/>
  <c r="I275" s="1"/>
  <c r="I268"/>
  <c r="I171" i="1739"/>
  <c r="K298"/>
  <c r="K300" s="1"/>
  <c r="J266" i="1734"/>
  <c r="I267"/>
  <c r="I275" s="1"/>
  <c r="I268"/>
  <c r="I177" i="1739"/>
  <c r="L297" i="1734"/>
  <c r="J170"/>
  <c r="J104"/>
  <c r="J128" s="1"/>
  <c r="J155"/>
  <c r="J66"/>
  <c r="J96" s="1"/>
  <c r="J155" i="1735"/>
  <c r="J104"/>
  <c r="J128" s="1"/>
  <c r="L297"/>
  <c r="J170"/>
  <c r="J66"/>
  <c r="J96" s="1"/>
  <c r="F297"/>
  <c r="H170"/>
  <c r="H173" s="1"/>
  <c r="H66"/>
  <c r="H94" s="1"/>
  <c r="H155"/>
  <c r="H157" s="1"/>
  <c r="I153" s="1"/>
  <c r="H104"/>
  <c r="H126" s="1"/>
  <c r="H155" i="1734"/>
  <c r="H157" s="1"/>
  <c r="I153" s="1"/>
  <c r="H66"/>
  <c r="H94" s="1"/>
  <c r="F297"/>
  <c r="H170"/>
  <c r="H173" s="1"/>
  <c r="H104"/>
  <c r="H126" s="1"/>
  <c r="I170"/>
  <c r="I155"/>
  <c r="I104"/>
  <c r="I127" s="1"/>
  <c r="J109" s="1"/>
  <c r="J121" s="1"/>
  <c r="J127" s="1"/>
  <c r="I297"/>
  <c r="I66"/>
  <c r="I95" s="1"/>
  <c r="J71" s="1"/>
  <c r="J197" i="1746"/>
  <c r="J198" s="1"/>
  <c r="J204"/>
  <c r="J205" s="1"/>
  <c r="D206" s="1"/>
  <c r="J204" i="1747"/>
  <c r="J205" s="1"/>
  <c r="D206" s="1"/>
  <c r="J197"/>
  <c r="J198" s="1"/>
  <c r="I267" i="1740"/>
  <c r="I275" s="1"/>
  <c r="J266"/>
  <c r="I268"/>
  <c r="I267" i="1736"/>
  <c r="I275" s="1"/>
  <c r="I268"/>
  <c r="J266"/>
  <c r="J176" i="1741"/>
  <c r="J173"/>
  <c r="F287" i="1744"/>
  <c r="F288" s="1"/>
  <c r="J21" i="49" s="1"/>
  <c r="E270" i="1744"/>
  <c r="D210"/>
  <c r="D214" s="1"/>
  <c r="J266" i="1739"/>
  <c r="I267"/>
  <c r="I275" s="1"/>
  <c r="I268"/>
  <c r="J266" i="1741"/>
  <c r="I267"/>
  <c r="I275" s="1"/>
  <c r="I268"/>
  <c r="J266" i="1745"/>
  <c r="I267"/>
  <c r="I275" s="1"/>
  <c r="I268"/>
  <c r="J108" i="1739"/>
  <c r="I131"/>
  <c r="J126" i="1741"/>
  <c r="J131" s="1"/>
  <c r="J130"/>
  <c r="J144" s="1"/>
  <c r="J83" i="1736"/>
  <c r="J89"/>
  <c r="J95" s="1"/>
  <c r="H193"/>
  <c r="H194" s="1"/>
  <c r="H195" s="1"/>
  <c r="H199" s="1"/>
  <c r="I108"/>
  <c r="H131"/>
  <c r="J266" i="1737"/>
  <c r="I267"/>
  <c r="I275" s="1"/>
  <c r="I276" s="1"/>
  <c r="Q15" i="49" s="1"/>
  <c r="I268" i="1737"/>
  <c r="I126" i="1738"/>
  <c r="I130"/>
  <c r="I144" s="1"/>
  <c r="I160" s="1"/>
  <c r="I164" s="1"/>
  <c r="I166" s="1"/>
  <c r="J120" i="1740"/>
  <c r="J129"/>
  <c r="F287" i="1745"/>
  <c r="F288" s="1"/>
  <c r="I21" i="49" s="1"/>
  <c r="E270" i="1745"/>
  <c r="D210"/>
  <c r="D214" s="1"/>
  <c r="I120" i="1737"/>
  <c r="I129"/>
  <c r="I88"/>
  <c r="I99" s="1"/>
  <c r="I142" s="1"/>
  <c r="I82"/>
  <c r="I98" s="1"/>
  <c r="I141" s="1"/>
  <c r="I172" s="1"/>
  <c r="I97"/>
  <c r="I140" s="1"/>
  <c r="J266" i="1746"/>
  <c r="I267"/>
  <c r="I275" s="1"/>
  <c r="I268"/>
  <c r="I176" i="1739"/>
  <c r="I178" s="1"/>
  <c r="I173"/>
  <c r="J266" i="1744"/>
  <c r="I267"/>
  <c r="I275" s="1"/>
  <c r="I268"/>
  <c r="I267" i="1738"/>
  <c r="I275" s="1"/>
  <c r="I276" s="1"/>
  <c r="P15" i="49" s="1"/>
  <c r="J266" i="1738"/>
  <c r="I268"/>
  <c r="H196" i="1737"/>
  <c r="I157"/>
  <c r="J153" s="1"/>
  <c r="I94" i="1738"/>
  <c r="J196" i="1748"/>
  <c r="I196" i="1741"/>
  <c r="V11" i="49"/>
  <c r="H196" i="1736" l="1"/>
  <c r="J193" i="1742"/>
  <c r="J194" s="1"/>
  <c r="J195" s="1"/>
  <c r="J154" i="1736"/>
  <c r="J199" i="1743"/>
  <c r="J196"/>
  <c r="I197" i="1741"/>
  <c r="I198" s="1"/>
  <c r="I204"/>
  <c r="I205" s="1"/>
  <c r="J154" i="1737"/>
  <c r="J157" s="1"/>
  <c r="D282" i="1738"/>
  <c r="D283" s="1"/>
  <c r="P18" i="49" s="1"/>
  <c r="E277" i="1738"/>
  <c r="P23" i="49" s="1"/>
  <c r="I193" i="1739"/>
  <c r="I194" s="1"/>
  <c r="I195" s="1"/>
  <c r="I199" s="1"/>
  <c r="J267" i="1746"/>
  <c r="J275" s="1"/>
  <c r="J268"/>
  <c r="E269" s="1"/>
  <c r="I181" i="1737"/>
  <c r="I183" s="1"/>
  <c r="I126"/>
  <c r="I130"/>
  <c r="I144" s="1"/>
  <c r="I160" s="1"/>
  <c r="I164" s="1"/>
  <c r="I166" s="1"/>
  <c r="I192" i="1738"/>
  <c r="J163"/>
  <c r="J268" i="1737"/>
  <c r="E269" s="1"/>
  <c r="J267"/>
  <c r="J275" s="1"/>
  <c r="J276" s="1"/>
  <c r="Q16" i="49" s="1"/>
  <c r="I120" i="1736"/>
  <c r="I129"/>
  <c r="J160" i="1741"/>
  <c r="J164" s="1"/>
  <c r="J166" s="1"/>
  <c r="J177"/>
  <c r="J178" s="1"/>
  <c r="J267" i="1745"/>
  <c r="J275" s="1"/>
  <c r="J268"/>
  <c r="E269" s="1"/>
  <c r="E271" s="1"/>
  <c r="J268" i="1739"/>
  <c r="E269" s="1"/>
  <c r="J267"/>
  <c r="J275" s="1"/>
  <c r="J268" i="1736"/>
  <c r="E269" s="1"/>
  <c r="J267"/>
  <c r="J275" s="1"/>
  <c r="J267" i="1740"/>
  <c r="J275" s="1"/>
  <c r="J268"/>
  <c r="E269" s="1"/>
  <c r="F287" i="1746"/>
  <c r="F288" s="1"/>
  <c r="H21" i="49" s="1"/>
  <c r="E270" i="1746"/>
  <c r="D210"/>
  <c r="D214" s="1"/>
  <c r="J89" i="1734"/>
  <c r="J83"/>
  <c r="H193"/>
  <c r="H194" s="1"/>
  <c r="H195" s="1"/>
  <c r="H199" s="1"/>
  <c r="I70"/>
  <c r="H100"/>
  <c r="H143" s="1"/>
  <c r="H145" s="1"/>
  <c r="I108" i="1735"/>
  <c r="H131"/>
  <c r="I70"/>
  <c r="H100"/>
  <c r="H143" s="1"/>
  <c r="H145" s="1"/>
  <c r="J268" i="1734"/>
  <c r="E269" s="1"/>
  <c r="J267"/>
  <c r="J275" s="1"/>
  <c r="J268" i="1749"/>
  <c r="E269" s="1"/>
  <c r="J267"/>
  <c r="J275" s="1"/>
  <c r="J276" s="1"/>
  <c r="E16" i="49" s="1"/>
  <c r="J268" i="1747"/>
  <c r="E269" s="1"/>
  <c r="J267"/>
  <c r="J275" s="1"/>
  <c r="J276" s="1"/>
  <c r="G16" i="49" s="1"/>
  <c r="I176" i="1738"/>
  <c r="J181" i="1740"/>
  <c r="J183" s="1"/>
  <c r="J268" i="1748"/>
  <c r="E269" s="1"/>
  <c r="J267"/>
  <c r="J275" s="1"/>
  <c r="J268" i="1742"/>
  <c r="E269" s="1"/>
  <c r="J267"/>
  <c r="J275" s="1"/>
  <c r="J82" i="1739"/>
  <c r="J98" s="1"/>
  <c r="J141" s="1"/>
  <c r="J172" s="1"/>
  <c r="J88"/>
  <c r="J99" s="1"/>
  <c r="J142" s="1"/>
  <c r="J97"/>
  <c r="J140" s="1"/>
  <c r="D210" i="1749"/>
  <c r="D214" s="1"/>
  <c r="F287"/>
  <c r="F288" s="1"/>
  <c r="E21" i="49" s="1"/>
  <c r="E270" i="1749"/>
  <c r="I94" i="1737"/>
  <c r="J94" i="1740"/>
  <c r="J100" s="1"/>
  <c r="J143" s="1"/>
  <c r="J197" i="1748"/>
  <c r="J198" s="1"/>
  <c r="J204"/>
  <c r="J205" s="1"/>
  <c r="D206" s="1"/>
  <c r="J70" i="1738"/>
  <c r="I100"/>
  <c r="I143" s="1"/>
  <c r="I145" s="1"/>
  <c r="H204" i="1737"/>
  <c r="H205" s="1"/>
  <c r="H197"/>
  <c r="H198" s="1"/>
  <c r="J268" i="1738"/>
  <c r="E269" s="1"/>
  <c r="J267"/>
  <c r="J275" s="1"/>
  <c r="J276" s="1"/>
  <c r="P16" i="49" s="1"/>
  <c r="J268" i="1744"/>
  <c r="E269" s="1"/>
  <c r="E271" s="1"/>
  <c r="J267"/>
  <c r="J275" s="1"/>
  <c r="I169" i="1737"/>
  <c r="I148"/>
  <c r="I149" s="1"/>
  <c r="D230" i="1745"/>
  <c r="D231" s="1"/>
  <c r="I17" i="49" s="1"/>
  <c r="H215" i="1745"/>
  <c r="J215"/>
  <c r="I215"/>
  <c r="J126" i="1740"/>
  <c r="J131" s="1"/>
  <c r="J130"/>
  <c r="J144" s="1"/>
  <c r="J160" s="1"/>
  <c r="J164" s="1"/>
  <c r="J166" s="1"/>
  <c r="J192" s="1"/>
  <c r="J108" i="1738"/>
  <c r="I131"/>
  <c r="D282" i="1737"/>
  <c r="D283" s="1"/>
  <c r="Q18" i="49" s="1"/>
  <c r="E277" i="1737"/>
  <c r="Q23" i="49" s="1"/>
  <c r="H204" i="1736"/>
  <c r="H205" s="1"/>
  <c r="H197"/>
  <c r="H198" s="1"/>
  <c r="J120" i="1739"/>
  <c r="J129"/>
  <c r="J267" i="1741"/>
  <c r="J275" s="1"/>
  <c r="J268"/>
  <c r="E269" s="1"/>
  <c r="J215" i="1744"/>
  <c r="D230"/>
  <c r="D231" s="1"/>
  <c r="J17" i="49" s="1"/>
  <c r="H215" i="1744"/>
  <c r="I215"/>
  <c r="E270" i="1747"/>
  <c r="D210"/>
  <c r="D214" s="1"/>
  <c r="F287"/>
  <c r="F288" s="1"/>
  <c r="G21" i="49" s="1"/>
  <c r="I108" i="1734"/>
  <c r="H131"/>
  <c r="I154"/>
  <c r="I157" s="1"/>
  <c r="J153" s="1"/>
  <c r="I154" i="1735"/>
  <c r="I157" s="1"/>
  <c r="J153" s="1"/>
  <c r="H193"/>
  <c r="H194" s="1"/>
  <c r="H195" s="1"/>
  <c r="H199" s="1"/>
  <c r="J268"/>
  <c r="E269" s="1"/>
  <c r="J267"/>
  <c r="J275" s="1"/>
  <c r="I88" i="1736"/>
  <c r="I99" s="1"/>
  <c r="I142" s="1"/>
  <c r="I82"/>
  <c r="I98" s="1"/>
  <c r="I141" s="1"/>
  <c r="I172" s="1"/>
  <c r="I97"/>
  <c r="I140" s="1"/>
  <c r="D282" i="1749"/>
  <c r="D283" s="1"/>
  <c r="E18" i="49" s="1"/>
  <c r="E277" i="1749"/>
  <c r="E23" i="49" s="1"/>
  <c r="J267" i="1743"/>
  <c r="J275" s="1"/>
  <c r="J268"/>
  <c r="E269" s="1"/>
  <c r="D282" i="1747"/>
  <c r="D283" s="1"/>
  <c r="G18" i="49" s="1"/>
  <c r="E277" i="1747"/>
  <c r="G23" i="49" s="1"/>
  <c r="K298" i="1738"/>
  <c r="K300" s="1"/>
  <c r="I171"/>
  <c r="I173" s="1"/>
  <c r="J169" i="1740"/>
  <c r="J148"/>
  <c r="J149" s="1"/>
  <c r="J145"/>
  <c r="J83" i="1735"/>
  <c r="J89"/>
  <c r="I177" i="1738"/>
  <c r="I178" s="1"/>
  <c r="J157"/>
  <c r="I196" i="1740"/>
  <c r="I94" i="1736" l="1"/>
  <c r="J94" i="1739"/>
  <c r="J100" s="1"/>
  <c r="J143" s="1"/>
  <c r="J95" i="1734"/>
  <c r="J95" i="1735"/>
  <c r="J199" i="1742"/>
  <c r="J196"/>
  <c r="J154" i="1735"/>
  <c r="I193" i="1738"/>
  <c r="I194" s="1"/>
  <c r="I195" s="1"/>
  <c r="I199" s="1"/>
  <c r="J154" i="1734"/>
  <c r="J176" i="1740"/>
  <c r="J171"/>
  <c r="J173" s="1"/>
  <c r="N298"/>
  <c r="I148" i="1736"/>
  <c r="I149" s="1"/>
  <c r="I169"/>
  <c r="H216" i="1744"/>
  <c r="H248"/>
  <c r="H249" s="1"/>
  <c r="H218"/>
  <c r="J218"/>
  <c r="J216"/>
  <c r="J217" s="1"/>
  <c r="J126" i="1739"/>
  <c r="J131" s="1"/>
  <c r="J130"/>
  <c r="J144" s="1"/>
  <c r="J160" s="1"/>
  <c r="J164" s="1"/>
  <c r="J166" s="1"/>
  <c r="J192" s="1"/>
  <c r="I216" i="1745"/>
  <c r="I217" s="1"/>
  <c r="I218"/>
  <c r="H248"/>
  <c r="H249" s="1"/>
  <c r="H218"/>
  <c r="H216"/>
  <c r="K298" i="1737"/>
  <c r="K300" s="1"/>
  <c r="I171"/>
  <c r="E278" i="1738"/>
  <c r="P24" i="49" s="1"/>
  <c r="F287" i="1748"/>
  <c r="F288" s="1"/>
  <c r="F21" i="49" s="1"/>
  <c r="E270" i="1748"/>
  <c r="D210"/>
  <c r="D214" s="1"/>
  <c r="J70" i="1737"/>
  <c r="I100"/>
  <c r="I143" s="1"/>
  <c r="I145" s="1"/>
  <c r="J169" i="1739"/>
  <c r="J148"/>
  <c r="J149" s="1"/>
  <c r="J145"/>
  <c r="J181"/>
  <c r="J183" s="1"/>
  <c r="E278" i="1747"/>
  <c r="G24" i="49" s="1"/>
  <c r="E278" i="1749"/>
  <c r="E24" i="49" s="1"/>
  <c r="E278" i="1737"/>
  <c r="Q24" i="49" s="1"/>
  <c r="J163" i="1737"/>
  <c r="I192"/>
  <c r="H196" i="1735"/>
  <c r="J177" i="1740"/>
  <c r="H196" i="1734"/>
  <c r="I177" i="1737"/>
  <c r="E271" i="1746"/>
  <c r="I196" i="1739"/>
  <c r="I204" i="1740"/>
  <c r="I205" s="1"/>
  <c r="I197"/>
  <c r="I198" s="1"/>
  <c r="J70" i="1736"/>
  <c r="I100"/>
  <c r="I143" s="1"/>
  <c r="I145" s="1"/>
  <c r="I181"/>
  <c r="I183" s="1"/>
  <c r="I120" i="1734"/>
  <c r="I129"/>
  <c r="D230" i="1747"/>
  <c r="D231" s="1"/>
  <c r="G17" i="49" s="1"/>
  <c r="H215" i="1747"/>
  <c r="I215"/>
  <c r="J215"/>
  <c r="I218" i="1744"/>
  <c r="D221" s="1"/>
  <c r="D242" s="1"/>
  <c r="D247" s="1"/>
  <c r="I216"/>
  <c r="I217" s="1"/>
  <c r="J120" i="1738"/>
  <c r="J129"/>
  <c r="J216" i="1745"/>
  <c r="J217" s="1"/>
  <c r="J218"/>
  <c r="I176" i="1737"/>
  <c r="I178" s="1"/>
  <c r="I173"/>
  <c r="J82" i="1738"/>
  <c r="J98" s="1"/>
  <c r="J141" s="1"/>
  <c r="J172" s="1"/>
  <c r="J88"/>
  <c r="J99" s="1"/>
  <c r="J142" s="1"/>
  <c r="J97"/>
  <c r="J140" s="1"/>
  <c r="D230" i="1749"/>
  <c r="D231" s="1"/>
  <c r="E17" i="49" s="1"/>
  <c r="H215" i="1749"/>
  <c r="J215"/>
  <c r="I215"/>
  <c r="I82" i="1735"/>
  <c r="I98" s="1"/>
  <c r="I141" s="1"/>
  <c r="I172" s="1"/>
  <c r="I88"/>
  <c r="I99" s="1"/>
  <c r="I142" s="1"/>
  <c r="I97"/>
  <c r="I140" s="1"/>
  <c r="I120"/>
  <c r="I129"/>
  <c r="I82" i="1734"/>
  <c r="I98" s="1"/>
  <c r="I141" s="1"/>
  <c r="I172" s="1"/>
  <c r="I88"/>
  <c r="I99" s="1"/>
  <c r="I142" s="1"/>
  <c r="I97"/>
  <c r="I140" s="1"/>
  <c r="D230" i="1746"/>
  <c r="D231" s="1"/>
  <c r="H17" i="49" s="1"/>
  <c r="H215" i="1746"/>
  <c r="J215"/>
  <c r="I215"/>
  <c r="J192" i="1741"/>
  <c r="J193" s="1"/>
  <c r="J194" s="1"/>
  <c r="J195" s="1"/>
  <c r="N293"/>
  <c r="N300" s="1"/>
  <c r="I126" i="1736"/>
  <c r="I130"/>
  <c r="I144" s="1"/>
  <c r="I160" s="1"/>
  <c r="I164" s="1"/>
  <c r="I166" s="1"/>
  <c r="J108" i="1737"/>
  <c r="I131"/>
  <c r="J204" i="1743"/>
  <c r="J205" s="1"/>
  <c r="D206" s="1"/>
  <c r="J197"/>
  <c r="J198" s="1"/>
  <c r="N293" i="1740"/>
  <c r="N293" i="1739"/>
  <c r="E271" i="1748"/>
  <c r="E271" i="1747"/>
  <c r="E271" i="1749"/>
  <c r="J157" i="1736"/>
  <c r="J177" i="1739" l="1"/>
  <c r="J197" i="1742"/>
  <c r="J198" s="1"/>
  <c r="J204"/>
  <c r="J205" s="1"/>
  <c r="D206" s="1"/>
  <c r="F287" i="1743"/>
  <c r="F288" s="1"/>
  <c r="K21" i="49" s="1"/>
  <c r="D210" i="1743"/>
  <c r="D214" s="1"/>
  <c r="E270"/>
  <c r="E271" s="1"/>
  <c r="J120" i="1737"/>
  <c r="J129"/>
  <c r="J108" i="1736"/>
  <c r="I131"/>
  <c r="J199" i="1741"/>
  <c r="J196"/>
  <c r="J218" i="1746"/>
  <c r="J216"/>
  <c r="J217" s="1"/>
  <c r="I126" i="1735"/>
  <c r="I130"/>
  <c r="I144" s="1"/>
  <c r="I160" s="1"/>
  <c r="I164" s="1"/>
  <c r="I166" s="1"/>
  <c r="J216" i="1749"/>
  <c r="J217" s="1"/>
  <c r="J218"/>
  <c r="J126" i="1738"/>
  <c r="J131" s="1"/>
  <c r="J130"/>
  <c r="J144" s="1"/>
  <c r="J160" s="1"/>
  <c r="J164" s="1"/>
  <c r="J166" s="1"/>
  <c r="J192" s="1"/>
  <c r="J248" i="1744"/>
  <c r="I248"/>
  <c r="I218" i="1747"/>
  <c r="I216"/>
  <c r="I217" s="1"/>
  <c r="I126" i="1734"/>
  <c r="I130"/>
  <c r="I144" s="1"/>
  <c r="I160" s="1"/>
  <c r="I164" s="1"/>
  <c r="I166" s="1"/>
  <c r="J82" i="1736"/>
  <c r="J98" s="1"/>
  <c r="J141" s="1"/>
  <c r="J172" s="1"/>
  <c r="J88"/>
  <c r="J99" s="1"/>
  <c r="J142" s="1"/>
  <c r="J97"/>
  <c r="J140" s="1"/>
  <c r="H197" i="1734"/>
  <c r="H198" s="1"/>
  <c r="H204"/>
  <c r="H205" s="1"/>
  <c r="J176" i="1739"/>
  <c r="J82" i="1737"/>
  <c r="J98" s="1"/>
  <c r="J141" s="1"/>
  <c r="J172" s="1"/>
  <c r="J88"/>
  <c r="J99" s="1"/>
  <c r="J142" s="1"/>
  <c r="J97"/>
  <c r="J140" s="1"/>
  <c r="H217" i="1745"/>
  <c r="E236" s="1"/>
  <c r="E235"/>
  <c r="H257"/>
  <c r="G294"/>
  <c r="G300" s="1"/>
  <c r="H253"/>
  <c r="H254" s="1"/>
  <c r="F299" s="1"/>
  <c r="F300" s="1"/>
  <c r="H253" i="1744"/>
  <c r="H254" s="1"/>
  <c r="F299" s="1"/>
  <c r="F300" s="1"/>
  <c r="H257"/>
  <c r="G294"/>
  <c r="G300" s="1"/>
  <c r="I176" i="1736"/>
  <c r="I94" i="1734"/>
  <c r="I94" i="1735"/>
  <c r="J94" i="1738"/>
  <c r="J100" s="1"/>
  <c r="J143" s="1"/>
  <c r="N293" s="1"/>
  <c r="I177" i="1736"/>
  <c r="J178" i="1739"/>
  <c r="N300" i="1740"/>
  <c r="J178"/>
  <c r="J193" s="1"/>
  <c r="J194" s="1"/>
  <c r="J195" s="1"/>
  <c r="J163" i="1736"/>
  <c r="I192"/>
  <c r="I218" i="1746"/>
  <c r="D221" s="1"/>
  <c r="D242" s="1"/>
  <c r="D247" s="1"/>
  <c r="I216"/>
  <c r="I217" s="1"/>
  <c r="H218"/>
  <c r="D219" s="1"/>
  <c r="D220" s="1"/>
  <c r="H248"/>
  <c r="H249" s="1"/>
  <c r="H216"/>
  <c r="I169" i="1734"/>
  <c r="I148"/>
  <c r="I149" s="1"/>
  <c r="I181"/>
  <c r="I183" s="1"/>
  <c r="I177"/>
  <c r="I169" i="1735"/>
  <c r="I148"/>
  <c r="I149" s="1"/>
  <c r="I181"/>
  <c r="I183" s="1"/>
  <c r="I177"/>
  <c r="I216" i="1749"/>
  <c r="I217" s="1"/>
  <c r="I218"/>
  <c r="D221" s="1"/>
  <c r="D242" s="1"/>
  <c r="D247" s="1"/>
  <c r="H248"/>
  <c r="H249" s="1"/>
  <c r="H216"/>
  <c r="H218"/>
  <c r="J169" i="1738"/>
  <c r="J148"/>
  <c r="J149" s="1"/>
  <c r="J145"/>
  <c r="J181"/>
  <c r="J183" s="1"/>
  <c r="J177"/>
  <c r="I193" i="1737"/>
  <c r="I194" s="1"/>
  <c r="I195" s="1"/>
  <c r="I199" s="1"/>
  <c r="J218" i="1747"/>
  <c r="J216"/>
  <c r="J217" s="1"/>
  <c r="H218"/>
  <c r="D219" s="1"/>
  <c r="D220" s="1"/>
  <c r="H248"/>
  <c r="H249" s="1"/>
  <c r="H216"/>
  <c r="I197" i="1739"/>
  <c r="I198" s="1"/>
  <c r="I204"/>
  <c r="I205" s="1"/>
  <c r="H204" i="1735"/>
  <c r="H205" s="1"/>
  <c r="H197"/>
  <c r="H198" s="1"/>
  <c r="N298" i="1739"/>
  <c r="N300" s="1"/>
  <c r="J171"/>
  <c r="J173" s="1"/>
  <c r="J215" i="1748"/>
  <c r="I215"/>
  <c r="D230"/>
  <c r="D231" s="1"/>
  <c r="F17" i="49" s="1"/>
  <c r="H215" i="1748"/>
  <c r="E235" i="1744"/>
  <c r="H217"/>
  <c r="E236" s="1"/>
  <c r="K298" i="1736"/>
  <c r="K300" s="1"/>
  <c r="I171"/>
  <c r="I173" s="1"/>
  <c r="D219" i="1745"/>
  <c r="D220" s="1"/>
  <c r="D221"/>
  <c r="D242" s="1"/>
  <c r="D247" s="1"/>
  <c r="D219" i="1744"/>
  <c r="D220" s="1"/>
  <c r="J157" i="1734"/>
  <c r="I196" i="1738"/>
  <c r="J157" i="1735"/>
  <c r="F287" i="1742" l="1"/>
  <c r="F288" s="1"/>
  <c r="L21" i="49" s="1"/>
  <c r="D210" i="1742"/>
  <c r="D214" s="1"/>
  <c r="E270"/>
  <c r="E271" s="1"/>
  <c r="I196" i="1737"/>
  <c r="J193" i="1739"/>
  <c r="J194" s="1"/>
  <c r="J195" s="1"/>
  <c r="J199" s="1"/>
  <c r="J199" i="1740"/>
  <c r="J196"/>
  <c r="J248" i="1745"/>
  <c r="I248"/>
  <c r="J218" i="1748"/>
  <c r="J216"/>
  <c r="J217" s="1"/>
  <c r="H257" i="1747"/>
  <c r="G294"/>
  <c r="G300" s="1"/>
  <c r="H253"/>
  <c r="H254" s="1"/>
  <c r="F299" s="1"/>
  <c r="F300" s="1"/>
  <c r="I197" i="1737"/>
  <c r="I198" s="1"/>
  <c r="I204"/>
  <c r="I205" s="1"/>
  <c r="J176" i="1738"/>
  <c r="H217" i="1749"/>
  <c r="E236" s="1"/>
  <c r="E235"/>
  <c r="J248"/>
  <c r="I248"/>
  <c r="I171" i="1735"/>
  <c r="K298"/>
  <c r="K300" s="1"/>
  <c r="K298" i="1734"/>
  <c r="K300" s="1"/>
  <c r="I171"/>
  <c r="E235" i="1746"/>
  <c r="H217"/>
  <c r="E236" s="1"/>
  <c r="J248"/>
  <c r="I248"/>
  <c r="J70" i="1734"/>
  <c r="I100"/>
  <c r="I143" s="1"/>
  <c r="I145" s="1"/>
  <c r="J148" i="1737"/>
  <c r="J149" s="1"/>
  <c r="J169"/>
  <c r="J181"/>
  <c r="J183" s="1"/>
  <c r="J169" i="1736"/>
  <c r="J148"/>
  <c r="J149" s="1"/>
  <c r="J181"/>
  <c r="J183" s="1"/>
  <c r="J163" i="1734"/>
  <c r="I192"/>
  <c r="I249" i="1744"/>
  <c r="I250"/>
  <c r="J163" i="1735"/>
  <c r="I192"/>
  <c r="J204" i="1741"/>
  <c r="J205" s="1"/>
  <c r="D206" s="1"/>
  <c r="J197"/>
  <c r="J198" s="1"/>
  <c r="J178" i="1738"/>
  <c r="I204"/>
  <c r="I205" s="1"/>
  <c r="I197"/>
  <c r="I198" s="1"/>
  <c r="H218" i="1748"/>
  <c r="H248"/>
  <c r="H249" s="1"/>
  <c r="H216"/>
  <c r="I218"/>
  <c r="D221" s="1"/>
  <c r="D242" s="1"/>
  <c r="D247" s="1"/>
  <c r="I216"/>
  <c r="I217" s="1"/>
  <c r="H217" i="1747"/>
  <c r="E236" s="1"/>
  <c r="E235"/>
  <c r="J171" i="1738"/>
  <c r="J173" s="1"/>
  <c r="N298"/>
  <c r="N300" s="1"/>
  <c r="H257" i="1749"/>
  <c r="G294"/>
  <c r="G300" s="1"/>
  <c r="H253"/>
  <c r="H254" s="1"/>
  <c r="F299" s="1"/>
  <c r="F300" s="1"/>
  <c r="I176" i="1735"/>
  <c r="I178" s="1"/>
  <c r="I173"/>
  <c r="I176" i="1734"/>
  <c r="I178" s="1"/>
  <c r="I173"/>
  <c r="H253" i="1746"/>
  <c r="H254" s="1"/>
  <c r="F299" s="1"/>
  <c r="F300" s="1"/>
  <c r="H257"/>
  <c r="G294"/>
  <c r="G300" s="1"/>
  <c r="J70" i="1735"/>
  <c r="I100"/>
  <c r="I143" s="1"/>
  <c r="I145" s="1"/>
  <c r="G257" i="1744"/>
  <c r="H274"/>
  <c r="H275" s="1"/>
  <c r="H276" s="1"/>
  <c r="J14" i="49" s="1"/>
  <c r="H274" i="1745"/>
  <c r="H275" s="1"/>
  <c r="H276" s="1"/>
  <c r="I14" i="49" s="1"/>
  <c r="G257" i="1745"/>
  <c r="J108" i="1734"/>
  <c r="I131"/>
  <c r="J250" i="1744"/>
  <c r="J249"/>
  <c r="J108" i="1735"/>
  <c r="I131"/>
  <c r="J120" i="1736"/>
  <c r="J129"/>
  <c r="J126" i="1737"/>
  <c r="J131" s="1"/>
  <c r="J130"/>
  <c r="J144" s="1"/>
  <c r="J160" s="1"/>
  <c r="J164" s="1"/>
  <c r="J166" s="1"/>
  <c r="J192" s="1"/>
  <c r="D230" i="1743"/>
  <c r="D231" s="1"/>
  <c r="K17" i="49" s="1"/>
  <c r="H215" i="1743"/>
  <c r="I215"/>
  <c r="J215"/>
  <c r="D219" i="1749"/>
  <c r="D220" s="1"/>
  <c r="I178" i="1736"/>
  <c r="I193" s="1"/>
  <c r="I194" s="1"/>
  <c r="I195" s="1"/>
  <c r="J94" i="1737"/>
  <c r="J100" s="1"/>
  <c r="J143" s="1"/>
  <c r="J94" i="1736"/>
  <c r="J100" s="1"/>
  <c r="J143" s="1"/>
  <c r="D221" i="1747"/>
  <c r="D242" s="1"/>
  <c r="D247" s="1"/>
  <c r="D219" i="1748" l="1"/>
  <c r="D220" s="1"/>
  <c r="N293" i="1737"/>
  <c r="J215" i="1742"/>
  <c r="D230"/>
  <c r="D231" s="1"/>
  <c r="L17" i="49" s="1"/>
  <c r="H215" i="1742"/>
  <c r="I215"/>
  <c r="I199" i="1736"/>
  <c r="I196"/>
  <c r="J193" i="1738"/>
  <c r="J194" s="1"/>
  <c r="J195" s="1"/>
  <c r="J199" s="1"/>
  <c r="I216" i="1743"/>
  <c r="I217" s="1"/>
  <c r="I218"/>
  <c r="J126" i="1736"/>
  <c r="J131" s="1"/>
  <c r="J130"/>
  <c r="J144" s="1"/>
  <c r="J120" i="1735"/>
  <c r="J129"/>
  <c r="J120" i="1734"/>
  <c r="J129"/>
  <c r="G274" i="1744"/>
  <c r="G275" s="1"/>
  <c r="G276" s="1"/>
  <c r="J13" i="49" s="1"/>
  <c r="F257" i="1744"/>
  <c r="F274" s="1"/>
  <c r="J22" i="49" s="1"/>
  <c r="E235" i="1748"/>
  <c r="H217"/>
  <c r="E236" s="1"/>
  <c r="J176" i="1736"/>
  <c r="J176" i="1737"/>
  <c r="I249" i="1746"/>
  <c r="I250"/>
  <c r="I250" i="1749"/>
  <c r="I249"/>
  <c r="H274" i="1747"/>
  <c r="H275" s="1"/>
  <c r="H276" s="1"/>
  <c r="G14" i="49" s="1"/>
  <c r="G257" i="1747"/>
  <c r="J250" i="1745"/>
  <c r="J249"/>
  <c r="D251" i="1744"/>
  <c r="D252" s="1"/>
  <c r="J145" i="1736"/>
  <c r="J177" i="1737"/>
  <c r="J178" s="1"/>
  <c r="I248" i="1747"/>
  <c r="J248"/>
  <c r="J218" i="1743"/>
  <c r="J216"/>
  <c r="J217" s="1"/>
  <c r="H218"/>
  <c r="D219" s="1"/>
  <c r="D220" s="1"/>
  <c r="H248"/>
  <c r="H249" s="1"/>
  <c r="H216"/>
  <c r="M294" i="1744"/>
  <c r="M300" s="1"/>
  <c r="J253"/>
  <c r="J254" s="1"/>
  <c r="L299" s="1"/>
  <c r="L300" s="1"/>
  <c r="J274"/>
  <c r="J276" s="1"/>
  <c r="J16" i="49" s="1"/>
  <c r="G274" i="1745"/>
  <c r="G275" s="1"/>
  <c r="G276" s="1"/>
  <c r="I13" i="49" s="1"/>
  <c r="F257" i="1745"/>
  <c r="F274" s="1"/>
  <c r="I22" i="49" s="1"/>
  <c r="J82" i="1735"/>
  <c r="J98" s="1"/>
  <c r="J141" s="1"/>
  <c r="J172" s="1"/>
  <c r="J88"/>
  <c r="J99" s="1"/>
  <c r="J142" s="1"/>
  <c r="J97"/>
  <c r="J140" s="1"/>
  <c r="G257" i="1746"/>
  <c r="H274"/>
  <c r="H275" s="1"/>
  <c r="H276" s="1"/>
  <c r="H14" i="49" s="1"/>
  <c r="I193" i="1734"/>
  <c r="I194" s="1"/>
  <c r="I195" s="1"/>
  <c r="I199" s="1"/>
  <c r="I193" i="1735"/>
  <c r="I194" s="1"/>
  <c r="I195" s="1"/>
  <c r="I199" s="1"/>
  <c r="H274" i="1749"/>
  <c r="H275" s="1"/>
  <c r="H276" s="1"/>
  <c r="E14" i="49" s="1"/>
  <c r="G257" i="1749"/>
  <c r="J248" i="1748"/>
  <c r="I248"/>
  <c r="H253"/>
  <c r="H254" s="1"/>
  <c r="F299" s="1"/>
  <c r="F300" s="1"/>
  <c r="H257"/>
  <c r="G294"/>
  <c r="G300" s="1"/>
  <c r="F287" i="1741"/>
  <c r="F288" s="1"/>
  <c r="M21" i="49" s="1"/>
  <c r="D210" i="1741"/>
  <c r="D214" s="1"/>
  <c r="E270"/>
  <c r="E271" s="1"/>
  <c r="I274" i="1744"/>
  <c r="I276" s="1"/>
  <c r="J15" i="49" s="1"/>
  <c r="J294" i="1744"/>
  <c r="J300" s="1"/>
  <c r="I253"/>
  <c r="I254" s="1"/>
  <c r="I299" s="1"/>
  <c r="I300" s="1"/>
  <c r="N298" i="1736"/>
  <c r="J171"/>
  <c r="J173" s="1"/>
  <c r="N298" i="1737"/>
  <c r="J171"/>
  <c r="J173" s="1"/>
  <c r="J82" i="1734"/>
  <c r="J98" s="1"/>
  <c r="J141" s="1"/>
  <c r="J172" s="1"/>
  <c r="J88"/>
  <c r="J99" s="1"/>
  <c r="J142" s="1"/>
  <c r="J97"/>
  <c r="J140" s="1"/>
  <c r="J249" i="1746"/>
  <c r="J250"/>
  <c r="J250" i="1749"/>
  <c r="J249"/>
  <c r="I250" i="1745"/>
  <c r="D251" s="1"/>
  <c r="D252" s="1"/>
  <c r="I249"/>
  <c r="J204" i="1740"/>
  <c r="J205" s="1"/>
  <c r="D206" s="1"/>
  <c r="J197"/>
  <c r="J198" s="1"/>
  <c r="N300" i="1737"/>
  <c r="J145"/>
  <c r="J196" i="1739"/>
  <c r="F24" i="1735"/>
  <c r="F188" s="1"/>
  <c r="F189" s="1"/>
  <c r="H218" i="1742" l="1"/>
  <c r="H216"/>
  <c r="H248"/>
  <c r="H249" s="1"/>
  <c r="J218"/>
  <c r="J216"/>
  <c r="J217" s="1"/>
  <c r="I218"/>
  <c r="D221" s="1"/>
  <c r="D242" s="1"/>
  <c r="D247" s="1"/>
  <c r="I216"/>
  <c r="I217" s="1"/>
  <c r="I196" i="1734"/>
  <c r="J193" i="1737"/>
  <c r="J194" s="1"/>
  <c r="J195" s="1"/>
  <c r="J199" s="1"/>
  <c r="F193" i="1735"/>
  <c r="F194" s="1"/>
  <c r="F195" s="1"/>
  <c r="F199" s="1"/>
  <c r="J204" i="1739"/>
  <c r="J205" s="1"/>
  <c r="D206" s="1"/>
  <c r="J197"/>
  <c r="J198" s="1"/>
  <c r="F287" i="1740"/>
  <c r="F288" s="1"/>
  <c r="N21" i="49" s="1"/>
  <c r="E270" i="1740"/>
  <c r="E271" s="1"/>
  <c r="D210"/>
  <c r="D214" s="1"/>
  <c r="J253" i="1746"/>
  <c r="J254" s="1"/>
  <c r="L299" s="1"/>
  <c r="L300" s="1"/>
  <c r="J274"/>
  <c r="J276" s="1"/>
  <c r="H16" i="49" s="1"/>
  <c r="M294" i="1746"/>
  <c r="M300" s="1"/>
  <c r="H274" i="1748"/>
  <c r="H275" s="1"/>
  <c r="H276" s="1"/>
  <c r="F14" i="49" s="1"/>
  <c r="G257" i="1748"/>
  <c r="I249"/>
  <c r="I250"/>
  <c r="G274" i="1749"/>
  <c r="G275" s="1"/>
  <c r="G276" s="1"/>
  <c r="E13" i="49" s="1"/>
  <c r="F257" i="1749"/>
  <c r="F274" s="1"/>
  <c r="E22" i="49" s="1"/>
  <c r="I197" i="1734"/>
  <c r="I198" s="1"/>
  <c r="I204"/>
  <c r="I205" s="1"/>
  <c r="J169" i="1735"/>
  <c r="J148"/>
  <c r="J149" s="1"/>
  <c r="J181"/>
  <c r="J183" s="1"/>
  <c r="F275" i="1745"/>
  <c r="F276" s="1"/>
  <c r="I12" i="49" s="1"/>
  <c r="E278" i="1744"/>
  <c r="J24" i="49" s="1"/>
  <c r="H257" i="1743"/>
  <c r="G294"/>
  <c r="G300" s="1"/>
  <c r="H253"/>
  <c r="H254" s="1"/>
  <c r="F299" s="1"/>
  <c r="F300" s="1"/>
  <c r="J250" i="1747"/>
  <c r="J249"/>
  <c r="J253" i="1745"/>
  <c r="J254" s="1"/>
  <c r="L299" s="1"/>
  <c r="L300" s="1"/>
  <c r="J274"/>
  <c r="J276" s="1"/>
  <c r="I16" i="49" s="1"/>
  <c r="M294" i="1745"/>
  <c r="M300" s="1"/>
  <c r="F257" i="1747"/>
  <c r="F274" s="1"/>
  <c r="G22" i="49" s="1"/>
  <c r="G274" i="1747"/>
  <c r="G275" s="1"/>
  <c r="G276" s="1"/>
  <c r="G13" i="49" s="1"/>
  <c r="I274" i="1749"/>
  <c r="J294"/>
  <c r="J300" s="1"/>
  <c r="I253"/>
  <c r="I254" s="1"/>
  <c r="I299" s="1"/>
  <c r="I300" s="1"/>
  <c r="J126" i="1734"/>
  <c r="J131" s="1"/>
  <c r="J130"/>
  <c r="J144" s="1"/>
  <c r="J160" s="1"/>
  <c r="J164" s="1"/>
  <c r="J166" s="1"/>
  <c r="J192" s="1"/>
  <c r="J126" i="1735"/>
  <c r="J131" s="1"/>
  <c r="J130"/>
  <c r="J144" s="1"/>
  <c r="J160" s="1"/>
  <c r="J164" s="1"/>
  <c r="J166" s="1"/>
  <c r="J192" s="1"/>
  <c r="J94" i="1734"/>
  <c r="J100" s="1"/>
  <c r="J143" s="1"/>
  <c r="I196" i="1735"/>
  <c r="D251" i="1746"/>
  <c r="D252" s="1"/>
  <c r="I274" i="1745"/>
  <c r="I276" s="1"/>
  <c r="I15" i="49" s="1"/>
  <c r="J294" i="1745"/>
  <c r="J300" s="1"/>
  <c r="I253"/>
  <c r="I254" s="1"/>
  <c r="I299" s="1"/>
  <c r="I300" s="1"/>
  <c r="J253" i="1749"/>
  <c r="J254" s="1"/>
  <c r="L299" s="1"/>
  <c r="L300" s="1"/>
  <c r="J274"/>
  <c r="M294"/>
  <c r="M300" s="1"/>
  <c r="J148" i="1734"/>
  <c r="J149" s="1"/>
  <c r="J169"/>
  <c r="J145"/>
  <c r="J177"/>
  <c r="J181"/>
  <c r="J183" s="1"/>
  <c r="D305" i="1744"/>
  <c r="D302"/>
  <c r="D303" s="1"/>
  <c r="E277"/>
  <c r="J23" i="49" s="1"/>
  <c r="D282" i="1744"/>
  <c r="D283" s="1"/>
  <c r="J18" i="49" s="1"/>
  <c r="D230" i="1741"/>
  <c r="D231" s="1"/>
  <c r="M17" i="49" s="1"/>
  <c r="H215" i="1741"/>
  <c r="J215"/>
  <c r="I215"/>
  <c r="J249" i="1748"/>
  <c r="J250"/>
  <c r="G274" i="1746"/>
  <c r="G275" s="1"/>
  <c r="G276" s="1"/>
  <c r="H13" i="49" s="1"/>
  <c r="F257" i="1746"/>
  <c r="F274" s="1"/>
  <c r="H22" i="49" s="1"/>
  <c r="H217" i="1743"/>
  <c r="E236" s="1"/>
  <c r="E235"/>
  <c r="I250" i="1747"/>
  <c r="D251" s="1"/>
  <c r="D252" s="1"/>
  <c r="I249"/>
  <c r="I274" i="1746"/>
  <c r="I276" s="1"/>
  <c r="H15" i="49" s="1"/>
  <c r="J294" i="1746"/>
  <c r="J300" s="1"/>
  <c r="I253"/>
  <c r="I254" s="1"/>
  <c r="I299" s="1"/>
  <c r="I300" s="1"/>
  <c r="F275" i="1744"/>
  <c r="F276" s="1"/>
  <c r="J12" i="49" s="1"/>
  <c r="J160" i="1736"/>
  <c r="J164" s="1"/>
  <c r="J166" s="1"/>
  <c r="J177"/>
  <c r="J178" s="1"/>
  <c r="I204"/>
  <c r="I205" s="1"/>
  <c r="I197"/>
  <c r="I198" s="1"/>
  <c r="J94" i="1735"/>
  <c r="J100" s="1"/>
  <c r="J143" s="1"/>
  <c r="N293" s="1"/>
  <c r="D251" i="1749"/>
  <c r="D252" s="1"/>
  <c r="D221" i="1743"/>
  <c r="D242" s="1"/>
  <c r="D247" s="1"/>
  <c r="J196" i="1738"/>
  <c r="J36" i="1440"/>
  <c r="I36"/>
  <c r="C36"/>
  <c r="G36"/>
  <c r="E36"/>
  <c r="B36"/>
  <c r="H36"/>
  <c r="D36"/>
  <c r="F36"/>
  <c r="G24" i="1735"/>
  <c r="G188" s="1"/>
  <c r="G189" s="1"/>
  <c r="H253" i="1742" l="1"/>
  <c r="H254" s="1"/>
  <c r="F299" s="1"/>
  <c r="F300" s="1"/>
  <c r="G294"/>
  <c r="G300" s="1"/>
  <c r="H257"/>
  <c r="N293" i="1734"/>
  <c r="D219" i="1742"/>
  <c r="D220" s="1"/>
  <c r="J248"/>
  <c r="I248"/>
  <c r="E235"/>
  <c r="H217"/>
  <c r="E236" s="1"/>
  <c r="J204" i="1738"/>
  <c r="J205" s="1"/>
  <c r="D206" s="1"/>
  <c r="J197"/>
  <c r="J198" s="1"/>
  <c r="D302" i="1746"/>
  <c r="D303" s="1"/>
  <c r="D305"/>
  <c r="E277"/>
  <c r="H23" i="49" s="1"/>
  <c r="D282" i="1746"/>
  <c r="D283" s="1"/>
  <c r="H18" i="49" s="1"/>
  <c r="J253" i="1748"/>
  <c r="J254" s="1"/>
  <c r="L299" s="1"/>
  <c r="L300" s="1"/>
  <c r="J274"/>
  <c r="J276" s="1"/>
  <c r="F16" i="49" s="1"/>
  <c r="M294" i="1748"/>
  <c r="M300" s="1"/>
  <c r="J218" i="1741"/>
  <c r="J216"/>
  <c r="J217" s="1"/>
  <c r="G193" i="1735"/>
  <c r="G194" s="1"/>
  <c r="G195" s="1"/>
  <c r="G199" s="1"/>
  <c r="I248" i="1743"/>
  <c r="J248"/>
  <c r="J192" i="1736"/>
  <c r="J193" s="1"/>
  <c r="J194" s="1"/>
  <c r="J195" s="1"/>
  <c r="N293"/>
  <c r="N300" s="1"/>
  <c r="I274" i="1747"/>
  <c r="J294"/>
  <c r="J300" s="1"/>
  <c r="I253"/>
  <c r="I254" s="1"/>
  <c r="I299" s="1"/>
  <c r="I300" s="1"/>
  <c r="F275" i="1746"/>
  <c r="F276" s="1"/>
  <c r="H12" i="49" s="1"/>
  <c r="I218" i="1741"/>
  <c r="I216"/>
  <c r="I217" s="1"/>
  <c r="H216"/>
  <c r="H218"/>
  <c r="H248"/>
  <c r="H249" s="1"/>
  <c r="J176" i="1734"/>
  <c r="J176" i="1735"/>
  <c r="I274" i="1748"/>
  <c r="I276" s="1"/>
  <c r="F15" i="49" s="1"/>
  <c r="J294" i="1748"/>
  <c r="J300" s="1"/>
  <c r="I253"/>
  <c r="I254" s="1"/>
  <c r="I299" s="1"/>
  <c r="I300" s="1"/>
  <c r="E278" i="1746"/>
  <c r="H24" i="49" s="1"/>
  <c r="J215" i="1740"/>
  <c r="D230"/>
  <c r="D231" s="1"/>
  <c r="N17" i="49" s="1"/>
  <c r="H215" i="1740"/>
  <c r="I215"/>
  <c r="F287" i="1739"/>
  <c r="F288" s="1"/>
  <c r="O21" i="49" s="1"/>
  <c r="D210" i="1739"/>
  <c r="D214" s="1"/>
  <c r="E270"/>
  <c r="E271" s="1"/>
  <c r="J178" i="1734"/>
  <c r="J177" i="1735"/>
  <c r="J145"/>
  <c r="F196"/>
  <c r="F197" s="1"/>
  <c r="F198" s="1"/>
  <c r="N298" i="1734"/>
  <c r="N300" s="1"/>
  <c r="J171"/>
  <c r="J173" s="1"/>
  <c r="D305" i="1745"/>
  <c r="D302"/>
  <c r="D303" s="1"/>
  <c r="D282"/>
  <c r="D283" s="1"/>
  <c r="I18" i="49" s="1"/>
  <c r="E277" i="1745"/>
  <c r="I23" i="49" s="1"/>
  <c r="I197" i="1735"/>
  <c r="I198" s="1"/>
  <c r="I204"/>
  <c r="I205" s="1"/>
  <c r="D302" i="1749"/>
  <c r="D303" s="1"/>
  <c r="D305"/>
  <c r="F275" i="1747"/>
  <c r="F276" s="1"/>
  <c r="G12" i="49" s="1"/>
  <c r="E278" i="1745"/>
  <c r="I24" i="49" s="1"/>
  <c r="J253" i="1747"/>
  <c r="J254" s="1"/>
  <c r="L299" s="1"/>
  <c r="L300" s="1"/>
  <c r="J274"/>
  <c r="M294"/>
  <c r="M300" s="1"/>
  <c r="H274" i="1743"/>
  <c r="H275" s="1"/>
  <c r="H276" s="1"/>
  <c r="K14" i="49" s="1"/>
  <c r="G257" i="1743"/>
  <c r="N298" i="1735"/>
  <c r="N300" s="1"/>
  <c r="J171"/>
  <c r="J173" s="1"/>
  <c r="F275" i="1749"/>
  <c r="F276" s="1"/>
  <c r="E12" i="49" s="1"/>
  <c r="G274" i="1748"/>
  <c r="G275" s="1"/>
  <c r="G276" s="1"/>
  <c r="F13" i="49" s="1"/>
  <c r="F257" i="1748"/>
  <c r="F274" s="1"/>
  <c r="F22" i="49" s="1"/>
  <c r="D251" i="1748"/>
  <c r="D252" s="1"/>
  <c r="J196" i="1737"/>
  <c r="K36" i="1440"/>
  <c r="D221" i="1741" l="1"/>
  <c r="D242" s="1"/>
  <c r="D247" s="1"/>
  <c r="G196" i="1735"/>
  <c r="G197" s="1"/>
  <c r="G198" s="1"/>
  <c r="I249" i="1742"/>
  <c r="I250"/>
  <c r="G257"/>
  <c r="H274"/>
  <c r="H275" s="1"/>
  <c r="H276" s="1"/>
  <c r="L14" i="49" s="1"/>
  <c r="J250" i="1742"/>
  <c r="J249"/>
  <c r="J193" i="1734"/>
  <c r="J194" s="1"/>
  <c r="J195" s="1"/>
  <c r="J199" s="1"/>
  <c r="J199" i="1736"/>
  <c r="J196"/>
  <c r="J204" i="1737"/>
  <c r="J205" s="1"/>
  <c r="D206" s="1"/>
  <c r="J197"/>
  <c r="J198" s="1"/>
  <c r="F257" i="1743"/>
  <c r="F274" s="1"/>
  <c r="K22" i="49" s="1"/>
  <c r="G274" i="1743"/>
  <c r="G275" s="1"/>
  <c r="G276" s="1"/>
  <c r="K13" i="49" s="1"/>
  <c r="H218" i="1740"/>
  <c r="H248"/>
  <c r="H249" s="1"/>
  <c r="H216"/>
  <c r="J218"/>
  <c r="J216"/>
  <c r="J217" s="1"/>
  <c r="H257" i="1741"/>
  <c r="G294"/>
  <c r="G300" s="1"/>
  <c r="H253"/>
  <c r="H254" s="1"/>
  <c r="F299" s="1"/>
  <c r="F300" s="1"/>
  <c r="H217"/>
  <c r="E236" s="1"/>
  <c r="E235"/>
  <c r="J248"/>
  <c r="I248"/>
  <c r="J250" i="1743"/>
  <c r="J249"/>
  <c r="F275" i="1748"/>
  <c r="F276" s="1"/>
  <c r="F12" i="49" s="1"/>
  <c r="D230" i="1739"/>
  <c r="D231" s="1"/>
  <c r="O17" i="49" s="1"/>
  <c r="H215" i="1739"/>
  <c r="J215"/>
  <c r="I215"/>
  <c r="I218" i="1740"/>
  <c r="D221" s="1"/>
  <c r="D242" s="1"/>
  <c r="D247" s="1"/>
  <c r="I216"/>
  <c r="I217" s="1"/>
  <c r="D305" i="1748"/>
  <c r="D302"/>
  <c r="D303" s="1"/>
  <c r="E277"/>
  <c r="F23" i="49" s="1"/>
  <c r="D282" i="1748"/>
  <c r="D283" s="1"/>
  <c r="F18" i="49" s="1"/>
  <c r="D305" i="1747"/>
  <c r="D302"/>
  <c r="D303" s="1"/>
  <c r="I250" i="1743"/>
  <c r="D251" s="1"/>
  <c r="D252" s="1"/>
  <c r="I249"/>
  <c r="E278" i="1748"/>
  <c r="F24" i="49" s="1"/>
  <c r="J178" i="1735"/>
  <c r="J193" s="1"/>
  <c r="J194" s="1"/>
  <c r="J195" s="1"/>
  <c r="D219" i="1741"/>
  <c r="D220" s="1"/>
  <c r="D210" i="1738"/>
  <c r="D214" s="1"/>
  <c r="F287"/>
  <c r="F288" s="1"/>
  <c r="P21" i="49" s="1"/>
  <c r="E270" i="1738"/>
  <c r="E271" s="1"/>
  <c r="L36" i="1440"/>
  <c r="L38" s="1"/>
  <c r="G38"/>
  <c r="G40"/>
  <c r="B38"/>
  <c r="B40"/>
  <c r="J38"/>
  <c r="J40"/>
  <c r="K38"/>
  <c r="K40"/>
  <c r="D38"/>
  <c r="D40"/>
  <c r="C38"/>
  <c r="C40"/>
  <c r="E38"/>
  <c r="E40"/>
  <c r="F38"/>
  <c r="F40"/>
  <c r="H38"/>
  <c r="H40"/>
  <c r="I38"/>
  <c r="I40"/>
  <c r="D251" i="1742" l="1"/>
  <c r="D252" s="1"/>
  <c r="F257"/>
  <c r="F274" s="1"/>
  <c r="L22" i="49" s="1"/>
  <c r="G274" i="1742"/>
  <c r="G275" s="1"/>
  <c r="G276" s="1"/>
  <c r="L13" i="49" s="1"/>
  <c r="J294" i="1742"/>
  <c r="J300" s="1"/>
  <c r="I274"/>
  <c r="I276" s="1"/>
  <c r="L15" i="49" s="1"/>
  <c r="I253" i="1742"/>
  <c r="I254" s="1"/>
  <c r="I299" s="1"/>
  <c r="I300" s="1"/>
  <c r="J253"/>
  <c r="J254" s="1"/>
  <c r="L299" s="1"/>
  <c r="L300" s="1"/>
  <c r="M294"/>
  <c r="M300" s="1"/>
  <c r="J274"/>
  <c r="J276" s="1"/>
  <c r="L16" i="49" s="1"/>
  <c r="J199" i="1735"/>
  <c r="J196"/>
  <c r="H215" i="1738"/>
  <c r="J215"/>
  <c r="I215"/>
  <c r="D230"/>
  <c r="D231" s="1"/>
  <c r="P17" i="49" s="1"/>
  <c r="I274" i="1743"/>
  <c r="I276" s="1"/>
  <c r="K15" i="49" s="1"/>
  <c r="J294" i="1743"/>
  <c r="J300" s="1"/>
  <c r="I253"/>
  <c r="I254" s="1"/>
  <c r="I299" s="1"/>
  <c r="I300" s="1"/>
  <c r="I216" i="1739"/>
  <c r="I217" s="1"/>
  <c r="I218"/>
  <c r="H218"/>
  <c r="H248"/>
  <c r="H249" s="1"/>
  <c r="H216"/>
  <c r="J250" i="1741"/>
  <c r="J249"/>
  <c r="E235" i="1740"/>
  <c r="H217"/>
  <c r="E236" s="1"/>
  <c r="F275" i="1743"/>
  <c r="F276" s="1"/>
  <c r="K12" i="49" s="1"/>
  <c r="F287" i="1737"/>
  <c r="F288" s="1"/>
  <c r="Q21" i="49" s="1"/>
  <c r="D210" i="1737"/>
  <c r="D214" s="1"/>
  <c r="E270"/>
  <c r="E271" s="1"/>
  <c r="D219" i="1740"/>
  <c r="D220" s="1"/>
  <c r="J248"/>
  <c r="I248"/>
  <c r="J218" i="1739"/>
  <c r="J216"/>
  <c r="J217" s="1"/>
  <c r="J253" i="1743"/>
  <c r="J254" s="1"/>
  <c r="L299" s="1"/>
  <c r="L300" s="1"/>
  <c r="J274"/>
  <c r="J276" s="1"/>
  <c r="K16" i="49" s="1"/>
  <c r="M294" i="1743"/>
  <c r="M300" s="1"/>
  <c r="I250" i="1741"/>
  <c r="D251" s="1"/>
  <c r="D252" s="1"/>
  <c r="I249"/>
  <c r="H274"/>
  <c r="H275" s="1"/>
  <c r="H276" s="1"/>
  <c r="M14" i="49" s="1"/>
  <c r="G257" i="1741"/>
  <c r="H253" i="1740"/>
  <c r="H254" s="1"/>
  <c r="F299" s="1"/>
  <c r="F300" s="1"/>
  <c r="H257"/>
  <c r="G294"/>
  <c r="G300" s="1"/>
  <c r="J204" i="1736"/>
  <c r="J205" s="1"/>
  <c r="D206" s="1"/>
  <c r="J197"/>
  <c r="J198" s="1"/>
  <c r="J196" i="1734"/>
  <c r="M36" i="1440"/>
  <c r="L40"/>
  <c r="L43" s="1"/>
  <c r="J43"/>
  <c r="B43"/>
  <c r="G43"/>
  <c r="I43"/>
  <c r="H43"/>
  <c r="F43"/>
  <c r="E43"/>
  <c r="C43"/>
  <c r="D43"/>
  <c r="K43"/>
  <c r="D305" i="1742" l="1"/>
  <c r="D302"/>
  <c r="D303" s="1"/>
  <c r="F275"/>
  <c r="F276" s="1"/>
  <c r="L12" i="49" s="1"/>
  <c r="E278" i="1742"/>
  <c r="L24" i="49" s="1"/>
  <c r="E277" i="1742"/>
  <c r="L23" i="49" s="1"/>
  <c r="D282" i="1742"/>
  <c r="D283" s="1"/>
  <c r="L18" i="49" s="1"/>
  <c r="J197" i="1734"/>
  <c r="J198" s="1"/>
  <c r="J204"/>
  <c r="J205" s="1"/>
  <c r="D206" s="1"/>
  <c r="F287" i="1736"/>
  <c r="F288" s="1"/>
  <c r="R21" i="49" s="1"/>
  <c r="D210" i="1736"/>
  <c r="D214" s="1"/>
  <c r="E270"/>
  <c r="E271" s="1"/>
  <c r="H274" i="1740"/>
  <c r="H275" s="1"/>
  <c r="H276" s="1"/>
  <c r="N14" i="49" s="1"/>
  <c r="G257" i="1740"/>
  <c r="G274" i="1741"/>
  <c r="G275" s="1"/>
  <c r="G276" s="1"/>
  <c r="M13" i="49" s="1"/>
  <c r="F257" i="1741"/>
  <c r="F274" s="1"/>
  <c r="M22" i="49" s="1"/>
  <c r="I274" i="1741"/>
  <c r="I276" s="1"/>
  <c r="M15" i="49" s="1"/>
  <c r="J294" i="1741"/>
  <c r="J300" s="1"/>
  <c r="I253"/>
  <c r="I254" s="1"/>
  <c r="I299" s="1"/>
  <c r="I300" s="1"/>
  <c r="J249" i="1740"/>
  <c r="J250"/>
  <c r="H257" i="1739"/>
  <c r="G294"/>
  <c r="G300" s="1"/>
  <c r="H253"/>
  <c r="H254" s="1"/>
  <c r="F299" s="1"/>
  <c r="F300" s="1"/>
  <c r="D302" i="1743"/>
  <c r="D303" s="1"/>
  <c r="D305"/>
  <c r="E277"/>
  <c r="K23" i="49" s="1"/>
  <c r="D282" i="1743"/>
  <c r="D283" s="1"/>
  <c r="K18" i="49" s="1"/>
  <c r="I218" i="1738"/>
  <c r="I216"/>
  <c r="I217" s="1"/>
  <c r="H218"/>
  <c r="H248"/>
  <c r="H249" s="1"/>
  <c r="H216"/>
  <c r="D221" i="1739"/>
  <c r="D242" s="1"/>
  <c r="D247" s="1"/>
  <c r="E278" i="1743"/>
  <c r="K24" i="49" s="1"/>
  <c r="I249" i="1740"/>
  <c r="I250"/>
  <c r="D251" s="1"/>
  <c r="D252" s="1"/>
  <c r="D230" i="1737"/>
  <c r="D231" s="1"/>
  <c r="Q17" i="49" s="1"/>
  <c r="H215" i="1737"/>
  <c r="J215"/>
  <c r="I215"/>
  <c r="J253" i="1741"/>
  <c r="J254" s="1"/>
  <c r="L299" s="1"/>
  <c r="L300" s="1"/>
  <c r="J274"/>
  <c r="J276" s="1"/>
  <c r="M16" i="49" s="1"/>
  <c r="M294" i="1741"/>
  <c r="M300" s="1"/>
  <c r="H217" i="1739"/>
  <c r="E236" s="1"/>
  <c r="E235"/>
  <c r="J218" i="1738"/>
  <c r="J216"/>
  <c r="J217" s="1"/>
  <c r="J204" i="1735"/>
  <c r="J205" s="1"/>
  <c r="D206" s="1"/>
  <c r="J197"/>
  <c r="J198" s="1"/>
  <c r="D219" i="1739"/>
  <c r="D220" s="1"/>
  <c r="M38" i="1440"/>
  <c r="M40"/>
  <c r="F287" i="1735" l="1"/>
  <c r="F288" s="1"/>
  <c r="S21" i="49" s="1"/>
  <c r="E270" i="1735"/>
  <c r="E271" s="1"/>
  <c r="D210"/>
  <c r="D214" s="1"/>
  <c r="E278" i="1741"/>
  <c r="M24" i="49" s="1"/>
  <c r="I216" i="1737"/>
  <c r="I217" s="1"/>
  <c r="I218"/>
  <c r="H218"/>
  <c r="H248"/>
  <c r="H249" s="1"/>
  <c r="H216"/>
  <c r="I248" i="1739"/>
  <c r="J248"/>
  <c r="H253" i="1738"/>
  <c r="H254" s="1"/>
  <c r="F299" s="1"/>
  <c r="F300" s="1"/>
  <c r="H257"/>
  <c r="G294"/>
  <c r="G300" s="1"/>
  <c r="J218" i="1737"/>
  <c r="J216"/>
  <c r="J217" s="1"/>
  <c r="J294" i="1740"/>
  <c r="J300" s="1"/>
  <c r="I253"/>
  <c r="I254" s="1"/>
  <c r="I299" s="1"/>
  <c r="I300" s="1"/>
  <c r="I274"/>
  <c r="I276" s="1"/>
  <c r="N15" i="49" s="1"/>
  <c r="E235" i="1738"/>
  <c r="H217"/>
  <c r="E236" s="1"/>
  <c r="H274" i="1739"/>
  <c r="H275" s="1"/>
  <c r="H276" s="1"/>
  <c r="O14" i="49" s="1"/>
  <c r="G257" i="1739"/>
  <c r="M294" i="1740"/>
  <c r="M300" s="1"/>
  <c r="J253"/>
  <c r="J254" s="1"/>
  <c r="L299" s="1"/>
  <c r="L300" s="1"/>
  <c r="J274"/>
  <c r="J276" s="1"/>
  <c r="N16" i="49" s="1"/>
  <c r="F275" i="1741"/>
  <c r="F276" s="1"/>
  <c r="M12" i="49" s="1"/>
  <c r="G274" i="1740"/>
  <c r="G275" s="1"/>
  <c r="G276" s="1"/>
  <c r="N13" i="49" s="1"/>
  <c r="F257" i="1740"/>
  <c r="F274" s="1"/>
  <c r="N22" i="49" s="1"/>
  <c r="D219" i="1738"/>
  <c r="D220" s="1"/>
  <c r="D221"/>
  <c r="D242" s="1"/>
  <c r="D247" s="1"/>
  <c r="D302" i="1741"/>
  <c r="D303" s="1"/>
  <c r="D305"/>
  <c r="D282"/>
  <c r="D283" s="1"/>
  <c r="M18" i="49" s="1"/>
  <c r="E277" i="1741"/>
  <c r="M23" i="49" s="1"/>
  <c r="I215" i="1736"/>
  <c r="D230"/>
  <c r="D231" s="1"/>
  <c r="R17" i="49" s="1"/>
  <c r="H215" i="1736"/>
  <c r="J215"/>
  <c r="D210" i="1734"/>
  <c r="D214" s="1"/>
  <c r="F287"/>
  <c r="F288" s="1"/>
  <c r="T21" i="49" s="1"/>
  <c r="E270" i="1734"/>
  <c r="E271" s="1"/>
  <c r="N36" i="1440"/>
  <c r="N40" s="1"/>
  <c r="O36"/>
  <c r="M43"/>
  <c r="B8"/>
  <c r="B29"/>
  <c r="J218" i="1736" l="1"/>
  <c r="J216"/>
  <c r="J217" s="1"/>
  <c r="D230" i="1734"/>
  <c r="D231" s="1"/>
  <c r="T17" i="49" s="1"/>
  <c r="J215" i="1734"/>
  <c r="I215"/>
  <c r="H215"/>
  <c r="H218" i="1736"/>
  <c r="D219" s="1"/>
  <c r="D220" s="1"/>
  <c r="H248"/>
  <c r="H249" s="1"/>
  <c r="H216"/>
  <c r="I218"/>
  <c r="D221" s="1"/>
  <c r="D242" s="1"/>
  <c r="D247" s="1"/>
  <c r="I216"/>
  <c r="I217" s="1"/>
  <c r="J248" i="1738"/>
  <c r="I248"/>
  <c r="F275" i="1740"/>
  <c r="F276" s="1"/>
  <c r="N12" i="49" s="1"/>
  <c r="E278" i="1740"/>
  <c r="N24" i="49" s="1"/>
  <c r="D302" i="1740"/>
  <c r="D303" s="1"/>
  <c r="D305"/>
  <c r="I250" i="1739"/>
  <c r="I249"/>
  <c r="H257" i="1737"/>
  <c r="G294"/>
  <c r="G300" s="1"/>
  <c r="H253"/>
  <c r="H254" s="1"/>
  <c r="F299" s="1"/>
  <c r="F300" s="1"/>
  <c r="D230" i="1735"/>
  <c r="D231" s="1"/>
  <c r="S17" i="49" s="1"/>
  <c r="H215" i="1735"/>
  <c r="I215"/>
  <c r="J215"/>
  <c r="D221" i="1737"/>
  <c r="D242" s="1"/>
  <c r="D247" s="1"/>
  <c r="F257" i="1739"/>
  <c r="F274" s="1"/>
  <c r="O22" i="49" s="1"/>
  <c r="G274" i="1739"/>
  <c r="G275" s="1"/>
  <c r="G276" s="1"/>
  <c r="O13" i="49" s="1"/>
  <c r="D282" i="1740"/>
  <c r="D283" s="1"/>
  <c r="N18" i="49" s="1"/>
  <c r="E277" i="1740"/>
  <c r="N23" i="49" s="1"/>
  <c r="G257" i="1738"/>
  <c r="H274"/>
  <c r="H275" s="1"/>
  <c r="H276" s="1"/>
  <c r="P14" i="49" s="1"/>
  <c r="J250" i="1739"/>
  <c r="J249"/>
  <c r="H217" i="1737"/>
  <c r="E236" s="1"/>
  <c r="E235"/>
  <c r="D219"/>
  <c r="D220" s="1"/>
  <c r="N38" i="1440"/>
  <c r="E29"/>
  <c r="E8"/>
  <c r="D8"/>
  <c r="D29"/>
  <c r="O38"/>
  <c r="O40"/>
  <c r="N43"/>
  <c r="Q36"/>
  <c r="D251" i="1739" l="1"/>
  <c r="D252" s="1"/>
  <c r="J253"/>
  <c r="J254" s="1"/>
  <c r="L299" s="1"/>
  <c r="L300" s="1"/>
  <c r="J274"/>
  <c r="J276" s="1"/>
  <c r="O16" i="49" s="1"/>
  <c r="M294" i="1739"/>
  <c r="M300" s="1"/>
  <c r="F275"/>
  <c r="F276" s="1"/>
  <c r="O12" i="49" s="1"/>
  <c r="J216" i="1735"/>
  <c r="J217" s="1"/>
  <c r="J218"/>
  <c r="H248"/>
  <c r="H249" s="1"/>
  <c r="H216"/>
  <c r="H218"/>
  <c r="H274" i="1737"/>
  <c r="H275" s="1"/>
  <c r="H276" s="1"/>
  <c r="Q14" i="49" s="1"/>
  <c r="G257" i="1737"/>
  <c r="G274" i="1738"/>
  <c r="G275" s="1"/>
  <c r="G276" s="1"/>
  <c r="P13" i="49" s="1"/>
  <c r="F257" i="1738"/>
  <c r="F274" s="1"/>
  <c r="P22" i="49" s="1"/>
  <c r="J248" i="1737"/>
  <c r="I248"/>
  <c r="I218" i="1735"/>
  <c r="D221" s="1"/>
  <c r="D242" s="1"/>
  <c r="D247" s="1"/>
  <c r="I216"/>
  <c r="I217" s="1"/>
  <c r="I274" i="1739"/>
  <c r="I276" s="1"/>
  <c r="O15" i="49" s="1"/>
  <c r="J294" i="1739"/>
  <c r="J300" s="1"/>
  <c r="I253"/>
  <c r="I254" s="1"/>
  <c r="I299" s="1"/>
  <c r="I300" s="1"/>
  <c r="I249" i="1738"/>
  <c r="I250"/>
  <c r="E235" i="1736"/>
  <c r="H217"/>
  <c r="E236" s="1"/>
  <c r="I218" i="1734"/>
  <c r="I216"/>
  <c r="I217" s="1"/>
  <c r="J249" i="1738"/>
  <c r="J250"/>
  <c r="J248" i="1736"/>
  <c r="I248"/>
  <c r="H253"/>
  <c r="H254" s="1"/>
  <c r="F299" s="1"/>
  <c r="F300" s="1"/>
  <c r="H257"/>
  <c r="G294"/>
  <c r="G300" s="1"/>
  <c r="H218" i="1734"/>
  <c r="D219" s="1"/>
  <c r="D220" s="1"/>
  <c r="H248"/>
  <c r="H249" s="1"/>
  <c r="H216"/>
  <c r="J218"/>
  <c r="J216"/>
  <c r="J217" s="1"/>
  <c r="J8" i="1440"/>
  <c r="I29"/>
  <c r="I8"/>
  <c r="I11" s="1"/>
  <c r="I13" s="1"/>
  <c r="I22" s="1"/>
  <c r="G29"/>
  <c r="G8"/>
  <c r="G11" s="1"/>
  <c r="G13" s="1"/>
  <c r="G22" s="1"/>
  <c r="H8"/>
  <c r="H29"/>
  <c r="F8"/>
  <c r="F11" s="1"/>
  <c r="F13" s="1"/>
  <c r="F22" s="1"/>
  <c r="F29"/>
  <c r="J29"/>
  <c r="C29"/>
  <c r="O43"/>
  <c r="Q38"/>
  <c r="Q40"/>
  <c r="B11"/>
  <c r="B13" s="1"/>
  <c r="B22" s="1"/>
  <c r="E235" i="1734" l="1"/>
  <c r="H217"/>
  <c r="E236" s="1"/>
  <c r="H274" i="1736"/>
  <c r="H275" s="1"/>
  <c r="H276" s="1"/>
  <c r="R14" i="49" s="1"/>
  <c r="G257" i="1736"/>
  <c r="I249"/>
  <c r="I250"/>
  <c r="D305" i="1739"/>
  <c r="D302"/>
  <c r="D303" s="1"/>
  <c r="E277"/>
  <c r="O23" i="49" s="1"/>
  <c r="D282" i="1739"/>
  <c r="D283" s="1"/>
  <c r="O18" i="49" s="1"/>
  <c r="I248" i="1735"/>
  <c r="J248"/>
  <c r="J250" i="1737"/>
  <c r="J249"/>
  <c r="H217" i="1735"/>
  <c r="E236" s="1"/>
  <c r="E235"/>
  <c r="D251" i="1738"/>
  <c r="D252" s="1"/>
  <c r="H253" i="1734"/>
  <c r="H254" s="1"/>
  <c r="F299" s="1"/>
  <c r="F300" s="1"/>
  <c r="H257"/>
  <c r="G294"/>
  <c r="G300" s="1"/>
  <c r="J249" i="1736"/>
  <c r="J250"/>
  <c r="J253" i="1738"/>
  <c r="J254" s="1"/>
  <c r="L299" s="1"/>
  <c r="L300" s="1"/>
  <c r="J274"/>
  <c r="M294"/>
  <c r="M300" s="1"/>
  <c r="I274"/>
  <c r="J294"/>
  <c r="J300" s="1"/>
  <c r="I253"/>
  <c r="I254" s="1"/>
  <c r="I299" s="1"/>
  <c r="I300" s="1"/>
  <c r="I250" i="1737"/>
  <c r="D251" s="1"/>
  <c r="D252" s="1"/>
  <c r="I249"/>
  <c r="F275" i="1738"/>
  <c r="F276" s="1"/>
  <c r="P12" i="49" s="1"/>
  <c r="G274" i="1737"/>
  <c r="G275" s="1"/>
  <c r="G276" s="1"/>
  <c r="Q13" i="49" s="1"/>
  <c r="F257" i="1737"/>
  <c r="F274" s="1"/>
  <c r="Q22" i="49" s="1"/>
  <c r="H257" i="1735"/>
  <c r="G294"/>
  <c r="G300" s="1"/>
  <c r="H253"/>
  <c r="H254" s="1"/>
  <c r="F299" s="1"/>
  <c r="F300" s="1"/>
  <c r="E278" i="1739"/>
  <c r="O24" i="49" s="1"/>
  <c r="D221" i="1734"/>
  <c r="D242" s="1"/>
  <c r="D247" s="1"/>
  <c r="D219" i="1735"/>
  <c r="D220" s="1"/>
  <c r="K29" i="1440"/>
  <c r="C8"/>
  <c r="C11" s="1"/>
  <c r="C13" s="1"/>
  <c r="C22" s="1"/>
  <c r="Q43"/>
  <c r="H11"/>
  <c r="H13" s="1"/>
  <c r="H22" s="1"/>
  <c r="J11"/>
  <c r="J13" s="1"/>
  <c r="J22" s="1"/>
  <c r="D11"/>
  <c r="D13" s="1"/>
  <c r="D22" s="1"/>
  <c r="H274" i="1735" l="1"/>
  <c r="H275" s="1"/>
  <c r="H276" s="1"/>
  <c r="S14" i="49" s="1"/>
  <c r="G257" i="1735"/>
  <c r="J253" i="1736"/>
  <c r="J254" s="1"/>
  <c r="L299" s="1"/>
  <c r="L300" s="1"/>
  <c r="J274"/>
  <c r="J276" s="1"/>
  <c r="R16" i="49" s="1"/>
  <c r="M294" i="1736"/>
  <c r="M300" s="1"/>
  <c r="G257" i="1734"/>
  <c r="H274"/>
  <c r="H275" s="1"/>
  <c r="H276" s="1"/>
  <c r="T14" i="49" s="1"/>
  <c r="I250" i="1735"/>
  <c r="I249"/>
  <c r="J248" i="1734"/>
  <c r="I248"/>
  <c r="F275" i="1737"/>
  <c r="F276" s="1"/>
  <c r="Q12" i="49" s="1"/>
  <c r="I274" i="1737"/>
  <c r="J294"/>
  <c r="J300" s="1"/>
  <c r="I253"/>
  <c r="I254" s="1"/>
  <c r="I299" s="1"/>
  <c r="I300" s="1"/>
  <c r="D302" i="1738"/>
  <c r="D303" s="1"/>
  <c r="D305"/>
  <c r="J253" i="1737"/>
  <c r="J254" s="1"/>
  <c r="L299" s="1"/>
  <c r="L300" s="1"/>
  <c r="J274"/>
  <c r="M294"/>
  <c r="M300" s="1"/>
  <c r="J250" i="1735"/>
  <c r="J249"/>
  <c r="I274" i="1736"/>
  <c r="I276" s="1"/>
  <c r="R15" i="49" s="1"/>
  <c r="J294" i="1736"/>
  <c r="J300" s="1"/>
  <c r="I253"/>
  <c r="I254" s="1"/>
  <c r="I299" s="1"/>
  <c r="I300" s="1"/>
  <c r="G274"/>
  <c r="G275" s="1"/>
  <c r="G276" s="1"/>
  <c r="R13" i="49" s="1"/>
  <c r="F257" i="1736"/>
  <c r="F274" s="1"/>
  <c r="R22" i="49" s="1"/>
  <c r="D251" i="1736"/>
  <c r="D252" s="1"/>
  <c r="L29" i="1440"/>
  <c r="L8"/>
  <c r="L11" s="1"/>
  <c r="L13" s="1"/>
  <c r="L22" s="1"/>
  <c r="K8"/>
  <c r="K11" s="1"/>
  <c r="K13" s="1"/>
  <c r="K22" s="1"/>
  <c r="P36"/>
  <c r="E11"/>
  <c r="E13" s="1"/>
  <c r="E22" s="1"/>
  <c r="I249" i="1734" l="1"/>
  <c r="I250"/>
  <c r="I274" i="1735"/>
  <c r="I276" s="1"/>
  <c r="S15" i="49" s="1"/>
  <c r="J294" i="1735"/>
  <c r="J300" s="1"/>
  <c r="I253"/>
  <c r="I254" s="1"/>
  <c r="I299" s="1"/>
  <c r="I300" s="1"/>
  <c r="J253"/>
  <c r="J254" s="1"/>
  <c r="L299" s="1"/>
  <c r="L300" s="1"/>
  <c r="J274"/>
  <c r="J276" s="1"/>
  <c r="S16" i="49" s="1"/>
  <c r="M294" i="1735"/>
  <c r="M300" s="1"/>
  <c r="F275" i="1736"/>
  <c r="F276" s="1"/>
  <c r="R12" i="49" s="1"/>
  <c r="D302" i="1736"/>
  <c r="D303" s="1"/>
  <c r="D305"/>
  <c r="D282"/>
  <c r="D283" s="1"/>
  <c r="R18" i="49" s="1"/>
  <c r="E277" i="1736"/>
  <c r="R23" i="49" s="1"/>
  <c r="D302" i="1737"/>
  <c r="D303" s="1"/>
  <c r="D305"/>
  <c r="J249" i="1734"/>
  <c r="J250"/>
  <c r="G274"/>
  <c r="G275" s="1"/>
  <c r="G276" s="1"/>
  <c r="T13" i="49" s="1"/>
  <c r="F257" i="1734"/>
  <c r="F274" s="1"/>
  <c r="T22" i="49" s="1"/>
  <c r="E278" i="1736"/>
  <c r="R24" i="49" s="1"/>
  <c r="F257" i="1735"/>
  <c r="F274" s="1"/>
  <c r="S22" i="49" s="1"/>
  <c r="G274" i="1735"/>
  <c r="G275" s="1"/>
  <c r="G276" s="1"/>
  <c r="S13" i="49" s="1"/>
  <c r="D251" i="1735"/>
  <c r="D252" s="1"/>
  <c r="M29" i="1440"/>
  <c r="P38"/>
  <c r="P40"/>
  <c r="F275" i="1734" l="1"/>
  <c r="F276" s="1"/>
  <c r="T12" i="49" s="1"/>
  <c r="E278" i="1735"/>
  <c r="S24" i="49" s="1"/>
  <c r="D302" i="1735"/>
  <c r="D303" s="1"/>
  <c r="D305"/>
  <c r="D282"/>
  <c r="D283" s="1"/>
  <c r="S18" i="49" s="1"/>
  <c r="E277" i="1735"/>
  <c r="S23" i="49" s="1"/>
  <c r="I274" i="1734"/>
  <c r="I276" s="1"/>
  <c r="T15" i="49" s="1"/>
  <c r="J294" i="1734"/>
  <c r="J300" s="1"/>
  <c r="I253"/>
  <c r="I254" s="1"/>
  <c r="I299" s="1"/>
  <c r="I300" s="1"/>
  <c r="F275" i="1735"/>
  <c r="F276" s="1"/>
  <c r="S12" i="49" s="1"/>
  <c r="J253" i="1734"/>
  <c r="J254" s="1"/>
  <c r="L299" s="1"/>
  <c r="L300" s="1"/>
  <c r="J274"/>
  <c r="J276" s="1"/>
  <c r="T16" i="49" s="1"/>
  <c r="M294" i="1734"/>
  <c r="M300" s="1"/>
  <c r="D251"/>
  <c r="D252" s="1"/>
  <c r="M8" i="1440"/>
  <c r="M11" s="1"/>
  <c r="M13" s="1"/>
  <c r="M22" s="1"/>
  <c r="P43"/>
  <c r="E278" i="1734" l="1"/>
  <c r="T24" i="49" s="1"/>
  <c r="D305" i="1734"/>
  <c r="D302"/>
  <c r="D303" s="1"/>
  <c r="D282"/>
  <c r="D283" s="1"/>
  <c r="T18" i="49" s="1"/>
  <c r="E277" i="1734"/>
  <c r="T23" i="49" s="1"/>
  <c r="O29" i="1440"/>
  <c r="N8"/>
  <c r="N11" s="1"/>
  <c r="N13" s="1"/>
  <c r="N22" s="1"/>
  <c r="N29"/>
  <c r="V16" i="49" l="1"/>
  <c r="V30" s="1"/>
  <c r="V15"/>
  <c r="V29" s="1"/>
  <c r="Q29" i="1440"/>
  <c r="O8"/>
  <c r="O11" s="1"/>
  <c r="O13" s="1"/>
  <c r="O22" s="1"/>
  <c r="Q8" l="1"/>
  <c r="Q11" s="1"/>
  <c r="Q13" s="1"/>
  <c r="Q22" s="1"/>
  <c r="V22" i="49"/>
  <c r="P29" i="1440"/>
  <c r="P8" l="1"/>
  <c r="P11" s="1"/>
  <c r="P13" s="1"/>
  <c r="P22" s="1"/>
</calcChain>
</file>

<file path=xl/comments1.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0.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1.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2.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3.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4.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5.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16.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2.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3.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4.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5.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6.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7.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8.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comments9.xml><?xml version="1.0" encoding="utf-8"?>
<comments xmlns="http://schemas.openxmlformats.org/spreadsheetml/2006/main">
  <authors>
    <author>Paul Ware</author>
  </authors>
  <commentList>
    <comment ref="C7" authorId="0">
      <text>
        <r>
          <rPr>
            <b/>
            <sz val="8"/>
            <color indexed="81"/>
            <rFont val="Tahoma"/>
            <family val="2"/>
          </rPr>
          <t>Paul Ware:</t>
        </r>
        <r>
          <rPr>
            <sz val="8"/>
            <color indexed="81"/>
            <rFont val="Tahoma"/>
            <family val="2"/>
          </rPr>
          <t xml:space="preserve">
These 'year numbers' are used only to refer to data in the input sheet that is arranged as the transpose of the way in which the data is required on this sheet. It does not relate to Year 1, Year 2 etc of a regulatory period.</t>
        </r>
      </text>
    </comment>
    <comment ref="F55" authorId="0">
      <text>
        <r>
          <rPr>
            <b/>
            <sz val="8"/>
            <color indexed="81"/>
            <rFont val="Tahoma"/>
            <family val="2"/>
          </rPr>
          <t>Paul Ware:</t>
        </r>
        <r>
          <rPr>
            <sz val="8"/>
            <color indexed="81"/>
            <rFont val="Tahoma"/>
            <family val="2"/>
          </rPr>
          <t xml:space="preserve">
Forecast of disposed assets set to nil, rather than being held constant in real terms.</t>
        </r>
      </text>
    </comment>
    <comment ref="E62" authorId="0">
      <text>
        <r>
          <rPr>
            <b/>
            <sz val="8"/>
            <color indexed="81"/>
            <rFont val="Tahoma"/>
            <family val="2"/>
          </rPr>
          <t>Paul Ware:</t>
        </r>
        <r>
          <rPr>
            <sz val="8"/>
            <color indexed="81"/>
            <rFont val="Tahoma"/>
            <family val="2"/>
          </rPr>
          <t xml:space="preserve">
Arguably should take account of known 2009/10 data re end-of-life assets etc.</t>
        </r>
      </text>
    </comment>
    <comment ref="I225" authorId="0">
      <text>
        <r>
          <rPr>
            <b/>
            <sz val="8"/>
            <color indexed="81"/>
            <rFont val="Tahoma"/>
            <family val="2"/>
          </rPr>
          <t>Paul Ware:</t>
        </r>
        <r>
          <rPr>
            <sz val="8"/>
            <color indexed="81"/>
            <rFont val="Tahoma"/>
            <family val="2"/>
          </rPr>
          <t xml:space="preserve">
Note that a different </t>
        </r>
        <r>
          <rPr>
            <sz val="8"/>
            <color indexed="81"/>
            <rFont val="Calibri"/>
            <family val="2"/>
          </rPr>
          <t>Δ</t>
        </r>
        <r>
          <rPr>
            <sz val="6.8"/>
            <color indexed="81"/>
            <rFont val="Tahoma"/>
            <family val="2"/>
          </rPr>
          <t>CPI is used in this year relative to the value used in previous years.</t>
        </r>
      </text>
    </comment>
  </commentList>
</comments>
</file>

<file path=xl/sharedStrings.xml><?xml version="1.0" encoding="utf-8"?>
<sst xmlns="http://schemas.openxmlformats.org/spreadsheetml/2006/main" count="5370" uniqueCount="523">
  <si>
    <t>Purpose</t>
  </si>
  <si>
    <t>Description</t>
  </si>
  <si>
    <t>Inputs Anchor</t>
  </si>
  <si>
    <t>Inputs</t>
  </si>
  <si>
    <t>Calculations</t>
  </si>
  <si>
    <t>Time series data only in these columns</t>
  </si>
  <si>
    <t>Versions</t>
  </si>
  <si>
    <t>Non business-specific single inputs</t>
  </si>
  <si>
    <t>Notes</t>
  </si>
  <si>
    <t>Vanilla WACC (75th Percentile)</t>
  </si>
  <si>
    <t>Cost of Debt</t>
  </si>
  <si>
    <t>Leverage</t>
  </si>
  <si>
    <t xml:space="preserve">Alpine Energy </t>
  </si>
  <si>
    <t>Aurora Energy</t>
  </si>
  <si>
    <t xml:space="preserve">Centralines </t>
  </si>
  <si>
    <t xml:space="preserve">Eastland </t>
  </si>
  <si>
    <t>Electricity Ashburton</t>
  </si>
  <si>
    <t>Electricity Invercargill</t>
  </si>
  <si>
    <t xml:space="preserve">Horizon Energy </t>
  </si>
  <si>
    <t xml:space="preserve">Nelson Electricity </t>
  </si>
  <si>
    <t xml:space="preserve">Network Tasman </t>
  </si>
  <si>
    <t xml:space="preserve">OtagoNet </t>
  </si>
  <si>
    <t xml:space="preserve">Powerco </t>
  </si>
  <si>
    <t>The Lines Company</t>
  </si>
  <si>
    <t xml:space="preserve">Top Energy </t>
  </si>
  <si>
    <t xml:space="preserve">Unison </t>
  </si>
  <si>
    <t xml:space="preserve">Vector </t>
  </si>
  <si>
    <t xml:space="preserve">Wellington Electricity </t>
  </si>
  <si>
    <t>Line Revenue through Prices</t>
  </si>
  <si>
    <t>Pass-through costs</t>
  </si>
  <si>
    <t>Recoverable costs</t>
  </si>
  <si>
    <t>Operating Expenditure</t>
  </si>
  <si>
    <t>Opening RAB</t>
  </si>
  <si>
    <t>RAB of disposed assets</t>
  </si>
  <si>
    <t>Discretionary discounts &amp;  rebates</t>
  </si>
  <si>
    <t>Tax Depreciation</t>
  </si>
  <si>
    <t>Base year</t>
  </si>
  <si>
    <t>Misc</t>
  </si>
  <si>
    <t>Tax rate</t>
  </si>
  <si>
    <t>Remaining asset life of existing assets</t>
  </si>
  <si>
    <t>Commissioned Assets</t>
  </si>
  <si>
    <t>Disposed assets</t>
  </si>
  <si>
    <t>Revaluation of existing assets</t>
  </si>
  <si>
    <t>Depreciation of existing assets</t>
  </si>
  <si>
    <t>Closing RAB value of existing assets</t>
  </si>
  <si>
    <t>Revaluation</t>
  </si>
  <si>
    <t>Adjusted depreciation</t>
  </si>
  <si>
    <t>Regulatory Tax Asset Value</t>
  </si>
  <si>
    <t>Deferred Tax Asset Value</t>
  </si>
  <si>
    <t>Amortisation of Initial Differences in Asset Values</t>
  </si>
  <si>
    <t>Deductions for regulatory tax purposes</t>
  </si>
  <si>
    <t>Notional Deductible Interest</t>
  </si>
  <si>
    <t>Amortisation of Revaluations</t>
  </si>
  <si>
    <t>Regulatory tax adjustments</t>
  </si>
  <si>
    <t>Opex</t>
  </si>
  <si>
    <t>PV of total costs to recover</t>
  </si>
  <si>
    <t>Tax payable</t>
  </si>
  <si>
    <t>Revenue</t>
  </si>
  <si>
    <t>IRR</t>
  </si>
  <si>
    <t>Remaining life of newly commissioned assets</t>
  </si>
  <si>
    <t>years</t>
  </si>
  <si>
    <t>data</t>
  </si>
  <si>
    <t>Misc.</t>
  </si>
  <si>
    <t>Base yr</t>
  </si>
  <si>
    <t>Year number (base year number = 1)</t>
  </si>
  <si>
    <t>Year sequence number</t>
  </si>
  <si>
    <t>Closing RAB value of existing assets, adjusted deprec'n</t>
  </si>
  <si>
    <t>Total adjusted depreciation of commissioned assets</t>
  </si>
  <si>
    <t>Adjusted depreciation, existing assets</t>
  </si>
  <si>
    <t>Adjusted depn of existing assets</t>
  </si>
  <si>
    <t>Opening RAB value of existing assets, adjusted depn</t>
  </si>
  <si>
    <t>Totals of asset values, depreciation etc</t>
  </si>
  <si>
    <t>Total opening RAB of comm assets, adjusted depn</t>
  </si>
  <si>
    <t>Total closing RAB of comm assets, adjusted depn</t>
  </si>
  <si>
    <t>RAB, depreciation etc of assets commissioned</t>
  </si>
  <si>
    <t>Depreciation of commissioned assets</t>
  </si>
  <si>
    <t>To Do</t>
  </si>
  <si>
    <t>Timing Factors</t>
  </si>
  <si>
    <r>
      <t>TF</t>
    </r>
    <r>
      <rPr>
        <vertAlign val="subscript"/>
        <sz val="11"/>
        <color theme="1"/>
        <rFont val="Calibri"/>
        <family val="2"/>
        <scheme val="minor"/>
      </rPr>
      <t>opex</t>
    </r>
  </si>
  <si>
    <r>
      <t>TF</t>
    </r>
    <r>
      <rPr>
        <vertAlign val="subscript"/>
        <sz val="11"/>
        <color theme="1"/>
        <rFont val="Calibri"/>
        <family val="2"/>
        <scheme val="minor"/>
      </rPr>
      <t>tax</t>
    </r>
  </si>
  <si>
    <r>
      <t>TF</t>
    </r>
    <r>
      <rPr>
        <vertAlign val="subscript"/>
        <sz val="11"/>
        <color theme="1"/>
        <rFont val="Calibri"/>
        <family val="2"/>
        <scheme val="minor"/>
      </rPr>
      <t>rev</t>
    </r>
  </si>
  <si>
    <t>Days from revenue date to year-end</t>
  </si>
  <si>
    <t>Days from mid-year to year-end</t>
  </si>
  <si>
    <t>i.e. mid-year</t>
  </si>
  <si>
    <t>Asset disposal date</t>
  </si>
  <si>
    <t>Interest date</t>
  </si>
  <si>
    <t>asset commissioning date</t>
  </si>
  <si>
    <t>tax date</t>
  </si>
  <si>
    <t>Opex date</t>
  </si>
  <si>
    <t>Revenue date</t>
  </si>
  <si>
    <t>Mid-year date</t>
  </si>
  <si>
    <t>Days in a year</t>
  </si>
  <si>
    <t>Year-end date</t>
  </si>
  <si>
    <t>All dates are entered as being for the year ending in the 12 month period 1 January 2013 to 31 December 2013.</t>
  </si>
  <si>
    <t>of revenues, opex, commissioning of assets, interest and tax payments.</t>
  </si>
  <si>
    <t>This sheet contains inputs and calculations relating to an analysis that allows general timings to be adopted, i.e. inputs for the timing</t>
  </si>
  <si>
    <t>Intra-year timing</t>
  </si>
  <si>
    <t>Existing assets RAB, revaluation and depreciation</t>
  </si>
  <si>
    <t>Term Credit Spread Differential Allowance</t>
  </si>
  <si>
    <t>Present value of indexed revenues</t>
  </si>
  <si>
    <t>Indexed amount of revenue</t>
  </si>
  <si>
    <t>Consumers Price Index</t>
  </si>
  <si>
    <t>Base: June 2006 quarter (=1000)</t>
  </si>
  <si>
    <t>Index</t>
  </si>
  <si>
    <t>Percentage change</t>
  </si>
  <si>
    <t>From
previous
quarter</t>
  </si>
  <si>
    <t>From same
quarter of
previous year</t>
  </si>
  <si>
    <t>Series ref: CPIQ</t>
  </si>
  <si>
    <t>SE9NS6000</t>
  </si>
  <si>
    <t/>
  </si>
  <si>
    <t>SE9NS6500</t>
  </si>
  <si>
    <t>SE9A</t>
  </si>
  <si>
    <t>Quarter</t>
  </si>
  <si>
    <t>Dec</t>
  </si>
  <si>
    <t>2004</t>
  </si>
  <si>
    <t>Mar</t>
  </si>
  <si>
    <t>Jun</t>
  </si>
  <si>
    <t>Sep</t>
  </si>
  <si>
    <t>2005</t>
  </si>
  <si>
    <t>2006</t>
  </si>
  <si>
    <t>2007</t>
  </si>
  <si>
    <t>2008</t>
  </si>
  <si>
    <t>2009</t>
  </si>
  <si>
    <t>Business-specific data</t>
  </si>
  <si>
    <t>Value of commissioned assets</t>
  </si>
  <si>
    <t>Commissioned assets</t>
  </si>
  <si>
    <t>(annual)</t>
  </si>
  <si>
    <t>Jun 2012</t>
  </si>
  <si>
    <t>Sep 2012</t>
  </si>
  <si>
    <t>Dec 2012</t>
  </si>
  <si>
    <t>Mar 2013</t>
  </si>
  <si>
    <t>Jun 2013</t>
  </si>
  <si>
    <t>Sep 2013</t>
  </si>
  <si>
    <t>Dec 2013</t>
  </si>
  <si>
    <t>Jun 2014</t>
  </si>
  <si>
    <t>Mar 2014</t>
  </si>
  <si>
    <t>Sep 2014</t>
  </si>
  <si>
    <t>Dec 2014</t>
  </si>
  <si>
    <t>Mar 2015</t>
  </si>
  <si>
    <t>Jun 2015</t>
  </si>
  <si>
    <t>Series</t>
  </si>
  <si>
    <t>(extended)</t>
  </si>
  <si>
    <t>Year</t>
  </si>
  <si>
    <t>Copied from www.stats.govt.nz on 24/4/2012. Unhide columns to view full NZ Statistics table.</t>
  </si>
  <si>
    <t>Extended SE9A series,</t>
  </si>
  <si>
    <t>derived from Statistics</t>
  </si>
  <si>
    <t>and RBNZ data</t>
  </si>
  <si>
    <t>Source: Statistics New Zealand, RBNZ estimates.</t>
  </si>
  <si>
    <t>DATE</t>
  </si>
  <si>
    <t>A%</t>
  </si>
  <si>
    <t>2003</t>
  </si>
  <si>
    <t>2002</t>
  </si>
  <si>
    <t>2001</t>
  </si>
  <si>
    <r>
      <t>Tradables, non-tradables and all groups – index numbers and percentage changes</t>
    </r>
    <r>
      <rPr>
        <i/>
        <vertAlign val="superscript"/>
        <sz val="11"/>
        <rFont val="Arial Mäori"/>
        <family val="2"/>
      </rPr>
      <t>(1)(2)</t>
    </r>
  </si>
  <si>
    <r>
      <t>Tradables</t>
    </r>
    <r>
      <rPr>
        <vertAlign val="superscript"/>
        <sz val="8"/>
        <rFont val="Arial Mäori"/>
        <family val="2"/>
      </rPr>
      <t>(3)(4)</t>
    </r>
  </si>
  <si>
    <r>
      <t>Non-tradables</t>
    </r>
    <r>
      <rPr>
        <vertAlign val="superscript"/>
        <sz val="8"/>
        <rFont val="Arial Mäori"/>
        <family val="2"/>
      </rPr>
      <t>(5)</t>
    </r>
  </si>
  <si>
    <r>
      <t>All groups</t>
    </r>
    <r>
      <rPr>
        <vertAlign val="superscript"/>
        <sz val="8"/>
        <rFont val="Arial Mäori"/>
        <family val="2"/>
      </rPr>
      <t>(3)</t>
    </r>
  </si>
  <si>
    <t>PV of the equivalent single amount</t>
  </si>
  <si>
    <t>Dates of receipt of revenues</t>
  </si>
  <si>
    <t>PV of BBAR before tax over the PV period</t>
  </si>
  <si>
    <t>Present value of indexed revenues for each year</t>
  </si>
  <si>
    <t>Timing flags</t>
  </si>
  <si>
    <t>CPI minus X revenues for industry-wide X</t>
  </si>
  <si>
    <t>X value used during PV period</t>
  </si>
  <si>
    <t>ΔCPI base year to first PV year</t>
  </si>
  <si>
    <t>Calculation of present value of total costs over the present value period</t>
  </si>
  <si>
    <t>Opening investment value</t>
  </si>
  <si>
    <t>Return of capital</t>
  </si>
  <si>
    <t>Spec 2.1.4</t>
  </si>
  <si>
    <t>Supplier Number</t>
  </si>
  <si>
    <t>Results anchor cell</t>
  </si>
  <si>
    <t>Dec 2009</t>
  </si>
  <si>
    <t>Mar 2010</t>
  </si>
  <si>
    <t>Jun 2010</t>
  </si>
  <si>
    <t>Sep 2010</t>
  </si>
  <si>
    <t>Dec 2010</t>
  </si>
  <si>
    <t>Mar 2011</t>
  </si>
  <si>
    <t>Jun 2011</t>
  </si>
  <si>
    <t>Sep 2011</t>
  </si>
  <si>
    <t>Dec 2011</t>
  </si>
  <si>
    <t>Mar 2012</t>
  </si>
  <si>
    <t>Copied from www.rbnz.govt.nz on 24/4/2012 (Fig 5.13 of the Sept 2009 MPS)</t>
  </si>
  <si>
    <t>CPI prior to Dec 2010 has been</t>
  </si>
  <si>
    <t>multiplied by 1.02 as required by</t>
  </si>
  <si>
    <t>the input methodologies.</t>
  </si>
  <si>
    <t>forecast increases.</t>
  </si>
  <si>
    <t>CPI after Sep 2009 has been</t>
  </si>
  <si>
    <t xml:space="preserve">based on the Reserve Bank </t>
  </si>
  <si>
    <t>Sum of</t>
  </si>
  <si>
    <t>prior 4</t>
  </si>
  <si>
    <t>indices</t>
  </si>
  <si>
    <t>sum of 4</t>
  </si>
  <si>
    <t>previous</t>
  </si>
  <si>
    <t>Increase</t>
  </si>
  <si>
    <t>of sum of</t>
  </si>
  <si>
    <t>4 to</t>
  </si>
  <si>
    <t>Previous</t>
  </si>
  <si>
    <t>column,</t>
  </si>
  <si>
    <t>but with 18</t>
  </si>
  <si>
    <t>month lag</t>
  </si>
  <si>
    <t>18 mth</t>
  </si>
  <si>
    <t>lagged 8</t>
  </si>
  <si>
    <t>index CPI</t>
  </si>
  <si>
    <t>increase</t>
  </si>
  <si>
    <t>Fig 5.13</t>
  </si>
  <si>
    <t>CPI, tradable and non-tradable inflation</t>
  </si>
  <si>
    <t>Tradable</t>
  </si>
  <si>
    <t>Non-tradable</t>
  </si>
  <si>
    <t>CPI</t>
  </si>
  <si>
    <t>with 1.02</t>
  </si>
  <si>
    <t>adjustm't</t>
  </si>
  <si>
    <t>Simple 12</t>
  </si>
  <si>
    <t>month CPI</t>
  </si>
  <si>
    <t>change, no</t>
  </si>
  <si>
    <t>lag</t>
  </si>
  <si>
    <t>8 index lagged CPI</t>
  </si>
  <si>
    <t>2 index no lag CPI</t>
  </si>
  <si>
    <t>Total</t>
  </si>
  <si>
    <t>Investment and divestment</t>
  </si>
  <si>
    <t>IRR less WACC (should = 0)</t>
  </si>
  <si>
    <t>Check of IRR of the supplier's investment over the PV period</t>
  </si>
  <si>
    <t>Opening RAB value of existing assets</t>
  </si>
  <si>
    <t>TCSD Allowance</t>
  </si>
  <si>
    <t>This workbook performs many of the calculations required to determine the allowed prices and revenues</t>
  </si>
  <si>
    <t xml:space="preserve">CPI minus X revenues (using industry-wide or alternate X where applicable) </t>
  </si>
  <si>
    <t>XNPV at WACC</t>
  </si>
  <si>
    <t>Equivalent single cash flow</t>
  </si>
  <si>
    <t>Calculation that a 3 November receipt date for all revenues in a year ending 31 March is equivalent to</t>
  </si>
  <si>
    <t>receiving 12 equal revenue amounts on the 20th of the month following the provision of service.</t>
  </si>
  <si>
    <t>PV as at 31/3/12 of the series of unit amounts</t>
  </si>
  <si>
    <t>Intra-year timing factors</t>
  </si>
  <si>
    <t>Almost all inputs to this workbook are in the 'Inputs' sheet. The sheet 'IntraYr' contains the intra-year timing</t>
  </si>
  <si>
    <r>
      <t>i.e. equivalent to 12 monthly transactions at 20</t>
    </r>
    <r>
      <rPr>
        <vertAlign val="superscript"/>
        <sz val="11"/>
        <color theme="1"/>
        <rFont val="Calibri"/>
        <family val="2"/>
        <scheme val="minor"/>
      </rPr>
      <t>th</t>
    </r>
    <r>
      <rPr>
        <sz val="11"/>
        <color theme="1"/>
        <rFont val="Calibri"/>
        <family val="2"/>
        <scheme val="minor"/>
      </rPr>
      <t xml:space="preserve"> of following month, as demonstrated below</t>
    </r>
  </si>
  <si>
    <t>Adjusted RAB &amp; Depreciation of assets commissioned</t>
  </si>
  <si>
    <t>Other regulated income</t>
  </si>
  <si>
    <r>
      <t>TF</t>
    </r>
    <r>
      <rPr>
        <vertAlign val="subscript"/>
        <sz val="11"/>
        <color theme="1"/>
        <rFont val="Calibri"/>
        <family val="2"/>
        <scheme val="minor"/>
      </rPr>
      <t>ori</t>
    </r>
  </si>
  <si>
    <t>TF for mid-year cash flows</t>
  </si>
  <si>
    <r>
      <t>TF</t>
    </r>
    <r>
      <rPr>
        <vertAlign val="subscript"/>
        <sz val="11"/>
        <color theme="1"/>
        <rFont val="Calibri"/>
        <family val="2"/>
        <scheme val="minor"/>
      </rPr>
      <t>VCA</t>
    </r>
  </si>
  <si>
    <t>Depreciation temp diff for deferred tax</t>
  </si>
  <si>
    <t>Closing regulatory tax asset value</t>
  </si>
  <si>
    <t>Depreciation Temporary differences</t>
  </si>
  <si>
    <t>Revaluation rate</t>
  </si>
  <si>
    <t>Spec 2.3.2</t>
  </si>
  <si>
    <t>The allowed revenues set out in this line and the present</t>
  </si>
  <si>
    <t>Error check for PV equivalence (should = 0)</t>
  </si>
  <si>
    <t>value of these revenues as calculated in the next 3 lines</t>
  </si>
  <si>
    <t>the building blocks costs and the allowable revenues.</t>
  </si>
  <si>
    <t>DT</t>
  </si>
  <si>
    <t>BBAR before tax in year-end terms, i.e. Rev * TfFrev</t>
  </si>
  <si>
    <t>PV of BBAR before tax for each year</t>
  </si>
  <si>
    <t>Real price adjustment (using industry-wide or alternate X where applicable)</t>
  </si>
  <si>
    <t>Real price adjustment for industry-wide X</t>
  </si>
  <si>
    <t>AR before tax in year-end terms in each year</t>
  </si>
  <si>
    <t>AR before tax in revenue-date terms in each year</t>
  </si>
  <si>
    <t>PV of AR before tax for each year</t>
  </si>
  <si>
    <t>PV of AR before tax over PV period</t>
  </si>
  <si>
    <t>AR before tax in first year of the PV period</t>
  </si>
  <si>
    <t>Indexed allowed revenue before tax</t>
  </si>
  <si>
    <t>This model calculates the allowed revenues for regulated businesses under Part 4 of the Commerce Act 1986.</t>
  </si>
  <si>
    <t>Company tax rate</t>
  </si>
  <si>
    <t>Opening RAB of commissioned assets</t>
  </si>
  <si>
    <t>Revaluation of commissioned assets</t>
  </si>
  <si>
    <t>Closing RAB of commissioned assets</t>
  </si>
  <si>
    <t>IWX</t>
  </si>
  <si>
    <t>AltX</t>
  </si>
  <si>
    <t>Opening Deferred Tax</t>
  </si>
  <si>
    <t>Closing Deferred Tax</t>
  </si>
  <si>
    <t>Total depreciation</t>
  </si>
  <si>
    <t>Total revaluation</t>
  </si>
  <si>
    <t>Aggregagte opening RAB value</t>
  </si>
  <si>
    <t>Aggregate closing RAB value</t>
  </si>
  <si>
    <t>Average DV rate</t>
  </si>
  <si>
    <t>Aggregate value of commissioned assets</t>
  </si>
  <si>
    <t>Nominal growth rate in disposed assets</t>
  </si>
  <si>
    <t>Asset base scaling factor</t>
  </si>
  <si>
    <t>Aggregate value of disposed assets</t>
  </si>
  <si>
    <t>Total Depreciation</t>
  </si>
  <si>
    <t>Regulatory tax allowance</t>
  </si>
  <si>
    <t>Nominal growth rate in other income</t>
  </si>
  <si>
    <t>Spec 2.6.2</t>
  </si>
  <si>
    <t>not its scale. The calculations in this and the two adjacent lines achieve</t>
  </si>
  <si>
    <t>Weighted Average Remaining Life at year-end</t>
  </si>
  <si>
    <t>Opening regulatory tax asset value</t>
  </si>
  <si>
    <t>Industry-wide X factor</t>
  </si>
  <si>
    <r>
      <t xml:space="preserve">Increase in deferred tax asset, </t>
    </r>
    <r>
      <rPr>
        <sz val="11"/>
        <color theme="1"/>
        <rFont val="Calibri"/>
        <family val="2"/>
      </rPr>
      <t>Δ</t>
    </r>
    <r>
      <rPr>
        <sz val="9.35"/>
        <color theme="1"/>
        <rFont val="Calibri"/>
        <family val="2"/>
      </rPr>
      <t>DT</t>
    </r>
  </si>
  <si>
    <t>BBAR before tax in revenue date terms, calculaton not referencing tax</t>
  </si>
  <si>
    <t>BBAR before tax in year-end terms, direct simple calculaton</t>
  </si>
  <si>
    <t>BBAR before tax in revenue date terms</t>
  </si>
  <si>
    <t>Difference between the two BBAR calculations (should = 0)</t>
  </si>
  <si>
    <t>Tax payable amount for the deferred tax approach</t>
  </si>
  <si>
    <t>Present value of the Building Block Allowable Revenue before tax</t>
  </si>
  <si>
    <t>Number of years to discount the year-end  values to start of the present value period</t>
  </si>
  <si>
    <t>Monthly cash flows</t>
  </si>
  <si>
    <t>Regulatory tax allowance before considering possibility of tax losses</t>
  </si>
  <si>
    <t>Check value that closing value is as expected. Should = 0</t>
  </si>
  <si>
    <t>TCSDA</t>
  </si>
  <si>
    <t>Refer Specification line items 3.1.2</t>
  </si>
  <si>
    <t>Operating expenditure</t>
  </si>
  <si>
    <t>Operating expenditure allowance</t>
  </si>
  <si>
    <t>are a check on the correctness of the PV equivalence between</t>
  </si>
  <si>
    <t>2010</t>
  </si>
  <si>
    <t>2011</t>
  </si>
  <si>
    <t>2012</t>
  </si>
  <si>
    <t>Adjustment to remove GST impact</t>
  </si>
  <si>
    <t>Copied from www.stats.govt.nz on 2/8/2012. Unhide columns to view full NZ Statistics table.</t>
  </si>
  <si>
    <t>This sheet is based on data that was available in September 2009, rather than the more recently available data</t>
  </si>
  <si>
    <t>This sheet is based on the most recently available data</t>
  </si>
  <si>
    <t>CPI data</t>
  </si>
  <si>
    <t>Forecast 2012/13 no-reset revenue from 2009/10 actual rev</t>
  </si>
  <si>
    <t>real to nom conversion, disposals &amp; other income</t>
  </si>
  <si>
    <t>Calculate MAR Y/E 2013 to Y/E 2015 revenue CPI-X profile</t>
  </si>
  <si>
    <t>%</t>
  </si>
  <si>
    <t>Figure 5.8</t>
  </si>
  <si>
    <t>Source:  Statistics New Zealand, RBNZ estimates.</t>
  </si>
  <si>
    <t>Date</t>
  </si>
  <si>
    <t>Copied from www.rbnz.govt.nz on 2/8/2012 (Fig 5.8 of the Sept 2012 MPS)</t>
  </si>
  <si>
    <t>2009/10</t>
  </si>
  <si>
    <t>2010/11</t>
  </si>
  <si>
    <t>2011/12</t>
  </si>
  <si>
    <t>2012/13</t>
  </si>
  <si>
    <t>2013/14</t>
  </si>
  <si>
    <t>2014/15</t>
  </si>
  <si>
    <t>CPI and corporate tax rate</t>
  </si>
  <si>
    <t>Perform the following tidy-up activities before any public release of the model:</t>
  </si>
  <si>
    <t>INDIRECT formula on Results sheet, along with column A and B entries and associated macros.</t>
  </si>
  <si>
    <t>Tax payable for the deferred tax approach</t>
  </si>
  <si>
    <t>Tax allowance based on price path revenue, deferred tax approach</t>
  </si>
  <si>
    <t>Spec 2.4.2.2.2.3</t>
  </si>
  <si>
    <t>Spec 2.4.2.2.2.4</t>
  </si>
  <si>
    <t>Price adjustment (%, industry-wide X)</t>
  </si>
  <si>
    <t xml:space="preserve">their own inputs. </t>
  </si>
  <si>
    <t>revaluation rate</t>
  </si>
  <si>
    <t>Un-hide rows on Master and delete or otherwise deal with them</t>
  </si>
  <si>
    <t>Commission Opex projections</t>
  </si>
  <si>
    <t>Return on capital</t>
  </si>
  <si>
    <t>Allowed 2012/13 rev, no reset, rev date terms</t>
  </si>
  <si>
    <t>Allowed rev with reset in 2012/13, rev date</t>
  </si>
  <si>
    <t>AR before tax in revenue-date terms in each year prior to 2012/13</t>
  </si>
  <si>
    <t>ΔD</t>
  </si>
  <si>
    <t>2010/11 Allowed Revenue (back-calculated from 2012/13 reset allowed revenue)</t>
  </si>
  <si>
    <t>Amount to claw back from 2012/13</t>
  </si>
  <si>
    <t>Amount to claw back from 2012/13 in year-end terms</t>
  </si>
  <si>
    <t>Constant price revenue growth</t>
  </si>
  <si>
    <t>Alternate X value to 2014/15</t>
  </si>
  <si>
    <t>real price increase in the years ending 2014 and 2015 are both 15% from the previous year's prices.</t>
  </si>
  <si>
    <t>Actual and allowed revenues in year-end terms</t>
  </si>
  <si>
    <t>Price increase threshold (both 2013/14 and 2014/15)</t>
  </si>
  <si>
    <t>Present value of revenues</t>
  </si>
  <si>
    <t>Sum of present values</t>
  </si>
  <si>
    <t>15% plus 15% revenues</t>
  </si>
  <si>
    <t>A "15% plus 15% revenues" price path is one in which a price shock cap has been applied, such that the</t>
  </si>
  <si>
    <t>PV of AR before tax for 2013/14 and 2014/15</t>
  </si>
  <si>
    <t>PV of AR in 2013/14 &amp; 2014/15 for alt X</t>
  </si>
  <si>
    <t>This data block calculates allowed revenues for 2013/14 and 2014/15 for the alternate X for 2014/15.  These allowed</t>
  </si>
  <si>
    <t>revenues are set PV equivalent to the correponding allowed revenues for the industry-wide X CPI - X revenues.</t>
  </si>
  <si>
    <t>Operating expenditure 2009/10</t>
  </si>
  <si>
    <t>Other regulated income 2009/10</t>
  </si>
  <si>
    <t>Claw back amounts are positive in the case of the reset price path being larger than the price path without a reset.</t>
  </si>
  <si>
    <t>Expected net revenue, no reset, year-end terms</t>
  </si>
  <si>
    <t>of electricity distribution businesses controlled under a default price path under Part 4 of the Commerce</t>
  </si>
  <si>
    <t>Act 1986. It is intended to operate in conjuction with a separate workbook or workbooks that calculate</t>
  </si>
  <si>
    <t>projections of operating expenditure, capital expenditure (value of commissioned assets), and constant</t>
  </si>
  <si>
    <t>price revenue growth (effectively a measure of the growth in quantities of service supplied). The</t>
  </si>
  <si>
    <t>projections are inputs to this workbook.</t>
  </si>
  <si>
    <t>Amounts shown in this workbook are generally either percentages or in thousands of dollars.</t>
  </si>
  <si>
    <t>References in this workbook to "Allowed revenue" are the same as references to "Maximum allowable</t>
  </si>
  <si>
    <t>revenue" in the reasons paper for the draft decision.</t>
  </si>
  <si>
    <t>References to the "PV period" are references to the years 2012/13 to 2014/15 inclusive.</t>
  </si>
  <si>
    <t>Interpretation notes are in the 'Cover' sheet.</t>
  </si>
  <si>
    <t>Industry average</t>
  </si>
  <si>
    <t>PV of AR before tax for each year, year-end terms</t>
  </si>
  <si>
    <t>Amount to claw back from 2012/13 in revenue date terms</t>
  </si>
  <si>
    <t>Difference between PV of BBAR and PV of the no-reset expected revenues</t>
  </si>
  <si>
    <t>Difference between PV BBAR over the PV period and PV revenues no reset over the PV period</t>
  </si>
  <si>
    <t>Units</t>
  </si>
  <si>
    <t>Label</t>
  </si>
  <si>
    <t>Supplier name</t>
  </si>
  <si>
    <t>m</t>
  </si>
  <si>
    <t>Absolute rounded</t>
  </si>
  <si>
    <t>$</t>
  </si>
  <si>
    <t>Currency</t>
  </si>
  <si>
    <t>Sign</t>
  </si>
  <si>
    <t>Chart 3</t>
  </si>
  <si>
    <t>Difference between forecast revenue and forecast costs (1 April 2012 to 31 March 2015)</t>
  </si>
  <si>
    <t xml:space="preserve">Wellington
Electricity </t>
  </si>
  <si>
    <t xml:space="preserve">Top
Energy </t>
  </si>
  <si>
    <t>The Lines
Company</t>
  </si>
  <si>
    <t xml:space="preserve">Network
Tasman </t>
  </si>
  <si>
    <t xml:space="preserve">Nelson
Electricity </t>
  </si>
  <si>
    <t xml:space="preserve">Horizon
Energy </t>
  </si>
  <si>
    <t>Electricity
Invercargill</t>
  </si>
  <si>
    <t>Electricity
Ashburton</t>
  </si>
  <si>
    <t>Aurora
Energy</t>
  </si>
  <si>
    <t xml:space="preserve">Alpine
Energy </t>
  </si>
  <si>
    <t>Chart 2</t>
  </si>
  <si>
    <t>Rebalancing of distribution prices on 1 April 2014</t>
  </si>
  <si>
    <t>Label for chart</t>
  </si>
  <si>
    <t>Unit</t>
  </si>
  <si>
    <t>Absolute X factor</t>
  </si>
  <si>
    <t>X Factor</t>
  </si>
  <si>
    <t>Price index</t>
  </si>
  <si>
    <t>Rounded</t>
  </si>
  <si>
    <t>Expected Net Revenue 2013/14</t>
  </si>
  <si>
    <t>Executive Summary and Chart 1</t>
  </si>
  <si>
    <t>Expected Net Revenue 2013/14 and allowable rates of change in price</t>
  </si>
  <si>
    <t>PV no-reset rev less PV BBAR, 2012/13 to 2014/15 incl.</t>
  </si>
  <si>
    <t>In this context, the 2012/13 prices are the expected no-reset prices.</t>
  </si>
  <si>
    <t>Allowed rev, 2010/11 to 2014/15, if X=-15%</t>
  </si>
  <si>
    <t>Allowed rev, 2010/11 to 2014/15</t>
  </si>
  <si>
    <t>Actual and allowed revenues in revenue-date terms</t>
  </si>
  <si>
    <t>Allowed revenue, 2010/11 to 2014/15</t>
  </si>
  <si>
    <t>Net revenue, no reset, rev date terms</t>
  </si>
  <si>
    <t>Net revenue, no reset, rev date terms,2010/11</t>
  </si>
  <si>
    <t>Name of electricity distribution business</t>
  </si>
  <si>
    <t>Net revenue, no reset, rev date terms,2011/12</t>
  </si>
  <si>
    <t>Net revenue, no reset, rev date terms,2012/13</t>
  </si>
  <si>
    <t>Net revenue, no reset, rev date terms,2013/14</t>
  </si>
  <si>
    <t>Net revenue, no reset, rev date terms,2014/15</t>
  </si>
  <si>
    <t>Price adjustment (industry-wide X)</t>
  </si>
  <si>
    <t>X, or alternate X if set</t>
  </si>
  <si>
    <t>Delta D</t>
  </si>
  <si>
    <r>
      <t>Δ</t>
    </r>
    <r>
      <rPr>
        <sz val="10.55"/>
        <color theme="1"/>
        <rFont val="Calibri"/>
        <family val="2"/>
      </rPr>
      <t>D, i.e. (1+CPRG</t>
    </r>
    <r>
      <rPr>
        <vertAlign val="subscript"/>
        <sz val="10.55"/>
        <color theme="1"/>
        <rFont val="Calibri"/>
        <family val="2"/>
      </rPr>
      <t>2012/13</t>
    </r>
    <r>
      <rPr>
        <sz val="10.55"/>
        <color theme="1"/>
        <rFont val="Calibri"/>
        <family val="2"/>
      </rPr>
      <t>)*(1+CPRG</t>
    </r>
    <r>
      <rPr>
        <vertAlign val="subscript"/>
        <sz val="10.55"/>
        <color theme="1"/>
        <rFont val="Calibri"/>
        <family val="2"/>
      </rPr>
      <t>2013/14</t>
    </r>
    <r>
      <rPr>
        <sz val="10.55"/>
        <color theme="1"/>
        <rFont val="Calibri"/>
        <family val="2"/>
      </rPr>
      <t>)</t>
    </r>
  </si>
  <si>
    <t>Net revenue, reset, rev date terms,2010/11</t>
  </si>
  <si>
    <t>Net revenue, reset, rev date terms,2011/12</t>
  </si>
  <si>
    <t>Net revenue, reset, rev date terms,2012/13</t>
  </si>
  <si>
    <t>Net revenue, reset, rev date terms,2013/14</t>
  </si>
  <si>
    <t>Net revenue, reset, rev date terms,2014/15</t>
  </si>
  <si>
    <t>Opex, 2010/11</t>
  </si>
  <si>
    <t>Opex, 2011/12</t>
  </si>
  <si>
    <t>Opex, 2012/13</t>
  </si>
  <si>
    <t>Opex, 2013/14</t>
  </si>
  <si>
    <t>Opex, 2014/15</t>
  </si>
  <si>
    <t>Constant price revenue growth, 2010/11</t>
  </si>
  <si>
    <t>Constant price revenue growth, 2011/12</t>
  </si>
  <si>
    <t>Constant price revenue growth, 2012/13</t>
  </si>
  <si>
    <t>Constant price revenue growth, 2013/14</t>
  </si>
  <si>
    <t>Constant price revenue growth, 2014/15</t>
  </si>
  <si>
    <t>Value of commissioned assets , 2009/10</t>
  </si>
  <si>
    <t>Value of commissioned assets , 2010/11</t>
  </si>
  <si>
    <t>Value of commissioned assets , 2011/12</t>
  </si>
  <si>
    <t>Value of commissioned assets , 2012/13</t>
  </si>
  <si>
    <t>Value of commissioned assets , 2013/14</t>
  </si>
  <si>
    <t>Value of commissioned assets , 2014/15</t>
  </si>
  <si>
    <t>Allowed rev with reset in 2013/14, rev date terms</t>
  </si>
  <si>
    <t>Allowed rev for no reset in 2013/14, rev date terms</t>
  </si>
  <si>
    <t>Price adjustment, AROC, 2013/14</t>
  </si>
  <si>
    <t>Difference in net revenue in 2013/14 between no reset and reset, AROC</t>
  </si>
  <si>
    <t>Revenues from 15% + 15% insufficient?</t>
  </si>
  <si>
    <t>Allowed rev, 2010/11 to 2014/15, if X &lt;&gt; -15%</t>
  </si>
  <si>
    <t>Real price increase from 2012/13 no-reset to 2013/14 reset</t>
  </si>
  <si>
    <t>Real price increase from 2013/14 reset to 2014/15 reset</t>
  </si>
  <si>
    <t>Price adjustment (alternate X), 2013/14</t>
  </si>
  <si>
    <t>PV of no reset year-end revenues</t>
  </si>
  <si>
    <t>Estimated adjustment to price cap on 2013/14</t>
  </si>
  <si>
    <t>Calculations required for charts</t>
  </si>
  <si>
    <t>Working area, indicating what the various CPI measures are used for</t>
  </si>
  <si>
    <t>Building Block Allowable Revenue before tax (BBAR before tax)</t>
  </si>
  <si>
    <t>Opening RAB, adjusted depn, assets comm. in 2009/10</t>
  </si>
  <si>
    <t>Opening RAB, adjusted depn, assets comm. in 2010/11</t>
  </si>
  <si>
    <t>Opening RAB, adjusted depn, assets comm. in 2011/12</t>
  </si>
  <si>
    <t>Opening RAB, adjusted depn, assets comm. in 2012/13</t>
  </si>
  <si>
    <t>Opening RAB, adjusted depn, assets comm. in 2013/14</t>
  </si>
  <si>
    <t>Opening RAB, adjusted depn, assets comm. in 2014/15</t>
  </si>
  <si>
    <t>Years of remaing life, assets comm in 2009/10</t>
  </si>
  <si>
    <t>Years of remaing life, assets comm in 2010/11</t>
  </si>
  <si>
    <t>Years of remaing life, assets comm in 2011/12</t>
  </si>
  <si>
    <t>Years of remaing life, assets comm in 2012/13</t>
  </si>
  <si>
    <t>Years of remaing life, assets comm in 2013/14</t>
  </si>
  <si>
    <t>Years of remaing life, assets comm in 2014/15</t>
  </si>
  <si>
    <t>Adjusted depreciation, assets comm. in 2009/10</t>
  </si>
  <si>
    <t>Adjusted depreciation, assets comm. in 2010/11</t>
  </si>
  <si>
    <t>Adjusted depreciation, assets comm. in 2011/12</t>
  </si>
  <si>
    <t>Adjusted depreciation, assets comm. in 2012/13</t>
  </si>
  <si>
    <t>Adjusted depreciation, assets comm. in 2013/14</t>
  </si>
  <si>
    <t>Adjusted depreciation, assets comm. in 2014/15</t>
  </si>
  <si>
    <t>Closing RAB, adjusted depn, assets comm. in 2009/10</t>
  </si>
  <si>
    <t>Closing RAB, adjusted depn, assets comm. in 2010/11</t>
  </si>
  <si>
    <t>Closing RAB, adjusted depn, assets comm. in 2011/12</t>
  </si>
  <si>
    <t>Closing RAB, adjusted depn, assets comm. in 2012/13</t>
  </si>
  <si>
    <t>Closing RAB, adjusted depn, assets comm. in 2013/14</t>
  </si>
  <si>
    <t>Closing RAB, adjusted depn, assets comm. in 2014/15</t>
  </si>
  <si>
    <t>Opening RAB, assets commissioned in 2009/10</t>
  </si>
  <si>
    <t>Opening RAB, assets commissioned in 2010/11</t>
  </si>
  <si>
    <t>Opening RAB, assets commissioned in 2011/12</t>
  </si>
  <si>
    <t>Opening RAB, assets commissioned in 2012/13</t>
  </si>
  <si>
    <t>Opening RAB, assets commissioned in 2013/14</t>
  </si>
  <si>
    <t>Opening RAB, assets commissioned in 2014/15</t>
  </si>
  <si>
    <t>Revaluation of assets commissioned in 2009/10</t>
  </si>
  <si>
    <t>Revaluation of assets commissioned in 2010/11</t>
  </si>
  <si>
    <t>Revaluation of assets commissioned in 2011/12</t>
  </si>
  <si>
    <t>Revaluation of assets commissioned in 2012/13</t>
  </si>
  <si>
    <t>Revaluation of assets commissioned in 2013/14</t>
  </si>
  <si>
    <t>Revaluation of assets commissioned in 2014/15</t>
  </si>
  <si>
    <t>Depreciation of assets commissioned in 2009/10</t>
  </si>
  <si>
    <t>Depreciation of assets commissioned in 2010/11</t>
  </si>
  <si>
    <t>Depreciation of assets commissioned in 2011/12</t>
  </si>
  <si>
    <t>Depreciation of assets commissioned in 2012/13</t>
  </si>
  <si>
    <t>Depreciation of assets commissioned in 2013/14</t>
  </si>
  <si>
    <t>Depreciation of assets commissioned in 2014/15</t>
  </si>
  <si>
    <t>Closing RAB of assets commissioned in 2009/10</t>
  </si>
  <si>
    <t>Closing RAB of assets commissioned in 2010/11</t>
  </si>
  <si>
    <t>Closing RAB of assets commissioned in 2011/12</t>
  </si>
  <si>
    <t>Closing RAB of assets commissioned in 2012/13</t>
  </si>
  <si>
    <t>Closing RAB of assets commissioned in 2013/14</t>
  </si>
  <si>
    <t>Closing RAB of assets commissioned in 2014/15</t>
  </si>
  <si>
    <r>
      <rPr>
        <sz val="11"/>
        <color theme="1"/>
        <rFont val="Calibri"/>
        <family val="2"/>
      </rPr>
      <t>Δ</t>
    </r>
    <r>
      <rPr>
        <sz val="11"/>
        <color theme="1"/>
        <rFont val="Calibri"/>
        <family val="2"/>
        <scheme val="minor"/>
      </rPr>
      <t>CPI, 2 index, no lag, 2009 basis</t>
    </r>
  </si>
  <si>
    <r>
      <rPr>
        <sz val="11"/>
        <color theme="1"/>
        <rFont val="Calibri"/>
        <family val="2"/>
      </rPr>
      <t>Δ</t>
    </r>
    <r>
      <rPr>
        <sz val="11"/>
        <color theme="1"/>
        <rFont val="Calibri"/>
        <family val="2"/>
        <scheme val="minor"/>
      </rPr>
      <t>CPI, 2 index, no lag, 2012 basis</t>
    </r>
  </si>
  <si>
    <r>
      <rPr>
        <sz val="11"/>
        <color theme="1"/>
        <rFont val="Calibri"/>
        <family val="2"/>
      </rPr>
      <t>Δ</t>
    </r>
    <r>
      <rPr>
        <sz val="11"/>
        <color theme="1"/>
        <rFont val="Calibri"/>
        <family val="2"/>
        <scheme val="minor"/>
      </rPr>
      <t>CPI, 8 index, 18 mth lag, 2009 basis</t>
    </r>
  </si>
  <si>
    <r>
      <rPr>
        <sz val="11"/>
        <color theme="1"/>
        <rFont val="Calibri"/>
        <family val="2"/>
      </rPr>
      <t>Δ</t>
    </r>
    <r>
      <rPr>
        <sz val="11"/>
        <color theme="1"/>
        <rFont val="Calibri"/>
        <family val="2"/>
        <scheme val="minor"/>
      </rPr>
      <t>CPI, 8 index, 18 mth lag, 2012 basis</t>
    </r>
  </si>
  <si>
    <t>This line establishes the profile of the CPI minus X path, but</t>
  </si>
  <si>
    <t>the present value equivalence without goal-seeking.</t>
  </si>
  <si>
    <t>Note that a blue vertical border (like the one at the</t>
  </si>
  <si>
    <t>start of this note) indicates that the two horizontally</t>
  </si>
  <si>
    <t>adjacent cells on each side of the border have</t>
  </si>
  <si>
    <t>formulas which are different from each other.</t>
  </si>
  <si>
    <t>Difference in net revenue in 2014/15 between no reset and reset, AROC</t>
  </si>
  <si>
    <t>All calculations in the workbook are preformed automatically, without the use of macros or data tables.</t>
  </si>
  <si>
    <t>All references to years are references to years ending 31 March.</t>
  </si>
  <si>
    <t>assumptions, along with the calculation of the timing factors. There are two CPI sheets, and these have</t>
  </si>
  <si>
    <t>Results</t>
  </si>
  <si>
    <t>Version for public release on 21 August 2012</t>
  </si>
  <si>
    <t>It does this for electricity distribution businesses.</t>
  </si>
  <si>
    <t>EDB DPP Reset Model</t>
  </si>
</sst>
</file>

<file path=xl/styles.xml><?xml version="1.0" encoding="utf-8"?>
<styleSheet xmlns="http://schemas.openxmlformats.org/spreadsheetml/2006/main">
  <numFmts count="70">
    <numFmt numFmtId="164" formatCode="_(* #,##0.00_);_(* \(#,##0.00\);_(* &quot;-&quot;??_);_(@_)"/>
    <numFmt numFmtId="165" formatCode="_(&quot;$&quot;* #,##0.00_);_(&quot;$&quot;* \(#,##0.00\);_(&quot;$&quot;* &quot;-&quot;??_);_(@_)"/>
    <numFmt numFmtId="166" formatCode="0.000"/>
    <numFmt numFmtId="167" formatCode="0.0"/>
    <numFmt numFmtId="168" formatCode="0.0000%"/>
    <numFmt numFmtId="169" formatCode="_(* #,##0_);_(* \(#,##0\);_(* &quot;-&quot;??_);_(@_)"/>
    <numFmt numFmtId="170" formatCode="dd\ mmm\ yyyy"/>
    <numFmt numFmtId="171" formatCode="0.0000"/>
    <numFmt numFmtId="172" formatCode="_(* #,##0.000_);_(* \(#,##0.000\);_(* &quot;-&quot;??_);_(@_)"/>
    <numFmt numFmtId="173" formatCode="0.0%"/>
    <numFmt numFmtId="174" formatCode="d/mm/yy;@"/>
    <numFmt numFmtId="175" formatCode="#\ ##0"/>
    <numFmt numFmtId="176" formatCode="d\ mmm\ yyyy"/>
    <numFmt numFmtId="177" formatCode="mmm"/>
    <numFmt numFmtId="178" formatCode="[$-C09]d\ mmmm\ yyyy;@"/>
    <numFmt numFmtId="179" formatCode="0.000%"/>
    <numFmt numFmtId="180" formatCode="0.00000%"/>
    <numFmt numFmtId="181" formatCode="0.000000%"/>
    <numFmt numFmtId="182" formatCode="&quot;$&quot;#,##0.000_);[Red]\(&quot;$&quot;#,##0.000\)"/>
    <numFmt numFmtId="183" formatCode="_-* #,##0_-;\-* #,##0_-;_-* &quot;-&quot;??_-;_-@_-"/>
    <numFmt numFmtId="184" formatCode="#,##0.000"/>
    <numFmt numFmtId="185" formatCode="_(* #,##0.0000_);_(* \(#,##0.0000\);_(* &quot;-&quot;??_);_(@_)"/>
    <numFmt numFmtId="186" formatCode="_(* #,##0_);_(* \(#,##0\);_(* &quot;-&quot;_);_(@_)"/>
    <numFmt numFmtId="187" formatCode="&quot;$&quot;#,##0\ ;\(&quot;$&quot;#,##0\)"/>
    <numFmt numFmtId="188" formatCode="&quot;$&quot;* #,##0.000_);&quot;$&quot;* \(#,##0.000\)"/>
    <numFmt numFmtId="189" formatCode="#,##0_);\(#,##0\);0_);* @_)"/>
    <numFmt numFmtId="190" formatCode="#,##0.0_);\(#,##0.0\);0.0_);* @_)"/>
    <numFmt numFmtId="191" formatCode="#,##0.00_);\(#,##0.00\);0.00_);* @_)"/>
    <numFmt numFmtId="192" formatCode="#,##0.000_);\(#,##0.000\);0.000_);* @_)"/>
    <numFmt numFmtId="193" formatCode="#,##0.0000_);\(#,##0.0000\);0.0000_);* @_)"/>
    <numFmt numFmtId="194" formatCode="0;\-0;0;* @"/>
    <numFmt numFmtId="195" formatCode="0%;\-0%;0%;* @_%"/>
    <numFmt numFmtId="196" formatCode="0.0%;\-0.0%;0.0%;* @_%"/>
    <numFmt numFmtId="197" formatCode="0.00%;\-0.00%;0.00%;* @_%"/>
    <numFmt numFmtId="198" formatCode="0.000%;\-0.000%;0.000%;* @_%"/>
    <numFmt numFmtId="199" formatCode="&quot;$&quot;* #,##0_);&quot;$&quot;* \(#,##0\);&quot;$&quot;* 0_);* @_)"/>
    <numFmt numFmtId="200" formatCode="&quot;$&quot;* #,##0.0_);&quot;$&quot;* \(#,##0.0\);&quot;$&quot;* 0.0_);* @_)"/>
    <numFmt numFmtId="201" formatCode="&quot;$&quot;* #,##0.00_);&quot;$&quot;* \(#,##0.00\);&quot;$&quot;* 0.00_);* @_)"/>
    <numFmt numFmtId="202" formatCode="&quot;$&quot;* #,##0.000_);&quot;$&quot;* \(#,##0.000\);&quot;$&quot;* 0.000_);* @_)"/>
    <numFmt numFmtId="203" formatCode="&quot;$&quot;* #,##0.0000_);&quot;$&quot;* \(#,##0.0000\);&quot;$&quot;* 0.0000_);* @_)"/>
    <numFmt numFmtId="204" formatCode="d\-mmm\-yyyy;[Red]&quot;Not date&quot;;&quot;-&quot;;[Red]* &quot;Not date&quot;"/>
    <numFmt numFmtId="205" formatCode="d\-mmm\-yyyy\ h:mm\ \a\.m\./\p\.m\.;[Red]* &quot;Not date&quot;;&quot;-&quot;;[Red]* &quot;Not date&quot;"/>
    <numFmt numFmtId="206" formatCode="d/mm/yyyy;[Red]* &quot;Not date&quot;;&quot;-&quot;;[Red]* &quot;Not date&quot;"/>
    <numFmt numFmtId="207" formatCode="mmm\-yy;[Red]* &quot;Not date&quot;;&quot;-&quot;;[Red]* &quot;Not date&quot;"/>
    <numFmt numFmtId="208" formatCode="h:mm\ \a\.m\./\p\.m\.;[Red]* &quot;Not time&quot;;\-;[Red]* &quot;Not time&quot;"/>
    <numFmt numFmtId="209" formatCode="[h]:mm;[Red]* &quot;Not time&quot;;[h]:mm;[Red]* &quot;Not time&quot;"/>
    <numFmt numFmtId="210" formatCode="d\-mmm\-yyyy;[Red]* &quot;Not date&quot;;&quot;-&quot;;[Red]* &quot;Not date&quot;"/>
    <numFmt numFmtId="211" formatCode="d\-mmm\-yyyy\ h:mm\ \a\.m\./\p\.m\.;[Red]* &quot;Not time&quot;;0;[Red]* &quot;Not time&quot;"/>
    <numFmt numFmtId="212" formatCode="mm/dd/yyyy;[Red]* &quot;Not date&quot;;&quot;-&quot;;[Red]* &quot;Not date&quot;"/>
    <numFmt numFmtId="213" formatCode="_(@_)"/>
    <numFmt numFmtId="214" formatCode="_([$-1409]h:mm\ AM/PM;@"/>
    <numFmt numFmtId="215" formatCode="_(* 0000_);_(* \(0000\);_(* &quot;–&quot;??_);_(@_)"/>
    <numFmt numFmtId="216" formatCode="_([$-1409]d\ mmmm\ yyyy;_(@"/>
    <numFmt numFmtId="217" formatCode="[$-1409]d\ mmm\ yy;@"/>
    <numFmt numFmtId="218" formatCode="_(* #,##0.00%_);_(* \(#,##0.00%\);_(* &quot;–&quot;???_);_(* @_)"/>
    <numFmt numFmtId="219" formatCode="_(* #,##0%_);_(* \(#,##0%\);_(* &quot;–&quot;???_);_(* @_)"/>
    <numFmt numFmtId="220" formatCode="_(* #,##0.0%_);_(* \(#,##0.0%\);_(* &quot;–&quot;???_);_(* @_)"/>
    <numFmt numFmtId="221" formatCode="_(* #,##0_);_(* \(#,##0\);_(* &quot;–&quot;??_);_(* @_)"/>
    <numFmt numFmtId="222" formatCode="_(* #,##0.0_);_(* \(#,##0.0\);_(* &quot;–&quot;???_);_(* @_)"/>
    <numFmt numFmtId="223" formatCode="_(* #,##0.00_);_(* \(#,##0.00\);_(* &quot;–&quot;???_);_(* @_)"/>
    <numFmt numFmtId="224" formatCode="_(* #,##0.0000_);_(* \(#,##0.0000\);_(* &quot;–&quot;??_);_(* @_)"/>
    <numFmt numFmtId="225" formatCode="_(* @_)"/>
    <numFmt numFmtId="226" formatCode="_(* [$-1409]d\ mmm\ yyyy\ h\ AM/PM_);_(* @"/>
    <numFmt numFmtId="227" formatCode="_(* #,##0_);_(* \(#,##0\);_(* &quot;–&quot;??_);\(@_)"/>
    <numFmt numFmtId="228" formatCode="_(* #,##0.000_);_(* \(#,##0.000\);_(* &quot;–&quot;??_);_(* @_)"/>
    <numFmt numFmtId="229" formatCode="#,##0.00;[Red]\(#,##0.00\)"/>
    <numFmt numFmtId="230" formatCode="#,##0;[Red]\(#,##0\)"/>
    <numFmt numFmtId="231" formatCode="_ * #,##0.00_ ;_ * \-#,##0.00_ ;_ * &quot;-&quot;??_ ;_ @_ "/>
    <numFmt numFmtId="232" formatCode="_ &quot;$&quot;* #,##0.00_ ;_ &quot;$&quot;* \-#,##0.00_ ;_ &quot;$&quot;* &quot;-&quot;??_ ;_ @_ "/>
    <numFmt numFmtId="233" formatCode="_-[$€-2]* #,##0.00_-;\-[$€-2]* #,##0.00_-;_-[$€-2]* &quot;-&quot;??_-"/>
  </numFmts>
  <fonts count="220">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0"/>
      <color theme="0"/>
      <name val="Cambria"/>
      <family val="2"/>
      <scheme val="major"/>
    </font>
    <font>
      <sz val="9"/>
      <color theme="1"/>
      <name val="Calibri"/>
      <family val="2"/>
      <scheme val="minor"/>
    </font>
    <font>
      <sz val="8"/>
      <color theme="1"/>
      <name val="Calibri"/>
      <family val="2"/>
      <scheme val="minor"/>
    </font>
    <font>
      <sz val="11"/>
      <color theme="0" tint="-0.34998626667073579"/>
      <name val="Calibri"/>
      <family val="2"/>
      <scheme val="minor"/>
    </font>
    <font>
      <sz val="11"/>
      <color theme="1"/>
      <name val="Calibri"/>
      <family val="2"/>
    </font>
    <font>
      <sz val="12"/>
      <color theme="1"/>
      <name val="Calibri"/>
      <family val="2"/>
      <scheme val="minor"/>
    </font>
    <font>
      <b/>
      <sz val="28"/>
      <color theme="0"/>
      <name val="Calibri"/>
      <family val="2"/>
      <scheme val="minor"/>
    </font>
    <font>
      <b/>
      <sz val="18"/>
      <color theme="0"/>
      <name val="Calibri"/>
      <family val="2"/>
      <scheme val="minor"/>
    </font>
    <font>
      <b/>
      <sz val="14"/>
      <color theme="1"/>
      <name val="Calibri"/>
      <family val="2"/>
      <scheme val="minor"/>
    </font>
    <font>
      <vertAlign val="subscript"/>
      <sz val="11"/>
      <color theme="1"/>
      <name val="Calibri"/>
      <family val="2"/>
      <scheme val="minor"/>
    </font>
    <font>
      <vertAlign val="superscript"/>
      <sz val="11"/>
      <color theme="1"/>
      <name val="Calibri"/>
      <family val="2"/>
      <scheme val="minor"/>
    </font>
    <font>
      <i/>
      <sz val="11"/>
      <color theme="1"/>
      <name val="Calibri"/>
      <family val="2"/>
      <scheme val="minor"/>
    </font>
    <font>
      <b/>
      <sz val="22"/>
      <color theme="1"/>
      <name val="Calibri"/>
      <family val="2"/>
      <scheme val="minor"/>
    </font>
    <font>
      <sz val="10"/>
      <color theme="1"/>
      <name val="Arial Mäori"/>
      <family val="2"/>
    </font>
    <font>
      <sz val="8"/>
      <name val="Arial Mäori"/>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52"/>
      <name val="Arial"/>
      <family val="2"/>
    </font>
    <font>
      <sz val="10"/>
      <color indexed="60"/>
      <name val="Arial"/>
      <family val="2"/>
    </font>
    <font>
      <sz val="11"/>
      <color theme="1"/>
      <name val="Arial Mäori"/>
      <family val="2"/>
    </font>
    <font>
      <b/>
      <sz val="10"/>
      <color indexed="63"/>
      <name val="Arial"/>
      <family val="2"/>
    </font>
    <font>
      <b/>
      <sz val="18"/>
      <color indexed="56"/>
      <name val="Cambria"/>
      <family val="2"/>
    </font>
    <font>
      <b/>
      <sz val="10"/>
      <color indexed="8"/>
      <name val="Arial"/>
      <family val="2"/>
    </font>
    <font>
      <sz val="10"/>
      <color indexed="10"/>
      <name val="Arial"/>
      <family val="2"/>
    </font>
    <font>
      <u/>
      <sz val="11"/>
      <color theme="10"/>
      <name val="Calibri"/>
      <family val="2"/>
    </font>
    <font>
      <sz val="11"/>
      <color indexed="8"/>
      <name val="Calibri"/>
      <family val="2"/>
    </font>
    <font>
      <b/>
      <sz val="11"/>
      <color indexed="8"/>
      <name val="Calibri"/>
      <family val="2"/>
    </font>
    <font>
      <sz val="10"/>
      <name val="MS Sans Serif"/>
      <family val="2"/>
    </font>
    <font>
      <sz val="10"/>
      <name val="Times New Roman"/>
      <family val="1"/>
    </font>
    <font>
      <sz val="10"/>
      <name val="Helv"/>
    </font>
    <font>
      <sz val="10"/>
      <name val="CG Times (W1)"/>
    </font>
    <font>
      <sz val="9"/>
      <name val="Times New Roman"/>
      <family val="1"/>
    </font>
    <font>
      <i/>
      <sz val="8"/>
      <name val="Times"/>
    </font>
    <font>
      <b/>
      <sz val="8"/>
      <name val="times"/>
    </font>
    <font>
      <u/>
      <sz val="11"/>
      <color indexed="12"/>
      <name val="Calibri"/>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Arial Mäori"/>
      <family val="2"/>
    </font>
    <font>
      <sz val="11"/>
      <color indexed="8"/>
      <name val="Arial Mäori"/>
      <family val="2"/>
    </font>
    <font>
      <sz val="11"/>
      <color indexed="9"/>
      <name val="Arial Mäori"/>
      <family val="2"/>
    </font>
    <font>
      <sz val="11"/>
      <color indexed="20"/>
      <name val="Arial Mäori"/>
      <family val="2"/>
    </font>
    <font>
      <b/>
      <sz val="11"/>
      <color indexed="52"/>
      <name val="Arial Mäori"/>
      <family val="2"/>
    </font>
    <font>
      <b/>
      <sz val="11"/>
      <color indexed="9"/>
      <name val="Arial Mäori"/>
      <family val="2"/>
    </font>
    <font>
      <i/>
      <sz val="11"/>
      <color indexed="23"/>
      <name val="Arial Mäori"/>
      <family val="2"/>
    </font>
    <font>
      <sz val="11"/>
      <color indexed="17"/>
      <name val="Arial Mäori"/>
      <family val="2"/>
    </font>
    <font>
      <b/>
      <sz val="15"/>
      <color indexed="56"/>
      <name val="Arial Mäori"/>
      <family val="2"/>
    </font>
    <font>
      <b/>
      <sz val="13"/>
      <color indexed="56"/>
      <name val="Arial Mäori"/>
      <family val="2"/>
    </font>
    <font>
      <b/>
      <sz val="11"/>
      <color indexed="56"/>
      <name val="Arial Mäori"/>
      <family val="2"/>
    </font>
    <font>
      <sz val="11"/>
      <color indexed="62"/>
      <name val="Arial Mäori"/>
      <family val="2"/>
    </font>
    <font>
      <sz val="11"/>
      <color indexed="52"/>
      <name val="Arial Mäori"/>
      <family val="2"/>
    </font>
    <font>
      <sz val="11"/>
      <color indexed="60"/>
      <name val="Arial Mäori"/>
      <family val="2"/>
    </font>
    <font>
      <b/>
      <sz val="11"/>
      <color indexed="63"/>
      <name val="Arial Mäori"/>
      <family val="2"/>
    </font>
    <font>
      <b/>
      <sz val="11"/>
      <color indexed="8"/>
      <name val="Arial Mäori"/>
      <family val="2"/>
    </font>
    <font>
      <sz val="11"/>
      <color indexed="10"/>
      <name val="Arial Mäori"/>
      <family val="2"/>
    </font>
    <font>
      <sz val="12"/>
      <color theme="1"/>
      <name val="Arial"/>
      <family val="2"/>
    </font>
    <font>
      <b/>
      <sz val="8"/>
      <name val="Arial Mäori"/>
    </font>
    <font>
      <b/>
      <sz val="12"/>
      <color indexed="10"/>
      <name val="Arial"/>
      <family val="2"/>
    </font>
    <font>
      <i/>
      <sz val="10"/>
      <color rgb="FFFF0000"/>
      <name val="Arial"/>
      <family val="2"/>
    </font>
    <font>
      <sz val="8"/>
      <color indexed="10"/>
      <name val="Arial"/>
      <family val="2"/>
    </font>
    <font>
      <sz val="8"/>
      <color theme="1"/>
      <name val="Arial"/>
      <family val="2"/>
    </font>
    <font>
      <b/>
      <sz val="15"/>
      <color indexed="56"/>
      <name val="Arial"/>
      <family val="2"/>
    </font>
    <font>
      <b/>
      <sz val="13"/>
      <color indexed="56"/>
      <name val="Arial"/>
      <family val="2"/>
    </font>
    <font>
      <sz val="10"/>
      <color indexed="62"/>
      <name val="Arial"/>
      <family val="2"/>
    </font>
    <font>
      <sz val="8"/>
      <name val="Arial Mäori"/>
    </font>
    <font>
      <i/>
      <sz val="8"/>
      <name val="Arial Mäori"/>
    </font>
    <font>
      <b/>
      <sz val="10"/>
      <name val="Arial Mäori"/>
    </font>
    <font>
      <b/>
      <sz val="8"/>
      <name val="Arial Mäori"/>
      <family val="2"/>
    </font>
    <font>
      <b/>
      <sz val="11"/>
      <name val="Arial Mäori"/>
      <family val="2"/>
    </font>
    <font>
      <i/>
      <vertAlign val="superscript"/>
      <sz val="11"/>
      <name val="Arial Mäori"/>
      <family val="2"/>
    </font>
    <font>
      <i/>
      <sz val="11"/>
      <name val="Arial Mäori"/>
      <family val="2"/>
    </font>
    <font>
      <sz val="10"/>
      <name val="Arial Mäori"/>
      <family val="2"/>
    </font>
    <font>
      <vertAlign val="superscript"/>
      <sz val="8"/>
      <name val="Arial Mäori"/>
      <family val="2"/>
    </font>
    <font>
      <i/>
      <sz val="8"/>
      <name val="Arial Mäori"/>
      <family val="2"/>
    </font>
    <font>
      <b/>
      <sz val="14"/>
      <color theme="3" tint="0.39997558519241921"/>
      <name val="Arial Mäori"/>
    </font>
    <font>
      <sz val="8"/>
      <name val="Arial"/>
      <family val="2"/>
    </font>
    <font>
      <b/>
      <sz val="8"/>
      <color indexed="12"/>
      <name val="8"/>
    </font>
    <font>
      <sz val="8"/>
      <color indexed="12"/>
      <name val="8"/>
    </font>
    <font>
      <sz val="11"/>
      <name val="Calibri"/>
      <family val="2"/>
      <scheme val="minor"/>
    </font>
    <font>
      <sz val="8"/>
      <color indexed="81"/>
      <name val="Tahoma"/>
      <family val="2"/>
    </font>
    <font>
      <b/>
      <sz val="8"/>
      <color indexed="81"/>
      <name val="Tahoma"/>
      <family val="2"/>
    </font>
    <font>
      <b/>
      <sz val="26"/>
      <color rgb="FFFF0000"/>
      <name val="Arial Mäori"/>
    </font>
    <font>
      <sz val="9.35"/>
      <color theme="1"/>
      <name val="Calibri"/>
      <family val="2"/>
    </font>
    <font>
      <u/>
      <sz val="9.35"/>
      <color theme="10"/>
      <name val="Calibri"/>
      <family val="2"/>
    </font>
    <font>
      <b/>
      <sz val="11"/>
      <name val="Arial Mäori"/>
    </font>
    <font>
      <b/>
      <sz val="9"/>
      <name val="Arial Mäori"/>
    </font>
    <font>
      <sz val="8"/>
      <name val="8"/>
    </font>
    <font>
      <sz val="8"/>
      <color indexed="12"/>
      <name val="Arial"/>
      <family val="2"/>
    </font>
    <font>
      <sz val="10.55"/>
      <color theme="1"/>
      <name val="Calibri"/>
      <family val="2"/>
    </font>
    <font>
      <vertAlign val="subscript"/>
      <sz val="10.55"/>
      <color theme="1"/>
      <name val="Calibri"/>
      <family val="2"/>
    </font>
    <font>
      <sz val="8"/>
      <color indexed="81"/>
      <name val="Calibri"/>
      <family val="2"/>
    </font>
    <font>
      <sz val="6.8"/>
      <color indexed="81"/>
      <name val="Tahoma"/>
      <family val="2"/>
    </font>
    <font>
      <b/>
      <i/>
      <sz val="11"/>
      <color theme="1"/>
      <name val="Calibri"/>
      <family val="2"/>
      <scheme val="minor"/>
    </font>
    <font>
      <sz val="10"/>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0"/>
      <name val="Arial"/>
      <family val="2"/>
    </font>
    <font>
      <sz val="12"/>
      <color indexed="24"/>
      <name val="Arial"/>
      <family val="2"/>
    </font>
    <font>
      <sz val="18"/>
      <color indexed="24"/>
      <name val="Arial"/>
      <family val="2"/>
    </font>
    <font>
      <sz val="8"/>
      <color indexed="24"/>
      <name val="Arial"/>
      <family val="2"/>
    </font>
    <font>
      <b/>
      <sz val="14"/>
      <name val="Arial"/>
      <family val="2"/>
    </font>
    <font>
      <b/>
      <sz val="12"/>
      <name val="Arial"/>
      <family val="2"/>
    </font>
    <font>
      <b/>
      <sz val="8"/>
      <name val="Arial"/>
      <family val="2"/>
    </font>
    <font>
      <sz val="8"/>
      <color indexed="8"/>
      <name val="Arial"/>
      <family val="2"/>
    </font>
    <font>
      <u/>
      <sz val="8"/>
      <color indexed="12"/>
      <name val="Arial"/>
      <family val="2"/>
    </font>
    <font>
      <b/>
      <sz val="8"/>
      <color indexed="12"/>
      <name val="Arial"/>
      <family val="2"/>
    </font>
    <font>
      <sz val="8"/>
      <color theme="0"/>
      <name val="Arial"/>
      <family val="2"/>
    </font>
    <font>
      <sz val="8"/>
      <color rgb="FF9C0006"/>
      <name val="Arial"/>
      <family val="2"/>
    </font>
    <font>
      <b/>
      <sz val="11"/>
      <color indexed="52"/>
      <name val="Calibri"/>
      <family val="2"/>
      <scheme val="minor"/>
    </font>
    <font>
      <b/>
      <sz val="8"/>
      <color rgb="FFFA7D00"/>
      <name val="Arial"/>
      <family val="2"/>
    </font>
    <font>
      <b/>
      <sz val="8"/>
      <color theme="0"/>
      <name val="Arial"/>
      <family val="2"/>
    </font>
    <font>
      <i/>
      <sz val="8"/>
      <color rgb="FF7F7F7F"/>
      <name val="Arial"/>
      <family val="2"/>
    </font>
    <font>
      <sz val="8"/>
      <color rgb="FF006100"/>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rgb="FFFA7D00"/>
      <name val="Arial"/>
      <family val="2"/>
    </font>
    <font>
      <sz val="11"/>
      <color indexed="60"/>
      <name val="Calibri"/>
      <family val="2"/>
      <scheme val="minor"/>
    </font>
    <font>
      <sz val="8"/>
      <color rgb="FF9C6500"/>
      <name val="Arial"/>
      <family val="2"/>
    </font>
    <font>
      <b/>
      <sz val="8"/>
      <color rgb="FF3F3F3F"/>
      <name val="Arial"/>
      <family val="2"/>
    </font>
    <font>
      <b/>
      <sz val="8"/>
      <color theme="1"/>
      <name val="Arial"/>
      <family val="2"/>
    </font>
    <font>
      <sz val="8"/>
      <color rgb="FFFF0000"/>
      <name val="Arial"/>
      <family val="2"/>
    </font>
    <font>
      <u/>
      <sz val="10"/>
      <color theme="10"/>
      <name val="Arial"/>
      <family val="2"/>
    </font>
    <font>
      <sz val="10"/>
      <color theme="1"/>
      <name val="Calibri"/>
      <family val="4"/>
      <scheme val="minor"/>
    </font>
    <font>
      <sz val="10"/>
      <color theme="1"/>
      <name val="Cambria"/>
      <family val="1"/>
      <scheme val="major"/>
    </font>
    <font>
      <sz val="10"/>
      <color theme="8"/>
      <name val="Calibri"/>
      <family val="4"/>
      <scheme val="minor"/>
    </font>
    <font>
      <b/>
      <sz val="13"/>
      <color theme="4"/>
      <name val="Calibri"/>
      <family val="4"/>
      <scheme val="minor"/>
    </font>
    <font>
      <i/>
      <sz val="8"/>
      <color theme="1"/>
      <name val="Calibri"/>
      <family val="4"/>
      <scheme val="minor"/>
    </font>
    <font>
      <u/>
      <sz val="10"/>
      <color theme="11"/>
      <name val="Cambria"/>
      <family val="1"/>
      <scheme val="major"/>
    </font>
    <font>
      <b/>
      <sz val="12"/>
      <color theme="1"/>
      <name val="Cambria"/>
      <family val="1"/>
      <scheme val="major"/>
    </font>
    <font>
      <b/>
      <sz val="11"/>
      <color theme="1"/>
      <name val="Cambria"/>
      <family val="1"/>
      <scheme val="major"/>
    </font>
    <font>
      <b/>
      <sz val="10"/>
      <color theme="1"/>
      <name val="Cambria"/>
      <family val="1"/>
      <scheme val="major"/>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i/>
      <sz val="8"/>
      <name val="Arial"/>
      <family val="2"/>
    </font>
    <font>
      <b/>
      <sz val="13"/>
      <name val="Arial"/>
      <family val="2"/>
    </font>
    <font>
      <b/>
      <sz val="13"/>
      <color indexed="12"/>
      <name val="Arial"/>
      <family val="2"/>
    </font>
    <font>
      <sz val="10"/>
      <color indexed="30"/>
      <name val="Arial"/>
      <family val="2"/>
    </font>
    <font>
      <sz val="16"/>
      <color theme="4"/>
      <name val="Arial"/>
      <family val="2"/>
    </font>
    <font>
      <u/>
      <sz val="7"/>
      <color indexed="12"/>
      <name val="Arial"/>
      <family val="2"/>
    </font>
    <font>
      <sz val="10"/>
      <color indexed="9"/>
      <name val="Arial Mäori"/>
      <family val="2"/>
    </font>
    <font>
      <sz val="10"/>
      <color indexed="20"/>
      <name val="Arial Mäori"/>
      <family val="2"/>
    </font>
    <font>
      <b/>
      <sz val="10"/>
      <color indexed="52"/>
      <name val="Arial Mäori"/>
      <family val="2"/>
    </font>
    <font>
      <b/>
      <sz val="10"/>
      <color indexed="9"/>
      <name val="Arial Mäori"/>
      <family val="2"/>
    </font>
    <font>
      <i/>
      <sz val="10"/>
      <color indexed="23"/>
      <name val="Arial Mäori"/>
      <family val="2"/>
    </font>
    <font>
      <sz val="10"/>
      <color indexed="17"/>
      <name val="Arial Mäori"/>
      <family val="2"/>
    </font>
    <font>
      <sz val="10"/>
      <color indexed="62"/>
      <name val="Arial Mäori"/>
      <family val="2"/>
    </font>
    <font>
      <sz val="10"/>
      <color indexed="52"/>
      <name val="Arial Mäori"/>
      <family val="2"/>
    </font>
    <font>
      <sz val="10"/>
      <color indexed="60"/>
      <name val="Arial Mäori"/>
      <family val="2"/>
    </font>
    <font>
      <b/>
      <sz val="10"/>
      <color indexed="63"/>
      <name val="Arial Mäori"/>
      <family val="2"/>
    </font>
    <font>
      <b/>
      <sz val="10"/>
      <color indexed="8"/>
      <name val="Arial Mäori"/>
      <family val="2"/>
    </font>
    <font>
      <sz val="10"/>
      <color indexed="10"/>
      <name val="Arial Mäori"/>
      <family val="2"/>
    </font>
    <font>
      <sz val="12"/>
      <name val="Arial"/>
      <family val="2"/>
    </font>
    <font>
      <sz val="9"/>
      <name val="Century Gothic"/>
      <family val="2"/>
    </font>
    <font>
      <sz val="10"/>
      <name val="Palatino"/>
    </font>
    <font>
      <sz val="10"/>
      <color theme="1"/>
      <name val="Arial"/>
      <family val="2"/>
    </font>
    <font>
      <sz val="10"/>
      <color theme="0"/>
      <name val="Arial"/>
      <family val="2"/>
    </font>
    <font>
      <sz val="10"/>
      <color rgb="FF9C0006"/>
      <name val="Arial"/>
      <family val="2"/>
    </font>
    <font>
      <b/>
      <sz val="11"/>
      <color indexed="10"/>
      <name val="Calibri"/>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indexed="62"/>
      <name val="Calibri"/>
      <family val="2"/>
    </font>
    <font>
      <b/>
      <sz val="13"/>
      <color indexed="62"/>
      <name val="Calibri"/>
      <family val="2"/>
    </font>
    <font>
      <b/>
      <sz val="11"/>
      <color indexed="62"/>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9"/>
      <color theme="1"/>
      <name val="Arial"/>
      <family val="2"/>
    </font>
    <font>
      <b/>
      <sz val="10"/>
      <color rgb="FF3F3F3F"/>
      <name val="Arial"/>
      <family val="2"/>
    </font>
    <font>
      <b/>
      <sz val="10"/>
      <name val="MS Sans Serif"/>
      <family val="2"/>
    </font>
    <font>
      <b/>
      <sz val="18"/>
      <color indexed="62"/>
      <name val="Cambria"/>
      <family val="2"/>
    </font>
    <font>
      <b/>
      <sz val="10"/>
      <color theme="1"/>
      <name val="Arial"/>
      <family val="2"/>
    </font>
    <font>
      <sz val="10"/>
      <color rgb="FFFF0000"/>
      <name val="Arial"/>
      <family val="2"/>
    </font>
    <font>
      <u/>
      <sz val="9"/>
      <color indexed="12"/>
      <name val="Palatino"/>
    </font>
    <font>
      <b/>
      <sz val="24"/>
      <color theme="1"/>
      <name val="Calibri"/>
      <family val="2"/>
      <scheme val="minor"/>
    </font>
    <font>
      <b/>
      <sz val="28"/>
      <color theme="1"/>
      <name val="Calibri"/>
      <family val="2"/>
      <scheme val="minor"/>
    </font>
  </fonts>
  <fills count="78">
    <fill>
      <patternFill patternType="none"/>
    </fill>
    <fill>
      <patternFill patternType="gray125"/>
    </fill>
    <fill>
      <patternFill patternType="solid">
        <fgColor theme="8" tint="0.39994506668294322"/>
        <bgColor indexed="64"/>
      </patternFill>
    </fill>
    <fill>
      <patternFill patternType="solid">
        <fgColor theme="8"/>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399945066682943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patternFill>
    </fill>
    <fill>
      <patternFill patternType="solid">
        <fgColor theme="3"/>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6"/>
      </patternFill>
    </fill>
    <fill>
      <patternFill patternType="solid">
        <fgColor indexed="54"/>
      </patternFill>
    </fill>
    <fill>
      <patternFill patternType="solid">
        <fgColor indexed="27"/>
        <bgColor indexed="64"/>
      </patternFill>
    </fill>
    <fill>
      <patternFill patternType="solid">
        <fgColor indexed="9"/>
      </patternFill>
    </fill>
    <fill>
      <patternFill patternType="solid">
        <fgColor indexed="26"/>
        <bgColor indexed="64"/>
      </patternFill>
    </fill>
    <fill>
      <patternFill patternType="mediumGray">
        <fgColor indexed="22"/>
      </patternFill>
    </fill>
  </fills>
  <borders count="63">
    <border>
      <left/>
      <right/>
      <top/>
      <bottom/>
      <diagonal/>
    </border>
    <border>
      <left/>
      <right style="thick">
        <color theme="8"/>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style="medium">
        <color indexed="64"/>
      </left>
      <right style="thin">
        <color indexed="64"/>
      </right>
      <top style="medium">
        <color indexed="64"/>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8"/>
      </left>
      <right style="thick">
        <color theme="8"/>
      </right>
      <top/>
      <bottom/>
      <diagonal/>
    </border>
    <border>
      <left/>
      <right/>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indexed="64"/>
      </left>
      <right/>
      <top style="medium">
        <color indexed="64"/>
      </top>
      <bottom style="medium">
        <color indexed="64"/>
      </bottom>
      <diagonal/>
    </border>
  </borders>
  <cellStyleXfs count="5553">
    <xf numFmtId="0" fontId="0" fillId="0" borderId="0"/>
    <xf numFmtId="0" fontId="7" fillId="3" borderId="0" applyNumberFormat="0" applyAlignment="0" applyProtection="0"/>
    <xf numFmtId="0" fontId="6" fillId="2" borderId="0" applyNumberFormat="0" applyAlignment="0" applyProtection="0"/>
    <xf numFmtId="0" fontId="5" fillId="5" borderId="0" applyNumberFormat="0" applyAlignment="0" applyProtection="0"/>
    <xf numFmtId="0" fontId="4" fillId="0" borderId="0" applyNumberFormat="0" applyAlignment="0" applyProtection="0"/>
    <xf numFmtId="0" fontId="2" fillId="4" borderId="0" applyNumberFormat="0" applyFont="0" applyAlignment="0" applyProtection="0"/>
    <xf numFmtId="3" fontId="1" fillId="0" borderId="0" applyFont="0" applyFill="0" applyAlignment="0" applyProtection="0"/>
    <xf numFmtId="3" fontId="1" fillId="0" borderId="1" applyFont="0" applyFill="0" applyAlignment="0" applyProtection="0"/>
    <xf numFmtId="10" fontId="1" fillId="0" borderId="1" applyFont="0" applyFill="0" applyAlignment="0" applyProtection="0"/>
    <xf numFmtId="10" fontId="1" fillId="0" borderId="0" applyFont="0" applyFill="0" applyAlignment="0" applyProtection="0"/>
    <xf numFmtId="9" fontId="1" fillId="0" borderId="0" applyFont="0" applyFill="0" applyBorder="0" applyAlignment="0" applyProtection="0"/>
    <xf numFmtId="164" fontId="1" fillId="0" borderId="0" applyFont="0" applyFill="0" applyBorder="0" applyAlignment="0" applyProtection="0"/>
    <xf numFmtId="0" fontId="14" fillId="6" borderId="0" applyNumberFormat="0" applyAlignment="0" applyProtection="0"/>
    <xf numFmtId="0" fontId="2" fillId="4" borderId="2" applyNumberFormat="0" applyAlignment="0" applyProtection="0"/>
    <xf numFmtId="0" fontId="13" fillId="6" borderId="0" applyNumberFormat="0" applyAlignment="0"/>
    <xf numFmtId="0" fontId="20" fillId="0" borderId="0"/>
    <xf numFmtId="0" fontId="22"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4" applyNumberFormat="0" applyAlignment="0" applyProtection="0"/>
    <xf numFmtId="0" fontId="27" fillId="26" borderId="15" applyNumberFormat="0" applyAlignment="0" applyProtection="0"/>
    <xf numFmtId="164" fontId="22" fillId="0" borderId="0" applyFont="0" applyFill="0" applyBorder="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27" borderId="0" applyNumberFormat="0" applyBorder="0" applyAlignment="0" applyProtection="0"/>
    <xf numFmtId="0" fontId="20" fillId="0" borderId="0"/>
    <xf numFmtId="0" fontId="22" fillId="0" borderId="0"/>
    <xf numFmtId="0" fontId="33"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28" borderId="18" applyNumberFormat="0" applyFont="0" applyAlignment="0" applyProtection="0"/>
    <xf numFmtId="0" fontId="34" fillId="25" borderId="19" applyNumberFormat="0" applyAlignment="0" applyProtection="0"/>
    <xf numFmtId="0" fontId="35" fillId="0" borderId="0" applyNumberFormat="0" applyFill="0" applyBorder="0" applyAlignment="0" applyProtection="0"/>
    <xf numFmtId="0" fontId="36" fillId="0" borderId="20" applyNumberFormat="0" applyFill="0" applyAlignment="0" applyProtection="0"/>
    <xf numFmtId="0" fontId="37" fillId="0" borderId="0" applyNumberFormat="0" applyFill="0" applyBorder="0" applyAlignment="0" applyProtection="0"/>
    <xf numFmtId="178" fontId="22" fillId="0" borderId="0"/>
    <xf numFmtId="0" fontId="22" fillId="0" borderId="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65"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65"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65"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65"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65"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65"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65"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65" fillId="16" borderId="0" applyNumberFormat="0" applyBorder="0" applyAlignment="0" applyProtection="0"/>
    <xf numFmtId="0" fontId="39" fillId="16" borderId="0" applyNumberFormat="0" applyBorder="0" applyAlignment="0" applyProtection="0"/>
    <xf numFmtId="0" fontId="50" fillId="17" borderId="0" applyNumberFormat="0" applyBorder="0" applyAlignment="0" applyProtection="0"/>
    <xf numFmtId="0" fontId="66" fillId="17" borderId="0" applyNumberFormat="0" applyBorder="0" applyAlignment="0" applyProtection="0"/>
    <xf numFmtId="0" fontId="50" fillId="14" borderId="0" applyNumberFormat="0" applyBorder="0" applyAlignment="0" applyProtection="0"/>
    <xf numFmtId="0" fontId="66" fillId="14" borderId="0" applyNumberFormat="0" applyBorder="0" applyAlignment="0" applyProtection="0"/>
    <xf numFmtId="0" fontId="50" fillId="15" borderId="0" applyNumberFormat="0" applyBorder="0" applyAlignment="0" applyProtection="0"/>
    <xf numFmtId="0" fontId="66" fillId="15"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50" fillId="19" borderId="0" applyNumberFormat="0" applyBorder="0" applyAlignment="0" applyProtection="0"/>
    <xf numFmtId="0" fontId="66" fillId="19" borderId="0" applyNumberFormat="0" applyBorder="0" applyAlignment="0" applyProtection="0"/>
    <xf numFmtId="0" fontId="50" fillId="20" borderId="0" applyNumberFormat="0" applyBorder="0" applyAlignment="0" applyProtection="0"/>
    <xf numFmtId="0" fontId="66" fillId="20" borderId="0" applyNumberFormat="0" applyBorder="0" applyAlignment="0" applyProtection="0"/>
    <xf numFmtId="0" fontId="50" fillId="21" borderId="0" applyNumberFormat="0" applyBorder="0" applyAlignment="0" applyProtection="0"/>
    <xf numFmtId="0" fontId="66" fillId="21" borderId="0" applyNumberFormat="0" applyBorder="0" applyAlignment="0" applyProtection="0"/>
    <xf numFmtId="0" fontId="50" fillId="22" borderId="0" applyNumberFormat="0" applyBorder="0" applyAlignment="0" applyProtection="0"/>
    <xf numFmtId="0" fontId="66" fillId="22" borderId="0" applyNumberFormat="0" applyBorder="0" applyAlignment="0" applyProtection="0"/>
    <xf numFmtId="0" fontId="50" fillId="23" borderId="0" applyNumberFormat="0" applyBorder="0" applyAlignment="0" applyProtection="0"/>
    <xf numFmtId="0" fontId="66" fillId="23"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50" fillId="19" borderId="0" applyNumberFormat="0" applyBorder="0" applyAlignment="0" applyProtection="0"/>
    <xf numFmtId="0" fontId="66" fillId="19" borderId="0" applyNumberFormat="0" applyBorder="0" applyAlignment="0" applyProtection="0"/>
    <xf numFmtId="0" fontId="50" fillId="24" borderId="0" applyNumberFormat="0" applyBorder="0" applyAlignment="0" applyProtection="0"/>
    <xf numFmtId="0" fontId="66" fillId="24" borderId="0" applyNumberFormat="0" applyBorder="0" applyAlignment="0" applyProtection="0"/>
    <xf numFmtId="0" fontId="42" fillId="0" borderId="5">
      <alignment horizontal="center" vertical="center"/>
    </xf>
    <xf numFmtId="0" fontId="51" fillId="8" borderId="0" applyNumberFormat="0" applyBorder="0" applyAlignment="0" applyProtection="0"/>
    <xf numFmtId="0" fontId="67" fillId="8" borderId="0" applyNumberFormat="0" applyBorder="0" applyAlignment="0" applyProtection="0"/>
    <xf numFmtId="175" fontId="43" fillId="0" borderId="0"/>
    <xf numFmtId="0" fontId="52" fillId="25" borderId="14" applyNumberFormat="0" applyAlignment="0" applyProtection="0"/>
    <xf numFmtId="0" fontId="68" fillId="25" borderId="14" applyNumberFormat="0" applyAlignment="0" applyProtection="0"/>
    <xf numFmtId="0" fontId="53" fillId="26" borderId="15" applyNumberFormat="0" applyAlignment="0" applyProtection="0"/>
    <xf numFmtId="0" fontId="69" fillId="26" borderId="15" applyNumberFormat="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6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6" fontId="44" fillId="0" borderId="0">
      <alignment horizontal="left"/>
    </xf>
    <xf numFmtId="167" fontId="42" fillId="0" borderId="0" applyBorder="0"/>
    <xf numFmtId="167" fontId="42" fillId="0" borderId="22"/>
    <xf numFmtId="0" fontId="22" fillId="0" borderId="0" applyFon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55" fillId="9" borderId="0" applyNumberFormat="0" applyBorder="0" applyAlignment="0" applyProtection="0"/>
    <xf numFmtId="0" fontId="71" fillId="9" borderId="0" applyNumberFormat="0" applyBorder="0" applyAlignment="0" applyProtection="0"/>
    <xf numFmtId="0" fontId="56" fillId="0" borderId="23" applyNumberFormat="0" applyFill="0" applyAlignment="0" applyProtection="0"/>
    <xf numFmtId="0" fontId="72" fillId="0" borderId="23" applyNumberFormat="0" applyFill="0" applyAlignment="0" applyProtection="0"/>
    <xf numFmtId="0" fontId="57" fillId="0" borderId="24" applyNumberFormat="0" applyFill="0" applyAlignment="0" applyProtection="0"/>
    <xf numFmtId="0" fontId="73" fillId="0" borderId="24"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58" fillId="0" borderId="0" applyNumberFormat="0" applyFill="0" applyBorder="0" applyAlignment="0" applyProtection="0"/>
    <xf numFmtId="0" fontId="74" fillId="0" borderId="0" applyNumberFormat="0" applyFill="0" applyBorder="0" applyAlignment="0" applyProtection="0"/>
    <xf numFmtId="173"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9" fillId="12" borderId="14" applyNumberFormat="0" applyAlignment="0" applyProtection="0"/>
    <xf numFmtId="0" fontId="75" fillId="12" borderId="14" applyNumberFormat="0" applyAlignment="0" applyProtection="0"/>
    <xf numFmtId="0" fontId="60" fillId="0" borderId="17" applyNumberFormat="0" applyFill="0" applyAlignment="0" applyProtection="0"/>
    <xf numFmtId="0" fontId="76" fillId="0" borderId="17" applyNumberFormat="0" applyFill="0" applyAlignment="0" applyProtection="0"/>
    <xf numFmtId="177" fontId="41" fillId="0" borderId="0"/>
    <xf numFmtId="0" fontId="61" fillId="27" borderId="0" applyNumberFormat="0" applyBorder="0" applyAlignment="0" applyProtection="0"/>
    <xf numFmtId="0" fontId="77" fillId="27" borderId="0" applyNumberFormat="0" applyBorder="0" applyAlignment="0" applyProtection="0"/>
    <xf numFmtId="0" fontId="4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173" fontId="39" fillId="0" borderId="0"/>
    <xf numFmtId="0" fontId="22" fillId="0" borderId="0" applyBorder="0"/>
    <xf numFmtId="173" fontId="39" fillId="0" borderId="0"/>
    <xf numFmtId="173" fontId="39" fillId="0" borderId="0"/>
    <xf numFmtId="173" fontId="39" fillId="0" borderId="0"/>
    <xf numFmtId="173" fontId="39" fillId="0" borderId="0"/>
    <xf numFmtId="0" fontId="22" fillId="0" borderId="0"/>
    <xf numFmtId="0" fontId="22" fillId="0" borderId="0"/>
    <xf numFmtId="0" fontId="22" fillId="0" borderId="0"/>
    <xf numFmtId="0" fontId="65" fillId="0" borderId="0"/>
    <xf numFmtId="0" fontId="65" fillId="0" borderId="0"/>
    <xf numFmtId="0" fontId="65" fillId="0" borderId="0"/>
    <xf numFmtId="0" fontId="22" fillId="0" borderId="0"/>
    <xf numFmtId="0" fontId="20" fillId="0" borderId="0"/>
    <xf numFmtId="178" fontId="39" fillId="0" borderId="0"/>
    <xf numFmtId="178" fontId="39" fillId="0" borderId="0"/>
    <xf numFmtId="0" fontId="42" fillId="0" borderId="0"/>
    <xf numFmtId="0" fontId="42" fillId="0" borderId="0"/>
    <xf numFmtId="0" fontId="22" fillId="0" borderId="0"/>
    <xf numFmtId="0" fontId="22" fillId="0" borderId="0"/>
    <xf numFmtId="0" fontId="22" fillId="0" borderId="0"/>
    <xf numFmtId="0" fontId="22" fillId="0" borderId="0"/>
    <xf numFmtId="0" fontId="39" fillId="0" borderId="0"/>
    <xf numFmtId="0" fontId="39" fillId="0" borderId="0"/>
    <xf numFmtId="0" fontId="22" fillId="0" borderId="0"/>
    <xf numFmtId="0" fontId="22" fillId="0" borderId="0"/>
    <xf numFmtId="178" fontId="23" fillId="0" borderId="0"/>
    <xf numFmtId="0" fontId="23" fillId="0" borderId="0"/>
    <xf numFmtId="0" fontId="64" fillId="0" borderId="0"/>
    <xf numFmtId="0" fontId="1" fillId="0" borderId="0"/>
    <xf numFmtId="173" fontId="39" fillId="0" borderId="0"/>
    <xf numFmtId="173" fontId="39" fillId="0" borderId="0"/>
    <xf numFmtId="0" fontId="81" fillId="0" borderId="0"/>
    <xf numFmtId="173" fontId="39" fillId="0" borderId="0"/>
    <xf numFmtId="173" fontId="39" fillId="0" borderId="0"/>
    <xf numFmtId="178" fontId="22" fillId="0" borderId="0" applyBorder="0"/>
    <xf numFmtId="0" fontId="22" fillId="0" borderId="0" applyBorder="0"/>
    <xf numFmtId="178" fontId="22" fillId="0" borderId="0"/>
    <xf numFmtId="0" fontId="41" fillId="0" borderId="0"/>
    <xf numFmtId="0" fontId="41" fillId="0" borderId="0"/>
    <xf numFmtId="0" fontId="22" fillId="0" borderId="0"/>
    <xf numFmtId="0" fontId="23" fillId="0" borderId="0"/>
    <xf numFmtId="0" fontId="22" fillId="0" borderId="0"/>
    <xf numFmtId="0" fontId="22"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45" fillId="0" borderId="0">
      <alignment horizontal="left"/>
    </xf>
    <xf numFmtId="0" fontId="62" fillId="25" borderId="19" applyNumberFormat="0" applyAlignment="0" applyProtection="0"/>
    <xf numFmtId="0" fontId="78" fillId="25" borderId="19" applyNumberFormat="0" applyAlignment="0" applyProtection="0"/>
    <xf numFmtId="9" fontId="2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2" fillId="0" borderId="12">
      <alignment horizontal="center" vertical="center"/>
    </xf>
    <xf numFmtId="0" fontId="22" fillId="0" borderId="0" applyNumberFormat="0" applyFill="0" applyBorder="0" applyAlignment="0" applyProtection="0"/>
    <xf numFmtId="164" fontId="23" fillId="0" borderId="25" applyFont="0" applyAlignment="0">
      <alignment vertical="top" wrapText="1"/>
    </xf>
    <xf numFmtId="0" fontId="46" fillId="0" borderId="0"/>
    <xf numFmtId="0" fontId="47" fillId="0" borderId="0"/>
    <xf numFmtId="0" fontId="40" fillId="0" borderId="20" applyNumberFormat="0" applyFill="0" applyAlignment="0" applyProtection="0"/>
    <xf numFmtId="0" fontId="40" fillId="0" borderId="20" applyNumberFormat="0" applyFill="0" applyAlignment="0" applyProtection="0"/>
    <xf numFmtId="0" fontId="79" fillId="0" borderId="20" applyNumberFormat="0" applyFill="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42" fillId="0" borderId="0"/>
    <xf numFmtId="164" fontId="22" fillId="0" borderId="0" applyFont="0" applyFill="0" applyBorder="0" applyAlignment="0" applyProtection="0"/>
    <xf numFmtId="0" fontId="87" fillId="0" borderId="23" applyNumberFormat="0" applyFill="0" applyAlignment="0" applyProtection="0"/>
    <xf numFmtId="0" fontId="88" fillId="0" borderId="24" applyNumberFormat="0" applyFill="0" applyAlignment="0" applyProtection="0"/>
    <xf numFmtId="0" fontId="89" fillId="12" borderId="14" applyNumberFormat="0" applyAlignment="0" applyProtection="0"/>
    <xf numFmtId="0" fontId="20" fillId="0" borderId="0"/>
    <xf numFmtId="0" fontId="20" fillId="0" borderId="0"/>
    <xf numFmtId="0" fontId="1" fillId="0" borderId="0"/>
    <xf numFmtId="0" fontId="1" fillId="0" borderId="0"/>
    <xf numFmtId="0" fontId="22" fillId="0" borderId="0"/>
    <xf numFmtId="0" fontId="1" fillId="0" borderId="0"/>
    <xf numFmtId="0" fontId="20"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22" fillId="0" borderId="0"/>
    <xf numFmtId="0" fontId="109"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2" fillId="0" borderId="38" applyNumberFormat="0" applyFill="0" applyAlignment="0" applyProtection="0"/>
    <xf numFmtId="0" fontId="56" fillId="0" borderId="38" applyNumberFormat="0" applyFill="0" applyAlignment="0" applyProtection="0"/>
    <xf numFmtId="0" fontId="73" fillId="0" borderId="39" applyNumberFormat="0" applyFill="0" applyAlignment="0" applyProtection="0"/>
    <xf numFmtId="0" fontId="57" fillId="0" borderId="39" applyNumberFormat="0" applyFill="0" applyAlignment="0" applyProtection="0"/>
    <xf numFmtId="0" fontId="120" fillId="0" borderId="0" applyNumberFormat="0" applyFill="0" applyBorder="0" applyAlignment="0" applyProtection="0"/>
    <xf numFmtId="0" fontId="121" fillId="37" borderId="0" applyNumberFormat="0" applyBorder="0" applyAlignment="0" applyProtection="0"/>
    <xf numFmtId="0" fontId="122" fillId="38" borderId="0" applyNumberFormat="0" applyBorder="0" applyAlignment="0" applyProtection="0"/>
    <xf numFmtId="0" fontId="123" fillId="39" borderId="0" applyNumberFormat="0" applyBorder="0" applyAlignment="0" applyProtection="0"/>
    <xf numFmtId="0" fontId="124" fillId="40" borderId="40" applyNumberFormat="0" applyAlignment="0" applyProtection="0"/>
    <xf numFmtId="0" fontId="125" fillId="40" borderId="2" applyNumberFormat="0" applyAlignment="0" applyProtection="0"/>
    <xf numFmtId="0" fontId="126" fillId="0" borderId="41" applyNumberFormat="0" applyFill="0" applyAlignment="0" applyProtection="0"/>
    <xf numFmtId="0" fontId="127" fillId="41" borderId="42" applyNumberFormat="0" applyAlignment="0" applyProtection="0"/>
    <xf numFmtId="0" fontId="128" fillId="0" borderId="0" applyNumberFormat="0" applyFill="0" applyBorder="0" applyAlignment="0" applyProtection="0"/>
    <xf numFmtId="0" fontId="1" fillId="42" borderId="43" applyNumberFormat="0" applyFont="0" applyAlignment="0" applyProtection="0"/>
    <xf numFmtId="0" fontId="129" fillId="0" borderId="0" applyNumberFormat="0" applyFill="0" applyBorder="0" applyAlignment="0" applyProtection="0"/>
    <xf numFmtId="0" fontId="3" fillId="0" borderId="44" applyNumberFormat="0" applyFill="0" applyAlignment="0" applyProtection="0"/>
    <xf numFmtId="0" fontId="130"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30" fillId="46" borderId="0" applyNumberFormat="0" applyBorder="0" applyAlignment="0" applyProtection="0"/>
    <xf numFmtId="0" fontId="130"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30" fillId="50" borderId="0" applyNumberFormat="0" applyBorder="0" applyAlignment="0" applyProtection="0"/>
    <xf numFmtId="0" fontId="130"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30" fillId="54" borderId="0" applyNumberFormat="0" applyBorder="0" applyAlignment="0" applyProtection="0"/>
    <xf numFmtId="0" fontId="130"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30" fillId="58" borderId="0" applyNumberFormat="0" applyBorder="0" applyAlignment="0" applyProtection="0"/>
    <xf numFmtId="0" fontId="130"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30" fillId="62" borderId="0" applyNumberFormat="0" applyBorder="0" applyAlignment="0" applyProtection="0"/>
    <xf numFmtId="0" fontId="130"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30" fillId="66" borderId="0" applyNumberFormat="0" applyBorder="0" applyAlignment="0" applyProtection="0"/>
    <xf numFmtId="0" fontId="131" fillId="0" borderId="0" applyNumberFormat="0" applyFill="0" applyBorder="0" applyAlignment="0" applyProtection="0"/>
    <xf numFmtId="0" fontId="132" fillId="0" borderId="45" applyNumberFormat="0" applyFill="0" applyAlignment="0" applyProtection="0"/>
    <xf numFmtId="0" fontId="133" fillId="0" borderId="46" applyNumberFormat="0" applyFill="0" applyAlignment="0" applyProtection="0"/>
    <xf numFmtId="0" fontId="120" fillId="0" borderId="47" applyNumberFormat="0" applyFill="0" applyAlignment="0" applyProtection="0"/>
    <xf numFmtId="0" fontId="2" fillId="67" borderId="2" applyNumberFormat="0" applyAlignment="0" applyProtection="0"/>
    <xf numFmtId="0" fontId="22" fillId="0" borderId="0" applyFont="0" applyFill="0" applyBorder="0" applyAlignment="0" applyProtection="0"/>
    <xf numFmtId="0" fontId="20" fillId="0" borderId="0"/>
    <xf numFmtId="9" fontId="22"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35" fillId="0" borderId="49" applyNumberFormat="0" applyFont="0" applyFill="0" applyAlignment="0" applyProtection="0"/>
    <xf numFmtId="0" fontId="137" fillId="0" borderId="0" applyNumberFormat="0" applyFill="0" applyBorder="0" applyAlignment="0" applyProtection="0"/>
    <xf numFmtId="0" fontId="136" fillId="0" borderId="0" applyNumberFormat="0" applyFill="0" applyBorder="0" applyAlignment="0" applyProtection="0"/>
    <xf numFmtId="2" fontId="135" fillId="0" borderId="0" applyFont="0" applyFill="0" applyBorder="0" applyAlignment="0" applyProtection="0"/>
    <xf numFmtId="0" fontId="135" fillId="0" borderId="0" applyFont="0" applyFill="0" applyBorder="0" applyAlignment="0" applyProtection="0"/>
    <xf numFmtId="187" fontId="135" fillId="0" borderId="0" applyFont="0" applyFill="0" applyBorder="0" applyAlignment="0" applyProtection="0"/>
    <xf numFmtId="3" fontId="135" fillId="0" borderId="0" applyFont="0" applyFill="0" applyBorder="0" applyAlignment="0" applyProtection="0"/>
    <xf numFmtId="0" fontId="23" fillId="0" borderId="0">
      <alignment vertical="top"/>
    </xf>
    <xf numFmtId="0" fontId="22" fillId="0" borderId="0"/>
    <xf numFmtId="165" fontId="1" fillId="0" borderId="0" applyFont="0" applyFill="0" applyBorder="0" applyAlignment="0" applyProtection="0"/>
    <xf numFmtId="0" fontId="22" fillId="0" borderId="0"/>
    <xf numFmtId="0" fontId="22" fillId="0" borderId="0"/>
    <xf numFmtId="0" fontId="2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20" fillId="0" borderId="0"/>
    <xf numFmtId="0" fontId="42" fillId="0" borderId="0"/>
    <xf numFmtId="0" fontId="20" fillId="0" borderId="0"/>
    <xf numFmtId="0" fontId="20" fillId="0" borderId="0"/>
    <xf numFmtId="0" fontId="20" fillId="0" borderId="0"/>
    <xf numFmtId="0" fontId="42" fillId="0" borderId="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20" fillId="0" borderId="0"/>
    <xf numFmtId="0" fontId="42" fillId="0" borderId="0"/>
    <xf numFmtId="0" fontId="42" fillId="0" borderId="0"/>
    <xf numFmtId="0" fontId="42" fillId="0" borderId="0"/>
    <xf numFmtId="0" fontId="20" fillId="0" borderId="0"/>
    <xf numFmtId="0" fontId="20" fillId="0" borderId="0"/>
    <xf numFmtId="0" fontId="42" fillId="0" borderId="0"/>
    <xf numFmtId="0" fontId="42" fillId="0" borderId="0"/>
    <xf numFmtId="164" fontId="42" fillId="0" borderId="0" applyFont="0" applyFill="0" applyBorder="0" applyAlignment="0" applyProtection="0"/>
    <xf numFmtId="0" fontId="42"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 fontId="43" fillId="0" borderId="0" applyFont="0" applyFill="0" applyBorder="0" applyAlignment="0" applyProtection="0"/>
    <xf numFmtId="0" fontId="43" fillId="0" borderId="0"/>
    <xf numFmtId="164" fontId="39" fillId="0" borderId="0" applyFont="0" applyFill="0" applyBorder="0" applyAlignment="0" applyProtection="0"/>
    <xf numFmtId="0" fontId="22" fillId="0" borderId="0" applyBorder="0"/>
    <xf numFmtId="0" fontId="39" fillId="0" borderId="0"/>
    <xf numFmtId="173" fontId="39" fillId="0" borderId="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38" fillId="0" borderId="0" applyNumberFormat="0" applyFill="0" applyBorder="0" applyAlignment="0" applyProtection="0">
      <alignment vertical="top"/>
      <protection locked="0"/>
    </xf>
    <xf numFmtId="0" fontId="20" fillId="0" borderId="0"/>
    <xf numFmtId="0" fontId="20" fillId="0" borderId="0"/>
    <xf numFmtId="0" fontId="20" fillId="0" borderId="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9" fontId="22" fillId="0" borderId="0" applyFont="0" applyFill="0" applyBorder="0" applyAlignment="0" applyProtection="0"/>
    <xf numFmtId="0" fontId="22" fillId="0" borderId="0" applyNumberFormat="0" applyFill="0" applyBorder="0" applyAlignment="0" applyProtection="0"/>
    <xf numFmtId="164" fontId="1" fillId="0" borderId="0" applyFont="0" applyFill="0" applyBorder="0" applyAlignment="0" applyProtection="0"/>
    <xf numFmtId="0" fontId="22" fillId="0" borderId="0" applyFont="0" applyFill="0" applyBorder="0" applyAlignment="0" applyProtection="0"/>
    <xf numFmtId="164" fontId="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39" fillId="7" borderId="0" applyNumberFormat="0" applyBorder="0" applyAlignment="0" applyProtection="0"/>
    <xf numFmtId="0" fontId="1" fillId="7" borderId="0" applyNumberFormat="0" applyBorder="0" applyAlignment="0" applyProtection="0"/>
    <xf numFmtId="0" fontId="86" fillId="44" borderId="0" applyNumberFormat="0" applyBorder="0" applyAlignment="0" applyProtection="0"/>
    <xf numFmtId="0" fontId="39" fillId="8" borderId="0" applyNumberFormat="0" applyBorder="0" applyAlignment="0" applyProtection="0"/>
    <xf numFmtId="0" fontId="1" fillId="8" borderId="0" applyNumberFormat="0" applyBorder="0" applyAlignment="0" applyProtection="0"/>
    <xf numFmtId="0" fontId="86" fillId="48" borderId="0" applyNumberFormat="0" applyBorder="0" applyAlignment="0" applyProtection="0"/>
    <xf numFmtId="0" fontId="39" fillId="9" borderId="0" applyNumberFormat="0" applyBorder="0" applyAlignment="0" applyProtection="0"/>
    <xf numFmtId="0" fontId="1" fillId="9" borderId="0" applyNumberFormat="0" applyBorder="0" applyAlignment="0" applyProtection="0"/>
    <xf numFmtId="0" fontId="86" fillId="52"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86" fillId="56" borderId="0" applyNumberFormat="0" applyBorder="0" applyAlignment="0" applyProtection="0"/>
    <xf numFmtId="0" fontId="39" fillId="11" borderId="0" applyNumberFormat="0" applyBorder="0" applyAlignment="0" applyProtection="0"/>
    <xf numFmtId="0" fontId="86" fillId="60" borderId="0" applyNumberFormat="0" applyBorder="0" applyAlignment="0" applyProtection="0"/>
    <xf numFmtId="0" fontId="39" fillId="12" borderId="0" applyNumberFormat="0" applyBorder="0" applyAlignment="0" applyProtection="0"/>
    <xf numFmtId="0" fontId="1" fillId="25" borderId="0" applyNumberFormat="0" applyBorder="0" applyAlignment="0" applyProtection="0"/>
    <xf numFmtId="0" fontId="86" fillId="64"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86" fillId="45" borderId="0" applyNumberFormat="0" applyBorder="0" applyAlignment="0" applyProtection="0"/>
    <xf numFmtId="0" fontId="39" fillId="14" borderId="0" applyNumberFormat="0" applyBorder="0" applyAlignment="0" applyProtection="0"/>
    <xf numFmtId="0" fontId="86" fillId="49"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86" fillId="53"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86" fillId="57"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86" fillId="61" borderId="0" applyNumberFormat="0" applyBorder="0" applyAlignment="0" applyProtection="0"/>
    <xf numFmtId="0" fontId="39" fillId="16" borderId="0" applyNumberFormat="0" applyBorder="0" applyAlignment="0" applyProtection="0"/>
    <xf numFmtId="0" fontId="1" fillId="16" borderId="0" applyNumberFormat="0" applyBorder="0" applyAlignment="0" applyProtection="0"/>
    <xf numFmtId="0" fontId="86" fillId="65" borderId="0" applyNumberFormat="0" applyBorder="0" applyAlignment="0" applyProtection="0"/>
    <xf numFmtId="0" fontId="50" fillId="17" borderId="0" applyNumberFormat="0" applyBorder="0" applyAlignment="0" applyProtection="0"/>
    <xf numFmtId="0" fontId="130" fillId="17" borderId="0" applyNumberFormat="0" applyBorder="0" applyAlignment="0" applyProtection="0"/>
    <xf numFmtId="0" fontId="144" fillId="46" borderId="0" applyNumberFormat="0" applyBorder="0" applyAlignment="0" applyProtection="0"/>
    <xf numFmtId="0" fontId="50" fillId="14" borderId="0" applyNumberFormat="0" applyBorder="0" applyAlignment="0" applyProtection="0"/>
    <xf numFmtId="0" fontId="130" fillId="14" borderId="0" applyNumberFormat="0" applyBorder="0" applyAlignment="0" applyProtection="0"/>
    <xf numFmtId="0" fontId="144" fillId="50" borderId="0" applyNumberFormat="0" applyBorder="0" applyAlignment="0" applyProtection="0"/>
    <xf numFmtId="0" fontId="50" fillId="15" borderId="0" applyNumberFormat="0" applyBorder="0" applyAlignment="0" applyProtection="0"/>
    <xf numFmtId="0" fontId="130" fillId="15" borderId="0" applyNumberFormat="0" applyBorder="0" applyAlignment="0" applyProtection="0"/>
    <xf numFmtId="0" fontId="144" fillId="54" borderId="0" applyNumberFormat="0" applyBorder="0" applyAlignment="0" applyProtection="0"/>
    <xf numFmtId="0" fontId="50" fillId="18" borderId="0" applyNumberFormat="0" applyBorder="0" applyAlignment="0" applyProtection="0"/>
    <xf numFmtId="0" fontId="130" fillId="18" borderId="0" applyNumberFormat="0" applyBorder="0" applyAlignment="0" applyProtection="0"/>
    <xf numFmtId="0" fontId="144" fillId="58" borderId="0" applyNumberFormat="0" applyBorder="0" applyAlignment="0" applyProtection="0"/>
    <xf numFmtId="0" fontId="50" fillId="19" borderId="0" applyNumberFormat="0" applyBorder="0" applyAlignment="0" applyProtection="0"/>
    <xf numFmtId="0" fontId="130" fillId="19" borderId="0" applyNumberFormat="0" applyBorder="0" applyAlignment="0" applyProtection="0"/>
    <xf numFmtId="0" fontId="144" fillId="62" borderId="0" applyNumberFormat="0" applyBorder="0" applyAlignment="0" applyProtection="0"/>
    <xf numFmtId="0" fontId="50" fillId="20" borderId="0" applyNumberFormat="0" applyBorder="0" applyAlignment="0" applyProtection="0"/>
    <xf numFmtId="0" fontId="130" fillId="20" borderId="0" applyNumberFormat="0" applyBorder="0" applyAlignment="0" applyProtection="0"/>
    <xf numFmtId="0" fontId="144" fillId="66" borderId="0" applyNumberFormat="0" applyBorder="0" applyAlignment="0" applyProtection="0"/>
    <xf numFmtId="0" fontId="50" fillId="21" borderId="0" applyNumberFormat="0" applyBorder="0" applyAlignment="0" applyProtection="0"/>
    <xf numFmtId="0" fontId="130" fillId="21" borderId="0" applyNumberFormat="0" applyBorder="0" applyAlignment="0" applyProtection="0"/>
    <xf numFmtId="0" fontId="144" fillId="43" borderId="0" applyNumberFormat="0" applyBorder="0" applyAlignment="0" applyProtection="0"/>
    <xf numFmtId="0" fontId="50" fillId="22" borderId="0" applyNumberFormat="0" applyBorder="0" applyAlignment="0" applyProtection="0"/>
    <xf numFmtId="0" fontId="130" fillId="22" borderId="0" applyNumberFormat="0" applyBorder="0" applyAlignment="0" applyProtection="0"/>
    <xf numFmtId="0" fontId="144" fillId="47" borderId="0" applyNumberFormat="0" applyBorder="0" applyAlignment="0" applyProtection="0"/>
    <xf numFmtId="0" fontId="50" fillId="23" borderId="0" applyNumberFormat="0" applyBorder="0" applyAlignment="0" applyProtection="0"/>
    <xf numFmtId="0" fontId="130" fillId="23" borderId="0" applyNumberFormat="0" applyBorder="0" applyAlignment="0" applyProtection="0"/>
    <xf numFmtId="0" fontId="144" fillId="51" borderId="0" applyNumberFormat="0" applyBorder="0" applyAlignment="0" applyProtection="0"/>
    <xf numFmtId="0" fontId="50" fillId="18" borderId="0" applyNumberFormat="0" applyBorder="0" applyAlignment="0" applyProtection="0"/>
    <xf numFmtId="0" fontId="130" fillId="18" borderId="0" applyNumberFormat="0" applyBorder="0" applyAlignment="0" applyProtection="0"/>
    <xf numFmtId="0" fontId="144" fillId="55" borderId="0" applyNumberFormat="0" applyBorder="0" applyAlignment="0" applyProtection="0"/>
    <xf numFmtId="0" fontId="50" fillId="19" borderId="0" applyNumberFormat="0" applyBorder="0" applyAlignment="0" applyProtection="0"/>
    <xf numFmtId="0" fontId="144" fillId="59" borderId="0" applyNumberFormat="0" applyBorder="0" applyAlignment="0" applyProtection="0"/>
    <xf numFmtId="0" fontId="50" fillId="24" borderId="0" applyNumberFormat="0" applyBorder="0" applyAlignment="0" applyProtection="0"/>
    <xf numFmtId="0" fontId="130" fillId="24" borderId="0" applyNumberFormat="0" applyBorder="0" applyAlignment="0" applyProtection="0"/>
    <xf numFmtId="0" fontId="144" fillId="63" borderId="0" applyNumberFormat="0" applyBorder="0" applyAlignment="0" applyProtection="0"/>
    <xf numFmtId="0" fontId="51" fillId="8" borderId="0" applyNumberFormat="0" applyBorder="0" applyAlignment="0" applyProtection="0"/>
    <xf numFmtId="0" fontId="122" fillId="8" borderId="0" applyNumberFormat="0" applyBorder="0" applyAlignment="0" applyProtection="0"/>
    <xf numFmtId="0" fontId="145" fillId="38" borderId="0" applyNumberFormat="0" applyBorder="0" applyAlignment="0" applyProtection="0"/>
    <xf numFmtId="0" fontId="52" fillId="25" borderId="14" applyNumberFormat="0" applyAlignment="0" applyProtection="0"/>
    <xf numFmtId="0" fontId="146" fillId="25" borderId="2" applyNumberFormat="0" applyAlignment="0" applyProtection="0"/>
    <xf numFmtId="0" fontId="147" fillId="40" borderId="2" applyNumberFormat="0" applyAlignment="0" applyProtection="0"/>
    <xf numFmtId="189" fontId="101" fillId="0" borderId="0" applyFill="0" applyBorder="0"/>
    <xf numFmtId="189" fontId="101" fillId="0" borderId="0" applyFill="0" applyBorder="0"/>
    <xf numFmtId="190" fontId="101" fillId="0" borderId="0" applyFill="0" applyBorder="0"/>
    <xf numFmtId="190" fontId="101" fillId="0" borderId="0" applyFill="0" applyBorder="0"/>
    <xf numFmtId="191" fontId="101" fillId="0" borderId="0" applyFill="0" applyBorder="0"/>
    <xf numFmtId="191" fontId="101" fillId="0" borderId="0" applyFill="0" applyBorder="0"/>
    <xf numFmtId="192" fontId="101" fillId="0" borderId="0" applyFill="0" applyBorder="0"/>
    <xf numFmtId="192" fontId="101" fillId="0" borderId="0" applyFill="0" applyBorder="0"/>
    <xf numFmtId="193" fontId="101" fillId="0" borderId="0" applyFill="0" applyBorder="0"/>
    <xf numFmtId="193" fontId="101" fillId="0" borderId="0" applyFill="0" applyBorder="0"/>
    <xf numFmtId="204" fontId="101" fillId="0" borderId="0" applyFill="0" applyBorder="0"/>
    <xf numFmtId="204" fontId="101" fillId="0" borderId="0" applyFill="0" applyBorder="0"/>
    <xf numFmtId="205" fontId="101" fillId="0" borderId="0" applyFill="0" applyBorder="0"/>
    <xf numFmtId="205" fontId="101" fillId="0" borderId="0" applyFill="0" applyBorder="0"/>
    <xf numFmtId="206" fontId="101" fillId="0" borderId="0" applyFill="0" applyBorder="0"/>
    <xf numFmtId="206" fontId="101" fillId="0" borderId="0" applyFill="0" applyBorder="0"/>
    <xf numFmtId="212" fontId="101" fillId="0" borderId="0" applyFill="0" applyBorder="0"/>
    <xf numFmtId="212" fontId="101" fillId="0" borderId="0" applyFill="0" applyBorder="0"/>
    <xf numFmtId="207" fontId="101" fillId="0" borderId="0" applyFill="0" applyBorder="0"/>
    <xf numFmtId="207" fontId="101" fillId="0" borderId="0" applyFill="0" applyBorder="0"/>
    <xf numFmtId="207" fontId="101" fillId="0" borderId="0" applyFill="0" applyBorder="0">
      <alignment horizontal="center"/>
    </xf>
    <xf numFmtId="207" fontId="101" fillId="0" borderId="0" applyFill="0" applyBorder="0">
      <alignment horizontal="center"/>
    </xf>
    <xf numFmtId="194" fontId="101" fillId="0" borderId="0" applyFill="0" applyBorder="0"/>
    <xf numFmtId="194" fontId="101" fillId="0" borderId="0" applyFill="0" applyBorder="0"/>
    <xf numFmtId="0" fontId="53" fillId="26" borderId="15" applyNumberFormat="0" applyAlignment="0" applyProtection="0"/>
    <xf numFmtId="0" fontId="148" fillId="41" borderId="42" applyNumberFormat="0" applyAlignment="0" applyProtection="0"/>
    <xf numFmtId="208" fontId="101" fillId="0" borderId="0" applyFill="0" applyBorder="0"/>
    <xf numFmtId="208" fontId="101" fillId="0" borderId="0" applyFill="0" applyBorder="0"/>
    <xf numFmtId="209" fontId="101" fillId="0" borderId="0" applyFill="0" applyBorder="0"/>
    <xf numFmtId="209" fontId="101" fillId="0" borderId="0" applyFill="0" applyBorder="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141" fillId="0" borderId="0" applyFont="0" applyFill="0" applyBorder="0" applyAlignment="0" applyProtection="0"/>
    <xf numFmtId="195" fontId="101" fillId="0" borderId="0" applyFill="0" applyBorder="0"/>
    <xf numFmtId="195" fontId="101" fillId="0" borderId="0" applyFill="0" applyBorder="0"/>
    <xf numFmtId="196" fontId="141" fillId="0" borderId="0" applyFill="0" applyBorder="0"/>
    <xf numFmtId="197" fontId="101" fillId="0" borderId="0" applyFill="0" applyBorder="0"/>
    <xf numFmtId="197" fontId="101" fillId="0" borderId="0" applyFill="0" applyBorder="0"/>
    <xf numFmtId="198" fontId="101" fillId="0" borderId="0" applyFill="0" applyBorder="0"/>
    <xf numFmtId="198" fontId="101" fillId="0" borderId="0" applyFill="0" applyBorder="0"/>
    <xf numFmtId="199" fontId="101" fillId="0" borderId="0" applyFill="0" applyBorder="0"/>
    <xf numFmtId="199" fontId="101" fillId="0" borderId="0" applyFill="0" applyBorder="0"/>
    <xf numFmtId="200" fontId="101" fillId="0" borderId="0" applyFill="0" applyBorder="0"/>
    <xf numFmtId="200" fontId="101" fillId="0" borderId="0" applyFill="0" applyBorder="0"/>
    <xf numFmtId="201" fontId="101" fillId="0" borderId="0" applyFill="0" applyBorder="0"/>
    <xf numFmtId="201" fontId="101" fillId="0" borderId="0" applyFill="0" applyBorder="0"/>
    <xf numFmtId="202" fontId="101" fillId="0" borderId="0" applyFill="0" applyBorder="0"/>
    <xf numFmtId="202" fontId="101" fillId="0" borderId="0" applyFill="0" applyBorder="0"/>
    <xf numFmtId="203" fontId="101" fillId="0" borderId="0" applyFill="0" applyBorder="0"/>
    <xf numFmtId="203" fontId="101" fillId="0" borderId="0" applyFill="0" applyBorder="0"/>
    <xf numFmtId="165" fontId="22" fillId="0" borderId="0" applyFont="0" applyFill="0" applyBorder="0" applyAlignment="0" applyProtection="0"/>
    <xf numFmtId="165" fontId="22" fillId="0" borderId="0" applyFont="0" applyFill="0" applyBorder="0" applyAlignment="0" applyProtection="0"/>
    <xf numFmtId="0" fontId="54" fillId="0" borderId="0" applyNumberFormat="0" applyFill="0" applyBorder="0" applyAlignment="0" applyProtection="0"/>
    <xf numFmtId="0" fontId="149" fillId="0" borderId="0" applyNumberFormat="0" applyFill="0" applyBorder="0" applyAlignment="0" applyProtection="0"/>
    <xf numFmtId="0" fontId="55" fillId="9" borderId="0" applyNumberFormat="0" applyBorder="0" applyAlignment="0" applyProtection="0"/>
    <xf numFmtId="0" fontId="121" fillId="9" borderId="0" applyNumberFormat="0" applyBorder="0" applyAlignment="0" applyProtection="0"/>
    <xf numFmtId="0" fontId="150" fillId="37" borderId="0" applyNumberFormat="0" applyBorder="0" applyAlignment="0" applyProtection="0"/>
    <xf numFmtId="0" fontId="138" fillId="0" borderId="0" applyFill="0" applyBorder="0"/>
    <xf numFmtId="0" fontId="138" fillId="0" borderId="0" applyFill="0" applyBorder="0"/>
    <xf numFmtId="0" fontId="139" fillId="0" borderId="0" applyFill="0" applyBorder="0"/>
    <xf numFmtId="0" fontId="139" fillId="0" borderId="0" applyFill="0" applyBorder="0"/>
    <xf numFmtId="0" fontId="134" fillId="0" borderId="0" applyFill="0" applyBorder="0"/>
    <xf numFmtId="0" fontId="134" fillId="0" borderId="0" applyFill="0" applyBorder="0"/>
    <xf numFmtId="0" fontId="140" fillId="0" borderId="0" applyFill="0" applyBorder="0"/>
    <xf numFmtId="0" fontId="140" fillId="0" borderId="0" applyFill="0" applyBorder="0"/>
    <xf numFmtId="0" fontId="56" fillId="0" borderId="38" applyNumberFormat="0" applyFill="0" applyAlignment="0" applyProtection="0"/>
    <xf numFmtId="0" fontId="151" fillId="0" borderId="45" applyNumberFormat="0" applyFill="0" applyAlignment="0" applyProtection="0"/>
    <xf numFmtId="0" fontId="57" fillId="0" borderId="39" applyNumberFormat="0" applyFill="0" applyAlignment="0" applyProtection="0"/>
    <xf numFmtId="0" fontId="152" fillId="0" borderId="46" applyNumberFormat="0" applyFill="0" applyAlignment="0" applyProtection="0"/>
    <xf numFmtId="0" fontId="58" fillId="0" borderId="16" applyNumberFormat="0" applyFill="0" applyAlignment="0" applyProtection="0"/>
    <xf numFmtId="0" fontId="153" fillId="0" borderId="47" applyNumberFormat="0" applyFill="0" applyAlignment="0" applyProtection="0"/>
    <xf numFmtId="0" fontId="58" fillId="0" borderId="0" applyNumberFormat="0" applyFill="0" applyBorder="0" applyAlignment="0" applyProtection="0"/>
    <xf numFmtId="0" fontId="153" fillId="0" borderId="0" applyNumberFormat="0" applyFill="0" applyBorder="0" applyAlignment="0" applyProtection="0"/>
    <xf numFmtId="0" fontId="142" fillId="0" borderId="0" applyFill="0" applyBorder="0">
      <alignment horizontal="left"/>
      <protection hidden="1"/>
    </xf>
    <xf numFmtId="0" fontId="142" fillId="0" borderId="0" applyFill="0" applyBorder="0">
      <alignment horizontal="left" indent="1"/>
      <protection hidden="1"/>
    </xf>
    <xf numFmtId="0" fontId="142" fillId="0" borderId="0" applyFill="0" applyBorder="0">
      <alignment horizontal="left" indent="2"/>
      <protection hidden="1"/>
    </xf>
    <xf numFmtId="0" fontId="142" fillId="0" borderId="0" applyFill="0" applyBorder="0">
      <alignment horizontal="left" indent="3"/>
      <protection hidden="1"/>
    </xf>
    <xf numFmtId="173" fontId="38" fillId="0" borderId="0" applyNumberFormat="0" applyFill="0" applyBorder="0" applyAlignment="0" applyProtection="0">
      <alignment vertical="top"/>
      <protection locked="0"/>
    </xf>
    <xf numFmtId="188" fontId="142" fillId="0" borderId="0" applyNumberFormat="0" applyFill="0" applyBorder="0" applyAlignment="0" applyProtection="0">
      <protection locked="0"/>
    </xf>
    <xf numFmtId="189" fontId="113" fillId="0" borderId="0" applyFill="0" applyBorder="0">
      <protection locked="0"/>
    </xf>
    <xf numFmtId="190" fontId="113" fillId="0" borderId="0" applyFill="0" applyBorder="0">
      <protection locked="0"/>
    </xf>
    <xf numFmtId="191" fontId="113" fillId="0" borderId="0" applyFill="0" applyBorder="0">
      <protection locked="0"/>
    </xf>
    <xf numFmtId="192" fontId="113" fillId="0" borderId="0" applyFill="0" applyBorder="0">
      <protection locked="0"/>
    </xf>
    <xf numFmtId="193" fontId="113" fillId="0" borderId="0" applyFill="0" applyBorder="0">
      <protection locked="0"/>
    </xf>
    <xf numFmtId="210" fontId="113" fillId="0" borderId="0" applyFill="0" applyBorder="0">
      <protection locked="0"/>
    </xf>
    <xf numFmtId="211" fontId="113" fillId="0" borderId="0" applyFill="0" applyBorder="0">
      <protection locked="0"/>
    </xf>
    <xf numFmtId="206" fontId="113" fillId="0" borderId="0" applyFill="0" applyBorder="0">
      <protection locked="0"/>
    </xf>
    <xf numFmtId="212" fontId="113" fillId="0" borderId="0" applyFill="0" applyBorder="0">
      <protection locked="0"/>
    </xf>
    <xf numFmtId="207" fontId="113" fillId="0" borderId="0" applyFill="0" applyBorder="0">
      <protection locked="0"/>
    </xf>
    <xf numFmtId="194" fontId="113" fillId="0" borderId="0" applyFill="0" applyBorder="0">
      <protection locked="0"/>
    </xf>
    <xf numFmtId="194" fontId="143" fillId="0" borderId="0" applyFill="0" applyBorder="0">
      <protection locked="0"/>
    </xf>
    <xf numFmtId="194" fontId="113" fillId="0" borderId="0" applyFill="0" applyBorder="0">
      <protection locked="0"/>
    </xf>
    <xf numFmtId="49" fontId="113" fillId="0" borderId="0" applyFill="0" applyBorder="0">
      <alignment vertical="top"/>
      <protection locked="0"/>
    </xf>
    <xf numFmtId="49" fontId="143" fillId="0" borderId="0" applyFill="0" applyBorder="0">
      <alignment vertical="top"/>
      <protection locked="0"/>
    </xf>
    <xf numFmtId="0" fontId="113" fillId="0" borderId="0" applyFill="0" applyBorder="0">
      <alignment vertical="top" wrapText="1"/>
      <protection locked="0"/>
    </xf>
    <xf numFmtId="208" fontId="113" fillId="0" borderId="0" applyFill="0" applyBorder="0">
      <protection locked="0"/>
    </xf>
    <xf numFmtId="209" fontId="113" fillId="0" borderId="0" applyFill="0" applyBorder="0">
      <protection locked="0"/>
    </xf>
    <xf numFmtId="0" fontId="59" fillId="12" borderId="14" applyNumberFormat="0" applyAlignment="0" applyProtection="0"/>
    <xf numFmtId="0" fontId="2" fillId="25" borderId="2" applyNumberFormat="0" applyAlignment="0" applyProtection="0"/>
    <xf numFmtId="0" fontId="154" fillId="67" borderId="2" applyNumberFormat="0" applyAlignment="0" applyProtection="0"/>
    <xf numFmtId="195" fontId="113" fillId="0" borderId="0" applyFill="0" applyBorder="0">
      <protection locked="0"/>
    </xf>
    <xf numFmtId="196" fontId="113" fillId="0" borderId="0" applyFill="0" applyBorder="0">
      <protection locked="0"/>
    </xf>
    <xf numFmtId="197" fontId="113" fillId="0" borderId="0" applyFill="0" applyBorder="0">
      <protection locked="0"/>
    </xf>
    <xf numFmtId="198" fontId="113" fillId="0" borderId="0" applyFill="0" applyBorder="0">
      <protection locked="0"/>
    </xf>
    <xf numFmtId="199" fontId="113" fillId="0" borderId="0" applyFill="0" applyBorder="0">
      <protection locked="0"/>
    </xf>
    <xf numFmtId="200" fontId="113" fillId="0" borderId="0" applyFill="0" applyBorder="0">
      <protection locked="0"/>
    </xf>
    <xf numFmtId="201" fontId="113" fillId="0" borderId="0" applyFill="0" applyBorder="0">
      <protection locked="0"/>
    </xf>
    <xf numFmtId="202" fontId="113" fillId="0" borderId="0" applyFill="0" applyBorder="0">
      <protection locked="0"/>
    </xf>
    <xf numFmtId="203" fontId="113" fillId="0" borderId="0" applyFill="0" applyBorder="0">
      <protection locked="0"/>
    </xf>
    <xf numFmtId="49" fontId="113" fillId="0" borderId="0" applyFill="0" applyBorder="0">
      <alignment horizontal="left" vertical="top"/>
      <protection locked="0"/>
    </xf>
    <xf numFmtId="49" fontId="113" fillId="0" borderId="0" applyFill="0" applyBorder="0">
      <alignment horizontal="left" vertical="top" indent="1"/>
      <protection locked="0"/>
    </xf>
    <xf numFmtId="49" fontId="113" fillId="0" borderId="0" applyFill="0" applyBorder="0">
      <alignment horizontal="left" vertical="top" indent="2"/>
      <protection locked="0"/>
    </xf>
    <xf numFmtId="49" fontId="113" fillId="0" borderId="0" applyFill="0" applyBorder="0">
      <alignment horizontal="left" vertical="top" indent="3"/>
      <protection locked="0"/>
    </xf>
    <xf numFmtId="49" fontId="113" fillId="0" borderId="0" applyFill="0" applyBorder="0">
      <alignment horizontal="left" vertical="top" indent="4"/>
      <protection locked="0"/>
    </xf>
    <xf numFmtId="49" fontId="113" fillId="0" borderId="0" applyFill="0" applyBorder="0">
      <alignment horizontal="center"/>
      <protection locked="0"/>
    </xf>
    <xf numFmtId="49" fontId="113" fillId="0" borderId="0" applyFill="0" applyBorder="0">
      <alignment horizontal="center" wrapText="1"/>
      <protection locked="0"/>
    </xf>
    <xf numFmtId="0" fontId="60" fillId="0" borderId="17" applyNumberFormat="0" applyFill="0" applyAlignment="0" applyProtection="0"/>
    <xf numFmtId="0" fontId="155" fillId="0" borderId="41" applyNumberFormat="0" applyFill="0" applyAlignment="0" applyProtection="0"/>
    <xf numFmtId="49" fontId="101" fillId="0" borderId="0" applyFill="0" applyBorder="0">
      <alignment vertical="top"/>
    </xf>
    <xf numFmtId="49" fontId="101" fillId="0" borderId="0" applyFill="0" applyBorder="0">
      <alignment vertical="top"/>
    </xf>
    <xf numFmtId="0" fontId="101" fillId="0" borderId="0" applyFill="0" applyBorder="0">
      <alignment vertical="top" wrapText="1"/>
    </xf>
    <xf numFmtId="0" fontId="101" fillId="0" borderId="0" applyFill="0" applyBorder="0">
      <alignment vertical="top" wrapText="1"/>
    </xf>
    <xf numFmtId="0" fontId="61" fillId="27" borderId="0" applyNumberFormat="0" applyBorder="0" applyAlignment="0" applyProtection="0"/>
    <xf numFmtId="0" fontId="156" fillId="39" borderId="0" applyNumberFormat="0" applyBorder="0" applyAlignment="0" applyProtection="0"/>
    <xf numFmtId="0" fontId="157" fillId="39" borderId="0" applyNumberFormat="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173" fontId="1" fillId="0" borderId="0"/>
    <xf numFmtId="0" fontId="86" fillId="0" borderId="0"/>
    <xf numFmtId="0" fontId="22" fillId="0" borderId="0"/>
    <xf numFmtId="173" fontId="1" fillId="0" borderId="0"/>
    <xf numFmtId="173" fontId="1" fillId="0" borderId="0"/>
    <xf numFmtId="0" fontId="1" fillId="0" borderId="0"/>
    <xf numFmtId="0" fontId="22" fillId="0" borderId="0"/>
    <xf numFmtId="0" fontId="1" fillId="0" borderId="0"/>
    <xf numFmtId="173" fontId="1" fillId="0" borderId="0"/>
    <xf numFmtId="0" fontId="22" fillId="0" borderId="0"/>
    <xf numFmtId="173" fontId="1" fillId="0" borderId="0"/>
    <xf numFmtId="173" fontId="1" fillId="0" borderId="0"/>
    <xf numFmtId="0" fontId="22" fillId="0" borderId="0"/>
    <xf numFmtId="0" fontId="22" fillId="0" borderId="0" applyBorder="0"/>
    <xf numFmtId="0" fontId="1" fillId="0" borderId="0"/>
    <xf numFmtId="0" fontId="22" fillId="0" borderId="0" applyBorder="0"/>
    <xf numFmtId="0" fontId="22" fillId="28" borderId="18" applyNumberFormat="0" applyFont="0" applyAlignment="0" applyProtection="0"/>
    <xf numFmtId="0" fontId="39" fillId="42" borderId="43" applyNumberFormat="0" applyFont="0" applyAlignment="0" applyProtection="0"/>
    <xf numFmtId="0" fontId="141" fillId="42" borderId="43" applyNumberFormat="0" applyFont="0" applyAlignment="0" applyProtection="0"/>
    <xf numFmtId="0" fontId="62" fillId="25" borderId="19" applyNumberFormat="0" applyAlignment="0" applyProtection="0"/>
    <xf numFmtId="0" fontId="124" fillId="25" borderId="40" applyNumberFormat="0" applyAlignment="0" applyProtection="0"/>
    <xf numFmtId="0" fontId="158" fillId="40" borderId="40"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41" fillId="0" borderId="0" applyFont="0" applyFill="0" applyBorder="0" applyAlignment="0" applyProtection="0"/>
    <xf numFmtId="0" fontId="140" fillId="0" borderId="0" applyFill="0" applyBorder="0">
      <alignment vertical="top"/>
    </xf>
    <xf numFmtId="0" fontId="140" fillId="0" borderId="0" applyFill="0" applyBorder="0">
      <alignment vertical="top"/>
    </xf>
    <xf numFmtId="0" fontId="140" fillId="0" borderId="0" applyFill="0" applyBorder="0">
      <alignment horizontal="left" vertical="top" indent="1"/>
    </xf>
    <xf numFmtId="0" fontId="140" fillId="0" borderId="0" applyFill="0" applyBorder="0">
      <alignment horizontal="left" vertical="top" indent="1"/>
    </xf>
    <xf numFmtId="0" fontId="140" fillId="0" borderId="0" applyFill="0" applyBorder="0">
      <alignment horizontal="left" vertical="top" indent="2"/>
    </xf>
    <xf numFmtId="0" fontId="140" fillId="0" borderId="0" applyFill="0" applyBorder="0">
      <alignment horizontal="left" vertical="top" indent="2"/>
    </xf>
    <xf numFmtId="0" fontId="140" fillId="0" borderId="0" applyFill="0" applyBorder="0">
      <alignment horizontal="left" vertical="top" indent="3"/>
    </xf>
    <xf numFmtId="0" fontId="140" fillId="0" borderId="0" applyFill="0" applyBorder="0">
      <alignment horizontal="left" vertical="top" indent="3"/>
    </xf>
    <xf numFmtId="0" fontId="101" fillId="0" borderId="0" applyFill="0" applyBorder="0">
      <alignment vertical="top"/>
    </xf>
    <xf numFmtId="0" fontId="101" fillId="0" borderId="0" applyFill="0" applyBorder="0">
      <alignment vertical="top"/>
    </xf>
    <xf numFmtId="0" fontId="101" fillId="0" borderId="0" applyFill="0" applyBorder="0">
      <alignment horizontal="left" vertical="top" indent="1"/>
    </xf>
    <xf numFmtId="0" fontId="101" fillId="0" borderId="0" applyFill="0" applyBorder="0">
      <alignment horizontal="left" vertical="top" indent="1"/>
    </xf>
    <xf numFmtId="0" fontId="101" fillId="0" borderId="0" applyFill="0" applyBorder="0">
      <alignment horizontal="left" vertical="top" indent="2"/>
    </xf>
    <xf numFmtId="0" fontId="101" fillId="0" borderId="0" applyFill="0" applyBorder="0">
      <alignment horizontal="left" vertical="top" indent="2"/>
    </xf>
    <xf numFmtId="0" fontId="101" fillId="0" borderId="0" applyFill="0" applyBorder="0">
      <alignment horizontal="left" vertical="top" indent="3"/>
    </xf>
    <xf numFmtId="0" fontId="101" fillId="0" borderId="0" applyFill="0" applyBorder="0">
      <alignment horizontal="left" vertical="top" indent="3"/>
    </xf>
    <xf numFmtId="0" fontId="101" fillId="0" borderId="0" applyFill="0" applyBorder="0">
      <alignment horizontal="left" vertical="top" indent="4"/>
    </xf>
    <xf numFmtId="0" fontId="101" fillId="0" borderId="0" applyFill="0" applyBorder="0">
      <alignment horizontal="left" vertical="top" indent="4"/>
    </xf>
    <xf numFmtId="0" fontId="35" fillId="0" borderId="0" applyNumberFormat="0" applyFill="0" applyBorder="0" applyAlignment="0" applyProtection="0"/>
    <xf numFmtId="0" fontId="131" fillId="0" borderId="0" applyNumberFormat="0" applyFill="0" applyBorder="0" applyAlignment="0" applyProtection="0"/>
    <xf numFmtId="0" fontId="40" fillId="0" borderId="20" applyNumberFormat="0" applyFill="0" applyAlignment="0" applyProtection="0"/>
    <xf numFmtId="0" fontId="3" fillId="0" borderId="20" applyNumberFormat="0" applyFill="0" applyAlignment="0" applyProtection="0"/>
    <xf numFmtId="0" fontId="159" fillId="0" borderId="44" applyNumberFormat="0" applyFill="0" applyAlignment="0" applyProtection="0"/>
    <xf numFmtId="0" fontId="101" fillId="0" borderId="0" applyFill="0" applyBorder="0">
      <alignment horizontal="center"/>
    </xf>
    <xf numFmtId="0" fontId="101" fillId="0" borderId="0" applyFill="0" applyBorder="0">
      <alignment horizontal="center"/>
    </xf>
    <xf numFmtId="0" fontId="101" fillId="0" borderId="0" applyFill="0" applyBorder="0">
      <alignment horizontal="center" wrapText="1"/>
    </xf>
    <xf numFmtId="0" fontId="101" fillId="0" borderId="0" applyFill="0" applyBorder="0">
      <alignment horizontal="center" wrapText="1"/>
    </xf>
    <xf numFmtId="0" fontId="63" fillId="0" borderId="0" applyNumberFormat="0" applyFill="0" applyBorder="0" applyAlignment="0" applyProtection="0"/>
    <xf numFmtId="0" fontId="160" fillId="0" borderId="0" applyNumberForma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49" fillId="0" borderId="0" applyNumberFormat="0" applyFill="0" applyBorder="0" applyAlignment="0" applyProtection="0">
      <alignment vertical="top"/>
      <protection locked="0"/>
    </xf>
    <xf numFmtId="164" fontId="22" fillId="0" borderId="0" applyFon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64" fontId="22" fillId="0" borderId="0" applyFont="0" applyFill="0" applyBorder="0" applyAlignment="0" applyProtection="0"/>
    <xf numFmtId="9" fontId="22" fillId="0" borderId="0" applyFont="0" applyFill="0" applyBorder="0" applyAlignment="0" applyProtection="0"/>
    <xf numFmtId="0" fontId="22" fillId="0" borderId="0"/>
    <xf numFmtId="0" fontId="23" fillId="0" borderId="0">
      <alignment vertical="top"/>
    </xf>
    <xf numFmtId="0" fontId="136" fillId="0" borderId="0" applyNumberFormat="0" applyFill="0" applyBorder="0" applyAlignment="0" applyProtection="0"/>
    <xf numFmtId="0" fontId="137" fillId="0" borderId="0" applyNumberFormat="0" applyFill="0" applyBorder="0" applyAlignment="0" applyProtection="0"/>
    <xf numFmtId="0" fontId="135" fillId="0" borderId="49" applyNumberFormat="0" applyFont="0" applyFill="0" applyAlignment="0" applyProtection="0"/>
    <xf numFmtId="0" fontId="65" fillId="0" borderId="0"/>
    <xf numFmtId="0" fontId="22" fillId="28" borderId="18" applyNumberFormat="0" applyFont="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4" applyNumberFormat="0" applyAlignment="0" applyProtection="0"/>
    <xf numFmtId="0" fontId="27" fillId="26" borderId="15" applyNumberFormat="0" applyAlignment="0" applyProtection="0"/>
    <xf numFmtId="164" fontId="20" fillId="0" borderId="0" applyFont="0" applyFill="0" applyBorder="0" applyAlignment="0" applyProtection="0"/>
    <xf numFmtId="0" fontId="28" fillId="0" borderId="0" applyNumberFormat="0" applyFill="0" applyBorder="0" applyAlignment="0" applyProtection="0"/>
    <xf numFmtId="0" fontId="29" fillId="9" borderId="0" applyNumberFormat="0" applyBorder="0" applyAlignment="0" applyProtection="0"/>
    <xf numFmtId="0" fontId="87" fillId="0" borderId="38" applyNumberFormat="0" applyFill="0" applyAlignment="0" applyProtection="0"/>
    <xf numFmtId="0" fontId="88" fillId="0" borderId="39"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161" fillId="0" borderId="0" applyNumberFormat="0" applyFill="0" applyBorder="0" applyAlignment="0" applyProtection="0">
      <alignment vertical="top"/>
      <protection locked="0"/>
    </xf>
    <xf numFmtId="0" fontId="89" fillId="12" borderId="14" applyNumberFormat="0" applyAlignment="0" applyProtection="0"/>
    <xf numFmtId="0" fontId="31" fillId="0" borderId="17" applyNumberFormat="0" applyFill="0" applyAlignment="0" applyProtection="0"/>
    <xf numFmtId="0" fontId="32" fillId="27" borderId="0" applyNumberFormat="0" applyBorder="0" applyAlignment="0" applyProtection="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37" fillId="0" borderId="0" applyNumberFormat="0" applyFill="0" applyBorder="0" applyAlignment="0" applyProtection="0"/>
    <xf numFmtId="0" fontId="162" fillId="0" borderId="0"/>
    <xf numFmtId="221" fontId="163" fillId="0" borderId="0" applyFont="0" applyFill="0" applyBorder="0" applyAlignment="0" applyProtection="0">
      <alignment horizontal="left"/>
      <protection locked="0"/>
    </xf>
    <xf numFmtId="222" fontId="163" fillId="0" borderId="0" applyFont="0" applyFill="0" applyBorder="0" applyAlignment="0" applyProtection="0">
      <protection locked="0"/>
    </xf>
    <xf numFmtId="223" fontId="163" fillId="0" borderId="0" applyFont="0" applyFill="0" applyBorder="0" applyAlignment="0" applyProtection="0">
      <protection locked="0"/>
    </xf>
    <xf numFmtId="224" fontId="163" fillId="0" borderId="0" applyFont="0" applyFill="0" applyBorder="0" applyAlignment="0" applyProtection="0"/>
    <xf numFmtId="0" fontId="162" fillId="34" borderId="50">
      <alignment vertical="top" wrapText="1"/>
      <protection locked="0"/>
    </xf>
    <xf numFmtId="0" fontId="164" fillId="34" borderId="50" applyNumberFormat="0">
      <protection locked="0"/>
    </xf>
    <xf numFmtId="0" fontId="162" fillId="36" borderId="0"/>
    <xf numFmtId="216" fontId="163" fillId="0" borderId="0" applyFont="0" applyFill="0" applyBorder="0" applyProtection="0">
      <protection locked="0"/>
    </xf>
    <xf numFmtId="217" fontId="163" fillId="0" borderId="0" applyFont="0" applyFill="0" applyBorder="0" applyAlignment="0" applyProtection="0">
      <alignment wrapText="1"/>
    </xf>
    <xf numFmtId="226" fontId="163" fillId="0" borderId="0" applyFont="0" applyFill="0" applyBorder="0" applyAlignment="0" applyProtection="0">
      <protection locked="0"/>
    </xf>
    <xf numFmtId="0" fontId="165" fillId="0" borderId="50" applyFill="0">
      <alignment horizontal="center"/>
    </xf>
    <xf numFmtId="216" fontId="165" fillId="0" borderId="50" applyFill="0">
      <alignment horizontal="center" vertical="center"/>
    </xf>
    <xf numFmtId="49" fontId="166" fillId="0" borderId="0" applyFill="0" applyProtection="0">
      <alignment horizontal="left" indent="1"/>
    </xf>
    <xf numFmtId="0" fontId="167" fillId="0" borderId="0" applyNumberFormat="0" applyFill="0" applyBorder="0" applyAlignment="0" applyProtection="0">
      <alignment vertical="top"/>
      <protection locked="0"/>
    </xf>
    <xf numFmtId="0" fontId="168" fillId="0" borderId="0" applyNumberFormat="0" applyFill="0" applyAlignment="0"/>
    <xf numFmtId="0" fontId="168" fillId="0" borderId="0" applyNumberFormat="0" applyFill="0" applyAlignment="0" applyProtection="0"/>
    <xf numFmtId="0" fontId="169" fillId="0" borderId="0" applyNumberFormat="0" applyFill="0" applyAlignment="0"/>
    <xf numFmtId="49" fontId="170" fillId="69" borderId="0" applyFill="0" applyBorder="0">
      <alignment horizontal="left"/>
    </xf>
    <xf numFmtId="0" fontId="163" fillId="69" borderId="0" applyFill="0" applyBorder="0"/>
    <xf numFmtId="0" fontId="162" fillId="36" borderId="51" applyNumberFormat="0">
      <alignment horizontal="left"/>
    </xf>
    <xf numFmtId="0" fontId="171" fillId="0" borderId="0" applyNumberFormat="0" applyFill="0" applyBorder="0" applyAlignment="0" applyProtection="0">
      <alignment vertical="top"/>
      <protection locked="0"/>
    </xf>
    <xf numFmtId="49" fontId="172" fillId="0" borderId="0" applyFill="0" applyBorder="0">
      <alignment horizontal="right" indent="1"/>
    </xf>
    <xf numFmtId="49" fontId="173" fillId="0" borderId="0" applyFill="0" applyBorder="0">
      <alignment horizontal="center" wrapText="1"/>
    </xf>
    <xf numFmtId="0" fontId="173" fillId="0" borderId="0" applyFill="0" applyBorder="0">
      <alignment horizontal="centerContinuous" wrapText="1"/>
    </xf>
    <xf numFmtId="0" fontId="173" fillId="0" borderId="0" applyFill="0" applyBorder="0">
      <alignment horizontal="center" wrapText="1"/>
    </xf>
    <xf numFmtId="49" fontId="162" fillId="0" borderId="0" applyFill="0" applyBorder="0">
      <alignment horizontal="left" indent="1"/>
    </xf>
    <xf numFmtId="49" fontId="162" fillId="0" borderId="0" applyFill="0" applyBorder="0">
      <alignment horizontal="left" wrapText="1" indent="2"/>
    </xf>
    <xf numFmtId="0" fontId="162" fillId="36" borderId="50" applyNumberFormat="0">
      <alignment horizontal="left"/>
    </xf>
    <xf numFmtId="49" fontId="174" fillId="36" borderId="52">
      <alignment horizontal="right" indent="2"/>
    </xf>
    <xf numFmtId="9" fontId="163" fillId="0" borderId="0" applyFont="0" applyFill="0" applyBorder="0" applyAlignment="0" applyProtection="0"/>
    <xf numFmtId="219" fontId="163" fillId="0" borderId="0" applyFont="0" applyFill="0" applyBorder="0" applyAlignment="0" applyProtection="0">
      <protection locked="0"/>
    </xf>
    <xf numFmtId="220" fontId="163" fillId="0" borderId="0" applyFont="0" applyFill="0" applyBorder="0" applyAlignment="0" applyProtection="0">
      <protection locked="0"/>
    </xf>
    <xf numFmtId="218" fontId="163" fillId="0" borderId="0" applyFont="0" applyFill="0" applyBorder="0" applyAlignment="0" applyProtection="0">
      <protection locked="0"/>
    </xf>
    <xf numFmtId="0" fontId="162" fillId="36" borderId="53" applyNumberFormat="0">
      <alignment horizontal="left"/>
    </xf>
    <xf numFmtId="213" fontId="163" fillId="0" borderId="0" applyFont="0" applyFill="0" applyBorder="0" applyAlignment="0" applyProtection="0">
      <alignment horizontal="left"/>
      <protection locked="0"/>
    </xf>
    <xf numFmtId="225" fontId="163" fillId="0" borderId="0" applyFont="0" applyFill="0" applyBorder="0">
      <alignment horizontal="left"/>
      <protection locked="0"/>
    </xf>
    <xf numFmtId="214" fontId="163" fillId="0" borderId="0" applyFont="0" applyFill="0" applyBorder="0" applyAlignment="0" applyProtection="0">
      <alignment horizontal="left"/>
      <protection locked="0"/>
    </xf>
    <xf numFmtId="0" fontId="163" fillId="68" borderId="0"/>
    <xf numFmtId="215" fontId="163" fillId="0" borderId="0" applyFont="0" applyFill="0" applyBorder="0" applyAlignment="0" applyProtection="0">
      <alignment horizontal="left"/>
      <protection locked="0"/>
    </xf>
    <xf numFmtId="9" fontId="163" fillId="0" borderId="0" applyFont="0" applyFill="0" applyBorder="0" applyAlignment="0" applyProtection="0"/>
    <xf numFmtId="9" fontId="163" fillId="0" borderId="0" applyFont="0" applyFill="0" applyBorder="0" applyAlignment="0" applyProtection="0"/>
    <xf numFmtId="221" fontId="22" fillId="0" borderId="48" applyFont="0" applyFill="0" applyBorder="0" applyAlignment="0" applyProtection="0">
      <alignment horizontal="left"/>
      <protection locked="0"/>
    </xf>
    <xf numFmtId="228" fontId="22" fillId="36" borderId="48"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0" fontId="162" fillId="34" borderId="50">
      <alignment horizontal="left" vertical="top" wrapText="1" indent="1"/>
      <protection locked="0"/>
    </xf>
    <xf numFmtId="0" fontId="22" fillId="69" borderId="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226" fontId="163" fillId="0" borderId="0" applyFont="0" applyFill="0" applyBorder="0" applyAlignment="0" applyProtection="0">
      <protection locked="0"/>
    </xf>
    <xf numFmtId="9" fontId="163" fillId="0" borderId="0" applyFont="0" applyFill="0" applyBorder="0" applyAlignment="0" applyProtection="0"/>
    <xf numFmtId="0" fontId="177" fillId="70" borderId="48" applyFill="0">
      <alignment horizontal="center"/>
    </xf>
    <xf numFmtId="216" fontId="177" fillId="70" borderId="48" applyFill="0">
      <alignment horizontal="center" vertical="center"/>
    </xf>
    <xf numFmtId="9" fontId="163" fillId="0" borderId="0" applyFont="0" applyFill="0" applyBorder="0" applyAlignment="0" applyProtection="0"/>
    <xf numFmtId="49" fontId="175" fillId="69" borderId="0" applyFill="0">
      <alignment horizontal="left" indent="1"/>
    </xf>
    <xf numFmtId="0" fontId="167" fillId="0" borderId="0" applyNumberFormat="0" applyFill="0" applyBorder="0" applyAlignment="0" applyProtection="0">
      <alignment vertical="top"/>
      <protection locked="0"/>
    </xf>
    <xf numFmtId="0" fontId="139" fillId="0" borderId="0" applyNumberFormat="0" applyFill="0" applyAlignment="0"/>
    <xf numFmtId="0" fontId="139" fillId="70" borderId="0" applyNumberFormat="0" applyFill="0" applyAlignment="0"/>
    <xf numFmtId="0" fontId="163" fillId="69" borderId="0" applyFill="0" applyBorder="0">
      <alignment wrapText="1"/>
    </xf>
    <xf numFmtId="227" fontId="162" fillId="36" borderId="51" applyNumberFormat="0">
      <alignment horizontal="left"/>
    </xf>
    <xf numFmtId="0" fontId="162" fillId="36" borderId="51" applyNumberFormat="0" applyFill="0">
      <alignment horizontal="left"/>
    </xf>
    <xf numFmtId="0" fontId="17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9" fontId="163" fillId="0" borderId="0" applyFont="0" applyFill="0" applyBorder="0" applyAlignment="0" applyProtection="0"/>
    <xf numFmtId="49" fontId="176" fillId="70" borderId="0" applyFill="0" applyBorder="0">
      <alignment horizontal="right" indent="1"/>
    </xf>
    <xf numFmtId="9" fontId="163" fillId="0" borderId="0" applyFont="0" applyFill="0" applyBorder="0" applyAlignment="0" applyProtection="0"/>
    <xf numFmtId="49" fontId="134" fillId="69" borderId="0" applyFill="0" applyBorder="0">
      <alignment horizontal="center" wrapText="1"/>
    </xf>
    <xf numFmtId="9" fontId="163" fillId="0" borderId="0" applyFont="0" applyFill="0" applyBorder="0" applyAlignment="0" applyProtection="0"/>
    <xf numFmtId="0" fontId="134" fillId="69" borderId="0" applyFill="0" applyBorder="0">
      <alignment horizontal="centerContinuous" wrapText="1"/>
    </xf>
    <xf numFmtId="227" fontId="162" fillId="36" borderId="50" applyNumberFormat="0">
      <alignment horizontal="left"/>
    </xf>
    <xf numFmtId="0" fontId="162" fillId="36" borderId="50" applyNumberFormat="0">
      <alignment horizontal="left"/>
    </xf>
    <xf numFmtId="0" fontId="22" fillId="0" borderId="0"/>
    <xf numFmtId="49" fontId="101" fillId="69" borderId="13">
      <alignment horizontal="right" indent="2"/>
    </xf>
    <xf numFmtId="49" fontId="174" fillId="36" borderId="52" applyFill="0">
      <alignment horizontal="right" indent="2"/>
    </xf>
    <xf numFmtId="9" fontId="163" fillId="0" borderId="0" applyFont="0" applyFill="0" applyBorder="0" applyAlignment="0" applyProtection="0"/>
    <xf numFmtId="0" fontId="162" fillId="36" borderId="53" applyNumberFormat="0" applyFill="0">
      <alignment horizontal="left"/>
    </xf>
    <xf numFmtId="213" fontId="178" fillId="0" borderId="48" applyFont="0" applyFill="0" applyBorder="0" applyAlignment="0" applyProtection="0">
      <alignment horizontal="left"/>
      <protection locked="0"/>
    </xf>
    <xf numFmtId="225" fontId="178" fillId="0" borderId="48">
      <alignment horizontal="left"/>
      <protection locked="0"/>
    </xf>
    <xf numFmtId="214" fontId="163" fillId="0" borderId="0" applyFont="0" applyFill="0" applyBorder="0" applyAlignment="0" applyProtection="0">
      <alignment horizontal="left"/>
      <protection locked="0"/>
    </xf>
    <xf numFmtId="0" fontId="179" fillId="0" borderId="0" applyNumberFormat="0" applyFill="0" applyBorder="0" applyAlignment="0" applyProtection="0"/>
    <xf numFmtId="0" fontId="22" fillId="70" borderId="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0" fontId="54" fillId="0" borderId="0" applyNumberFormat="0" applyFill="0" applyBorder="0" applyAlignment="0" applyProtection="0"/>
    <xf numFmtId="173" fontId="48" fillId="0" borderId="0" applyNumberFormat="0" applyFill="0" applyBorder="0" applyAlignment="0" applyProtection="0">
      <alignment vertical="top"/>
      <protection locked="0"/>
    </xf>
    <xf numFmtId="9" fontId="22" fillId="0" borderId="0" applyFont="0" applyFill="0" applyBorder="0" applyAlignment="0" applyProtection="0"/>
    <xf numFmtId="164" fontId="23" fillId="0" borderId="25" applyFont="0" applyAlignment="0">
      <alignment vertical="top" wrapText="1"/>
    </xf>
    <xf numFmtId="9" fontId="22" fillId="0" borderId="0" applyFont="0" applyFill="0" applyBorder="0" applyAlignment="0" applyProtection="0"/>
    <xf numFmtId="164" fontId="22"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0" fillId="0" borderId="0"/>
    <xf numFmtId="0" fontId="22" fillId="0" borderId="0" applyFont="0" applyFill="0" applyBorder="0" applyAlignment="0" applyProtection="0"/>
    <xf numFmtId="0" fontId="1" fillId="0" borderId="0"/>
    <xf numFmtId="0" fontId="81" fillId="0" borderId="0"/>
    <xf numFmtId="0" fontId="42" fillId="0" borderId="0"/>
    <xf numFmtId="0" fontId="1" fillId="0" borderId="0"/>
    <xf numFmtId="0" fontId="22" fillId="0" borderId="0" applyNumberFormat="0" applyFill="0" applyBorder="0" applyAlignment="0" applyProtection="0"/>
    <xf numFmtId="173" fontId="48" fillId="0" borderId="0" applyNumberFormat="0" applyFill="0" applyBorder="0" applyAlignment="0" applyProtection="0">
      <alignment vertical="top"/>
      <protection locked="0"/>
    </xf>
    <xf numFmtId="0" fontId="42" fillId="0" borderId="5">
      <alignment horizontal="center" vertical="center"/>
    </xf>
    <xf numFmtId="0" fontId="49" fillId="0" borderId="0" applyNumberFormat="0" applyFill="0" applyBorder="0" applyAlignment="0" applyProtection="0">
      <alignment vertical="top"/>
      <protection locked="0"/>
    </xf>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54" fillId="0" borderId="0" applyNumberFormat="0" applyFill="0" applyBorder="0" applyAlignment="0" applyProtection="0"/>
    <xf numFmtId="0" fontId="22" fillId="28" borderId="18" applyNumberFormat="0" applyFont="0" applyAlignment="0" applyProtection="0"/>
    <xf numFmtId="0" fontId="40" fillId="0" borderId="20" applyNumberFormat="0" applyFill="0" applyAlignment="0" applyProtection="0"/>
    <xf numFmtId="0" fontId="54" fillId="0" borderId="0" applyNumberFormat="0" applyFill="0" applyBorder="0" applyAlignment="0" applyProtection="0"/>
    <xf numFmtId="0" fontId="52" fillId="25" borderId="14" applyNumberFormat="0" applyAlignment="0" applyProtection="0"/>
    <xf numFmtId="0" fontId="54" fillId="0" borderId="0" applyNumberFormat="0" applyFill="0" applyBorder="0" applyAlignment="0" applyProtection="0"/>
    <xf numFmtId="0" fontId="59" fillId="12" borderId="14" applyNumberFormat="0" applyAlignment="0" applyProtection="0"/>
    <xf numFmtId="0" fontId="62" fillId="25" borderId="19" applyNumberFormat="0" applyAlignment="0" applyProtection="0"/>
    <xf numFmtId="164"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216" fontId="163" fillId="0" borderId="0" applyFont="0" applyFill="0" applyBorder="0" applyProtection="0">
      <protection locked="0"/>
    </xf>
    <xf numFmtId="49" fontId="166" fillId="0" borderId="0" applyFill="0" applyProtection="0">
      <alignment horizontal="left" indent="1"/>
    </xf>
    <xf numFmtId="221" fontId="22" fillId="0" borderId="48" applyFont="0" applyFill="0" applyBorder="0" applyAlignment="0" applyProtection="0">
      <alignment horizontal="left"/>
      <protection locked="0"/>
    </xf>
    <xf numFmtId="228" fontId="22" fillId="36" borderId="48" applyFont="0" applyFill="0" applyBorder="0" applyAlignment="0" applyProtection="0"/>
    <xf numFmtId="228" fontId="22" fillId="36" borderId="48" applyFont="0" applyFill="0" applyBorder="0" applyAlignment="0" applyProtection="0"/>
    <xf numFmtId="0" fontId="177" fillId="70" borderId="48" applyFill="0">
      <alignment horizontal="center"/>
    </xf>
    <xf numFmtId="216" fontId="177" fillId="70" borderId="48" applyFill="0">
      <alignment horizontal="center" vertical="center"/>
    </xf>
    <xf numFmtId="49" fontId="166" fillId="0" borderId="0" applyFill="0" applyProtection="0">
      <alignment horizontal="left" indent="1"/>
    </xf>
    <xf numFmtId="213" fontId="178" fillId="0" borderId="48" applyFont="0" applyFill="0" applyBorder="0" applyAlignment="0" applyProtection="0">
      <alignment horizontal="left"/>
      <protection locked="0"/>
    </xf>
    <xf numFmtId="225" fontId="178" fillId="0" borderId="48">
      <alignment horizontal="left"/>
      <protection locked="0"/>
    </xf>
    <xf numFmtId="216" fontId="163" fillId="0" borderId="0" applyFont="0" applyFill="0" applyBorder="0" applyProtection="0">
      <protection locked="0"/>
    </xf>
    <xf numFmtId="221" fontId="22" fillId="0" borderId="48" applyFont="0" applyFill="0" applyBorder="0" applyAlignment="0" applyProtection="0">
      <alignment horizontal="left"/>
      <protection locked="0"/>
    </xf>
    <xf numFmtId="216" fontId="177" fillId="70" borderId="48" applyFill="0">
      <alignment horizontal="center" vertical="center"/>
    </xf>
    <xf numFmtId="0" fontId="177" fillId="70" borderId="48" applyFill="0">
      <alignment horizontal="center"/>
    </xf>
    <xf numFmtId="0" fontId="52" fillId="25" borderId="14" applyNumberFormat="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149" fillId="0" borderId="0" applyNumberFormat="0" applyFill="0" applyBorder="0" applyAlignment="0" applyProtection="0"/>
    <xf numFmtId="0" fontId="57" fillId="0" borderId="39" applyNumberFormat="0" applyFill="0" applyAlignment="0" applyProtection="0"/>
    <xf numFmtId="0" fontId="58" fillId="0" borderId="16" applyNumberFormat="0" applyFill="0" applyAlignment="0" applyProtection="0"/>
    <xf numFmtId="0" fontId="58" fillId="0" borderId="0" applyNumberFormat="0" applyFill="0" applyBorder="0" applyAlignment="0" applyProtection="0"/>
    <xf numFmtId="0" fontId="153" fillId="0" borderId="0" applyNumberFormat="0" applyFill="0" applyBorder="0" applyAlignment="0" applyProtection="0"/>
    <xf numFmtId="173" fontId="48" fillId="0" borderId="0" applyNumberFormat="0" applyFill="0" applyBorder="0" applyAlignment="0" applyProtection="0">
      <alignment vertical="top"/>
      <protection locked="0"/>
    </xf>
    <xf numFmtId="173" fontId="38" fillId="0" borderId="0" applyNumberFormat="0" applyFill="0" applyBorder="0" applyAlignment="0" applyProtection="0">
      <alignment vertical="top"/>
      <protection locked="0"/>
    </xf>
    <xf numFmtId="188" fontId="142" fillId="0" borderId="0" applyNumberFormat="0" applyFill="0" applyBorder="0" applyAlignment="0" applyProtection="0">
      <protection locked="0"/>
    </xf>
    <xf numFmtId="0" fontId="59" fillId="12" borderId="14" applyNumberFormat="0" applyAlignment="0" applyProtection="0"/>
    <xf numFmtId="173" fontId="39" fillId="0" borderId="0"/>
    <xf numFmtId="0" fontId="22" fillId="0" borderId="0" applyBorder="0"/>
    <xf numFmtId="173" fontId="39" fillId="0" borderId="0"/>
    <xf numFmtId="0" fontId="23" fillId="0" borderId="0"/>
    <xf numFmtId="225" fontId="178" fillId="0" borderId="48">
      <alignment horizontal="left"/>
      <protection locked="0"/>
    </xf>
    <xf numFmtId="0" fontId="22" fillId="28" borderId="18" applyNumberFormat="0" applyFont="0" applyAlignment="0" applyProtection="0"/>
    <xf numFmtId="0" fontId="62" fillId="25" borderId="19" applyNumberFormat="0" applyAlignment="0" applyProtection="0"/>
    <xf numFmtId="9" fontId="39" fillId="0" borderId="0" applyFont="0" applyFill="0" applyBorder="0" applyAlignment="0" applyProtection="0"/>
    <xf numFmtId="9" fontId="141" fillId="0" borderId="0" applyFont="0" applyFill="0" applyBorder="0" applyAlignment="0" applyProtection="0"/>
    <xf numFmtId="164" fontId="23" fillId="0" borderId="25" applyFont="0" applyAlignment="0">
      <alignment vertical="top" wrapText="1"/>
    </xf>
    <xf numFmtId="0" fontId="35" fillId="0" borderId="0" applyNumberFormat="0" applyFill="0" applyBorder="0" applyAlignment="0" applyProtection="0"/>
    <xf numFmtId="0" fontId="40" fillId="0" borderId="20" applyNumberFormat="0" applyFill="0" applyAlignment="0" applyProtection="0"/>
    <xf numFmtId="0" fontId="3" fillId="0" borderId="20"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64" fontId="22"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3" fillId="0" borderId="25" applyFont="0" applyAlignment="0">
      <alignment vertical="top" wrapText="1"/>
    </xf>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 fillId="0" borderId="0"/>
    <xf numFmtId="0" fontId="162" fillId="0" borderId="0"/>
    <xf numFmtId="164" fontId="22" fillId="0" borderId="0" applyFont="0" applyFill="0" applyBorder="0" applyAlignment="0" applyProtection="0"/>
    <xf numFmtId="49" fontId="166" fillId="0" borderId="0" applyFill="0" applyProtection="0">
      <alignment horizontal="left" indent="1"/>
    </xf>
    <xf numFmtId="0" fontId="168" fillId="0" borderId="0" applyNumberFormat="0" applyFill="0" applyAlignment="0"/>
    <xf numFmtId="0" fontId="171" fillId="0" borderId="0" applyNumberFormat="0" applyFill="0" applyBorder="0" applyAlignment="0" applyProtection="0">
      <alignment vertical="top"/>
      <protection locked="0"/>
    </xf>
    <xf numFmtId="164" fontId="22" fillId="0" borderId="0" applyFont="0" applyFill="0" applyBorder="0" applyAlignment="0" applyProtection="0"/>
    <xf numFmtId="9" fontId="163"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67" fillId="0" borderId="0" applyNumberFormat="0" applyFill="0" applyBorder="0" applyAlignment="0" applyProtection="0">
      <alignment vertical="top"/>
      <protection locked="0"/>
    </xf>
    <xf numFmtId="0" fontId="163" fillId="69" borderId="0" applyFill="0" applyBorder="0">
      <alignment wrapText="1"/>
    </xf>
    <xf numFmtId="164" fontId="22" fillId="0" borderId="0" applyFont="0" applyFill="0" applyBorder="0" applyAlignment="0" applyProtection="0"/>
    <xf numFmtId="9" fontId="163" fillId="0" borderId="0" applyFont="0" applyFill="0" applyBorder="0" applyAlignment="0" applyProtection="0"/>
    <xf numFmtId="0" fontId="179"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60" fillId="0" borderId="17" applyNumberFormat="0" applyFill="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41" fillId="42" borderId="43" applyNumberFormat="0" applyFont="0" applyAlignment="0" applyProtection="0"/>
    <xf numFmtId="9" fontId="39" fillId="0" borderId="0" applyFont="0" applyFill="0" applyBorder="0" applyAlignment="0" applyProtection="0"/>
    <xf numFmtId="0" fontId="22" fillId="0" borderId="0"/>
    <xf numFmtId="9" fontId="22" fillId="0" borderId="0" applyFont="0" applyFill="0" applyBorder="0" applyAlignment="0" applyProtection="0"/>
    <xf numFmtId="164"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3" fillId="0" borderId="25" applyFont="0" applyAlignment="0">
      <alignment vertical="top" wrapText="1"/>
    </xf>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3" fillId="0" borderId="25" applyFont="0" applyAlignment="0">
      <alignment vertical="top" wrapText="1"/>
    </xf>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3" fillId="0" borderId="25" applyFont="0" applyAlignment="0">
      <alignment vertical="top" wrapText="1"/>
    </xf>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3" fillId="0" borderId="25" applyFont="0" applyAlignment="0">
      <alignment vertical="top" wrapText="1"/>
    </xf>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3" fillId="0" borderId="25" applyFont="0" applyAlignment="0">
      <alignment vertical="top" wrapText="1"/>
    </xf>
    <xf numFmtId="9"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213" fontId="178" fillId="0" borderId="48" applyFont="0" applyFill="0" applyBorder="0" applyAlignment="0" applyProtection="0">
      <alignment horizontal="left"/>
      <protection locked="0"/>
    </xf>
    <xf numFmtId="216" fontId="163" fillId="0" borderId="0" applyFont="0" applyFill="0" applyBorder="0" applyProtection="0">
      <protection locked="0"/>
    </xf>
    <xf numFmtId="49" fontId="166" fillId="0" borderId="0" applyFill="0" applyProtection="0">
      <alignment horizontal="left" indent="1"/>
    </xf>
    <xf numFmtId="216" fontId="163" fillId="0" borderId="0" applyFont="0" applyFill="0" applyBorder="0" applyProtection="0">
      <protection locked="0"/>
    </xf>
    <xf numFmtId="49" fontId="166" fillId="0" borderId="0" applyFill="0" applyProtection="0">
      <alignment horizontal="left" indent="1"/>
    </xf>
    <xf numFmtId="216" fontId="163" fillId="0" borderId="0" applyFont="0" applyFill="0" applyBorder="0" applyProtection="0">
      <protection locked="0"/>
    </xf>
    <xf numFmtId="216" fontId="163" fillId="0" borderId="0" applyFont="0" applyFill="0" applyBorder="0" applyProtection="0">
      <protection locked="0"/>
    </xf>
    <xf numFmtId="216" fontId="163" fillId="0" borderId="0" applyFont="0" applyFill="0" applyBorder="0" applyProtection="0">
      <protection locked="0"/>
    </xf>
    <xf numFmtId="164" fontId="1" fillId="0" borderId="0" applyFont="0" applyFill="0" applyBorder="0" applyAlignment="0" applyProtection="0"/>
    <xf numFmtId="0" fontId="22" fillId="0" borderId="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0" borderId="0" applyNumberFormat="0" applyBorder="0" applyAlignment="0" applyProtection="0"/>
    <xf numFmtId="0" fontId="64" fillId="13" borderId="0" applyNumberFormat="0" applyBorder="0" applyAlignment="0" applyProtection="0"/>
    <xf numFmtId="0" fontId="64" fillId="16" borderId="0" applyNumberFormat="0" applyBorder="0" applyAlignment="0" applyProtection="0"/>
    <xf numFmtId="0" fontId="181" fillId="17" borderId="0" applyNumberFormat="0" applyBorder="0" applyAlignment="0" applyProtection="0"/>
    <xf numFmtId="0" fontId="181" fillId="14" borderId="0" applyNumberFormat="0" applyBorder="0" applyAlignment="0" applyProtection="0"/>
    <xf numFmtId="0" fontId="181" fillId="15" borderId="0" applyNumberFormat="0" applyBorder="0" applyAlignment="0" applyProtection="0"/>
    <xf numFmtId="0" fontId="181" fillId="18" borderId="0" applyNumberFormat="0" applyBorder="0" applyAlignment="0" applyProtection="0"/>
    <xf numFmtId="0" fontId="181" fillId="19" borderId="0" applyNumberFormat="0" applyBorder="0" applyAlignment="0" applyProtection="0"/>
    <xf numFmtId="0" fontId="181" fillId="20" borderId="0" applyNumberFormat="0" applyBorder="0" applyAlignment="0" applyProtection="0"/>
    <xf numFmtId="0" fontId="181" fillId="21" borderId="0" applyNumberFormat="0" applyBorder="0" applyAlignment="0" applyProtection="0"/>
    <xf numFmtId="0" fontId="181" fillId="22" borderId="0" applyNumberFormat="0" applyBorder="0" applyAlignment="0" applyProtection="0"/>
    <xf numFmtId="0" fontId="181" fillId="23" borderId="0" applyNumberFormat="0" applyBorder="0" applyAlignment="0" applyProtection="0"/>
    <xf numFmtId="0" fontId="181" fillId="18" borderId="0" applyNumberFormat="0" applyBorder="0" applyAlignment="0" applyProtection="0"/>
    <xf numFmtId="0" fontId="181" fillId="19" borderId="0" applyNumberFormat="0" applyBorder="0" applyAlignment="0" applyProtection="0"/>
    <xf numFmtId="0" fontId="181" fillId="24" borderId="0" applyNumberFormat="0" applyBorder="0" applyAlignment="0" applyProtection="0"/>
    <xf numFmtId="0" fontId="182" fillId="8" borderId="0" applyNumberFormat="0" applyBorder="0" applyAlignment="0" applyProtection="0"/>
    <xf numFmtId="0" fontId="183" fillId="25" borderId="14" applyNumberFormat="0" applyAlignment="0" applyProtection="0"/>
    <xf numFmtId="0" fontId="184" fillId="26" borderId="15" applyNumberFormat="0" applyAlignment="0" applyProtection="0"/>
    <xf numFmtId="164" fontId="22" fillId="0" borderId="0" applyFont="0" applyFill="0" applyBorder="0" applyAlignment="0" applyProtection="0"/>
    <xf numFmtId="0" fontId="185" fillId="0" borderId="0" applyNumberFormat="0" applyFill="0" applyBorder="0" applyAlignment="0" applyProtection="0"/>
    <xf numFmtId="0" fontId="186" fillId="9" borderId="0" applyNumberFormat="0" applyBorder="0" applyAlignment="0" applyProtection="0"/>
    <xf numFmtId="0" fontId="72" fillId="0" borderId="38" applyNumberFormat="0" applyFill="0" applyAlignment="0" applyProtection="0"/>
    <xf numFmtId="0" fontId="73" fillId="0" borderId="39" applyNumberFormat="0" applyFill="0" applyAlignment="0" applyProtection="0"/>
    <xf numFmtId="0" fontId="74" fillId="0" borderId="16" applyNumberFormat="0" applyFill="0" applyAlignment="0" applyProtection="0"/>
    <xf numFmtId="0" fontId="74" fillId="0" borderId="0" applyNumberFormat="0" applyFill="0" applyBorder="0" applyAlignment="0" applyProtection="0"/>
    <xf numFmtId="0" fontId="180" fillId="0" borderId="0" applyNumberFormat="0" applyFill="0" applyBorder="0" applyAlignment="0" applyProtection="0">
      <alignment vertical="top"/>
      <protection locked="0"/>
    </xf>
    <xf numFmtId="0" fontId="187" fillId="12" borderId="14" applyNumberFormat="0" applyAlignment="0" applyProtection="0"/>
    <xf numFmtId="0" fontId="188" fillId="0" borderId="17" applyNumberFormat="0" applyFill="0" applyAlignment="0" applyProtection="0"/>
    <xf numFmtId="0" fontId="189" fillId="27" borderId="0" applyNumberFormat="0" applyBorder="0" applyAlignment="0" applyProtection="0"/>
    <xf numFmtId="0" fontId="65" fillId="0" borderId="0"/>
    <xf numFmtId="0" fontId="64" fillId="0" borderId="0"/>
    <xf numFmtId="0" fontId="64" fillId="0" borderId="0"/>
    <xf numFmtId="0" fontId="64" fillId="0" borderId="0"/>
    <xf numFmtId="0" fontId="22" fillId="28" borderId="18" applyNumberFormat="0" applyFont="0" applyAlignment="0" applyProtection="0"/>
    <xf numFmtId="0" fontId="190" fillId="25" borderId="19" applyNumberFormat="0" applyAlignment="0" applyProtection="0"/>
    <xf numFmtId="0" fontId="191" fillId="0" borderId="20" applyNumberFormat="0" applyFill="0" applyAlignment="0" applyProtection="0"/>
    <xf numFmtId="0" fontId="192" fillId="0" borderId="0" applyNumberForma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0" fontId="64" fillId="0" borderId="0"/>
    <xf numFmtId="0" fontId="64" fillId="0" borderId="0"/>
    <xf numFmtId="0" fontId="185" fillId="0" borderId="0" applyNumberFormat="0" applyFill="0" applyBorder="0" applyAlignment="0" applyProtection="0"/>
    <xf numFmtId="164" fontId="22" fillId="0" borderId="0" applyFont="0" applyFill="0" applyBorder="0" applyAlignment="0" applyProtection="0"/>
    <xf numFmtId="0" fontId="185" fillId="0" borderId="0" applyNumberFormat="0" applyFill="0" applyBorder="0" applyAlignment="0" applyProtection="0"/>
    <xf numFmtId="0" fontId="64" fillId="0" borderId="0"/>
    <xf numFmtId="0" fontId="64" fillId="0" borderId="0"/>
    <xf numFmtId="0" fontId="22" fillId="0" borderId="0"/>
    <xf numFmtId="0" fontId="22" fillId="28" borderId="18" applyNumberFormat="0" applyFont="0" applyAlignment="0" applyProtection="0"/>
    <xf numFmtId="0" fontId="26" fillId="25" borderId="14" applyNumberFormat="0" applyAlignment="0" applyProtection="0"/>
    <xf numFmtId="0" fontId="89" fillId="12" borderId="14" applyNumberFormat="0" applyAlignment="0" applyProtection="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221" fontId="22" fillId="0" borderId="48" applyFont="0" applyFill="0" applyBorder="0" applyAlignment="0" applyProtection="0">
      <alignment horizontal="left"/>
      <protection locked="0"/>
    </xf>
    <xf numFmtId="228" fontId="22" fillId="36" borderId="48" applyFont="0" applyFill="0" applyBorder="0" applyAlignment="0" applyProtection="0"/>
    <xf numFmtId="0" fontId="177" fillId="70" borderId="48" applyFill="0">
      <alignment horizontal="center"/>
    </xf>
    <xf numFmtId="216" fontId="177" fillId="70" borderId="48" applyFill="0">
      <alignment horizontal="center" vertical="center"/>
    </xf>
    <xf numFmtId="213" fontId="178" fillId="0" borderId="48" applyFont="0" applyFill="0" applyBorder="0" applyAlignment="0" applyProtection="0">
      <alignment horizontal="left"/>
      <protection locked="0"/>
    </xf>
    <xf numFmtId="225" fontId="178" fillId="0" borderId="48">
      <alignment horizontal="left"/>
      <protection locked="0"/>
    </xf>
    <xf numFmtId="164" fontId="1" fillId="0" borderId="0" applyFont="0" applyFill="0" applyBorder="0" applyAlignment="0" applyProtection="0"/>
    <xf numFmtId="0" fontId="22" fillId="0" borderId="0"/>
    <xf numFmtId="0" fontId="64"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64" fillId="0" borderId="0"/>
    <xf numFmtId="0" fontId="64" fillId="0" borderId="0"/>
    <xf numFmtId="0" fontId="64"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164" fontId="1"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28" borderId="18" applyNumberFormat="0" applyFont="0" applyAlignment="0" applyProtection="0"/>
    <xf numFmtId="49" fontId="101" fillId="69" borderId="13">
      <alignment horizontal="right" indent="2"/>
    </xf>
    <xf numFmtId="164" fontId="22" fillId="0" borderId="0" applyFont="0" applyFill="0" applyBorder="0" applyAlignment="0" applyProtection="0"/>
    <xf numFmtId="0" fontId="22" fillId="0" borderId="0"/>
    <xf numFmtId="164" fontId="1" fillId="0" borderId="0" applyFont="0" applyFill="0" applyBorder="0" applyAlignment="0" applyProtection="0"/>
    <xf numFmtId="164" fontId="22" fillId="0" borderId="0" applyFont="0" applyFill="0" applyBorder="0" applyAlignment="0" applyProtection="0"/>
    <xf numFmtId="0" fontId="42" fillId="0" borderId="12">
      <alignment horizontal="center" vertical="center"/>
    </xf>
    <xf numFmtId="165" fontId="22" fillId="0" borderId="0" applyFont="0" applyFill="0" applyBorder="0" applyAlignment="0" applyProtection="0"/>
    <xf numFmtId="9" fontId="22" fillId="0" borderId="0" applyFont="0" applyFill="0" applyBorder="0" applyAlignment="0" applyProtection="0"/>
    <xf numFmtId="0" fontId="22" fillId="28" borderId="18" applyNumberFormat="0" applyFont="0" applyAlignment="0" applyProtection="0"/>
    <xf numFmtId="0" fontId="22"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34" fillId="25" borderId="19" applyNumberFormat="0" applyAlignment="0" applyProtection="0"/>
    <xf numFmtId="0" fontId="62" fillId="25" borderId="19" applyNumberFormat="0" applyAlignment="0" applyProtection="0"/>
    <xf numFmtId="0" fontId="36" fillId="0" borderId="20" applyNumberFormat="0" applyFill="0" applyAlignment="0" applyProtection="0"/>
    <xf numFmtId="0" fontId="89" fillId="12" borderId="14" applyNumberFormat="0" applyAlignment="0" applyProtection="0"/>
    <xf numFmtId="0" fontId="42" fillId="0" borderId="12">
      <alignment horizontal="center" vertical="center"/>
    </xf>
    <xf numFmtId="0" fontId="183" fillId="25" borderId="14" applyNumberFormat="0" applyAlignment="0" applyProtection="0"/>
    <xf numFmtId="0" fontId="52" fillId="25" borderId="14" applyNumberFormat="0" applyAlignment="0" applyProtection="0"/>
    <xf numFmtId="0" fontId="40" fillId="0" borderId="20" applyNumberFormat="0" applyFill="0" applyAlignment="0" applyProtection="0"/>
    <xf numFmtId="0" fontId="62" fillId="25" borderId="19" applyNumberFormat="0" applyAlignment="0" applyProtection="0"/>
    <xf numFmtId="0" fontId="59" fillId="12" borderId="14" applyNumberFormat="0" applyAlignment="0" applyProtection="0"/>
    <xf numFmtId="0" fontId="52" fillId="25" borderId="14" applyNumberFormat="0" applyAlignment="0" applyProtection="0"/>
    <xf numFmtId="0" fontId="59" fillId="12" borderId="14" applyNumberFormat="0" applyAlignment="0" applyProtection="0"/>
    <xf numFmtId="0" fontId="59" fillId="12" borderId="14" applyNumberFormat="0" applyAlignment="0" applyProtection="0"/>
    <xf numFmtId="0" fontId="36" fillId="0" borderId="20" applyNumberFormat="0" applyFill="0" applyAlignment="0" applyProtection="0"/>
    <xf numFmtId="0" fontId="34" fillId="25" borderId="19" applyNumberFormat="0" applyAlignment="0" applyProtection="0"/>
    <xf numFmtId="0" fontId="62" fillId="25" borderId="19"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3" fillId="0" borderId="20" applyNumberFormat="0" applyFill="0" applyAlignment="0" applyProtection="0"/>
    <xf numFmtId="49" fontId="101" fillId="69" borderId="13">
      <alignment horizontal="right" indent="2"/>
    </xf>
    <xf numFmtId="0" fontId="22" fillId="28" borderId="18" applyNumberFormat="0" applyFont="0" applyAlignment="0" applyProtection="0"/>
    <xf numFmtId="0" fontId="40" fillId="0" borderId="20" applyNumberFormat="0" applyFill="0" applyAlignment="0" applyProtection="0"/>
    <xf numFmtId="0" fontId="26" fillId="25" borderId="14" applyNumberFormat="0" applyAlignment="0" applyProtection="0"/>
    <xf numFmtId="0" fontId="191" fillId="0" borderId="20" applyNumberFormat="0" applyFill="0" applyAlignment="0" applyProtection="0"/>
    <xf numFmtId="0" fontId="26" fillId="25" borderId="14" applyNumberFormat="0" applyAlignment="0" applyProtection="0"/>
    <xf numFmtId="0" fontId="89" fillId="12" borderId="14" applyNumberFormat="0" applyAlignment="0" applyProtection="0"/>
    <xf numFmtId="0" fontId="26" fillId="25" borderId="14" applyNumberFormat="0" applyAlignment="0" applyProtection="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42" fillId="0" borderId="5">
      <alignment horizontal="center" vertical="center"/>
    </xf>
    <xf numFmtId="0" fontId="62" fillId="25" borderId="19" applyNumberFormat="0" applyAlignment="0" applyProtection="0"/>
    <xf numFmtId="0" fontId="59" fillId="12" borderId="14" applyNumberFormat="0" applyAlignment="0" applyProtection="0"/>
    <xf numFmtId="0" fontId="190" fillId="25" borderId="19" applyNumberFormat="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3"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3" fillId="0" borderId="20" applyNumberFormat="0" applyFill="0" applyAlignment="0" applyProtection="0"/>
    <xf numFmtId="0" fontId="52" fillId="25" borderId="14" applyNumberFormat="0" applyAlignment="0" applyProtection="0"/>
    <xf numFmtId="0" fontId="89" fillId="12" borderId="14" applyNumberFormat="0" applyAlignment="0" applyProtection="0"/>
    <xf numFmtId="0" fontId="52" fillId="25" borderId="14" applyNumberFormat="0" applyAlignment="0" applyProtection="0"/>
    <xf numFmtId="0" fontId="62" fillId="25" borderId="19" applyNumberFormat="0" applyAlignment="0" applyProtection="0"/>
    <xf numFmtId="0" fontId="59" fillId="12" borderId="14" applyNumberFormat="0" applyAlignment="0" applyProtection="0"/>
    <xf numFmtId="0" fontId="3"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40" fillId="0" borderId="20" applyNumberFormat="0" applyFill="0" applyAlignment="0" applyProtection="0"/>
    <xf numFmtId="0" fontId="40" fillId="0" borderId="20" applyNumberFormat="0" applyFill="0" applyAlignment="0" applyProtection="0"/>
    <xf numFmtId="0" fontId="62" fillId="25" borderId="19" applyNumberFormat="0" applyAlignment="0" applyProtection="0"/>
    <xf numFmtId="0" fontId="52" fillId="25" borderId="14" applyNumberFormat="0" applyAlignment="0" applyProtection="0"/>
    <xf numFmtId="0" fontId="187" fillId="12" borderId="14" applyNumberFormat="0" applyAlignment="0" applyProtection="0"/>
    <xf numFmtId="0" fontId="183" fillId="25" borderId="14" applyNumberFormat="0" applyAlignment="0" applyProtection="0"/>
    <xf numFmtId="0" fontId="42" fillId="0" borderId="5">
      <alignment horizontal="center" vertical="center"/>
    </xf>
    <xf numFmtId="0" fontId="187" fillId="12" borderId="14" applyNumberFormat="0" applyAlignment="0" applyProtection="0"/>
    <xf numFmtId="0" fontId="22" fillId="28" borderId="18" applyNumberFormat="0" applyFont="0" applyAlignment="0" applyProtection="0"/>
    <xf numFmtId="0" fontId="191" fillId="0" borderId="20" applyNumberFormat="0" applyFill="0" applyAlignment="0" applyProtection="0"/>
    <xf numFmtId="0" fontId="40" fillId="0" borderId="20" applyNumberFormat="0" applyFill="0" applyAlignment="0" applyProtection="0"/>
    <xf numFmtId="0" fontId="22" fillId="28" borderId="18" applyNumberFormat="0" applyFont="0" applyAlignment="0" applyProtection="0"/>
    <xf numFmtId="0" fontId="26" fillId="25" borderId="14" applyNumberFormat="0" applyAlignment="0" applyProtection="0"/>
    <xf numFmtId="0" fontId="89" fillId="12" borderId="14" applyNumberFormat="0" applyAlignment="0" applyProtection="0"/>
    <xf numFmtId="0" fontId="23" fillId="28" borderId="18" applyNumberFormat="0" applyFont="0" applyAlignment="0" applyProtection="0"/>
    <xf numFmtId="0" fontId="36"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22" fillId="0" borderId="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4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64" fontId="23" fillId="0" borderId="25" applyFont="0" applyAlignment="0">
      <alignment vertical="top" wrapText="1"/>
    </xf>
    <xf numFmtId="0" fontId="22" fillId="0" borderId="0"/>
    <xf numFmtId="0" fontId="22" fillId="0" borderId="0"/>
    <xf numFmtId="0" fontId="43" fillId="0" borderId="0"/>
    <xf numFmtId="4" fontId="43" fillId="0" borderId="0" applyFont="0" applyFill="0" applyBorder="0" applyAlignment="0" applyProtection="0"/>
    <xf numFmtId="0" fontId="43" fillId="0" borderId="0"/>
    <xf numFmtId="4" fontId="43" fillId="0" borderId="0" applyFont="0" applyFill="0" applyBorder="0" applyAlignment="0" applyProtection="0"/>
    <xf numFmtId="164" fontId="1" fillId="0" borderId="0" applyFont="0" applyFill="0" applyBorder="0" applyAlignment="0" applyProtection="0"/>
    <xf numFmtId="226" fontId="1" fillId="0" borderId="0"/>
    <xf numFmtId="226" fontId="22" fillId="0" borderId="0"/>
    <xf numFmtId="226" fontId="22" fillId="0" borderId="0"/>
    <xf numFmtId="226" fontId="39" fillId="7" borderId="0" applyNumberFormat="0" applyBorder="0" applyAlignment="0" applyProtection="0"/>
    <xf numFmtId="226" fontId="39" fillId="7" borderId="0" applyNumberFormat="0" applyBorder="0" applyAlignment="0" applyProtection="0"/>
    <xf numFmtId="226" fontId="39" fillId="7" borderId="0" applyNumberFormat="0" applyBorder="0" applyAlignment="0" applyProtection="0"/>
    <xf numFmtId="226" fontId="65" fillId="7" borderId="0" applyNumberFormat="0" applyBorder="0" applyAlignment="0" applyProtection="0"/>
    <xf numFmtId="226" fontId="39" fillId="7" borderId="0" applyNumberFormat="0" applyBorder="0" applyAlignment="0" applyProtection="0"/>
    <xf numFmtId="226" fontId="39" fillId="8" borderId="0" applyNumberFormat="0" applyBorder="0" applyAlignment="0" applyProtection="0"/>
    <xf numFmtId="226" fontId="39" fillId="8" borderId="0" applyNumberFormat="0" applyBorder="0" applyAlignment="0" applyProtection="0"/>
    <xf numFmtId="226" fontId="39" fillId="8" borderId="0" applyNumberFormat="0" applyBorder="0" applyAlignment="0" applyProtection="0"/>
    <xf numFmtId="226" fontId="65" fillId="8" borderId="0" applyNumberFormat="0" applyBorder="0" applyAlignment="0" applyProtection="0"/>
    <xf numFmtId="226" fontId="39" fillId="8" borderId="0" applyNumberFormat="0" applyBorder="0" applyAlignment="0" applyProtection="0"/>
    <xf numFmtId="226" fontId="39" fillId="9" borderId="0" applyNumberFormat="0" applyBorder="0" applyAlignment="0" applyProtection="0"/>
    <xf numFmtId="226" fontId="39" fillId="9" borderId="0" applyNumberFormat="0" applyBorder="0" applyAlignment="0" applyProtection="0"/>
    <xf numFmtId="226" fontId="39" fillId="9" borderId="0" applyNumberFormat="0" applyBorder="0" applyAlignment="0" applyProtection="0"/>
    <xf numFmtId="226" fontId="65" fillId="9" borderId="0" applyNumberFormat="0" applyBorder="0" applyAlignment="0" applyProtection="0"/>
    <xf numFmtId="226" fontId="39" fillId="9" borderId="0" applyNumberFormat="0" applyBorder="0" applyAlignment="0" applyProtection="0"/>
    <xf numFmtId="226" fontId="39" fillId="10" borderId="0" applyNumberFormat="0" applyBorder="0" applyAlignment="0" applyProtection="0"/>
    <xf numFmtId="226" fontId="39" fillId="10" borderId="0" applyNumberFormat="0" applyBorder="0" applyAlignment="0" applyProtection="0"/>
    <xf numFmtId="226" fontId="39" fillId="10" borderId="0" applyNumberFormat="0" applyBorder="0" applyAlignment="0" applyProtection="0"/>
    <xf numFmtId="226" fontId="65" fillId="10" borderId="0" applyNumberFormat="0" applyBorder="0" applyAlignment="0" applyProtection="0"/>
    <xf numFmtId="226" fontId="39" fillId="10" borderId="0" applyNumberFormat="0" applyBorder="0" applyAlignment="0" applyProtection="0"/>
    <xf numFmtId="226" fontId="39" fillId="11" borderId="0" applyNumberFormat="0" applyBorder="0" applyAlignment="0" applyProtection="0"/>
    <xf numFmtId="226" fontId="39" fillId="11" borderId="0" applyNumberFormat="0" applyBorder="0" applyAlignment="0" applyProtection="0"/>
    <xf numFmtId="226" fontId="39" fillId="11" borderId="0" applyNumberFormat="0" applyBorder="0" applyAlignment="0" applyProtection="0"/>
    <xf numFmtId="226" fontId="65" fillId="11"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39" fillId="12" borderId="0" applyNumberFormat="0" applyBorder="0" applyAlignment="0" applyProtection="0"/>
    <xf numFmtId="226" fontId="39" fillId="12" borderId="0" applyNumberFormat="0" applyBorder="0" applyAlignment="0" applyProtection="0"/>
    <xf numFmtId="226" fontId="65" fillId="12" borderId="0" applyNumberFormat="0" applyBorder="0" applyAlignment="0" applyProtection="0"/>
    <xf numFmtId="226" fontId="39" fillId="12" borderId="0" applyNumberFormat="0" applyBorder="0" applyAlignment="0" applyProtection="0"/>
    <xf numFmtId="226" fontId="39" fillId="13" borderId="0" applyNumberFormat="0" applyBorder="0" applyAlignment="0" applyProtection="0"/>
    <xf numFmtId="226" fontId="39" fillId="13" borderId="0" applyNumberFormat="0" applyBorder="0" applyAlignment="0" applyProtection="0"/>
    <xf numFmtId="226" fontId="39" fillId="13" borderId="0" applyNumberFormat="0" applyBorder="0" applyAlignment="0" applyProtection="0"/>
    <xf numFmtId="226" fontId="65" fillId="13" borderId="0" applyNumberFormat="0" applyBorder="0" applyAlignment="0" applyProtection="0"/>
    <xf numFmtId="226" fontId="39" fillId="13" borderId="0" applyNumberFormat="0" applyBorder="0" applyAlignment="0" applyProtection="0"/>
    <xf numFmtId="226" fontId="39" fillId="14" borderId="0" applyNumberFormat="0" applyBorder="0" applyAlignment="0" applyProtection="0"/>
    <xf numFmtId="226" fontId="39" fillId="14" borderId="0" applyNumberFormat="0" applyBorder="0" applyAlignment="0" applyProtection="0"/>
    <xf numFmtId="226" fontId="39" fillId="14" borderId="0" applyNumberFormat="0" applyBorder="0" applyAlignment="0" applyProtection="0"/>
    <xf numFmtId="226" fontId="65" fillId="14"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39" fillId="15" borderId="0" applyNumberFormat="0" applyBorder="0" applyAlignment="0" applyProtection="0"/>
    <xf numFmtId="226" fontId="39" fillId="15" borderId="0" applyNumberFormat="0" applyBorder="0" applyAlignment="0" applyProtection="0"/>
    <xf numFmtId="226" fontId="65" fillId="15" borderId="0" applyNumberFormat="0" applyBorder="0" applyAlignment="0" applyProtection="0"/>
    <xf numFmtId="226" fontId="39" fillId="15" borderId="0" applyNumberFormat="0" applyBorder="0" applyAlignment="0" applyProtection="0"/>
    <xf numFmtId="226" fontId="39" fillId="10" borderId="0" applyNumberFormat="0" applyBorder="0" applyAlignment="0" applyProtection="0"/>
    <xf numFmtId="226" fontId="39" fillId="10" borderId="0" applyNumberFormat="0" applyBorder="0" applyAlignment="0" applyProtection="0"/>
    <xf numFmtId="226" fontId="39" fillId="10" borderId="0" applyNumberFormat="0" applyBorder="0" applyAlignment="0" applyProtection="0"/>
    <xf numFmtId="226" fontId="65" fillId="10" borderId="0" applyNumberFormat="0" applyBorder="0" applyAlignment="0" applyProtection="0"/>
    <xf numFmtId="226" fontId="39" fillId="10" borderId="0" applyNumberFormat="0" applyBorder="0" applyAlignment="0" applyProtection="0"/>
    <xf numFmtId="226" fontId="39" fillId="13" borderId="0" applyNumberFormat="0" applyBorder="0" applyAlignment="0" applyProtection="0"/>
    <xf numFmtId="226" fontId="39" fillId="13" borderId="0" applyNumberFormat="0" applyBorder="0" applyAlignment="0" applyProtection="0"/>
    <xf numFmtId="226" fontId="39" fillId="13" borderId="0" applyNumberFormat="0" applyBorder="0" applyAlignment="0" applyProtection="0"/>
    <xf numFmtId="226" fontId="65" fillId="13" borderId="0" applyNumberFormat="0" applyBorder="0" applyAlignment="0" applyProtection="0"/>
    <xf numFmtId="226" fontId="39" fillId="13" borderId="0" applyNumberFormat="0" applyBorder="0" applyAlignment="0" applyProtection="0"/>
    <xf numFmtId="226" fontId="39" fillId="16" borderId="0" applyNumberFormat="0" applyBorder="0" applyAlignment="0" applyProtection="0"/>
    <xf numFmtId="226" fontId="39" fillId="16" borderId="0" applyNumberFormat="0" applyBorder="0" applyAlignment="0" applyProtection="0"/>
    <xf numFmtId="226" fontId="39" fillId="16" borderId="0" applyNumberFormat="0" applyBorder="0" applyAlignment="0" applyProtection="0"/>
    <xf numFmtId="226" fontId="65" fillId="16" borderId="0" applyNumberFormat="0" applyBorder="0" applyAlignment="0" applyProtection="0"/>
    <xf numFmtId="226" fontId="39" fillId="16" borderId="0" applyNumberFormat="0" applyBorder="0" applyAlignment="0" applyProtection="0"/>
    <xf numFmtId="226" fontId="50" fillId="17" borderId="0" applyNumberFormat="0" applyBorder="0" applyAlignment="0" applyProtection="0"/>
    <xf numFmtId="226" fontId="66" fillId="17" borderId="0" applyNumberFormat="0" applyBorder="0" applyAlignment="0" applyProtection="0"/>
    <xf numFmtId="226" fontId="50" fillId="14" borderId="0" applyNumberFormat="0" applyBorder="0" applyAlignment="0" applyProtection="0"/>
    <xf numFmtId="226" fontId="66" fillId="14" borderId="0" applyNumberFormat="0" applyBorder="0" applyAlignment="0" applyProtection="0"/>
    <xf numFmtId="226" fontId="50" fillId="15" borderId="0" applyNumberFormat="0" applyBorder="0" applyAlignment="0" applyProtection="0"/>
    <xf numFmtId="226" fontId="66" fillId="15" borderId="0" applyNumberFormat="0" applyBorder="0" applyAlignment="0" applyProtection="0"/>
    <xf numFmtId="226" fontId="50" fillId="18" borderId="0" applyNumberFormat="0" applyBorder="0" applyAlignment="0" applyProtection="0"/>
    <xf numFmtId="226" fontId="66" fillId="18" borderId="0" applyNumberFormat="0" applyBorder="0" applyAlignment="0" applyProtection="0"/>
    <xf numFmtId="226" fontId="50" fillId="19" borderId="0" applyNumberFormat="0" applyBorder="0" applyAlignment="0" applyProtection="0"/>
    <xf numFmtId="226" fontId="66" fillId="19" borderId="0" applyNumberFormat="0" applyBorder="0" applyAlignment="0" applyProtection="0"/>
    <xf numFmtId="226" fontId="50" fillId="20" borderId="0" applyNumberFormat="0" applyBorder="0" applyAlignment="0" applyProtection="0"/>
    <xf numFmtId="226" fontId="66" fillId="20" borderId="0" applyNumberFormat="0" applyBorder="0" applyAlignment="0" applyProtection="0"/>
    <xf numFmtId="226" fontId="50" fillId="21" borderId="0" applyNumberFormat="0" applyBorder="0" applyAlignment="0" applyProtection="0"/>
    <xf numFmtId="226" fontId="66" fillId="21" borderId="0" applyNumberFormat="0" applyBorder="0" applyAlignment="0" applyProtection="0"/>
    <xf numFmtId="226" fontId="50" fillId="22" borderId="0" applyNumberFormat="0" applyBorder="0" applyAlignment="0" applyProtection="0"/>
    <xf numFmtId="226" fontId="66" fillId="22" borderId="0" applyNumberFormat="0" applyBorder="0" applyAlignment="0" applyProtection="0"/>
    <xf numFmtId="226" fontId="50" fillId="23" borderId="0" applyNumberFormat="0" applyBorder="0" applyAlignment="0" applyProtection="0"/>
    <xf numFmtId="226" fontId="66" fillId="23" borderId="0" applyNumberFormat="0" applyBorder="0" applyAlignment="0" applyProtection="0"/>
    <xf numFmtId="226" fontId="50" fillId="18" borderId="0" applyNumberFormat="0" applyBorder="0" applyAlignment="0" applyProtection="0"/>
    <xf numFmtId="226" fontId="66" fillId="18" borderId="0" applyNumberFormat="0" applyBorder="0" applyAlignment="0" applyProtection="0"/>
    <xf numFmtId="226" fontId="50" fillId="19" borderId="0" applyNumberFormat="0" applyBorder="0" applyAlignment="0" applyProtection="0"/>
    <xf numFmtId="226" fontId="66" fillId="19" borderId="0" applyNumberFormat="0" applyBorder="0" applyAlignment="0" applyProtection="0"/>
    <xf numFmtId="226" fontId="50" fillId="24" borderId="0" applyNumberFormat="0" applyBorder="0" applyAlignment="0" applyProtection="0"/>
    <xf numFmtId="226" fontId="66" fillId="24" borderId="0" applyNumberFormat="0" applyBorder="0" applyAlignment="0" applyProtection="0"/>
    <xf numFmtId="226" fontId="42" fillId="0" borderId="5">
      <alignment horizontal="center" vertical="center"/>
    </xf>
    <xf numFmtId="226" fontId="51" fillId="8" borderId="0" applyNumberFormat="0" applyBorder="0" applyAlignment="0" applyProtection="0"/>
    <xf numFmtId="226" fontId="67" fillId="8" borderId="0" applyNumberFormat="0" applyBorder="0" applyAlignment="0" applyProtection="0"/>
    <xf numFmtId="226" fontId="52" fillId="25" borderId="14" applyNumberFormat="0" applyAlignment="0" applyProtection="0"/>
    <xf numFmtId="226" fontId="68" fillId="25" borderId="14" applyNumberFormat="0" applyAlignment="0" applyProtection="0"/>
    <xf numFmtId="226" fontId="53" fillId="26" borderId="15" applyNumberFormat="0" applyAlignment="0" applyProtection="0"/>
    <xf numFmtId="226" fontId="69" fillId="26" borderId="15" applyNumberFormat="0" applyAlignment="0" applyProtection="0"/>
    <xf numFmtId="226" fontId="22" fillId="0" borderId="0" applyFont="0" applyFill="0" applyBorder="0" applyAlignment="0" applyProtection="0"/>
    <xf numFmtId="226" fontId="22" fillId="0" borderId="0" applyFont="0" applyFill="0" applyBorder="0" applyAlignment="0" applyProtection="0"/>
    <xf numFmtId="226" fontId="54" fillId="0" borderId="0" applyNumberFormat="0" applyFill="0" applyBorder="0" applyAlignment="0" applyProtection="0"/>
    <xf numFmtId="226" fontId="70" fillId="0" borderId="0" applyNumberFormat="0" applyFill="0" applyBorder="0" applyAlignment="0" applyProtection="0"/>
    <xf numFmtId="226" fontId="55" fillId="9" borderId="0" applyNumberFormat="0" applyBorder="0" applyAlignment="0" applyProtection="0"/>
    <xf numFmtId="226" fontId="71" fillId="9" borderId="0" applyNumberFormat="0" applyBorder="0" applyAlignment="0" applyProtection="0"/>
    <xf numFmtId="226" fontId="56" fillId="0" borderId="38" applyNumberFormat="0" applyFill="0" applyAlignment="0" applyProtection="0"/>
    <xf numFmtId="226" fontId="72" fillId="0" borderId="38" applyNumberFormat="0" applyFill="0" applyAlignment="0" applyProtection="0"/>
    <xf numFmtId="226" fontId="57" fillId="0" borderId="39" applyNumberFormat="0" applyFill="0" applyAlignment="0" applyProtection="0"/>
    <xf numFmtId="226" fontId="73" fillId="0" borderId="39"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226" fontId="58" fillId="0" borderId="0" applyNumberFormat="0" applyFill="0" applyBorder="0" applyAlignment="0" applyProtection="0"/>
    <xf numFmtId="226" fontId="74" fillId="0" borderId="0" applyNumberFormat="0" applyFill="0" applyBorder="0" applyAlignment="0" applyProtection="0"/>
    <xf numFmtId="226" fontId="49" fillId="0" borderId="0" applyNumberFormat="0" applyFill="0" applyBorder="0" applyAlignment="0" applyProtection="0">
      <alignment vertical="top"/>
      <protection locked="0"/>
    </xf>
    <xf numFmtId="226" fontId="59" fillId="12" borderId="14" applyNumberFormat="0" applyAlignment="0" applyProtection="0"/>
    <xf numFmtId="226" fontId="75" fillId="12" borderId="14" applyNumberFormat="0" applyAlignment="0" applyProtection="0"/>
    <xf numFmtId="226" fontId="60" fillId="0" borderId="17" applyNumberFormat="0" applyFill="0" applyAlignment="0" applyProtection="0"/>
    <xf numFmtId="226" fontId="76" fillId="0" borderId="17" applyNumberFormat="0" applyFill="0" applyAlignment="0" applyProtection="0"/>
    <xf numFmtId="226" fontId="61" fillId="27" borderId="0" applyNumberFormat="0" applyBorder="0" applyAlignment="0" applyProtection="0"/>
    <xf numFmtId="226" fontId="77" fillId="27" borderId="0" applyNumberFormat="0" applyBorder="0" applyAlignment="0" applyProtection="0"/>
    <xf numFmtId="226" fontId="43" fillId="0" borderId="0"/>
    <xf numFmtId="226" fontId="20"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1" fillId="0" borderId="0"/>
    <xf numFmtId="226" fontId="22" fillId="0" borderId="0"/>
    <xf numFmtId="226" fontId="22" fillId="0" borderId="0"/>
    <xf numFmtId="226" fontId="22" fillId="0" borderId="0"/>
    <xf numFmtId="226" fontId="22" fillId="0" borderId="0"/>
    <xf numFmtId="226" fontId="22" fillId="0" borderId="0"/>
    <xf numFmtId="226" fontId="65" fillId="0" borderId="0"/>
    <xf numFmtId="226" fontId="65" fillId="0" borderId="0"/>
    <xf numFmtId="226" fontId="65" fillId="0" borderId="0"/>
    <xf numFmtId="226" fontId="20" fillId="0" borderId="0"/>
    <xf numFmtId="226" fontId="20" fillId="0" borderId="0"/>
    <xf numFmtId="226" fontId="39" fillId="0" borderId="0"/>
    <xf numFmtId="226" fontId="39" fillId="0" borderId="0"/>
    <xf numFmtId="226" fontId="42" fillId="0" borderId="0"/>
    <xf numFmtId="226" fontId="42" fillId="0" borderId="0"/>
    <xf numFmtId="226" fontId="22" fillId="0" borderId="0"/>
    <xf numFmtId="226" fontId="22" fillId="0" borderId="0"/>
    <xf numFmtId="226" fontId="22" fillId="0" borderId="0"/>
    <xf numFmtId="226" fontId="22" fillId="0" borderId="0"/>
    <xf numFmtId="226" fontId="39" fillId="0" borderId="0"/>
    <xf numFmtId="226" fontId="39" fillId="0" borderId="0"/>
    <xf numFmtId="226" fontId="22" fillId="0" borderId="0"/>
    <xf numFmtId="226" fontId="22" fillId="0" borderId="0"/>
    <xf numFmtId="226" fontId="20" fillId="0" borderId="0"/>
    <xf numFmtId="226" fontId="20" fillId="0" borderId="0"/>
    <xf numFmtId="226" fontId="23" fillId="0" borderId="0"/>
    <xf numFmtId="226" fontId="23" fillId="0" borderId="0"/>
    <xf numFmtId="226" fontId="1" fillId="0" borderId="0"/>
    <xf numFmtId="226" fontId="20" fillId="0" borderId="0"/>
    <xf numFmtId="226" fontId="20" fillId="0" borderId="0"/>
    <xf numFmtId="226" fontId="81" fillId="0" borderId="0"/>
    <xf numFmtId="226" fontId="20" fillId="0" borderId="0"/>
    <xf numFmtId="226" fontId="20" fillId="0" borderId="0"/>
    <xf numFmtId="226" fontId="22" fillId="0" borderId="0" applyBorder="0"/>
    <xf numFmtId="226" fontId="22" fillId="0" borderId="0" applyBorder="0"/>
    <xf numFmtId="226" fontId="20" fillId="0" borderId="0"/>
    <xf numFmtId="226" fontId="20" fillId="0" borderId="0"/>
    <xf numFmtId="226" fontId="22" fillId="0" borderId="0"/>
    <xf numFmtId="226" fontId="20" fillId="0" borderId="0"/>
    <xf numFmtId="226" fontId="41" fillId="0" borderId="0"/>
    <xf numFmtId="226" fontId="41" fillId="0" borderId="0"/>
    <xf numFmtId="226" fontId="22" fillId="0" borderId="0"/>
    <xf numFmtId="226" fontId="20" fillId="0" borderId="0"/>
    <xf numFmtId="226" fontId="23" fillId="0" borderId="0"/>
    <xf numFmtId="226" fontId="22" fillId="0" borderId="0"/>
    <xf numFmtId="226" fontId="22" fillId="28" borderId="18" applyNumberFormat="0" applyFont="0" applyAlignment="0" applyProtection="0"/>
    <xf numFmtId="226" fontId="22" fillId="28" borderId="18" applyNumberFormat="0" applyFont="0" applyAlignment="0" applyProtection="0"/>
    <xf numFmtId="226" fontId="22" fillId="28" borderId="18" applyNumberFormat="0" applyFont="0" applyAlignment="0" applyProtection="0"/>
    <xf numFmtId="226" fontId="65" fillId="28" borderId="18" applyNumberFormat="0" applyFont="0" applyAlignment="0" applyProtection="0"/>
    <xf numFmtId="226" fontId="22" fillId="28" borderId="18" applyNumberFormat="0" applyFont="0" applyAlignment="0" applyProtection="0"/>
    <xf numFmtId="226" fontId="22" fillId="28" borderId="18" applyNumberFormat="0" applyFont="0" applyAlignment="0" applyProtection="0"/>
    <xf numFmtId="226" fontId="45" fillId="0" borderId="0">
      <alignment horizontal="left"/>
    </xf>
    <xf numFmtId="226" fontId="62" fillId="25" borderId="19" applyNumberFormat="0" applyAlignment="0" applyProtection="0"/>
    <xf numFmtId="226" fontId="78" fillId="25" borderId="19" applyNumberFormat="0" applyAlignment="0" applyProtection="0"/>
    <xf numFmtId="226" fontId="42" fillId="0" borderId="12">
      <alignment horizontal="center" vertical="center"/>
    </xf>
    <xf numFmtId="226" fontId="22" fillId="0" borderId="0" applyNumberFormat="0" applyFill="0" applyBorder="0" applyAlignment="0" applyProtection="0"/>
    <xf numFmtId="226" fontId="46" fillId="0" borderId="0"/>
    <xf numFmtId="226" fontId="35" fillId="0" borderId="0" applyNumberFormat="0" applyFill="0" applyBorder="0" applyAlignment="0" applyProtection="0"/>
    <xf numFmtId="226" fontId="47" fillId="0" borderId="0"/>
    <xf numFmtId="226" fontId="40" fillId="0" borderId="20" applyNumberFormat="0" applyFill="0" applyAlignment="0" applyProtection="0"/>
    <xf numFmtId="226" fontId="40" fillId="0" borderId="20" applyNumberFormat="0" applyFill="0" applyAlignment="0" applyProtection="0"/>
    <xf numFmtId="226" fontId="79" fillId="0" borderId="20" applyNumberFormat="0" applyFill="0" applyAlignment="0" applyProtection="0"/>
    <xf numFmtId="226" fontId="63" fillId="0" borderId="0" applyNumberFormat="0" applyFill="0" applyBorder="0" applyAlignment="0" applyProtection="0"/>
    <xf numFmtId="226" fontId="80" fillId="0" borderId="0" applyNumberFormat="0" applyFill="0" applyBorder="0" applyAlignment="0" applyProtection="0"/>
    <xf numFmtId="226" fontId="135" fillId="0" borderId="49" applyNumberFormat="0" applyFont="0" applyFill="0" applyAlignment="0" applyProtection="0"/>
    <xf numFmtId="226" fontId="137" fillId="0" borderId="0" applyNumberFormat="0" applyFill="0" applyBorder="0" applyAlignment="0" applyProtection="0"/>
    <xf numFmtId="226" fontId="136" fillId="0" borderId="0" applyNumberFormat="0" applyFill="0" applyBorder="0" applyAlignment="0" applyProtection="0"/>
    <xf numFmtId="226" fontId="135" fillId="0" borderId="0" applyFont="0" applyFill="0" applyBorder="0" applyAlignment="0" applyProtection="0"/>
    <xf numFmtId="226" fontId="23" fillId="0" borderId="0">
      <alignment vertical="top"/>
    </xf>
    <xf numFmtId="226" fontId="22" fillId="0" borderId="0"/>
    <xf numFmtId="226" fontId="131" fillId="0" borderId="0" applyNumberFormat="0" applyFill="0" applyBorder="0" applyAlignment="0" applyProtection="0"/>
    <xf numFmtId="226" fontId="132" fillId="0" borderId="45" applyNumberFormat="0" applyFill="0" applyAlignment="0" applyProtection="0"/>
    <xf numFmtId="226" fontId="133" fillId="0" borderId="46" applyNumberFormat="0" applyFill="0" applyAlignment="0" applyProtection="0"/>
    <xf numFmtId="226" fontId="120" fillId="0" borderId="47" applyNumberFormat="0" applyFill="0" applyAlignment="0" applyProtection="0"/>
    <xf numFmtId="226" fontId="120" fillId="0" borderId="0" applyNumberFormat="0" applyFill="0" applyBorder="0" applyAlignment="0" applyProtection="0"/>
    <xf numFmtId="226" fontId="121" fillId="37" borderId="0" applyNumberFormat="0" applyBorder="0" applyAlignment="0" applyProtection="0"/>
    <xf numFmtId="226" fontId="122" fillId="38" borderId="0" applyNumberFormat="0" applyBorder="0" applyAlignment="0" applyProtection="0"/>
    <xf numFmtId="226" fontId="123" fillId="39" borderId="0" applyNumberFormat="0" applyBorder="0" applyAlignment="0" applyProtection="0"/>
    <xf numFmtId="226" fontId="2" fillId="67" borderId="2" applyNumberFormat="0" applyAlignment="0" applyProtection="0"/>
    <xf numFmtId="226" fontId="124" fillId="40" borderId="40" applyNumberFormat="0" applyAlignment="0" applyProtection="0"/>
    <xf numFmtId="226" fontId="125" fillId="40" borderId="2" applyNumberFormat="0" applyAlignment="0" applyProtection="0"/>
    <xf numFmtId="226" fontId="126" fillId="0" borderId="41" applyNumberFormat="0" applyFill="0" applyAlignment="0" applyProtection="0"/>
    <xf numFmtId="226" fontId="127" fillId="41" borderId="42" applyNumberFormat="0" applyAlignment="0" applyProtection="0"/>
    <xf numFmtId="226" fontId="128" fillId="0" borderId="0" applyNumberFormat="0" applyFill="0" applyBorder="0" applyAlignment="0" applyProtection="0"/>
    <xf numFmtId="226" fontId="1" fillId="42" borderId="43" applyNumberFormat="0" applyFont="0" applyAlignment="0" applyProtection="0"/>
    <xf numFmtId="226" fontId="129" fillId="0" borderId="0" applyNumberFormat="0" applyFill="0" applyBorder="0" applyAlignment="0" applyProtection="0"/>
    <xf numFmtId="226" fontId="3" fillId="0" borderId="44" applyNumberFormat="0" applyFill="0" applyAlignment="0" applyProtection="0"/>
    <xf numFmtId="226" fontId="130" fillId="43" borderId="0" applyNumberFormat="0" applyBorder="0" applyAlignment="0" applyProtection="0"/>
    <xf numFmtId="226" fontId="1" fillId="44" borderId="0" applyNumberFormat="0" applyBorder="0" applyAlignment="0" applyProtection="0"/>
    <xf numFmtId="226" fontId="1" fillId="45" borderId="0" applyNumberFormat="0" applyBorder="0" applyAlignment="0" applyProtection="0"/>
    <xf numFmtId="226" fontId="130" fillId="46" borderId="0" applyNumberFormat="0" applyBorder="0" applyAlignment="0" applyProtection="0"/>
    <xf numFmtId="226" fontId="130" fillId="47" borderId="0" applyNumberFormat="0" applyBorder="0" applyAlignment="0" applyProtection="0"/>
    <xf numFmtId="226" fontId="1" fillId="48" borderId="0" applyNumberFormat="0" applyBorder="0" applyAlignment="0" applyProtection="0"/>
    <xf numFmtId="226" fontId="1" fillId="49" borderId="0" applyNumberFormat="0" applyBorder="0" applyAlignment="0" applyProtection="0"/>
    <xf numFmtId="226" fontId="130" fillId="50" borderId="0" applyNumberFormat="0" applyBorder="0" applyAlignment="0" applyProtection="0"/>
    <xf numFmtId="226" fontId="130" fillId="51" borderId="0" applyNumberFormat="0" applyBorder="0" applyAlignment="0" applyProtection="0"/>
    <xf numFmtId="226" fontId="1" fillId="52" borderId="0" applyNumberFormat="0" applyBorder="0" applyAlignment="0" applyProtection="0"/>
    <xf numFmtId="226" fontId="1" fillId="53" borderId="0" applyNumberFormat="0" applyBorder="0" applyAlignment="0" applyProtection="0"/>
    <xf numFmtId="226" fontId="130" fillId="54" borderId="0" applyNumberFormat="0" applyBorder="0" applyAlignment="0" applyProtection="0"/>
    <xf numFmtId="226" fontId="130" fillId="55" borderId="0" applyNumberFormat="0" applyBorder="0" applyAlignment="0" applyProtection="0"/>
    <xf numFmtId="226" fontId="1" fillId="56" borderId="0" applyNumberFormat="0" applyBorder="0" applyAlignment="0" applyProtection="0"/>
    <xf numFmtId="226" fontId="1" fillId="57" borderId="0" applyNumberFormat="0" applyBorder="0" applyAlignment="0" applyProtection="0"/>
    <xf numFmtId="226" fontId="130" fillId="58" borderId="0" applyNumberFormat="0" applyBorder="0" applyAlignment="0" applyProtection="0"/>
    <xf numFmtId="226" fontId="130" fillId="59" borderId="0" applyNumberFormat="0" applyBorder="0" applyAlignment="0" applyProtection="0"/>
    <xf numFmtId="226" fontId="1" fillId="60" borderId="0" applyNumberFormat="0" applyBorder="0" applyAlignment="0" applyProtection="0"/>
    <xf numFmtId="226" fontId="1" fillId="61" borderId="0" applyNumberFormat="0" applyBorder="0" applyAlignment="0" applyProtection="0"/>
    <xf numFmtId="226" fontId="130" fillId="62" borderId="0" applyNumberFormat="0" applyBorder="0" applyAlignment="0" applyProtection="0"/>
    <xf numFmtId="226" fontId="130" fillId="63" borderId="0" applyNumberFormat="0" applyBorder="0" applyAlignment="0" applyProtection="0"/>
    <xf numFmtId="226" fontId="1" fillId="64" borderId="0" applyNumberFormat="0" applyBorder="0" applyAlignment="0" applyProtection="0"/>
    <xf numFmtId="226" fontId="1" fillId="65" borderId="0" applyNumberFormat="0" applyBorder="0" applyAlignment="0" applyProtection="0"/>
    <xf numFmtId="226" fontId="130" fillId="66" borderId="0" applyNumberFormat="0" applyBorder="0" applyAlignment="0" applyProtection="0"/>
    <xf numFmtId="226" fontId="22" fillId="0" borderId="0"/>
    <xf numFmtId="226" fontId="22" fillId="0" borderId="0"/>
    <xf numFmtId="226" fontId="2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42" fillId="0" borderId="0"/>
    <xf numFmtId="226" fontId="42" fillId="0" borderId="0"/>
    <xf numFmtId="226" fontId="42" fillId="0" borderId="0"/>
    <xf numFmtId="226" fontId="20" fillId="0" borderId="0"/>
    <xf numFmtId="226" fontId="42" fillId="0" borderId="0"/>
    <xf numFmtId="226" fontId="20" fillId="0" borderId="0"/>
    <xf numFmtId="226" fontId="20" fillId="0" borderId="0"/>
    <xf numFmtId="226" fontId="20" fillId="0" borderId="0"/>
    <xf numFmtId="226" fontId="42" fillId="0" borderId="0"/>
    <xf numFmtId="226" fontId="42"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42" fillId="0" borderId="0"/>
    <xf numFmtId="226" fontId="20" fillId="0" borderId="0"/>
    <xf numFmtId="226" fontId="42" fillId="0" borderId="0"/>
    <xf numFmtId="226" fontId="42" fillId="0" borderId="0"/>
    <xf numFmtId="226" fontId="42" fillId="0" borderId="0"/>
    <xf numFmtId="226" fontId="20" fillId="0" borderId="0"/>
    <xf numFmtId="226" fontId="20" fillId="0" borderId="0"/>
    <xf numFmtId="226" fontId="42" fillId="0" borderId="0"/>
    <xf numFmtId="226" fontId="42" fillId="0" borderId="0"/>
    <xf numFmtId="226" fontId="42" fillId="0" borderId="0"/>
    <xf numFmtId="226" fontId="20" fillId="0" borderId="0"/>
    <xf numFmtId="226" fontId="20" fillId="0" borderId="0"/>
    <xf numFmtId="226" fontId="20" fillId="0" borderId="0"/>
    <xf numFmtId="226" fontId="20" fillId="0" borderId="0"/>
    <xf numFmtId="226" fontId="20" fillId="0" borderId="0"/>
    <xf numFmtId="226" fontId="101" fillId="0" borderId="0"/>
    <xf numFmtId="226" fontId="101"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2" fillId="0" borderId="0"/>
    <xf numFmtId="226" fontId="43" fillId="0" borderId="0"/>
    <xf numFmtId="226" fontId="22" fillId="0" borderId="0" applyBorder="0"/>
    <xf numFmtId="226" fontId="39" fillId="0" borderId="0"/>
    <xf numFmtId="226" fontId="22" fillId="0" borderId="0" applyFont="0" applyFill="0" applyBorder="0" applyAlignment="0" applyProtection="0"/>
    <xf numFmtId="226" fontId="38" fillId="0" borderId="0" applyNumberFormat="0" applyFill="0" applyBorder="0" applyAlignment="0" applyProtection="0">
      <alignment vertical="top"/>
      <protection locked="0"/>
    </xf>
    <xf numFmtId="226" fontId="20" fillId="0" borderId="0"/>
    <xf numFmtId="226" fontId="20" fillId="0" borderId="0"/>
    <xf numFmtId="226" fontId="20" fillId="0" borderId="0"/>
    <xf numFmtId="226" fontId="42"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2" fillId="0" borderId="0" applyNumberForma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xf numFmtId="226" fontId="39" fillId="7" borderId="0" applyNumberFormat="0" applyBorder="0" applyAlignment="0" applyProtection="0"/>
    <xf numFmtId="226" fontId="1" fillId="7" borderId="0" applyNumberFormat="0" applyBorder="0" applyAlignment="0" applyProtection="0"/>
    <xf numFmtId="226" fontId="86" fillId="44" borderId="0" applyNumberFormat="0" applyBorder="0" applyAlignment="0" applyProtection="0"/>
    <xf numFmtId="226" fontId="39" fillId="8" borderId="0" applyNumberFormat="0" applyBorder="0" applyAlignment="0" applyProtection="0"/>
    <xf numFmtId="226" fontId="1" fillId="8" borderId="0" applyNumberFormat="0" applyBorder="0" applyAlignment="0" applyProtection="0"/>
    <xf numFmtId="226" fontId="86" fillId="48" borderId="0" applyNumberFormat="0" applyBorder="0" applyAlignment="0" applyProtection="0"/>
    <xf numFmtId="226" fontId="39" fillId="9" borderId="0" applyNumberFormat="0" applyBorder="0" applyAlignment="0" applyProtection="0"/>
    <xf numFmtId="226" fontId="1" fillId="9" borderId="0" applyNumberFormat="0" applyBorder="0" applyAlignment="0" applyProtection="0"/>
    <xf numFmtId="226" fontId="86" fillId="52" borderId="0" applyNumberFormat="0" applyBorder="0" applyAlignment="0" applyProtection="0"/>
    <xf numFmtId="226" fontId="39" fillId="10" borderId="0" applyNumberFormat="0" applyBorder="0" applyAlignment="0" applyProtection="0"/>
    <xf numFmtId="226" fontId="1" fillId="10" borderId="0" applyNumberFormat="0" applyBorder="0" applyAlignment="0" applyProtection="0"/>
    <xf numFmtId="226" fontId="86" fillId="56" borderId="0" applyNumberFormat="0" applyBorder="0" applyAlignment="0" applyProtection="0"/>
    <xf numFmtId="226" fontId="39" fillId="11" borderId="0" applyNumberFormat="0" applyBorder="0" applyAlignment="0" applyProtection="0"/>
    <xf numFmtId="226" fontId="86" fillId="60" borderId="0" applyNumberFormat="0" applyBorder="0" applyAlignment="0" applyProtection="0"/>
    <xf numFmtId="226" fontId="39" fillId="12" borderId="0" applyNumberFormat="0" applyBorder="0" applyAlignment="0" applyProtection="0"/>
    <xf numFmtId="226" fontId="1" fillId="25" borderId="0" applyNumberFormat="0" applyBorder="0" applyAlignment="0" applyProtection="0"/>
    <xf numFmtId="226" fontId="86" fillId="64" borderId="0" applyNumberFormat="0" applyBorder="0" applyAlignment="0" applyProtection="0"/>
    <xf numFmtId="226" fontId="39" fillId="13" borderId="0" applyNumberFormat="0" applyBorder="0" applyAlignment="0" applyProtection="0"/>
    <xf numFmtId="226" fontId="1" fillId="13" borderId="0" applyNumberFormat="0" applyBorder="0" applyAlignment="0" applyProtection="0"/>
    <xf numFmtId="226" fontId="86" fillId="45" borderId="0" applyNumberFormat="0" applyBorder="0" applyAlignment="0" applyProtection="0"/>
    <xf numFmtId="226" fontId="39" fillId="14" borderId="0" applyNumberFormat="0" applyBorder="0" applyAlignment="0" applyProtection="0"/>
    <xf numFmtId="226" fontId="86" fillId="49" borderId="0" applyNumberFormat="0" applyBorder="0" applyAlignment="0" applyProtection="0"/>
    <xf numFmtId="226" fontId="39" fillId="15" borderId="0" applyNumberFormat="0" applyBorder="0" applyAlignment="0" applyProtection="0"/>
    <xf numFmtId="226" fontId="1" fillId="15" borderId="0" applyNumberFormat="0" applyBorder="0" applyAlignment="0" applyProtection="0"/>
    <xf numFmtId="226" fontId="86" fillId="53" borderId="0" applyNumberFormat="0" applyBorder="0" applyAlignment="0" applyProtection="0"/>
    <xf numFmtId="226" fontId="39" fillId="10" borderId="0" applyNumberFormat="0" applyBorder="0" applyAlignment="0" applyProtection="0"/>
    <xf numFmtId="226" fontId="1" fillId="10" borderId="0" applyNumberFormat="0" applyBorder="0" applyAlignment="0" applyProtection="0"/>
    <xf numFmtId="226" fontId="86" fillId="57" borderId="0" applyNumberFormat="0" applyBorder="0" applyAlignment="0" applyProtection="0"/>
    <xf numFmtId="226" fontId="39" fillId="13" borderId="0" applyNumberFormat="0" applyBorder="0" applyAlignment="0" applyProtection="0"/>
    <xf numFmtId="226" fontId="1" fillId="13" borderId="0" applyNumberFormat="0" applyBorder="0" applyAlignment="0" applyProtection="0"/>
    <xf numFmtId="226" fontId="86" fillId="61" borderId="0" applyNumberFormat="0" applyBorder="0" applyAlignment="0" applyProtection="0"/>
    <xf numFmtId="226" fontId="39" fillId="16" borderId="0" applyNumberFormat="0" applyBorder="0" applyAlignment="0" applyProtection="0"/>
    <xf numFmtId="226" fontId="1" fillId="16" borderId="0" applyNumberFormat="0" applyBorder="0" applyAlignment="0" applyProtection="0"/>
    <xf numFmtId="226" fontId="86" fillId="65" borderId="0" applyNumberFormat="0" applyBorder="0" applyAlignment="0" applyProtection="0"/>
    <xf numFmtId="226" fontId="50" fillId="17" borderId="0" applyNumberFormat="0" applyBorder="0" applyAlignment="0" applyProtection="0"/>
    <xf numFmtId="226" fontId="130" fillId="17" borderId="0" applyNumberFormat="0" applyBorder="0" applyAlignment="0" applyProtection="0"/>
    <xf numFmtId="226" fontId="144" fillId="46" borderId="0" applyNumberFormat="0" applyBorder="0" applyAlignment="0" applyProtection="0"/>
    <xf numFmtId="226" fontId="50" fillId="14" borderId="0" applyNumberFormat="0" applyBorder="0" applyAlignment="0" applyProtection="0"/>
    <xf numFmtId="226" fontId="130" fillId="14" borderId="0" applyNumberFormat="0" applyBorder="0" applyAlignment="0" applyProtection="0"/>
    <xf numFmtId="226" fontId="144" fillId="50" borderId="0" applyNumberFormat="0" applyBorder="0" applyAlignment="0" applyProtection="0"/>
    <xf numFmtId="226" fontId="50" fillId="15" borderId="0" applyNumberFormat="0" applyBorder="0" applyAlignment="0" applyProtection="0"/>
    <xf numFmtId="226" fontId="130" fillId="15" borderId="0" applyNumberFormat="0" applyBorder="0" applyAlignment="0" applyProtection="0"/>
    <xf numFmtId="226" fontId="144" fillId="54" borderId="0" applyNumberFormat="0" applyBorder="0" applyAlignment="0" applyProtection="0"/>
    <xf numFmtId="226" fontId="50" fillId="18" borderId="0" applyNumberFormat="0" applyBorder="0" applyAlignment="0" applyProtection="0"/>
    <xf numFmtId="226" fontId="130" fillId="18" borderId="0" applyNumberFormat="0" applyBorder="0" applyAlignment="0" applyProtection="0"/>
    <xf numFmtId="226" fontId="144" fillId="58" borderId="0" applyNumberFormat="0" applyBorder="0" applyAlignment="0" applyProtection="0"/>
    <xf numFmtId="226" fontId="50" fillId="19" borderId="0" applyNumberFormat="0" applyBorder="0" applyAlignment="0" applyProtection="0"/>
    <xf numFmtId="226" fontId="130" fillId="19" borderId="0" applyNumberFormat="0" applyBorder="0" applyAlignment="0" applyProtection="0"/>
    <xf numFmtId="226" fontId="144" fillId="62" borderId="0" applyNumberFormat="0" applyBorder="0" applyAlignment="0" applyProtection="0"/>
    <xf numFmtId="226" fontId="50" fillId="20" borderId="0" applyNumberFormat="0" applyBorder="0" applyAlignment="0" applyProtection="0"/>
    <xf numFmtId="226" fontId="130" fillId="20" borderId="0" applyNumberFormat="0" applyBorder="0" applyAlignment="0" applyProtection="0"/>
    <xf numFmtId="226" fontId="144" fillId="66" borderId="0" applyNumberFormat="0" applyBorder="0" applyAlignment="0" applyProtection="0"/>
    <xf numFmtId="226" fontId="50" fillId="21" borderId="0" applyNumberFormat="0" applyBorder="0" applyAlignment="0" applyProtection="0"/>
    <xf numFmtId="226" fontId="130" fillId="21" borderId="0" applyNumberFormat="0" applyBorder="0" applyAlignment="0" applyProtection="0"/>
    <xf numFmtId="226" fontId="144" fillId="43" borderId="0" applyNumberFormat="0" applyBorder="0" applyAlignment="0" applyProtection="0"/>
    <xf numFmtId="226" fontId="50" fillId="22" borderId="0" applyNumberFormat="0" applyBorder="0" applyAlignment="0" applyProtection="0"/>
    <xf numFmtId="226" fontId="130" fillId="22" borderId="0" applyNumberFormat="0" applyBorder="0" applyAlignment="0" applyProtection="0"/>
    <xf numFmtId="226" fontId="144" fillId="47" borderId="0" applyNumberFormat="0" applyBorder="0" applyAlignment="0" applyProtection="0"/>
    <xf numFmtId="226" fontId="50" fillId="23" borderId="0" applyNumberFormat="0" applyBorder="0" applyAlignment="0" applyProtection="0"/>
    <xf numFmtId="226" fontId="130" fillId="23" borderId="0" applyNumberFormat="0" applyBorder="0" applyAlignment="0" applyProtection="0"/>
    <xf numFmtId="226" fontId="144" fillId="51" borderId="0" applyNumberFormat="0" applyBorder="0" applyAlignment="0" applyProtection="0"/>
    <xf numFmtId="226" fontId="50" fillId="18" borderId="0" applyNumberFormat="0" applyBorder="0" applyAlignment="0" applyProtection="0"/>
    <xf numFmtId="226" fontId="130" fillId="18" borderId="0" applyNumberFormat="0" applyBorder="0" applyAlignment="0" applyProtection="0"/>
    <xf numFmtId="226" fontId="144" fillId="55" borderId="0" applyNumberFormat="0" applyBorder="0" applyAlignment="0" applyProtection="0"/>
    <xf numFmtId="226" fontId="50" fillId="19" borderId="0" applyNumberFormat="0" applyBorder="0" applyAlignment="0" applyProtection="0"/>
    <xf numFmtId="226" fontId="144" fillId="59" borderId="0" applyNumberFormat="0" applyBorder="0" applyAlignment="0" applyProtection="0"/>
    <xf numFmtId="226" fontId="50" fillId="24" borderId="0" applyNumberFormat="0" applyBorder="0" applyAlignment="0" applyProtection="0"/>
    <xf numFmtId="226" fontId="130" fillId="24" borderId="0" applyNumberFormat="0" applyBorder="0" applyAlignment="0" applyProtection="0"/>
    <xf numFmtId="226" fontId="144" fillId="63" borderId="0" applyNumberFormat="0" applyBorder="0" applyAlignment="0" applyProtection="0"/>
    <xf numFmtId="226" fontId="51" fillId="8" borderId="0" applyNumberFormat="0" applyBorder="0" applyAlignment="0" applyProtection="0"/>
    <xf numFmtId="226" fontId="122" fillId="8" borderId="0" applyNumberFormat="0" applyBorder="0" applyAlignment="0" applyProtection="0"/>
    <xf numFmtId="226" fontId="145" fillId="38" borderId="0" applyNumberFormat="0" applyBorder="0" applyAlignment="0" applyProtection="0"/>
    <xf numFmtId="226" fontId="52" fillId="25" borderId="14" applyNumberFormat="0" applyAlignment="0" applyProtection="0"/>
    <xf numFmtId="226" fontId="146" fillId="25" borderId="2" applyNumberFormat="0" applyAlignment="0" applyProtection="0"/>
    <xf numFmtId="226" fontId="147" fillId="40" borderId="2" applyNumberFormat="0" applyAlignment="0" applyProtection="0"/>
    <xf numFmtId="226" fontId="53" fillId="26" borderId="15" applyNumberFormat="0" applyAlignment="0" applyProtection="0"/>
    <xf numFmtId="226" fontId="148" fillId="41" borderId="42" applyNumberFormat="0" applyAlignment="0" applyProtection="0"/>
    <xf numFmtId="226" fontId="54" fillId="0" borderId="0" applyNumberFormat="0" applyFill="0" applyBorder="0" applyAlignment="0" applyProtection="0"/>
    <xf numFmtId="226" fontId="149" fillId="0" borderId="0" applyNumberFormat="0" applyFill="0" applyBorder="0" applyAlignment="0" applyProtection="0"/>
    <xf numFmtId="226" fontId="55" fillId="9" borderId="0" applyNumberFormat="0" applyBorder="0" applyAlignment="0" applyProtection="0"/>
    <xf numFmtId="226" fontId="121" fillId="9" borderId="0" applyNumberFormat="0" applyBorder="0" applyAlignment="0" applyProtection="0"/>
    <xf numFmtId="226" fontId="150" fillId="37" borderId="0" applyNumberFormat="0" applyBorder="0" applyAlignment="0" applyProtection="0"/>
    <xf numFmtId="226" fontId="138" fillId="0" borderId="0" applyFill="0" applyBorder="0"/>
    <xf numFmtId="226" fontId="138" fillId="0" borderId="0" applyFill="0" applyBorder="0"/>
    <xf numFmtId="226" fontId="139" fillId="0" borderId="0" applyFill="0" applyBorder="0"/>
    <xf numFmtId="226" fontId="139" fillId="0" borderId="0" applyFill="0" applyBorder="0"/>
    <xf numFmtId="226" fontId="134" fillId="0" borderId="0" applyFill="0" applyBorder="0"/>
    <xf numFmtId="226" fontId="134" fillId="0" borderId="0" applyFill="0" applyBorder="0"/>
    <xf numFmtId="226" fontId="140" fillId="0" borderId="0" applyFill="0" applyBorder="0"/>
    <xf numFmtId="226" fontId="140" fillId="0" borderId="0" applyFill="0" applyBorder="0"/>
    <xf numFmtId="226" fontId="56" fillId="0" borderId="38" applyNumberFormat="0" applyFill="0" applyAlignment="0" applyProtection="0"/>
    <xf numFmtId="226" fontId="151" fillId="0" borderId="45" applyNumberFormat="0" applyFill="0" applyAlignment="0" applyProtection="0"/>
    <xf numFmtId="226" fontId="57" fillId="0" borderId="39" applyNumberFormat="0" applyFill="0" applyAlignment="0" applyProtection="0"/>
    <xf numFmtId="226" fontId="152" fillId="0" borderId="46" applyNumberFormat="0" applyFill="0" applyAlignment="0" applyProtection="0"/>
    <xf numFmtId="226" fontId="58" fillId="0" borderId="16" applyNumberFormat="0" applyFill="0" applyAlignment="0" applyProtection="0"/>
    <xf numFmtId="226" fontId="153" fillId="0" borderId="47" applyNumberFormat="0" applyFill="0" applyAlignment="0" applyProtection="0"/>
    <xf numFmtId="226" fontId="58" fillId="0" borderId="0" applyNumberFormat="0" applyFill="0" applyBorder="0" applyAlignment="0" applyProtection="0"/>
    <xf numFmtId="226" fontId="153" fillId="0" borderId="0" applyNumberFormat="0" applyFill="0" applyBorder="0" applyAlignment="0" applyProtection="0"/>
    <xf numFmtId="226" fontId="142" fillId="0" borderId="0" applyFill="0" applyBorder="0">
      <alignment horizontal="left"/>
      <protection hidden="1"/>
    </xf>
    <xf numFmtId="226" fontId="142" fillId="0" borderId="0" applyFill="0" applyBorder="0">
      <alignment horizontal="left" indent="1"/>
      <protection hidden="1"/>
    </xf>
    <xf numFmtId="226" fontId="142" fillId="0" borderId="0" applyFill="0" applyBorder="0">
      <alignment horizontal="left" indent="2"/>
      <protection hidden="1"/>
    </xf>
    <xf numFmtId="226" fontId="142" fillId="0" borderId="0" applyFill="0" applyBorder="0">
      <alignment horizontal="left" indent="3"/>
      <protection hidden="1"/>
    </xf>
    <xf numFmtId="226" fontId="113" fillId="0" borderId="0" applyFill="0" applyBorder="0">
      <alignment vertical="top" wrapText="1"/>
      <protection locked="0"/>
    </xf>
    <xf numFmtId="226" fontId="59" fillId="12" borderId="14" applyNumberFormat="0" applyAlignment="0" applyProtection="0"/>
    <xf numFmtId="226" fontId="2" fillId="25" borderId="2" applyNumberFormat="0" applyAlignment="0" applyProtection="0"/>
    <xf numFmtId="226" fontId="154" fillId="67" borderId="2" applyNumberFormat="0" applyAlignment="0" applyProtection="0"/>
    <xf numFmtId="226" fontId="60" fillId="0" borderId="17" applyNumberFormat="0" applyFill="0" applyAlignment="0" applyProtection="0"/>
    <xf numFmtId="226" fontId="155" fillId="0" borderId="41" applyNumberFormat="0" applyFill="0" applyAlignment="0" applyProtection="0"/>
    <xf numFmtId="226" fontId="101" fillId="0" borderId="0" applyFill="0" applyBorder="0">
      <alignment vertical="top" wrapText="1"/>
    </xf>
    <xf numFmtId="226" fontId="101" fillId="0" borderId="0" applyFill="0" applyBorder="0">
      <alignment vertical="top" wrapText="1"/>
    </xf>
    <xf numFmtId="226" fontId="61" fillId="27" borderId="0" applyNumberFormat="0" applyBorder="0" applyAlignment="0" applyProtection="0"/>
    <xf numFmtId="226" fontId="156" fillId="39" borderId="0" applyNumberFormat="0" applyBorder="0" applyAlignment="0" applyProtection="0"/>
    <xf numFmtId="226" fontId="157" fillId="39" borderId="0" applyNumberFormat="0" applyBorder="0" applyAlignment="0" applyProtection="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86" fillId="0" borderId="0"/>
    <xf numFmtId="226" fontId="22" fillId="0" borderId="0"/>
    <xf numFmtId="226" fontId="1" fillId="0" borderId="0"/>
    <xf numFmtId="226" fontId="22" fillId="0" borderId="0"/>
    <xf numFmtId="226" fontId="1" fillId="0" borderId="0"/>
    <xf numFmtId="226" fontId="22" fillId="0" borderId="0"/>
    <xf numFmtId="226" fontId="22" fillId="0" borderId="0"/>
    <xf numFmtId="226" fontId="22" fillId="0" borderId="0" applyBorder="0"/>
    <xf numFmtId="226" fontId="1" fillId="0" borderId="0"/>
    <xf numFmtId="226" fontId="22" fillId="0" borderId="0" applyBorder="0"/>
    <xf numFmtId="226" fontId="22" fillId="28" borderId="18" applyNumberFormat="0" applyFont="0" applyAlignment="0" applyProtection="0"/>
    <xf numFmtId="226" fontId="39" fillId="42" borderId="43" applyNumberFormat="0" applyFont="0" applyAlignment="0" applyProtection="0"/>
    <xf numFmtId="226" fontId="141" fillId="42" borderId="43" applyNumberFormat="0" applyFont="0" applyAlignment="0" applyProtection="0"/>
    <xf numFmtId="226" fontId="62" fillId="25" borderId="19" applyNumberFormat="0" applyAlignment="0" applyProtection="0"/>
    <xf numFmtId="226" fontId="124" fillId="25" borderId="40" applyNumberFormat="0" applyAlignment="0" applyProtection="0"/>
    <xf numFmtId="226" fontId="158" fillId="40" borderId="40" applyNumberFormat="0" applyAlignment="0" applyProtection="0"/>
    <xf numFmtId="226" fontId="140" fillId="0" borderId="0" applyFill="0" applyBorder="0">
      <alignment vertical="top"/>
    </xf>
    <xf numFmtId="226" fontId="140" fillId="0" borderId="0" applyFill="0" applyBorder="0">
      <alignment vertical="top"/>
    </xf>
    <xf numFmtId="226" fontId="140" fillId="0" borderId="0" applyFill="0" applyBorder="0">
      <alignment horizontal="left" vertical="top" indent="1"/>
    </xf>
    <xf numFmtId="226" fontId="140" fillId="0" borderId="0" applyFill="0" applyBorder="0">
      <alignment horizontal="left" vertical="top" indent="1"/>
    </xf>
    <xf numFmtId="226" fontId="140" fillId="0" borderId="0" applyFill="0" applyBorder="0">
      <alignment horizontal="left" vertical="top" indent="2"/>
    </xf>
    <xf numFmtId="226" fontId="140" fillId="0" borderId="0" applyFill="0" applyBorder="0">
      <alignment horizontal="left" vertical="top" indent="2"/>
    </xf>
    <xf numFmtId="226" fontId="140" fillId="0" borderId="0" applyFill="0" applyBorder="0">
      <alignment horizontal="left" vertical="top" indent="3"/>
    </xf>
    <xf numFmtId="226" fontId="140" fillId="0" borderId="0" applyFill="0" applyBorder="0">
      <alignment horizontal="left" vertical="top" indent="3"/>
    </xf>
    <xf numFmtId="226" fontId="101" fillId="0" borderId="0" applyFill="0" applyBorder="0">
      <alignment vertical="top"/>
    </xf>
    <xf numFmtId="226" fontId="101" fillId="0" borderId="0" applyFill="0" applyBorder="0">
      <alignment vertical="top"/>
    </xf>
    <xf numFmtId="226" fontId="101" fillId="0" borderId="0" applyFill="0" applyBorder="0">
      <alignment horizontal="left" vertical="top" indent="1"/>
    </xf>
    <xf numFmtId="226" fontId="101" fillId="0" borderId="0" applyFill="0" applyBorder="0">
      <alignment horizontal="left" vertical="top" indent="1"/>
    </xf>
    <xf numFmtId="226" fontId="101" fillId="0" borderId="0" applyFill="0" applyBorder="0">
      <alignment horizontal="left" vertical="top" indent="2"/>
    </xf>
    <xf numFmtId="226" fontId="101" fillId="0" borderId="0" applyFill="0" applyBorder="0">
      <alignment horizontal="left" vertical="top" indent="2"/>
    </xf>
    <xf numFmtId="226" fontId="101" fillId="0" borderId="0" applyFill="0" applyBorder="0">
      <alignment horizontal="left" vertical="top" indent="3"/>
    </xf>
    <xf numFmtId="226" fontId="101" fillId="0" borderId="0" applyFill="0" applyBorder="0">
      <alignment horizontal="left" vertical="top" indent="3"/>
    </xf>
    <xf numFmtId="226" fontId="101" fillId="0" borderId="0" applyFill="0" applyBorder="0">
      <alignment horizontal="left" vertical="top" indent="4"/>
    </xf>
    <xf numFmtId="226" fontId="101" fillId="0" borderId="0" applyFill="0" applyBorder="0">
      <alignment horizontal="left" vertical="top" indent="4"/>
    </xf>
    <xf numFmtId="226" fontId="35" fillId="0" borderId="0" applyNumberFormat="0" applyFill="0" applyBorder="0" applyAlignment="0" applyProtection="0"/>
    <xf numFmtId="226" fontId="131" fillId="0" borderId="0" applyNumberFormat="0" applyFill="0" applyBorder="0" applyAlignment="0" applyProtection="0"/>
    <xf numFmtId="226" fontId="40" fillId="0" borderId="20" applyNumberFormat="0" applyFill="0" applyAlignment="0" applyProtection="0"/>
    <xf numFmtId="226" fontId="3" fillId="0" borderId="20" applyNumberFormat="0" applyFill="0" applyAlignment="0" applyProtection="0"/>
    <xf numFmtId="226" fontId="159" fillId="0" borderId="44" applyNumberFormat="0" applyFill="0" applyAlignment="0" applyProtection="0"/>
    <xf numFmtId="226" fontId="101" fillId="0" borderId="0" applyFill="0" applyBorder="0">
      <alignment horizontal="center"/>
    </xf>
    <xf numFmtId="226" fontId="101" fillId="0" borderId="0" applyFill="0" applyBorder="0">
      <alignment horizontal="center"/>
    </xf>
    <xf numFmtId="226" fontId="101" fillId="0" borderId="0" applyFill="0" applyBorder="0">
      <alignment horizontal="center" wrapText="1"/>
    </xf>
    <xf numFmtId="226" fontId="101" fillId="0" borderId="0" applyFill="0" applyBorder="0">
      <alignment horizontal="center" wrapText="1"/>
    </xf>
    <xf numFmtId="226" fontId="63" fillId="0" borderId="0" applyNumberFormat="0" applyFill="0" applyBorder="0" applyAlignment="0" applyProtection="0"/>
    <xf numFmtId="226" fontId="160" fillId="0" borderId="0" applyNumberFormat="0" applyFill="0" applyBorder="0" applyAlignment="0" applyProtection="0"/>
    <xf numFmtId="226" fontId="49" fillId="0" borderId="0" applyNumberFormat="0" applyFill="0" applyBorder="0" applyAlignment="0" applyProtection="0">
      <alignment vertical="top"/>
      <protection locked="0"/>
    </xf>
    <xf numFmtId="226" fontId="49" fillId="0" borderId="0" applyNumberFormat="0" applyFill="0" applyBorder="0" applyAlignment="0" applyProtection="0">
      <alignment vertical="top"/>
      <protection locked="0"/>
    </xf>
    <xf numFmtId="226" fontId="49" fillId="0" borderId="0" applyNumberFormat="0" applyFill="0" applyBorder="0" applyAlignment="0" applyProtection="0">
      <alignment vertical="top"/>
      <protection locked="0"/>
    </xf>
    <xf numFmtId="226" fontId="22" fillId="0" borderId="0"/>
    <xf numFmtId="226" fontId="23" fillId="0" borderId="0">
      <alignment vertical="top"/>
    </xf>
    <xf numFmtId="226" fontId="136" fillId="0" borderId="0" applyNumberFormat="0" applyFill="0" applyBorder="0" applyAlignment="0" applyProtection="0"/>
    <xf numFmtId="226" fontId="137" fillId="0" borderId="0" applyNumberFormat="0" applyFill="0" applyBorder="0" applyAlignment="0" applyProtection="0"/>
    <xf numFmtId="226" fontId="135" fillId="0" borderId="49" applyNumberFormat="0" applyFont="0" applyFill="0" applyAlignment="0" applyProtection="0"/>
    <xf numFmtId="226" fontId="65" fillId="0" borderId="0"/>
    <xf numFmtId="226" fontId="22" fillId="28" borderId="18" applyNumberFormat="0" applyFont="0" applyAlignment="0" applyProtection="0"/>
    <xf numFmtId="226" fontId="23" fillId="7" borderId="0" applyNumberFormat="0" applyBorder="0" applyAlignment="0" applyProtection="0"/>
    <xf numFmtId="226" fontId="23" fillId="8" borderId="0" applyNumberFormat="0" applyBorder="0" applyAlignment="0" applyProtection="0"/>
    <xf numFmtId="226" fontId="23" fillId="9" borderId="0" applyNumberFormat="0" applyBorder="0" applyAlignment="0" applyProtection="0"/>
    <xf numFmtId="226" fontId="23" fillId="10" borderId="0" applyNumberFormat="0" applyBorder="0" applyAlignment="0" applyProtection="0"/>
    <xf numFmtId="226" fontId="23" fillId="11" borderId="0" applyNumberFormat="0" applyBorder="0" applyAlignment="0" applyProtection="0"/>
    <xf numFmtId="226" fontId="23" fillId="12" borderId="0" applyNumberFormat="0" applyBorder="0" applyAlignment="0" applyProtection="0"/>
    <xf numFmtId="226" fontId="23" fillId="13" borderId="0" applyNumberFormat="0" applyBorder="0" applyAlignment="0" applyProtection="0"/>
    <xf numFmtId="226" fontId="23" fillId="14" borderId="0" applyNumberFormat="0" applyBorder="0" applyAlignment="0" applyProtection="0"/>
    <xf numFmtId="226" fontId="23" fillId="15" borderId="0" applyNumberFormat="0" applyBorder="0" applyAlignment="0" applyProtection="0"/>
    <xf numFmtId="226" fontId="23" fillId="10" borderId="0" applyNumberFormat="0" applyBorder="0" applyAlignment="0" applyProtection="0"/>
    <xf numFmtId="226" fontId="23" fillId="13" borderId="0" applyNumberFormat="0" applyBorder="0" applyAlignment="0" applyProtection="0"/>
    <xf numFmtId="226" fontId="23" fillId="16" borderId="0" applyNumberFormat="0" applyBorder="0" applyAlignment="0" applyProtection="0"/>
    <xf numFmtId="226" fontId="24" fillId="17" borderId="0" applyNumberFormat="0" applyBorder="0" applyAlignment="0" applyProtection="0"/>
    <xf numFmtId="226" fontId="24" fillId="14" borderId="0" applyNumberFormat="0" applyBorder="0" applyAlignment="0" applyProtection="0"/>
    <xf numFmtId="226" fontId="24" fillId="15"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0" borderId="0" applyNumberFormat="0" applyBorder="0" applyAlignment="0" applyProtection="0"/>
    <xf numFmtId="226" fontId="24" fillId="21" borderId="0" applyNumberFormat="0" applyBorder="0" applyAlignment="0" applyProtection="0"/>
    <xf numFmtId="226" fontId="24" fillId="22" borderId="0" applyNumberFormat="0" applyBorder="0" applyAlignment="0" applyProtection="0"/>
    <xf numFmtId="226" fontId="24" fillId="23"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4" borderId="0" applyNumberFormat="0" applyBorder="0" applyAlignment="0" applyProtection="0"/>
    <xf numFmtId="226" fontId="25" fillId="8" borderId="0" applyNumberFormat="0" applyBorder="0" applyAlignment="0" applyProtection="0"/>
    <xf numFmtId="226" fontId="26" fillId="25" borderId="14" applyNumberFormat="0" applyAlignment="0" applyProtection="0"/>
    <xf numFmtId="226" fontId="27" fillId="26" borderId="15" applyNumberFormat="0" applyAlignment="0" applyProtection="0"/>
    <xf numFmtId="226" fontId="28" fillId="0" borderId="0" applyNumberFormat="0" applyFill="0" applyBorder="0" applyAlignment="0" applyProtection="0"/>
    <xf numFmtId="226" fontId="29" fillId="9" borderId="0" applyNumberFormat="0" applyBorder="0" applyAlignment="0" applyProtection="0"/>
    <xf numFmtId="226" fontId="87" fillId="0" borderId="38" applyNumberFormat="0" applyFill="0" applyAlignment="0" applyProtection="0"/>
    <xf numFmtId="226" fontId="88" fillId="0" borderId="39" applyNumberFormat="0" applyFill="0" applyAlignment="0" applyProtection="0"/>
    <xf numFmtId="226" fontId="30" fillId="0" borderId="16" applyNumberFormat="0" applyFill="0" applyAlignment="0" applyProtection="0"/>
    <xf numFmtId="226" fontId="30" fillId="0" borderId="0" applyNumberFormat="0" applyFill="0" applyBorder="0" applyAlignment="0" applyProtection="0"/>
    <xf numFmtId="226" fontId="161" fillId="0" borderId="0" applyNumberFormat="0" applyFill="0" applyBorder="0" applyAlignment="0" applyProtection="0">
      <alignment vertical="top"/>
      <protection locked="0"/>
    </xf>
    <xf numFmtId="226" fontId="89" fillId="12" borderId="14" applyNumberFormat="0" applyAlignment="0" applyProtection="0"/>
    <xf numFmtId="226" fontId="31" fillId="0" borderId="17" applyNumberFormat="0" applyFill="0" applyAlignment="0" applyProtection="0"/>
    <xf numFmtId="226" fontId="32" fillId="27" borderId="0" applyNumberFormat="0" applyBorder="0" applyAlignment="0" applyProtection="0"/>
    <xf numFmtId="226" fontId="20" fillId="0" borderId="0"/>
    <xf numFmtId="226" fontId="33"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3" fillId="28" borderId="18" applyNumberFormat="0" applyFont="0" applyAlignment="0" applyProtection="0"/>
    <xf numFmtId="226" fontId="34" fillId="25" borderId="19" applyNumberFormat="0" applyAlignment="0" applyProtection="0"/>
    <xf numFmtId="226" fontId="36" fillId="0" borderId="20" applyNumberFormat="0" applyFill="0" applyAlignment="0" applyProtection="0"/>
    <xf numFmtId="226" fontId="37" fillId="0" borderId="0" applyNumberFormat="0" applyFill="0" applyBorder="0" applyAlignment="0" applyProtection="0"/>
    <xf numFmtId="226" fontId="162" fillId="0" borderId="0"/>
    <xf numFmtId="226" fontId="162" fillId="34" borderId="50">
      <alignment vertical="top" wrapText="1"/>
      <protection locked="0"/>
    </xf>
    <xf numFmtId="226" fontId="164" fillId="34" borderId="50" applyNumberFormat="0">
      <protection locked="0"/>
    </xf>
    <xf numFmtId="226" fontId="162" fillId="36" borderId="0"/>
    <xf numFmtId="226" fontId="163" fillId="0" borderId="0" applyFont="0" applyFill="0" applyBorder="0" applyProtection="0">
      <protection locked="0"/>
    </xf>
    <xf numFmtId="226" fontId="163" fillId="0" borderId="0" applyFont="0" applyFill="0" applyBorder="0" applyAlignment="0" applyProtection="0">
      <alignment wrapText="1"/>
    </xf>
    <xf numFmtId="226" fontId="165" fillId="0" borderId="50" applyFill="0">
      <alignment horizontal="center"/>
    </xf>
    <xf numFmtId="226" fontId="165" fillId="0" borderId="50" applyFill="0">
      <alignment horizontal="center" vertical="center"/>
    </xf>
    <xf numFmtId="226" fontId="167" fillId="0" borderId="0" applyNumberFormat="0" applyFill="0" applyBorder="0" applyAlignment="0" applyProtection="0">
      <alignment vertical="top"/>
      <protection locked="0"/>
    </xf>
    <xf numFmtId="226" fontId="168" fillId="0" borderId="0" applyNumberFormat="0" applyFill="0" applyAlignment="0"/>
    <xf numFmtId="226" fontId="168" fillId="0" borderId="0" applyNumberFormat="0" applyFill="0" applyAlignment="0" applyProtection="0"/>
    <xf numFmtId="226" fontId="169" fillId="0" borderId="0" applyNumberFormat="0" applyFill="0" applyAlignment="0"/>
    <xf numFmtId="226" fontId="163" fillId="69" borderId="0" applyFill="0" applyBorder="0"/>
    <xf numFmtId="226" fontId="162" fillId="36" borderId="51" applyNumberFormat="0">
      <alignment horizontal="left"/>
    </xf>
    <xf numFmtId="226" fontId="171" fillId="0" borderId="0" applyNumberFormat="0" applyFill="0" applyBorder="0" applyAlignment="0" applyProtection="0">
      <alignment vertical="top"/>
      <protection locked="0"/>
    </xf>
    <xf numFmtId="226" fontId="173" fillId="0" borderId="0" applyFill="0" applyBorder="0">
      <alignment horizontal="centerContinuous" wrapText="1"/>
    </xf>
    <xf numFmtId="226" fontId="173" fillId="0" borderId="0" applyFill="0" applyBorder="0">
      <alignment horizontal="center" wrapText="1"/>
    </xf>
    <xf numFmtId="226" fontId="162" fillId="36" borderId="50" applyNumberFormat="0">
      <alignment horizontal="left"/>
    </xf>
    <xf numFmtId="226" fontId="162" fillId="36" borderId="53" applyNumberFormat="0">
      <alignment horizontal="left"/>
    </xf>
    <xf numFmtId="226" fontId="163" fillId="0" borderId="0" applyFont="0" applyFill="0" applyBorder="0" applyAlignment="0" applyProtection="0">
      <alignment horizontal="left"/>
      <protection locked="0"/>
    </xf>
    <xf numFmtId="226" fontId="163" fillId="68" borderId="0"/>
    <xf numFmtId="226" fontId="162" fillId="34" borderId="50">
      <alignment horizontal="left" vertical="top" wrapText="1" indent="1"/>
      <protection locked="0"/>
    </xf>
    <xf numFmtId="226" fontId="22" fillId="69" borderId="0"/>
    <xf numFmtId="226" fontId="177" fillId="70" borderId="48" applyFill="0">
      <alignment horizontal="center"/>
    </xf>
    <xf numFmtId="226" fontId="177" fillId="70" borderId="48" applyFill="0">
      <alignment horizontal="center" vertical="center"/>
    </xf>
    <xf numFmtId="226" fontId="167" fillId="0" borderId="0" applyNumberFormat="0" applyFill="0" applyBorder="0" applyAlignment="0" applyProtection="0">
      <alignment vertical="top"/>
      <protection locked="0"/>
    </xf>
    <xf numFmtId="226" fontId="139" fillId="0" borderId="0" applyNumberFormat="0" applyFill="0" applyAlignment="0"/>
    <xf numFmtId="226" fontId="139" fillId="70" borderId="0" applyNumberFormat="0" applyFill="0" applyAlignment="0"/>
    <xf numFmtId="226" fontId="163" fillId="69" borderId="0" applyFill="0" applyBorder="0">
      <alignment wrapText="1"/>
    </xf>
    <xf numFmtId="226" fontId="162" fillId="36" borderId="51" applyNumberFormat="0" applyFill="0">
      <alignment horizontal="left"/>
    </xf>
    <xf numFmtId="226" fontId="171" fillId="0" borderId="0" applyNumberFormat="0" applyFill="0" applyBorder="0" applyAlignment="0" applyProtection="0">
      <alignment vertical="top"/>
      <protection locked="0"/>
    </xf>
    <xf numFmtId="226" fontId="38" fillId="0" borderId="0" applyNumberFormat="0" applyFill="0" applyBorder="0" applyAlignment="0" applyProtection="0">
      <alignment vertical="top"/>
      <protection locked="0"/>
    </xf>
    <xf numFmtId="226" fontId="1" fillId="0" borderId="0"/>
    <xf numFmtId="226" fontId="134" fillId="69" borderId="0" applyFill="0" applyBorder="0">
      <alignment horizontal="centerContinuous" wrapText="1"/>
    </xf>
    <xf numFmtId="226" fontId="162" fillId="36" borderId="50" applyNumberFormat="0">
      <alignment horizontal="left"/>
    </xf>
    <xf numFmtId="226" fontId="22" fillId="0" borderId="0"/>
    <xf numFmtId="226" fontId="162" fillId="36" borderId="53" applyNumberFormat="0" applyFill="0">
      <alignment horizontal="left"/>
    </xf>
    <xf numFmtId="226" fontId="163" fillId="0" borderId="0" applyFont="0" applyFill="0" applyBorder="0" applyAlignment="0" applyProtection="0">
      <alignment horizontal="left"/>
      <protection locked="0"/>
    </xf>
    <xf numFmtId="226" fontId="179" fillId="0" borderId="0" applyNumberFormat="0" applyFill="0" applyBorder="0" applyAlignment="0" applyProtection="0"/>
    <xf numFmtId="226" fontId="22" fillId="70" borderId="0"/>
    <xf numFmtId="226" fontId="54" fillId="0" borderId="0" applyNumberFormat="0" applyFill="0" applyBorder="0" applyAlignment="0" applyProtection="0"/>
    <xf numFmtId="226" fontId="54" fillId="0" borderId="0" applyNumberFormat="0" applyFill="0" applyBorder="0" applyAlignment="0" applyProtection="0"/>
    <xf numFmtId="226" fontId="54" fillId="0" borderId="0" applyNumberFormat="0" applyFill="0" applyBorder="0" applyAlignment="0" applyProtection="0"/>
    <xf numFmtId="226" fontId="20" fillId="0" borderId="0"/>
    <xf numFmtId="226" fontId="22" fillId="0" borderId="0" applyFont="0" applyFill="0" applyBorder="0" applyAlignment="0" applyProtection="0"/>
    <xf numFmtId="226" fontId="1" fillId="0" borderId="0"/>
    <xf numFmtId="226" fontId="81" fillId="0" borderId="0"/>
    <xf numFmtId="226" fontId="42" fillId="0" borderId="0"/>
    <xf numFmtId="226" fontId="1" fillId="0" borderId="0"/>
    <xf numFmtId="226" fontId="22" fillId="0" borderId="0" applyNumberFormat="0" applyFill="0" applyBorder="0" applyAlignment="0" applyProtection="0"/>
    <xf numFmtId="226" fontId="42" fillId="0" borderId="5">
      <alignment horizontal="center" vertical="center"/>
    </xf>
    <xf numFmtId="226" fontId="49" fillId="0" borderId="0" applyNumberFormat="0" applyFill="0" applyBorder="0" applyAlignment="0" applyProtection="0">
      <alignment vertical="top"/>
      <protection locked="0"/>
    </xf>
    <xf numFmtId="226" fontId="39" fillId="7" borderId="0" applyNumberFormat="0" applyBorder="0" applyAlignment="0" applyProtection="0"/>
    <xf numFmtId="226" fontId="39" fillId="8" borderId="0" applyNumberFormat="0" applyBorder="0" applyAlignment="0" applyProtection="0"/>
    <xf numFmtId="226" fontId="39" fillId="9" borderId="0" applyNumberFormat="0" applyBorder="0" applyAlignment="0" applyProtection="0"/>
    <xf numFmtId="226" fontId="39" fillId="10"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39" fillId="13"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39" fillId="10" borderId="0" applyNumberFormat="0" applyBorder="0" applyAlignment="0" applyProtection="0"/>
    <xf numFmtId="226" fontId="39" fillId="13" borderId="0" applyNumberFormat="0" applyBorder="0" applyAlignment="0" applyProtection="0"/>
    <xf numFmtId="226" fontId="39" fillId="16" borderId="0" applyNumberFormat="0" applyBorder="0" applyAlignment="0" applyProtection="0"/>
    <xf numFmtId="226" fontId="50" fillId="17" borderId="0" applyNumberFormat="0" applyBorder="0" applyAlignment="0" applyProtection="0"/>
    <xf numFmtId="226" fontId="50" fillId="14" borderId="0" applyNumberFormat="0" applyBorder="0" applyAlignment="0" applyProtection="0"/>
    <xf numFmtId="226" fontId="50" fillId="15" borderId="0" applyNumberFormat="0" applyBorder="0" applyAlignment="0" applyProtection="0"/>
    <xf numFmtId="226" fontId="50" fillId="18" borderId="0" applyNumberFormat="0" applyBorder="0" applyAlignment="0" applyProtection="0"/>
    <xf numFmtId="226" fontId="50" fillId="19" borderId="0" applyNumberFormat="0" applyBorder="0" applyAlignment="0" applyProtection="0"/>
    <xf numFmtId="226" fontId="50" fillId="20" borderId="0" applyNumberFormat="0" applyBorder="0" applyAlignment="0" applyProtection="0"/>
    <xf numFmtId="226" fontId="50" fillId="21" borderId="0" applyNumberFormat="0" applyBorder="0" applyAlignment="0" applyProtection="0"/>
    <xf numFmtId="226" fontId="50" fillId="22" borderId="0" applyNumberFormat="0" applyBorder="0" applyAlignment="0" applyProtection="0"/>
    <xf numFmtId="226" fontId="50" fillId="23" borderId="0" applyNumberFormat="0" applyBorder="0" applyAlignment="0" applyProtection="0"/>
    <xf numFmtId="226" fontId="50" fillId="18" borderId="0" applyNumberFormat="0" applyBorder="0" applyAlignment="0" applyProtection="0"/>
    <xf numFmtId="226" fontId="50" fillId="19" borderId="0" applyNumberFormat="0" applyBorder="0" applyAlignment="0" applyProtection="0"/>
    <xf numFmtId="226" fontId="50" fillId="24" borderId="0" applyNumberFormat="0" applyBorder="0" applyAlignment="0" applyProtection="0"/>
    <xf numFmtId="226" fontId="51" fillId="8" borderId="0" applyNumberFormat="0" applyBorder="0" applyAlignment="0" applyProtection="0"/>
    <xf numFmtId="226" fontId="52" fillId="25" borderId="14" applyNumberFormat="0" applyAlignment="0" applyProtection="0"/>
    <xf numFmtId="226" fontId="53" fillId="26" borderId="15" applyNumberFormat="0" applyAlignment="0" applyProtection="0"/>
    <xf numFmtId="226" fontId="54" fillId="0" borderId="0" applyNumberFormat="0" applyFill="0" applyBorder="0" applyAlignment="0" applyProtection="0"/>
    <xf numFmtId="226" fontId="55" fillId="9" borderId="0" applyNumberFormat="0" applyBorder="0" applyAlignment="0" applyProtection="0"/>
    <xf numFmtId="226" fontId="59" fillId="12" borderId="14" applyNumberFormat="0" applyAlignment="0" applyProtection="0"/>
    <xf numFmtId="226" fontId="61" fillId="27" borderId="0" applyNumberFormat="0" applyBorder="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63" fillId="0" borderId="0" applyNumberFormat="0" applyFill="0" applyBorder="0" applyAlignment="0" applyProtection="0"/>
    <xf numFmtId="226" fontId="54" fillId="0" borderId="0" applyNumberFormat="0" applyFill="0" applyBorder="0" applyAlignment="0" applyProtection="0"/>
    <xf numFmtId="226" fontId="52" fillId="25" borderId="14" applyNumberFormat="0" applyAlignment="0" applyProtection="0"/>
    <xf numFmtId="226" fontId="54" fillId="0" borderId="0" applyNumberFormat="0" applyFill="0" applyBorder="0" applyAlignment="0" applyProtection="0"/>
    <xf numFmtId="226" fontId="59" fillId="12" borderId="14"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163" fillId="0" borderId="0" applyFont="0" applyFill="0" applyBorder="0" applyProtection="0">
      <protection locked="0"/>
    </xf>
    <xf numFmtId="226" fontId="177" fillId="70" borderId="48" applyFill="0">
      <alignment horizontal="center"/>
    </xf>
    <xf numFmtId="226" fontId="177" fillId="70" borderId="48" applyFill="0">
      <alignment horizontal="center" vertical="center"/>
    </xf>
    <xf numFmtId="226" fontId="163" fillId="0" borderId="0" applyFont="0" applyFill="0" applyBorder="0" applyProtection="0">
      <protection locked="0"/>
    </xf>
    <xf numFmtId="226" fontId="177" fillId="70" borderId="48" applyFill="0">
      <alignment horizontal="center" vertical="center"/>
    </xf>
    <xf numFmtId="226" fontId="177" fillId="70" borderId="48" applyFill="0">
      <alignment horizontal="center"/>
    </xf>
    <xf numFmtId="226" fontId="52" fillId="25" borderId="14" applyNumberFormat="0" applyAlignment="0" applyProtection="0"/>
    <xf numFmtId="226" fontId="149" fillId="0" borderId="0" applyNumberFormat="0" applyFill="0" applyBorder="0" applyAlignment="0" applyProtection="0"/>
    <xf numFmtId="226" fontId="56" fillId="0" borderId="38" applyNumberFormat="0" applyFill="0" applyAlignment="0" applyProtection="0"/>
    <xf numFmtId="226" fontId="57" fillId="0" borderId="39" applyNumberFormat="0" applyFill="0" applyAlignment="0" applyProtection="0"/>
    <xf numFmtId="226" fontId="58" fillId="0" borderId="16" applyNumberFormat="0" applyFill="0" applyAlignment="0" applyProtection="0"/>
    <xf numFmtId="226" fontId="58" fillId="0" borderId="0" applyNumberFormat="0" applyFill="0" applyBorder="0" applyAlignment="0" applyProtection="0"/>
    <xf numFmtId="226" fontId="153" fillId="0" borderId="0" applyNumberFormat="0" applyFill="0" applyBorder="0" applyAlignment="0" applyProtection="0"/>
    <xf numFmtId="226" fontId="59" fillId="12" borderId="14" applyNumberFormat="0" applyAlignment="0" applyProtection="0"/>
    <xf numFmtId="226" fontId="22" fillId="0" borderId="0" applyBorder="0"/>
    <xf numFmtId="226" fontId="23" fillId="0" borderId="0"/>
    <xf numFmtId="226" fontId="22" fillId="28" borderId="18" applyNumberFormat="0" applyFont="0" applyAlignment="0" applyProtection="0"/>
    <xf numFmtId="226" fontId="62" fillId="25" borderId="19" applyNumberFormat="0" applyAlignment="0" applyProtection="0"/>
    <xf numFmtId="226" fontId="35" fillId="0" borderId="0" applyNumberFormat="0" applyFill="0" applyBorder="0" applyAlignment="0" applyProtection="0"/>
    <xf numFmtId="226" fontId="40" fillId="0" borderId="20" applyNumberFormat="0" applyFill="0" applyAlignment="0" applyProtection="0"/>
    <xf numFmtId="226" fontId="3" fillId="0" borderId="20" applyNumberFormat="0" applyFill="0" applyAlignment="0" applyProtection="0"/>
    <xf numFmtId="226" fontId="22" fillId="0" borderId="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54" fillId="0" borderId="0" applyNumberFormat="0" applyFill="0" applyBorder="0" applyAlignment="0" applyProtection="0"/>
    <xf numFmtId="226" fontId="54" fillId="0" borderId="0" applyNumberFormat="0" applyFill="0" applyBorder="0" applyAlignment="0" applyProtection="0"/>
    <xf numFmtId="226" fontId="54" fillId="0" borderId="0" applyNumberFormat="0" applyFill="0" applyBorder="0" applyAlignment="0" applyProtection="0"/>
    <xf numFmtId="226" fontId="54" fillId="0" borderId="0" applyNumberFormat="0" applyFill="0" applyBorder="0" applyAlignment="0" applyProtection="0"/>
    <xf numFmtId="226" fontId="1" fillId="0" borderId="0"/>
    <xf numFmtId="226" fontId="162" fillId="0" borderId="0"/>
    <xf numFmtId="226" fontId="168" fillId="0" borderId="0" applyNumberFormat="0" applyFill="0" applyAlignment="0"/>
    <xf numFmtId="226" fontId="171" fillId="0" borderId="0" applyNumberFormat="0" applyFill="0" applyBorder="0" applyAlignment="0" applyProtection="0">
      <alignment vertical="top"/>
      <protection locked="0"/>
    </xf>
    <xf numFmtId="226" fontId="167" fillId="0" borderId="0" applyNumberFormat="0" applyFill="0" applyBorder="0" applyAlignment="0" applyProtection="0">
      <alignment vertical="top"/>
      <protection locked="0"/>
    </xf>
    <xf numFmtId="226" fontId="163" fillId="69" borderId="0" applyFill="0" applyBorder="0">
      <alignment wrapText="1"/>
    </xf>
    <xf numFmtId="226" fontId="179" fillId="0" borderId="0" applyNumberFormat="0" applyFill="0" applyBorder="0" applyAlignment="0" applyProtection="0"/>
    <xf numFmtId="226" fontId="135" fillId="0" borderId="0" applyFont="0" applyFill="0" applyBorder="0" applyAlignment="0" applyProtection="0"/>
    <xf numFmtId="226" fontId="60" fillId="0" borderId="17" applyNumberFormat="0" applyFill="0" applyAlignment="0" applyProtection="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141" fillId="42" borderId="43" applyNumberFormat="0" applyFont="0" applyAlignment="0" applyProtection="0"/>
    <xf numFmtId="226" fontId="22" fillId="0" borderId="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54" fillId="0" borderId="0" applyNumberFormat="0" applyFill="0" applyBorder="0" applyAlignment="0" applyProtection="0"/>
    <xf numFmtId="226" fontId="22" fillId="0" borderId="0"/>
    <xf numFmtId="226" fontId="163" fillId="0" borderId="0" applyFont="0" applyFill="0" applyBorder="0" applyProtection="0">
      <protection locked="0"/>
    </xf>
    <xf numFmtId="226" fontId="163" fillId="0" borderId="0" applyFont="0" applyFill="0" applyBorder="0" applyProtection="0">
      <protection locked="0"/>
    </xf>
    <xf numFmtId="226" fontId="163" fillId="0" borderId="0" applyFont="0" applyFill="0" applyBorder="0" applyProtection="0">
      <protection locked="0"/>
    </xf>
    <xf numFmtId="226" fontId="163" fillId="0" borderId="0" applyFont="0" applyFill="0" applyBorder="0" applyProtection="0">
      <protection locked="0"/>
    </xf>
    <xf numFmtId="226" fontId="163" fillId="0" borderId="0" applyFont="0" applyFill="0" applyBorder="0" applyProtection="0">
      <protection locked="0"/>
    </xf>
    <xf numFmtId="226" fontId="22" fillId="0" borderId="0"/>
    <xf numFmtId="226" fontId="64" fillId="7" borderId="0" applyNumberFormat="0" applyBorder="0" applyAlignment="0" applyProtection="0"/>
    <xf numFmtId="226" fontId="64" fillId="8" borderId="0" applyNumberFormat="0" applyBorder="0" applyAlignment="0" applyProtection="0"/>
    <xf numFmtId="226" fontId="64" fillId="9" borderId="0" applyNumberFormat="0" applyBorder="0" applyAlignment="0" applyProtection="0"/>
    <xf numFmtId="226" fontId="64" fillId="10" borderId="0" applyNumberFormat="0" applyBorder="0" applyAlignment="0" applyProtection="0"/>
    <xf numFmtId="226" fontId="64" fillId="11" borderId="0" applyNumberFormat="0" applyBorder="0" applyAlignment="0" applyProtection="0"/>
    <xf numFmtId="226" fontId="64" fillId="12" borderId="0" applyNumberFormat="0" applyBorder="0" applyAlignment="0" applyProtection="0"/>
    <xf numFmtId="226" fontId="64" fillId="13" borderId="0" applyNumberFormat="0" applyBorder="0" applyAlignment="0" applyProtection="0"/>
    <xf numFmtId="226" fontId="64" fillId="14" borderId="0" applyNumberFormat="0" applyBorder="0" applyAlignment="0" applyProtection="0"/>
    <xf numFmtId="226" fontId="64" fillId="15" borderId="0" applyNumberFormat="0" applyBorder="0" applyAlignment="0" applyProtection="0"/>
    <xf numFmtId="226" fontId="64" fillId="10" borderId="0" applyNumberFormat="0" applyBorder="0" applyAlignment="0" applyProtection="0"/>
    <xf numFmtId="226" fontId="64" fillId="13" borderId="0" applyNumberFormat="0" applyBorder="0" applyAlignment="0" applyProtection="0"/>
    <xf numFmtId="226" fontId="64" fillId="16" borderId="0" applyNumberFormat="0" applyBorder="0" applyAlignment="0" applyProtection="0"/>
    <xf numFmtId="226" fontId="181" fillId="17" borderId="0" applyNumberFormat="0" applyBorder="0" applyAlignment="0" applyProtection="0"/>
    <xf numFmtId="226" fontId="181" fillId="14" borderId="0" applyNumberFormat="0" applyBorder="0" applyAlignment="0" applyProtection="0"/>
    <xf numFmtId="226" fontId="181" fillId="15" borderId="0" applyNumberFormat="0" applyBorder="0" applyAlignment="0" applyProtection="0"/>
    <xf numFmtId="226" fontId="181" fillId="18" borderId="0" applyNumberFormat="0" applyBorder="0" applyAlignment="0" applyProtection="0"/>
    <xf numFmtId="226" fontId="181" fillId="19" borderId="0" applyNumberFormat="0" applyBorder="0" applyAlignment="0" applyProtection="0"/>
    <xf numFmtId="226" fontId="181" fillId="20" borderId="0" applyNumberFormat="0" applyBorder="0" applyAlignment="0" applyProtection="0"/>
    <xf numFmtId="226" fontId="181" fillId="21" borderId="0" applyNumberFormat="0" applyBorder="0" applyAlignment="0" applyProtection="0"/>
    <xf numFmtId="226" fontId="181" fillId="22" borderId="0" applyNumberFormat="0" applyBorder="0" applyAlignment="0" applyProtection="0"/>
    <xf numFmtId="226" fontId="181" fillId="23" borderId="0" applyNumberFormat="0" applyBorder="0" applyAlignment="0" applyProtection="0"/>
    <xf numFmtId="226" fontId="181" fillId="18" borderId="0" applyNumberFormat="0" applyBorder="0" applyAlignment="0" applyProtection="0"/>
    <xf numFmtId="226" fontId="181" fillId="19" borderId="0" applyNumberFormat="0" applyBorder="0" applyAlignment="0" applyProtection="0"/>
    <xf numFmtId="226" fontId="181" fillId="24" borderId="0" applyNumberFormat="0" applyBorder="0" applyAlignment="0" applyProtection="0"/>
    <xf numFmtId="226" fontId="182" fillId="8" borderId="0" applyNumberFormat="0" applyBorder="0" applyAlignment="0" applyProtection="0"/>
    <xf numFmtId="226" fontId="183" fillId="25" borderId="14" applyNumberFormat="0" applyAlignment="0" applyProtection="0"/>
    <xf numFmtId="226" fontId="184" fillId="26" borderId="15" applyNumberFormat="0" applyAlignment="0" applyProtection="0"/>
    <xf numFmtId="226" fontId="185" fillId="0" borderId="0" applyNumberFormat="0" applyFill="0" applyBorder="0" applyAlignment="0" applyProtection="0"/>
    <xf numFmtId="226" fontId="186" fillId="9" borderId="0" applyNumberFormat="0" applyBorder="0" applyAlignment="0" applyProtection="0"/>
    <xf numFmtId="226" fontId="72" fillId="0" borderId="38" applyNumberFormat="0" applyFill="0" applyAlignment="0" applyProtection="0"/>
    <xf numFmtId="226" fontId="73" fillId="0" borderId="39" applyNumberFormat="0" applyFill="0" applyAlignment="0" applyProtection="0"/>
    <xf numFmtId="226" fontId="74" fillId="0" borderId="16" applyNumberFormat="0" applyFill="0" applyAlignment="0" applyProtection="0"/>
    <xf numFmtId="226" fontId="74" fillId="0" borderId="0" applyNumberFormat="0" applyFill="0" applyBorder="0" applyAlignment="0" applyProtection="0"/>
    <xf numFmtId="226" fontId="180" fillId="0" borderId="0" applyNumberFormat="0" applyFill="0" applyBorder="0" applyAlignment="0" applyProtection="0">
      <alignment vertical="top"/>
      <protection locked="0"/>
    </xf>
    <xf numFmtId="226" fontId="187" fillId="12" borderId="14" applyNumberFormat="0" applyAlignment="0" applyProtection="0"/>
    <xf numFmtId="226" fontId="188" fillId="0" borderId="17" applyNumberFormat="0" applyFill="0" applyAlignment="0" applyProtection="0"/>
    <xf numFmtId="226" fontId="189" fillId="27" borderId="0" applyNumberFormat="0" applyBorder="0" applyAlignment="0" applyProtection="0"/>
    <xf numFmtId="226" fontId="65" fillId="0" borderId="0"/>
    <xf numFmtId="226" fontId="64" fillId="0" borderId="0"/>
    <xf numFmtId="226" fontId="64" fillId="0" borderId="0"/>
    <xf numFmtId="226" fontId="64" fillId="0" borderId="0"/>
    <xf numFmtId="226" fontId="22" fillId="28" borderId="18" applyNumberFormat="0" applyFont="0" applyAlignment="0" applyProtection="0"/>
    <xf numFmtId="226" fontId="190" fillId="25" borderId="19" applyNumberFormat="0" applyAlignment="0" applyProtection="0"/>
    <xf numFmtId="226" fontId="191" fillId="0" borderId="20" applyNumberFormat="0" applyFill="0" applyAlignment="0" applyProtection="0"/>
    <xf numFmtId="226" fontId="192" fillId="0" borderId="0" applyNumberFormat="0" applyFill="0" applyBorder="0" applyAlignment="0" applyProtection="0"/>
    <xf numFmtId="226" fontId="64" fillId="0" borderId="0"/>
    <xf numFmtId="226" fontId="64" fillId="0" borderId="0"/>
    <xf numFmtId="226" fontId="185" fillId="0" borderId="0" applyNumberFormat="0" applyFill="0" applyBorder="0" applyAlignment="0" applyProtection="0"/>
    <xf numFmtId="226" fontId="185" fillId="0" borderId="0" applyNumberFormat="0" applyFill="0" applyBorder="0" applyAlignment="0" applyProtection="0"/>
    <xf numFmtId="226" fontId="64" fillId="0" borderId="0"/>
    <xf numFmtId="226" fontId="64" fillId="0" borderId="0"/>
    <xf numFmtId="226" fontId="22" fillId="0" borderId="0"/>
    <xf numFmtId="226" fontId="22" fillId="28" borderId="18" applyNumberFormat="0" applyFont="0" applyAlignment="0" applyProtection="0"/>
    <xf numFmtId="226" fontId="26" fillId="25" borderId="14" applyNumberFormat="0" applyAlignment="0" applyProtection="0"/>
    <xf numFmtId="226" fontId="89" fillId="12" borderId="14" applyNumberFormat="0" applyAlignment="0" applyProtection="0"/>
    <xf numFmtId="226" fontId="23" fillId="28" borderId="18" applyNumberFormat="0" applyFont="0" applyAlignment="0" applyProtection="0"/>
    <xf numFmtId="226" fontId="34" fillId="25" borderId="19" applyNumberFormat="0" applyAlignment="0" applyProtection="0"/>
    <xf numFmtId="226" fontId="36"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177" fillId="70" borderId="48" applyFill="0">
      <alignment horizontal="center"/>
    </xf>
    <xf numFmtId="226" fontId="177" fillId="70" borderId="48" applyFill="0">
      <alignment horizontal="center" vertical="center"/>
    </xf>
    <xf numFmtId="226" fontId="22" fillId="0" borderId="0"/>
    <xf numFmtId="226" fontId="64" fillId="0" borderId="0"/>
    <xf numFmtId="226" fontId="64" fillId="0" borderId="0"/>
    <xf numFmtId="226" fontId="64" fillId="0" borderId="0"/>
    <xf numFmtId="226" fontId="64"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0" borderId="0"/>
    <xf numFmtId="226" fontId="22" fillId="28" borderId="18" applyNumberFormat="0" applyFont="0" applyAlignment="0" applyProtection="0"/>
    <xf numFmtId="226" fontId="22" fillId="0" borderId="0"/>
    <xf numFmtId="226" fontId="42" fillId="0" borderId="12">
      <alignment horizontal="center" vertical="center"/>
    </xf>
    <xf numFmtId="226" fontId="22" fillId="28" borderId="18" applyNumberFormat="0" applyFont="0" applyAlignment="0" applyProtection="0"/>
    <xf numFmtId="226" fontId="22" fillId="0" borderId="0"/>
    <xf numFmtId="226" fontId="22" fillId="0" borderId="0"/>
    <xf numFmtId="226" fontId="22" fillId="0" borderId="0"/>
    <xf numFmtId="226" fontId="40"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34" fillId="25" borderId="19" applyNumberFormat="0" applyAlignment="0" applyProtection="0"/>
    <xf numFmtId="226" fontId="62" fillId="25" borderId="19" applyNumberFormat="0" applyAlignment="0" applyProtection="0"/>
    <xf numFmtId="226" fontId="36" fillId="0" borderId="20" applyNumberFormat="0" applyFill="0" applyAlignment="0" applyProtection="0"/>
    <xf numFmtId="226" fontId="89" fillId="12" borderId="14" applyNumberFormat="0" applyAlignment="0" applyProtection="0"/>
    <xf numFmtId="226" fontId="42" fillId="0" borderId="12">
      <alignment horizontal="center" vertical="center"/>
    </xf>
    <xf numFmtId="226" fontId="183" fillId="25" borderId="14" applyNumberFormat="0" applyAlignment="0" applyProtection="0"/>
    <xf numFmtId="226" fontId="52" fillId="25" borderId="14" applyNumberFormat="0" applyAlignment="0" applyProtection="0"/>
    <xf numFmtId="226" fontId="40" fillId="0" borderId="20" applyNumberFormat="0" applyFill="0" applyAlignment="0" applyProtection="0"/>
    <xf numFmtId="226" fontId="62" fillId="25" borderId="19" applyNumberFormat="0" applyAlignment="0" applyProtection="0"/>
    <xf numFmtId="226" fontId="59" fillId="12" borderId="14" applyNumberFormat="0" applyAlignment="0" applyProtection="0"/>
    <xf numFmtId="226" fontId="52" fillId="25" borderId="14" applyNumberFormat="0" applyAlignment="0" applyProtection="0"/>
    <xf numFmtId="226" fontId="59" fillId="12" borderId="14" applyNumberFormat="0" applyAlignment="0" applyProtection="0"/>
    <xf numFmtId="226" fontId="59" fillId="12" borderId="14" applyNumberFormat="0" applyAlignment="0" applyProtection="0"/>
    <xf numFmtId="226" fontId="36" fillId="0" borderId="20" applyNumberFormat="0" applyFill="0" applyAlignment="0" applyProtection="0"/>
    <xf numFmtId="226" fontId="34" fillId="25" borderId="19" applyNumberFormat="0" applyAlignment="0" applyProtection="0"/>
    <xf numFmtId="226" fontId="62" fillId="25" borderId="19"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3" fillId="0" borderId="20" applyNumberFormat="0" applyFill="0" applyAlignment="0" applyProtection="0"/>
    <xf numFmtId="226" fontId="22" fillId="28" borderId="18" applyNumberFormat="0" applyFont="0" applyAlignment="0" applyProtection="0"/>
    <xf numFmtId="226" fontId="40" fillId="0" borderId="20" applyNumberFormat="0" applyFill="0" applyAlignment="0" applyProtection="0"/>
    <xf numFmtId="226" fontId="26" fillId="25" borderId="14" applyNumberFormat="0" applyAlignment="0" applyProtection="0"/>
    <xf numFmtId="226" fontId="191" fillId="0" borderId="20" applyNumberFormat="0" applyFill="0" applyAlignment="0" applyProtection="0"/>
    <xf numFmtId="226" fontId="26" fillId="25" borderId="14" applyNumberFormat="0" applyAlignment="0" applyProtection="0"/>
    <xf numFmtId="226" fontId="89" fillId="12" borderId="14" applyNumberFormat="0" applyAlignment="0" applyProtection="0"/>
    <xf numFmtId="226" fontId="26" fillId="25" borderId="14" applyNumberFormat="0" applyAlignment="0" applyProtection="0"/>
    <xf numFmtId="226" fontId="23" fillId="28" borderId="18" applyNumberFormat="0" applyFont="0" applyAlignment="0" applyProtection="0"/>
    <xf numFmtId="226" fontId="34" fillId="25" borderId="19" applyNumberFormat="0" applyAlignment="0" applyProtection="0"/>
    <xf numFmtId="226" fontId="36" fillId="0" borderId="20" applyNumberFormat="0" applyFill="0" applyAlignment="0" applyProtection="0"/>
    <xf numFmtId="226" fontId="42" fillId="0" borderId="5">
      <alignment horizontal="center" vertical="center"/>
    </xf>
    <xf numFmtId="226" fontId="62" fillId="25" borderId="19" applyNumberFormat="0" applyAlignment="0" applyProtection="0"/>
    <xf numFmtId="226" fontId="59" fillId="12" borderId="14" applyNumberFormat="0" applyAlignment="0" applyProtection="0"/>
    <xf numFmtId="226" fontId="190" fillId="25" borderId="19" applyNumberFormat="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3"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62" fillId="25" borderId="19" applyNumberFormat="0" applyAlignment="0" applyProtection="0"/>
    <xf numFmtId="226" fontId="40"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40" fillId="0" borderId="20" applyNumberFormat="0" applyFill="0" applyAlignment="0" applyProtection="0"/>
    <xf numFmtId="226" fontId="3" fillId="0" borderId="20" applyNumberFormat="0" applyFill="0" applyAlignment="0" applyProtection="0"/>
    <xf numFmtId="226" fontId="52" fillId="25" borderId="14" applyNumberFormat="0" applyAlignment="0" applyProtection="0"/>
    <xf numFmtId="226" fontId="89" fillId="12" borderId="14" applyNumberFormat="0" applyAlignment="0" applyProtection="0"/>
    <xf numFmtId="226" fontId="52" fillId="25" borderId="14" applyNumberFormat="0" applyAlignment="0" applyProtection="0"/>
    <xf numFmtId="226" fontId="62" fillId="25" borderId="19" applyNumberFormat="0" applyAlignment="0" applyProtection="0"/>
    <xf numFmtId="226" fontId="59" fillId="12" borderId="14" applyNumberFormat="0" applyAlignment="0" applyProtection="0"/>
    <xf numFmtId="226" fontId="3"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40" fillId="0" borderId="20" applyNumberFormat="0" applyFill="0" applyAlignment="0" applyProtection="0"/>
    <xf numFmtId="226" fontId="40" fillId="0" borderId="20" applyNumberFormat="0" applyFill="0" applyAlignment="0" applyProtection="0"/>
    <xf numFmtId="226" fontId="62" fillId="25" borderId="19" applyNumberFormat="0" applyAlignment="0" applyProtection="0"/>
    <xf numFmtId="226" fontId="52" fillId="25" borderId="14" applyNumberFormat="0" applyAlignment="0" applyProtection="0"/>
    <xf numFmtId="226" fontId="187" fillId="12" borderId="14" applyNumberFormat="0" applyAlignment="0" applyProtection="0"/>
    <xf numFmtId="226" fontId="183" fillId="25" borderId="14" applyNumberFormat="0" applyAlignment="0" applyProtection="0"/>
    <xf numFmtId="226" fontId="42" fillId="0" borderId="5">
      <alignment horizontal="center" vertical="center"/>
    </xf>
    <xf numFmtId="226" fontId="187" fillId="12" borderId="14" applyNumberFormat="0" applyAlignment="0" applyProtection="0"/>
    <xf numFmtId="226" fontId="22" fillId="28" borderId="18" applyNumberFormat="0" applyFont="0" applyAlignment="0" applyProtection="0"/>
    <xf numFmtId="226" fontId="191" fillId="0" borderId="20" applyNumberFormat="0" applyFill="0" applyAlignment="0" applyProtection="0"/>
    <xf numFmtId="226" fontId="40" fillId="0" borderId="20" applyNumberFormat="0" applyFill="0" applyAlignment="0" applyProtection="0"/>
    <xf numFmtId="226" fontId="22" fillId="28" borderId="18" applyNumberFormat="0" applyFont="0" applyAlignment="0" applyProtection="0"/>
    <xf numFmtId="226" fontId="26" fillId="25" borderId="14" applyNumberFormat="0" applyAlignment="0" applyProtection="0"/>
    <xf numFmtId="226" fontId="89" fillId="12" borderId="14" applyNumberFormat="0" applyAlignment="0" applyProtection="0"/>
    <xf numFmtId="226" fontId="23" fillId="28" borderId="18" applyNumberFormat="0" applyFont="0" applyAlignment="0" applyProtection="0"/>
    <xf numFmtId="226" fontId="36"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40" fillId="0" borderId="20" applyNumberFormat="0" applyFill="0" applyAlignment="0" applyProtection="0"/>
    <xf numFmtId="226" fontId="52" fillId="25" borderId="14" applyNumberFormat="0" applyAlignment="0" applyProtection="0"/>
    <xf numFmtId="226" fontId="59" fillId="12" borderId="14" applyNumberFormat="0" applyAlignment="0" applyProtection="0"/>
    <xf numFmtId="226" fontId="22" fillId="28" borderId="18" applyNumberFormat="0" applyFont="0" applyAlignment="0" applyProtection="0"/>
    <xf numFmtId="226" fontId="40" fillId="0" borderId="20" applyNumberFormat="0" applyFill="0" applyAlignment="0" applyProtection="0"/>
    <xf numFmtId="226" fontId="22" fillId="0" borderId="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22" fillId="0" borderId="0" applyBorder="0"/>
    <xf numFmtId="226" fontId="22" fillId="0" borderId="0"/>
    <xf numFmtId="226" fontId="22" fillId="0" borderId="0"/>
    <xf numFmtId="226" fontId="43" fillId="0" borderId="0"/>
    <xf numFmtId="226" fontId="43" fillId="0" borderId="0"/>
    <xf numFmtId="0" fontId="1" fillId="0" borderId="0"/>
    <xf numFmtId="178" fontId="22" fillId="0" borderId="0"/>
    <xf numFmtId="0" fontId="22" fillId="0" borderId="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65"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65"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65"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65"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65"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65"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65"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65" fillId="16" borderId="0" applyNumberFormat="0" applyBorder="0" applyAlignment="0" applyProtection="0"/>
    <xf numFmtId="0" fontId="39" fillId="16" borderId="0" applyNumberFormat="0" applyBorder="0" applyAlignment="0" applyProtection="0"/>
    <xf numFmtId="0" fontId="50" fillId="17" borderId="0" applyNumberFormat="0" applyBorder="0" applyAlignment="0" applyProtection="0"/>
    <xf numFmtId="0" fontId="66" fillId="17" borderId="0" applyNumberFormat="0" applyBorder="0" applyAlignment="0" applyProtection="0"/>
    <xf numFmtId="0" fontId="50" fillId="14" borderId="0" applyNumberFormat="0" applyBorder="0" applyAlignment="0" applyProtection="0"/>
    <xf numFmtId="0" fontId="66" fillId="14" borderId="0" applyNumberFormat="0" applyBorder="0" applyAlignment="0" applyProtection="0"/>
    <xf numFmtId="0" fontId="50" fillId="15" borderId="0" applyNumberFormat="0" applyBorder="0" applyAlignment="0" applyProtection="0"/>
    <xf numFmtId="0" fontId="66" fillId="15"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50" fillId="19" borderId="0" applyNumberFormat="0" applyBorder="0" applyAlignment="0" applyProtection="0"/>
    <xf numFmtId="0" fontId="66" fillId="19" borderId="0" applyNumberFormat="0" applyBorder="0" applyAlignment="0" applyProtection="0"/>
    <xf numFmtId="0" fontId="50" fillId="20" borderId="0" applyNumberFormat="0" applyBorder="0" applyAlignment="0" applyProtection="0"/>
    <xf numFmtId="0" fontId="66" fillId="20" borderId="0" applyNumberFormat="0" applyBorder="0" applyAlignment="0" applyProtection="0"/>
    <xf numFmtId="0" fontId="50" fillId="21" borderId="0" applyNumberFormat="0" applyBorder="0" applyAlignment="0" applyProtection="0"/>
    <xf numFmtId="0" fontId="66" fillId="21" borderId="0" applyNumberFormat="0" applyBorder="0" applyAlignment="0" applyProtection="0"/>
    <xf numFmtId="0" fontId="50" fillId="22" borderId="0" applyNumberFormat="0" applyBorder="0" applyAlignment="0" applyProtection="0"/>
    <xf numFmtId="0" fontId="66" fillId="22" borderId="0" applyNumberFormat="0" applyBorder="0" applyAlignment="0" applyProtection="0"/>
    <xf numFmtId="0" fontId="50" fillId="23" borderId="0" applyNumberFormat="0" applyBorder="0" applyAlignment="0" applyProtection="0"/>
    <xf numFmtId="0" fontId="66" fillId="23"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50" fillId="19" borderId="0" applyNumberFormat="0" applyBorder="0" applyAlignment="0" applyProtection="0"/>
    <xf numFmtId="0" fontId="66" fillId="19" borderId="0" applyNumberFormat="0" applyBorder="0" applyAlignment="0" applyProtection="0"/>
    <xf numFmtId="0" fontId="50" fillId="24" borderId="0" applyNumberFormat="0" applyBorder="0" applyAlignment="0" applyProtection="0"/>
    <xf numFmtId="0" fontId="66" fillId="24" borderId="0" applyNumberFormat="0" applyBorder="0" applyAlignment="0" applyProtection="0"/>
    <xf numFmtId="0" fontId="42" fillId="0" borderId="5">
      <alignment horizontal="center" vertical="center"/>
    </xf>
    <xf numFmtId="0" fontId="51" fillId="8" borderId="0" applyNumberFormat="0" applyBorder="0" applyAlignment="0" applyProtection="0"/>
    <xf numFmtId="0" fontId="67" fillId="8" borderId="0" applyNumberFormat="0" applyBorder="0" applyAlignment="0" applyProtection="0"/>
    <xf numFmtId="0" fontId="52" fillId="25" borderId="14" applyNumberFormat="0" applyAlignment="0" applyProtection="0"/>
    <xf numFmtId="0" fontId="68" fillId="25" borderId="14" applyNumberFormat="0" applyAlignment="0" applyProtection="0"/>
    <xf numFmtId="0" fontId="53" fillId="26" borderId="15" applyNumberFormat="0" applyAlignment="0" applyProtection="0"/>
    <xf numFmtId="0" fontId="69" fillId="26" borderId="15" applyNumberFormat="0" applyAlignment="0" applyProtection="0"/>
    <xf numFmtId="0" fontId="22" fillId="0" borderId="0" applyFont="0" applyFill="0" applyBorder="0" applyAlignment="0" applyProtection="0"/>
    <xf numFmtId="0" fontId="22" fillId="0" borderId="0" applyFon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55" fillId="9" borderId="0" applyNumberFormat="0" applyBorder="0" applyAlignment="0" applyProtection="0"/>
    <xf numFmtId="0" fontId="71" fillId="9" borderId="0" applyNumberFormat="0" applyBorder="0" applyAlignment="0" applyProtection="0"/>
    <xf numFmtId="0" fontId="56" fillId="0" borderId="38" applyNumberFormat="0" applyFill="0" applyAlignment="0" applyProtection="0"/>
    <xf numFmtId="0" fontId="72" fillId="0" borderId="38" applyNumberFormat="0" applyFill="0" applyAlignment="0" applyProtection="0"/>
    <xf numFmtId="0" fontId="57" fillId="0" borderId="39" applyNumberFormat="0" applyFill="0" applyAlignment="0" applyProtection="0"/>
    <xf numFmtId="0" fontId="73" fillId="0" borderId="39"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5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9" fillId="12" borderId="14" applyNumberFormat="0" applyAlignment="0" applyProtection="0"/>
    <xf numFmtId="0" fontId="75" fillId="12" borderId="14" applyNumberFormat="0" applyAlignment="0" applyProtection="0"/>
    <xf numFmtId="0" fontId="60" fillId="0" borderId="17" applyNumberFormat="0" applyFill="0" applyAlignment="0" applyProtection="0"/>
    <xf numFmtId="0" fontId="76" fillId="0" borderId="17" applyNumberFormat="0" applyFill="0" applyAlignment="0" applyProtection="0"/>
    <xf numFmtId="0" fontId="61" fillId="27" borderId="0" applyNumberFormat="0" applyBorder="0" applyAlignment="0" applyProtection="0"/>
    <xf numFmtId="0" fontId="77" fillId="27" borderId="0" applyNumberFormat="0" applyBorder="0" applyAlignment="0" applyProtection="0"/>
    <xf numFmtId="0" fontId="43"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65" fillId="0" borderId="0"/>
    <xf numFmtId="0" fontId="65" fillId="0" borderId="0"/>
    <xf numFmtId="0" fontId="65" fillId="0" borderId="0"/>
    <xf numFmtId="0" fontId="20" fillId="0" borderId="0"/>
    <xf numFmtId="0" fontId="20" fillId="0" borderId="0"/>
    <xf numFmtId="178" fontId="39" fillId="0" borderId="0"/>
    <xf numFmtId="178" fontId="39" fillId="0" borderId="0"/>
    <xf numFmtId="0" fontId="42" fillId="0" borderId="0"/>
    <xf numFmtId="0" fontId="42" fillId="0" borderId="0"/>
    <xf numFmtId="0" fontId="22" fillId="0" borderId="0"/>
    <xf numFmtId="0" fontId="22" fillId="0" borderId="0"/>
    <xf numFmtId="0" fontId="22" fillId="0" borderId="0"/>
    <xf numFmtId="0" fontId="22" fillId="0" borderId="0"/>
    <xf numFmtId="0" fontId="39" fillId="0" borderId="0"/>
    <xf numFmtId="0" fontId="39" fillId="0" borderId="0"/>
    <xf numFmtId="0" fontId="22" fillId="0" borderId="0"/>
    <xf numFmtId="0" fontId="22" fillId="0" borderId="0"/>
    <xf numFmtId="0" fontId="20" fillId="0" borderId="0"/>
    <xf numFmtId="0" fontId="20" fillId="0" borderId="0"/>
    <xf numFmtId="178" fontId="23" fillId="0" borderId="0"/>
    <xf numFmtId="0" fontId="23" fillId="0" borderId="0"/>
    <xf numFmtId="0" fontId="1" fillId="0" borderId="0"/>
    <xf numFmtId="0" fontId="20" fillId="0" borderId="0"/>
    <xf numFmtId="0" fontId="20" fillId="0" borderId="0"/>
    <xf numFmtId="0" fontId="81" fillId="0" borderId="0"/>
    <xf numFmtId="0" fontId="20" fillId="0" borderId="0"/>
    <xf numFmtId="0" fontId="20" fillId="0" borderId="0"/>
    <xf numFmtId="178" fontId="22" fillId="0" borderId="0" applyBorder="0"/>
    <xf numFmtId="0" fontId="22" fillId="0" borderId="0" applyBorder="0"/>
    <xf numFmtId="0" fontId="20" fillId="0" borderId="0"/>
    <xf numFmtId="0" fontId="20" fillId="0" borderId="0"/>
    <xf numFmtId="178" fontId="22" fillId="0" borderId="0"/>
    <xf numFmtId="0" fontId="20" fillId="0" borderId="0"/>
    <xf numFmtId="0" fontId="41" fillId="0" borderId="0"/>
    <xf numFmtId="0" fontId="41" fillId="0" borderId="0"/>
    <xf numFmtId="0" fontId="22" fillId="0" borderId="0"/>
    <xf numFmtId="0" fontId="20" fillId="0" borderId="0"/>
    <xf numFmtId="0" fontId="23" fillId="0" borderId="0"/>
    <xf numFmtId="0" fontId="22" fillId="0" borderId="0"/>
    <xf numFmtId="0" fontId="22"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45" fillId="0" borderId="0">
      <alignment horizontal="left"/>
    </xf>
    <xf numFmtId="0" fontId="62" fillId="25" borderId="19" applyNumberFormat="0" applyAlignment="0" applyProtection="0"/>
    <xf numFmtId="0" fontId="78" fillId="25" borderId="19" applyNumberFormat="0" applyAlignment="0" applyProtection="0"/>
    <xf numFmtId="0" fontId="42" fillId="0" borderId="12">
      <alignment horizontal="center" vertical="center"/>
    </xf>
    <xf numFmtId="0" fontId="22" fillId="0" borderId="0" applyNumberFormat="0" applyFill="0" applyBorder="0" applyAlignment="0" applyProtection="0"/>
    <xf numFmtId="0" fontId="46" fillId="0" borderId="0"/>
    <xf numFmtId="0" fontId="35" fillId="0" borderId="0" applyNumberFormat="0" applyFill="0" applyBorder="0" applyAlignment="0" applyProtection="0"/>
    <xf numFmtId="0" fontId="47" fillId="0" borderId="0"/>
    <xf numFmtId="0" fontId="40" fillId="0" borderId="20" applyNumberFormat="0" applyFill="0" applyAlignment="0" applyProtection="0"/>
    <xf numFmtId="0" fontId="40" fillId="0" borderId="20" applyNumberFormat="0" applyFill="0" applyAlignment="0" applyProtection="0"/>
    <xf numFmtId="0" fontId="79" fillId="0" borderId="20" applyNumberFormat="0" applyFill="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1" fillId="0" borderId="0"/>
    <xf numFmtId="0" fontId="131" fillId="0" borderId="0" applyNumberFormat="0" applyFill="0" applyBorder="0" applyAlignment="0" applyProtection="0"/>
    <xf numFmtId="0" fontId="132" fillId="0" borderId="45" applyNumberFormat="0" applyFill="0" applyAlignment="0" applyProtection="0"/>
    <xf numFmtId="0" fontId="133" fillId="0" borderId="46" applyNumberFormat="0" applyFill="0" applyAlignment="0" applyProtection="0"/>
    <xf numFmtId="0" fontId="120" fillId="0" borderId="47" applyNumberFormat="0" applyFill="0" applyAlignment="0" applyProtection="0"/>
    <xf numFmtId="0" fontId="120" fillId="0" borderId="0" applyNumberFormat="0" applyFill="0" applyBorder="0" applyAlignment="0" applyProtection="0"/>
    <xf numFmtId="0" fontId="121" fillId="37" borderId="0" applyNumberFormat="0" applyBorder="0" applyAlignment="0" applyProtection="0"/>
    <xf numFmtId="0" fontId="122" fillId="38" borderId="0" applyNumberFormat="0" applyBorder="0" applyAlignment="0" applyProtection="0"/>
    <xf numFmtId="0" fontId="123" fillId="39" borderId="0" applyNumberFormat="0" applyBorder="0" applyAlignment="0" applyProtection="0"/>
    <xf numFmtId="0" fontId="2" fillId="67" borderId="2" applyNumberFormat="0" applyAlignment="0" applyProtection="0"/>
    <xf numFmtId="0" fontId="124" fillId="40" borderId="40" applyNumberFormat="0" applyAlignment="0" applyProtection="0"/>
    <xf numFmtId="0" fontId="125" fillId="40" borderId="2" applyNumberFormat="0" applyAlignment="0" applyProtection="0"/>
    <xf numFmtId="0" fontId="126" fillId="0" borderId="41" applyNumberFormat="0" applyFill="0" applyAlignment="0" applyProtection="0"/>
    <xf numFmtId="0" fontId="127" fillId="41" borderId="42" applyNumberFormat="0" applyAlignment="0" applyProtection="0"/>
    <xf numFmtId="0" fontId="128" fillId="0" borderId="0" applyNumberFormat="0" applyFill="0" applyBorder="0" applyAlignment="0" applyProtection="0"/>
    <xf numFmtId="0" fontId="1" fillId="42" borderId="43" applyNumberFormat="0" applyFont="0" applyAlignment="0" applyProtection="0"/>
    <xf numFmtId="0" fontId="129" fillId="0" borderId="0" applyNumberFormat="0" applyFill="0" applyBorder="0" applyAlignment="0" applyProtection="0"/>
    <xf numFmtId="0" fontId="3" fillId="0" borderId="44" applyNumberFormat="0" applyFill="0" applyAlignment="0" applyProtection="0"/>
    <xf numFmtId="0" fontId="130"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30" fillId="46" borderId="0" applyNumberFormat="0" applyBorder="0" applyAlignment="0" applyProtection="0"/>
    <xf numFmtId="0" fontId="130"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30" fillId="50" borderId="0" applyNumberFormat="0" applyBorder="0" applyAlignment="0" applyProtection="0"/>
    <xf numFmtId="0" fontId="130"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30" fillId="54" borderId="0" applyNumberFormat="0" applyBorder="0" applyAlignment="0" applyProtection="0"/>
    <xf numFmtId="0" fontId="130"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30" fillId="58" borderId="0" applyNumberFormat="0" applyBorder="0" applyAlignment="0" applyProtection="0"/>
    <xf numFmtId="0" fontId="130"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30" fillId="62" borderId="0" applyNumberFormat="0" applyBorder="0" applyAlignment="0" applyProtection="0"/>
    <xf numFmtId="0" fontId="130"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30" fillId="66"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64" fontId="1" fillId="0" borderId="0" applyFont="0" applyFill="0" applyBorder="0" applyAlignment="0" applyProtection="0"/>
    <xf numFmtId="0" fontId="1" fillId="0" borderId="0"/>
    <xf numFmtId="216" fontId="165" fillId="0" borderId="50" applyFill="0">
      <alignment horizontal="center" vertical="center"/>
    </xf>
    <xf numFmtId="186" fontId="1" fillId="0" borderId="0" applyFont="0" applyFill="0" applyBorder="0" applyAlignment="0" applyProtection="0"/>
    <xf numFmtId="178" fontId="163" fillId="68" borderId="0"/>
    <xf numFmtId="0" fontId="135" fillId="0" borderId="49" applyNumberFormat="0" applyFont="0" applyFill="0" applyAlignment="0" applyProtection="0"/>
    <xf numFmtId="0" fontId="137" fillId="0" borderId="0" applyNumberFormat="0" applyFill="0" applyBorder="0" applyAlignment="0" applyProtection="0"/>
    <xf numFmtId="0" fontId="136" fillId="0" borderId="0" applyNumberFormat="0" applyFill="0" applyBorder="0" applyAlignment="0" applyProtection="0"/>
    <xf numFmtId="0" fontId="135" fillId="0" borderId="0" applyFont="0" applyFill="0" applyBorder="0" applyAlignment="0" applyProtection="0"/>
    <xf numFmtId="0" fontId="23" fillId="0" borderId="0">
      <alignment vertical="top"/>
    </xf>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20" fillId="0" borderId="0"/>
    <xf numFmtId="0" fontId="42" fillId="0" borderId="0"/>
    <xf numFmtId="0" fontId="20" fillId="0" borderId="0"/>
    <xf numFmtId="0" fontId="20" fillId="0" borderId="0"/>
    <xf numFmtId="0" fontId="20" fillId="0" borderId="0"/>
    <xf numFmtId="0" fontId="42" fillId="0" borderId="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20" fillId="0" borderId="0"/>
    <xf numFmtId="0" fontId="42" fillId="0" borderId="0"/>
    <xf numFmtId="0" fontId="42" fillId="0" borderId="0"/>
    <xf numFmtId="0" fontId="42" fillId="0" borderId="0"/>
    <xf numFmtId="0" fontId="20" fillId="0" borderId="0"/>
    <xf numFmtId="0" fontId="20" fillId="0" borderId="0"/>
    <xf numFmtId="0" fontId="42" fillId="0" borderId="0"/>
    <xf numFmtId="0" fontId="42" fillId="0" borderId="0"/>
    <xf numFmtId="0" fontId="42"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22" fillId="0" borderId="0" applyBorder="0"/>
    <xf numFmtId="0" fontId="39" fillId="0" borderId="0"/>
    <xf numFmtId="0" fontId="22" fillId="0" borderId="0" applyFont="0" applyFill="0" applyBorder="0" applyAlignment="0" applyProtection="0"/>
    <xf numFmtId="0" fontId="38" fillId="0" borderId="0" applyNumberFormat="0" applyFill="0" applyBorder="0" applyAlignment="0" applyProtection="0">
      <alignment vertical="top"/>
      <protection locked="0"/>
    </xf>
    <xf numFmtId="0" fontId="20" fillId="0" borderId="0"/>
    <xf numFmtId="0" fontId="20" fillId="0" borderId="0"/>
    <xf numFmtId="0" fontId="20" fillId="0" borderId="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NumberForma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xf numFmtId="0" fontId="39" fillId="7" borderId="0" applyNumberFormat="0" applyBorder="0" applyAlignment="0" applyProtection="0"/>
    <xf numFmtId="0" fontId="1" fillId="7" borderId="0" applyNumberFormat="0" applyBorder="0" applyAlignment="0" applyProtection="0"/>
    <xf numFmtId="0" fontId="86" fillId="44" borderId="0" applyNumberFormat="0" applyBorder="0" applyAlignment="0" applyProtection="0"/>
    <xf numFmtId="0" fontId="39" fillId="8" borderId="0" applyNumberFormat="0" applyBorder="0" applyAlignment="0" applyProtection="0"/>
    <xf numFmtId="0" fontId="1" fillId="8" borderId="0" applyNumberFormat="0" applyBorder="0" applyAlignment="0" applyProtection="0"/>
    <xf numFmtId="0" fontId="86" fillId="48" borderId="0" applyNumberFormat="0" applyBorder="0" applyAlignment="0" applyProtection="0"/>
    <xf numFmtId="0" fontId="39" fillId="9" borderId="0" applyNumberFormat="0" applyBorder="0" applyAlignment="0" applyProtection="0"/>
    <xf numFmtId="0" fontId="1" fillId="9" borderId="0" applyNumberFormat="0" applyBorder="0" applyAlignment="0" applyProtection="0"/>
    <xf numFmtId="0" fontId="86" fillId="52"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86" fillId="56" borderId="0" applyNumberFormat="0" applyBorder="0" applyAlignment="0" applyProtection="0"/>
    <xf numFmtId="0" fontId="39" fillId="11" borderId="0" applyNumberFormat="0" applyBorder="0" applyAlignment="0" applyProtection="0"/>
    <xf numFmtId="0" fontId="86" fillId="60" borderId="0" applyNumberFormat="0" applyBorder="0" applyAlignment="0" applyProtection="0"/>
    <xf numFmtId="0" fontId="39" fillId="12" borderId="0" applyNumberFormat="0" applyBorder="0" applyAlignment="0" applyProtection="0"/>
    <xf numFmtId="0" fontId="1" fillId="25" borderId="0" applyNumberFormat="0" applyBorder="0" applyAlignment="0" applyProtection="0"/>
    <xf numFmtId="0" fontId="86" fillId="64"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86" fillId="45" borderId="0" applyNumberFormat="0" applyBorder="0" applyAlignment="0" applyProtection="0"/>
    <xf numFmtId="0" fontId="39" fillId="14" borderId="0" applyNumberFormat="0" applyBorder="0" applyAlignment="0" applyProtection="0"/>
    <xf numFmtId="0" fontId="86" fillId="49"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86" fillId="53"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86" fillId="57"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86" fillId="61" borderId="0" applyNumberFormat="0" applyBorder="0" applyAlignment="0" applyProtection="0"/>
    <xf numFmtId="0" fontId="39" fillId="16" borderId="0" applyNumberFormat="0" applyBorder="0" applyAlignment="0" applyProtection="0"/>
    <xf numFmtId="0" fontId="1" fillId="16" borderId="0" applyNumberFormat="0" applyBorder="0" applyAlignment="0" applyProtection="0"/>
    <xf numFmtId="0" fontId="86" fillId="65" borderId="0" applyNumberFormat="0" applyBorder="0" applyAlignment="0" applyProtection="0"/>
    <xf numFmtId="0" fontId="50" fillId="17" borderId="0" applyNumberFormat="0" applyBorder="0" applyAlignment="0" applyProtection="0"/>
    <xf numFmtId="0" fontId="130" fillId="17" borderId="0" applyNumberFormat="0" applyBorder="0" applyAlignment="0" applyProtection="0"/>
    <xf numFmtId="0" fontId="144" fillId="46" borderId="0" applyNumberFormat="0" applyBorder="0" applyAlignment="0" applyProtection="0"/>
    <xf numFmtId="0" fontId="50" fillId="14" borderId="0" applyNumberFormat="0" applyBorder="0" applyAlignment="0" applyProtection="0"/>
    <xf numFmtId="0" fontId="130" fillId="14" borderId="0" applyNumberFormat="0" applyBorder="0" applyAlignment="0" applyProtection="0"/>
    <xf numFmtId="0" fontId="144" fillId="50" borderId="0" applyNumberFormat="0" applyBorder="0" applyAlignment="0" applyProtection="0"/>
    <xf numFmtId="0" fontId="50" fillId="15" borderId="0" applyNumberFormat="0" applyBorder="0" applyAlignment="0" applyProtection="0"/>
    <xf numFmtId="0" fontId="130" fillId="15" borderId="0" applyNumberFormat="0" applyBorder="0" applyAlignment="0" applyProtection="0"/>
    <xf numFmtId="0" fontId="144" fillId="54" borderId="0" applyNumberFormat="0" applyBorder="0" applyAlignment="0" applyProtection="0"/>
    <xf numFmtId="0" fontId="50" fillId="18" borderId="0" applyNumberFormat="0" applyBorder="0" applyAlignment="0" applyProtection="0"/>
    <xf numFmtId="0" fontId="130" fillId="18" borderId="0" applyNumberFormat="0" applyBorder="0" applyAlignment="0" applyProtection="0"/>
    <xf numFmtId="0" fontId="144" fillId="58" borderId="0" applyNumberFormat="0" applyBorder="0" applyAlignment="0" applyProtection="0"/>
    <xf numFmtId="0" fontId="50" fillId="19" borderId="0" applyNumberFormat="0" applyBorder="0" applyAlignment="0" applyProtection="0"/>
    <xf numFmtId="0" fontId="130" fillId="19" borderId="0" applyNumberFormat="0" applyBorder="0" applyAlignment="0" applyProtection="0"/>
    <xf numFmtId="0" fontId="144" fillId="62" borderId="0" applyNumberFormat="0" applyBorder="0" applyAlignment="0" applyProtection="0"/>
    <xf numFmtId="0" fontId="50" fillId="20" borderId="0" applyNumberFormat="0" applyBorder="0" applyAlignment="0" applyProtection="0"/>
    <xf numFmtId="0" fontId="130" fillId="20" borderId="0" applyNumberFormat="0" applyBorder="0" applyAlignment="0" applyProtection="0"/>
    <xf numFmtId="0" fontId="144" fillId="66" borderId="0" applyNumberFormat="0" applyBorder="0" applyAlignment="0" applyProtection="0"/>
    <xf numFmtId="0" fontId="50" fillId="21" borderId="0" applyNumberFormat="0" applyBorder="0" applyAlignment="0" applyProtection="0"/>
    <xf numFmtId="0" fontId="130" fillId="21" borderId="0" applyNumberFormat="0" applyBorder="0" applyAlignment="0" applyProtection="0"/>
    <xf numFmtId="0" fontId="144" fillId="43" borderId="0" applyNumberFormat="0" applyBorder="0" applyAlignment="0" applyProtection="0"/>
    <xf numFmtId="0" fontId="50" fillId="22" borderId="0" applyNumberFormat="0" applyBorder="0" applyAlignment="0" applyProtection="0"/>
    <xf numFmtId="0" fontId="130" fillId="22" borderId="0" applyNumberFormat="0" applyBorder="0" applyAlignment="0" applyProtection="0"/>
    <xf numFmtId="0" fontId="144" fillId="47" borderId="0" applyNumberFormat="0" applyBorder="0" applyAlignment="0" applyProtection="0"/>
    <xf numFmtId="0" fontId="50" fillId="23" borderId="0" applyNumberFormat="0" applyBorder="0" applyAlignment="0" applyProtection="0"/>
    <xf numFmtId="0" fontId="130" fillId="23" borderId="0" applyNumberFormat="0" applyBorder="0" applyAlignment="0" applyProtection="0"/>
    <xf numFmtId="0" fontId="144" fillId="51" borderId="0" applyNumberFormat="0" applyBorder="0" applyAlignment="0" applyProtection="0"/>
    <xf numFmtId="0" fontId="50" fillId="18" borderId="0" applyNumberFormat="0" applyBorder="0" applyAlignment="0" applyProtection="0"/>
    <xf numFmtId="0" fontId="130" fillId="18" borderId="0" applyNumberFormat="0" applyBorder="0" applyAlignment="0" applyProtection="0"/>
    <xf numFmtId="0" fontId="144" fillId="55" borderId="0" applyNumberFormat="0" applyBorder="0" applyAlignment="0" applyProtection="0"/>
    <xf numFmtId="0" fontId="50" fillId="19" borderId="0" applyNumberFormat="0" applyBorder="0" applyAlignment="0" applyProtection="0"/>
    <xf numFmtId="0" fontId="144" fillId="59" borderId="0" applyNumberFormat="0" applyBorder="0" applyAlignment="0" applyProtection="0"/>
    <xf numFmtId="0" fontId="50" fillId="24" borderId="0" applyNumberFormat="0" applyBorder="0" applyAlignment="0" applyProtection="0"/>
    <xf numFmtId="0" fontId="130" fillId="24" borderId="0" applyNumberFormat="0" applyBorder="0" applyAlignment="0" applyProtection="0"/>
    <xf numFmtId="0" fontId="144" fillId="63" borderId="0" applyNumberFormat="0" applyBorder="0" applyAlignment="0" applyProtection="0"/>
    <xf numFmtId="0" fontId="51" fillId="8" borderId="0" applyNumberFormat="0" applyBorder="0" applyAlignment="0" applyProtection="0"/>
    <xf numFmtId="0" fontId="122" fillId="8" borderId="0" applyNumberFormat="0" applyBorder="0" applyAlignment="0" applyProtection="0"/>
    <xf numFmtId="0" fontId="145" fillId="38" borderId="0" applyNumberFormat="0" applyBorder="0" applyAlignment="0" applyProtection="0"/>
    <xf numFmtId="0" fontId="52" fillId="25" borderId="14" applyNumberFormat="0" applyAlignment="0" applyProtection="0"/>
    <xf numFmtId="0" fontId="146" fillId="25" borderId="2" applyNumberFormat="0" applyAlignment="0" applyProtection="0"/>
    <xf numFmtId="0" fontId="147" fillId="40" borderId="2" applyNumberFormat="0" applyAlignment="0" applyProtection="0"/>
    <xf numFmtId="0" fontId="53" fillId="26" borderId="15" applyNumberFormat="0" applyAlignment="0" applyProtection="0"/>
    <xf numFmtId="0" fontId="148" fillId="41" borderId="42" applyNumberFormat="0" applyAlignment="0" applyProtection="0"/>
    <xf numFmtId="0" fontId="54" fillId="0" borderId="0" applyNumberFormat="0" applyFill="0" applyBorder="0" applyAlignment="0" applyProtection="0"/>
    <xf numFmtId="0" fontId="149" fillId="0" borderId="0" applyNumberFormat="0" applyFill="0" applyBorder="0" applyAlignment="0" applyProtection="0"/>
    <xf numFmtId="0" fontId="55" fillId="9" borderId="0" applyNumberFormat="0" applyBorder="0" applyAlignment="0" applyProtection="0"/>
    <xf numFmtId="0" fontId="121" fillId="9" borderId="0" applyNumberFormat="0" applyBorder="0" applyAlignment="0" applyProtection="0"/>
    <xf numFmtId="0" fontId="150" fillId="37" borderId="0" applyNumberFormat="0" applyBorder="0" applyAlignment="0" applyProtection="0"/>
    <xf numFmtId="0" fontId="138" fillId="0" borderId="0" applyFill="0" applyBorder="0"/>
    <xf numFmtId="0" fontId="138" fillId="0" borderId="0" applyFill="0" applyBorder="0"/>
    <xf numFmtId="0" fontId="139" fillId="0" borderId="0" applyFill="0" applyBorder="0"/>
    <xf numFmtId="0" fontId="139" fillId="0" borderId="0" applyFill="0" applyBorder="0"/>
    <xf numFmtId="0" fontId="134" fillId="0" borderId="0" applyFill="0" applyBorder="0"/>
    <xf numFmtId="0" fontId="134" fillId="0" borderId="0" applyFill="0" applyBorder="0"/>
    <xf numFmtId="0" fontId="140" fillId="0" borderId="0" applyFill="0" applyBorder="0"/>
    <xf numFmtId="0" fontId="140" fillId="0" borderId="0" applyFill="0" applyBorder="0"/>
    <xf numFmtId="0" fontId="56" fillId="0" borderId="38" applyNumberFormat="0" applyFill="0" applyAlignment="0" applyProtection="0"/>
    <xf numFmtId="0" fontId="151" fillId="0" borderId="45" applyNumberFormat="0" applyFill="0" applyAlignment="0" applyProtection="0"/>
    <xf numFmtId="0" fontId="57" fillId="0" borderId="39" applyNumberFormat="0" applyFill="0" applyAlignment="0" applyProtection="0"/>
    <xf numFmtId="0" fontId="152" fillId="0" borderId="46" applyNumberFormat="0" applyFill="0" applyAlignment="0" applyProtection="0"/>
    <xf numFmtId="0" fontId="58" fillId="0" borderId="16" applyNumberFormat="0" applyFill="0" applyAlignment="0" applyProtection="0"/>
    <xf numFmtId="0" fontId="153" fillId="0" borderId="47" applyNumberFormat="0" applyFill="0" applyAlignment="0" applyProtection="0"/>
    <xf numFmtId="0" fontId="58" fillId="0" borderId="0" applyNumberFormat="0" applyFill="0" applyBorder="0" applyAlignment="0" applyProtection="0"/>
    <xf numFmtId="0" fontId="153" fillId="0" borderId="0" applyNumberFormat="0" applyFill="0" applyBorder="0" applyAlignment="0" applyProtection="0"/>
    <xf numFmtId="0" fontId="142" fillId="0" borderId="0" applyFill="0" applyBorder="0">
      <alignment horizontal="left"/>
      <protection hidden="1"/>
    </xf>
    <xf numFmtId="0" fontId="142" fillId="0" borderId="0" applyFill="0" applyBorder="0">
      <alignment horizontal="left" indent="1"/>
      <protection hidden="1"/>
    </xf>
    <xf numFmtId="0" fontId="142" fillId="0" borderId="0" applyFill="0" applyBorder="0">
      <alignment horizontal="left" indent="2"/>
      <protection hidden="1"/>
    </xf>
    <xf numFmtId="0" fontId="142" fillId="0" borderId="0" applyFill="0" applyBorder="0">
      <alignment horizontal="left" indent="3"/>
      <protection hidden="1"/>
    </xf>
    <xf numFmtId="0" fontId="113" fillId="0" borderId="0" applyFill="0" applyBorder="0">
      <alignment vertical="top" wrapText="1"/>
      <protection locked="0"/>
    </xf>
    <xf numFmtId="0" fontId="59" fillId="12" borderId="14" applyNumberFormat="0" applyAlignment="0" applyProtection="0"/>
    <xf numFmtId="0" fontId="2" fillId="25" borderId="2" applyNumberFormat="0" applyAlignment="0" applyProtection="0"/>
    <xf numFmtId="0" fontId="154" fillId="67" borderId="2" applyNumberFormat="0" applyAlignment="0" applyProtection="0"/>
    <xf numFmtId="0" fontId="60" fillId="0" borderId="17" applyNumberFormat="0" applyFill="0" applyAlignment="0" applyProtection="0"/>
    <xf numFmtId="0" fontId="155" fillId="0" borderId="41" applyNumberFormat="0" applyFill="0" applyAlignment="0" applyProtection="0"/>
    <xf numFmtId="0" fontId="101" fillId="0" borderId="0" applyFill="0" applyBorder="0">
      <alignment vertical="top" wrapText="1"/>
    </xf>
    <xf numFmtId="0" fontId="101" fillId="0" borderId="0" applyFill="0" applyBorder="0">
      <alignment vertical="top" wrapText="1"/>
    </xf>
    <xf numFmtId="0" fontId="61" fillId="27" borderId="0" applyNumberFormat="0" applyBorder="0" applyAlignment="0" applyProtection="0"/>
    <xf numFmtId="0" fontId="156" fillId="39" borderId="0" applyNumberFormat="0" applyBorder="0" applyAlignment="0" applyProtection="0"/>
    <xf numFmtId="0" fontId="157" fillId="39" borderId="0" applyNumberFormat="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86"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applyBorder="0"/>
    <xf numFmtId="0" fontId="1" fillId="0" borderId="0"/>
    <xf numFmtId="0" fontId="22" fillId="0" borderId="0" applyBorder="0"/>
    <xf numFmtId="0" fontId="22" fillId="28" borderId="18" applyNumberFormat="0" applyFont="0" applyAlignment="0" applyProtection="0"/>
    <xf numFmtId="0" fontId="39" fillId="42" borderId="43" applyNumberFormat="0" applyFont="0" applyAlignment="0" applyProtection="0"/>
    <xf numFmtId="0" fontId="141" fillId="42" borderId="43" applyNumberFormat="0" applyFont="0" applyAlignment="0" applyProtection="0"/>
    <xf numFmtId="0" fontId="62" fillId="25" borderId="19" applyNumberFormat="0" applyAlignment="0" applyProtection="0"/>
    <xf numFmtId="0" fontId="124" fillId="25" borderId="40" applyNumberFormat="0" applyAlignment="0" applyProtection="0"/>
    <xf numFmtId="0" fontId="158" fillId="40" borderId="40" applyNumberFormat="0" applyAlignment="0" applyProtection="0"/>
    <xf numFmtId="0" fontId="140" fillId="0" borderId="0" applyFill="0" applyBorder="0">
      <alignment vertical="top"/>
    </xf>
    <xf numFmtId="0" fontId="140" fillId="0" borderId="0" applyFill="0" applyBorder="0">
      <alignment vertical="top"/>
    </xf>
    <xf numFmtId="0" fontId="140" fillId="0" borderId="0" applyFill="0" applyBorder="0">
      <alignment horizontal="left" vertical="top" indent="1"/>
    </xf>
    <xf numFmtId="0" fontId="140" fillId="0" borderId="0" applyFill="0" applyBorder="0">
      <alignment horizontal="left" vertical="top" indent="1"/>
    </xf>
    <xf numFmtId="0" fontId="140" fillId="0" borderId="0" applyFill="0" applyBorder="0">
      <alignment horizontal="left" vertical="top" indent="2"/>
    </xf>
    <xf numFmtId="0" fontId="140" fillId="0" borderId="0" applyFill="0" applyBorder="0">
      <alignment horizontal="left" vertical="top" indent="2"/>
    </xf>
    <xf numFmtId="0" fontId="140" fillId="0" borderId="0" applyFill="0" applyBorder="0">
      <alignment horizontal="left" vertical="top" indent="3"/>
    </xf>
    <xf numFmtId="0" fontId="140" fillId="0" borderId="0" applyFill="0" applyBorder="0">
      <alignment horizontal="left" vertical="top" indent="3"/>
    </xf>
    <xf numFmtId="0" fontId="101" fillId="0" borderId="0" applyFill="0" applyBorder="0">
      <alignment vertical="top"/>
    </xf>
    <xf numFmtId="0" fontId="101" fillId="0" borderId="0" applyFill="0" applyBorder="0">
      <alignment vertical="top"/>
    </xf>
    <xf numFmtId="0" fontId="101" fillId="0" borderId="0" applyFill="0" applyBorder="0">
      <alignment horizontal="left" vertical="top" indent="1"/>
    </xf>
    <xf numFmtId="0" fontId="101" fillId="0" borderId="0" applyFill="0" applyBorder="0">
      <alignment horizontal="left" vertical="top" indent="1"/>
    </xf>
    <xf numFmtId="0" fontId="101" fillId="0" borderId="0" applyFill="0" applyBorder="0">
      <alignment horizontal="left" vertical="top" indent="2"/>
    </xf>
    <xf numFmtId="0" fontId="101" fillId="0" borderId="0" applyFill="0" applyBorder="0">
      <alignment horizontal="left" vertical="top" indent="2"/>
    </xf>
    <xf numFmtId="0" fontId="101" fillId="0" borderId="0" applyFill="0" applyBorder="0">
      <alignment horizontal="left" vertical="top" indent="3"/>
    </xf>
    <xf numFmtId="0" fontId="101" fillId="0" borderId="0" applyFill="0" applyBorder="0">
      <alignment horizontal="left" vertical="top" indent="3"/>
    </xf>
    <xf numFmtId="0" fontId="101" fillId="0" borderId="0" applyFill="0" applyBorder="0">
      <alignment horizontal="left" vertical="top" indent="4"/>
    </xf>
    <xf numFmtId="0" fontId="101" fillId="0" borderId="0" applyFill="0" applyBorder="0">
      <alignment horizontal="left" vertical="top" indent="4"/>
    </xf>
    <xf numFmtId="0" fontId="35" fillId="0" borderId="0" applyNumberFormat="0" applyFill="0" applyBorder="0" applyAlignment="0" applyProtection="0"/>
    <xf numFmtId="0" fontId="131" fillId="0" borderId="0" applyNumberFormat="0" applyFill="0" applyBorder="0" applyAlignment="0" applyProtection="0"/>
    <xf numFmtId="0" fontId="40" fillId="0" borderId="20" applyNumberFormat="0" applyFill="0" applyAlignment="0" applyProtection="0"/>
    <xf numFmtId="0" fontId="3" fillId="0" borderId="20" applyNumberFormat="0" applyFill="0" applyAlignment="0" applyProtection="0"/>
    <xf numFmtId="0" fontId="159" fillId="0" borderId="44" applyNumberFormat="0" applyFill="0" applyAlignment="0" applyProtection="0"/>
    <xf numFmtId="0" fontId="101" fillId="0" borderId="0" applyFill="0" applyBorder="0">
      <alignment horizontal="center"/>
    </xf>
    <xf numFmtId="0" fontId="101" fillId="0" borderId="0" applyFill="0" applyBorder="0">
      <alignment horizontal="center"/>
    </xf>
    <xf numFmtId="0" fontId="101" fillId="0" borderId="0" applyFill="0" applyBorder="0">
      <alignment horizontal="center" wrapText="1"/>
    </xf>
    <xf numFmtId="0" fontId="101" fillId="0" borderId="0" applyFill="0" applyBorder="0">
      <alignment horizontal="center" wrapText="1"/>
    </xf>
    <xf numFmtId="0" fontId="63" fillId="0" borderId="0" applyNumberFormat="0" applyFill="0" applyBorder="0" applyAlignment="0" applyProtection="0"/>
    <xf numFmtId="0" fontId="160" fillId="0" borderId="0" applyNumberFormat="0" applyFill="0" applyBorder="0" applyAlignment="0" applyProtection="0"/>
    <xf numFmtId="164" fontId="39" fillId="0" borderId="0" applyFon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2" fillId="0" borderId="0"/>
    <xf numFmtId="0" fontId="23" fillId="0" borderId="0">
      <alignment vertical="top"/>
    </xf>
    <xf numFmtId="0" fontId="136" fillId="0" borderId="0" applyNumberFormat="0" applyFill="0" applyBorder="0" applyAlignment="0" applyProtection="0"/>
    <xf numFmtId="0" fontId="137" fillId="0" borderId="0" applyNumberFormat="0" applyFill="0" applyBorder="0" applyAlignment="0" applyProtection="0"/>
    <xf numFmtId="0" fontId="135" fillId="0" borderId="49" applyNumberFormat="0" applyFont="0" applyFill="0" applyAlignment="0" applyProtection="0"/>
    <xf numFmtId="0" fontId="65" fillId="0" borderId="0"/>
    <xf numFmtId="0" fontId="22" fillId="28" borderId="18" applyNumberFormat="0" applyFont="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6" fillId="25" borderId="14" applyNumberFormat="0" applyAlignment="0" applyProtection="0"/>
    <xf numFmtId="0" fontId="27" fillId="26" borderId="15" applyNumberFormat="0" applyAlignment="0" applyProtection="0"/>
    <xf numFmtId="0" fontId="28" fillId="0" borderId="0" applyNumberFormat="0" applyFill="0" applyBorder="0" applyAlignment="0" applyProtection="0"/>
    <xf numFmtId="0" fontId="29" fillId="9" borderId="0" applyNumberFormat="0" applyBorder="0" applyAlignment="0" applyProtection="0"/>
    <xf numFmtId="0" fontId="87" fillId="0" borderId="38" applyNumberFormat="0" applyFill="0" applyAlignment="0" applyProtection="0"/>
    <xf numFmtId="0" fontId="88" fillId="0" borderId="39"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161" fillId="0" borderId="0" applyNumberFormat="0" applyFill="0" applyBorder="0" applyAlignment="0" applyProtection="0">
      <alignment vertical="top"/>
      <protection locked="0"/>
    </xf>
    <xf numFmtId="0" fontId="89" fillId="12" borderId="14" applyNumberFormat="0" applyAlignment="0" applyProtection="0"/>
    <xf numFmtId="0" fontId="31" fillId="0" borderId="17" applyNumberFormat="0" applyFill="0" applyAlignment="0" applyProtection="0"/>
    <xf numFmtId="0" fontId="32" fillId="27" borderId="0" applyNumberFormat="0" applyBorder="0" applyAlignment="0" applyProtection="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37" fillId="0" borderId="0" applyNumberFormat="0" applyFill="0" applyBorder="0" applyAlignment="0" applyProtection="0"/>
    <xf numFmtId="0" fontId="162" fillId="0" borderId="0"/>
    <xf numFmtId="0" fontId="162" fillId="34" borderId="50">
      <alignment vertical="top" wrapText="1"/>
      <protection locked="0"/>
    </xf>
    <xf numFmtId="0" fontId="164" fillId="34" borderId="50" applyNumberFormat="0">
      <protection locked="0"/>
    </xf>
    <xf numFmtId="0" fontId="162" fillId="36" borderId="0"/>
    <xf numFmtId="216" fontId="163" fillId="0" borderId="0" applyFont="0" applyFill="0" applyBorder="0" applyProtection="0">
      <protection locked="0"/>
    </xf>
    <xf numFmtId="217" fontId="163" fillId="0" borderId="0" applyFont="0" applyFill="0" applyBorder="0" applyAlignment="0" applyProtection="0">
      <alignment wrapText="1"/>
    </xf>
    <xf numFmtId="0" fontId="165" fillId="0" borderId="50" applyFill="0">
      <alignment horizontal="center"/>
    </xf>
    <xf numFmtId="216" fontId="165" fillId="0" borderId="50" applyFill="0">
      <alignment horizontal="center" vertical="center"/>
    </xf>
    <xf numFmtId="0" fontId="167" fillId="0" borderId="0" applyNumberFormat="0" applyFill="0" applyBorder="0" applyAlignment="0" applyProtection="0">
      <alignment vertical="top"/>
      <protection locked="0"/>
    </xf>
    <xf numFmtId="0" fontId="168" fillId="0" borderId="0" applyNumberFormat="0" applyFill="0" applyAlignment="0"/>
    <xf numFmtId="0" fontId="168" fillId="0" borderId="0" applyNumberFormat="0" applyFill="0" applyAlignment="0" applyProtection="0"/>
    <xf numFmtId="0" fontId="169" fillId="0" borderId="0" applyNumberFormat="0" applyFill="0" applyAlignment="0"/>
    <xf numFmtId="0" fontId="163" fillId="69" borderId="0" applyFill="0" applyBorder="0"/>
    <xf numFmtId="0" fontId="162" fillId="36" borderId="51" applyNumberFormat="0">
      <alignment horizontal="left"/>
    </xf>
    <xf numFmtId="0" fontId="171" fillId="0" borderId="0" applyNumberFormat="0" applyFill="0" applyBorder="0" applyAlignment="0" applyProtection="0">
      <alignment vertical="top"/>
      <protection locked="0"/>
    </xf>
    <xf numFmtId="0" fontId="173" fillId="0" borderId="0" applyFill="0" applyBorder="0">
      <alignment horizontal="centerContinuous" wrapText="1"/>
    </xf>
    <xf numFmtId="0" fontId="173" fillId="0" borderId="0" applyFill="0" applyBorder="0">
      <alignment horizontal="center" wrapText="1"/>
    </xf>
    <xf numFmtId="0" fontId="162" fillId="36" borderId="50" applyNumberFormat="0">
      <alignment horizontal="left"/>
    </xf>
    <xf numFmtId="0" fontId="162" fillId="36" borderId="53" applyNumberFormat="0">
      <alignment horizontal="left"/>
    </xf>
    <xf numFmtId="214" fontId="163" fillId="0" borderId="0" applyFont="0" applyFill="0" applyBorder="0" applyAlignment="0" applyProtection="0">
      <alignment horizontal="left"/>
      <protection locked="0"/>
    </xf>
    <xf numFmtId="0" fontId="163" fillId="68" borderId="0"/>
    <xf numFmtId="0" fontId="162" fillId="34" borderId="50">
      <alignment horizontal="left" vertical="top" wrapText="1" indent="1"/>
      <protection locked="0"/>
    </xf>
    <xf numFmtId="0" fontId="22" fillId="69" borderId="0"/>
    <xf numFmtId="0" fontId="22" fillId="0" borderId="0" applyBorder="0"/>
    <xf numFmtId="0" fontId="177" fillId="70" borderId="48" applyFill="0">
      <alignment horizontal="center"/>
    </xf>
    <xf numFmtId="216" fontId="177" fillId="70" borderId="48" applyFill="0">
      <alignment horizontal="center" vertical="center"/>
    </xf>
    <xf numFmtId="0" fontId="167" fillId="0" borderId="0" applyNumberFormat="0" applyFill="0" applyBorder="0" applyAlignment="0" applyProtection="0">
      <alignment vertical="top"/>
      <protection locked="0"/>
    </xf>
    <xf numFmtId="0" fontId="139" fillId="0" borderId="0" applyNumberFormat="0" applyFill="0" applyAlignment="0"/>
    <xf numFmtId="0" fontId="139" fillId="70" borderId="0" applyNumberFormat="0" applyFill="0" applyAlignment="0"/>
    <xf numFmtId="0" fontId="163" fillId="69" borderId="0" applyFill="0" applyBorder="0">
      <alignment wrapText="1"/>
    </xf>
    <xf numFmtId="0" fontId="162" fillId="36" borderId="51" applyNumberFormat="0" applyFill="0">
      <alignment horizontal="left"/>
    </xf>
    <xf numFmtId="0" fontId="17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230" fontId="22" fillId="0" borderId="0" applyFont="0" applyFill="0" applyBorder="0" applyAlignment="0" applyProtection="0"/>
    <xf numFmtId="0" fontId="134" fillId="69" borderId="0" applyFill="0" applyBorder="0">
      <alignment horizontal="centerContinuous" wrapText="1"/>
    </xf>
    <xf numFmtId="0" fontId="162" fillId="36" borderId="50" applyNumberFormat="0">
      <alignment horizontal="left"/>
    </xf>
    <xf numFmtId="0" fontId="22" fillId="0" borderId="0"/>
    <xf numFmtId="0" fontId="1" fillId="0" borderId="0"/>
    <xf numFmtId="0" fontId="162" fillId="36" borderId="53" applyNumberFormat="0" applyFill="0">
      <alignment horizontal="left"/>
    </xf>
    <xf numFmtId="214" fontId="163" fillId="0" borderId="0" applyFont="0" applyFill="0" applyBorder="0" applyAlignment="0" applyProtection="0">
      <alignment horizontal="left"/>
      <protection locked="0"/>
    </xf>
    <xf numFmtId="0" fontId="179" fillId="0" borderId="0" applyNumberFormat="0" applyFill="0" applyBorder="0" applyAlignment="0" applyProtection="0"/>
    <xf numFmtId="0" fontId="22" fillId="70" borderId="0"/>
    <xf numFmtId="0" fontId="22" fillId="0" borderId="0"/>
    <xf numFmtId="173" fontId="1" fillId="0" borderId="0"/>
    <xf numFmtId="173" fontId="1" fillId="0" borderId="0"/>
    <xf numFmtId="173" fontId="1" fillId="0" borderId="0"/>
    <xf numFmtId="0" fontId="1" fillId="0" borderId="0"/>
    <xf numFmtId="0" fontId="54" fillId="0" borderId="0" applyNumberFormat="0" applyFill="0" applyBorder="0" applyAlignment="0" applyProtection="0"/>
    <xf numFmtId="178" fontId="162" fillId="0" borderId="0"/>
    <xf numFmtId="0" fontId="54" fillId="0" borderId="0" applyNumberFormat="0" applyFill="0" applyBorder="0" applyAlignment="0" applyProtection="0"/>
    <xf numFmtId="0" fontId="54" fillId="0" borderId="0" applyNumberFormat="0" applyFill="0" applyBorder="0" applyAlignment="0" applyProtection="0"/>
    <xf numFmtId="0" fontId="20" fillId="0" borderId="0"/>
    <xf numFmtId="0" fontId="22" fillId="0" borderId="0" applyFont="0" applyFill="0" applyBorder="0" applyAlignment="0" applyProtection="0"/>
    <xf numFmtId="0" fontId="1" fillId="0" borderId="0"/>
    <xf numFmtId="0" fontId="81" fillId="0" borderId="0"/>
    <xf numFmtId="0" fontId="42" fillId="0" borderId="0"/>
    <xf numFmtId="0" fontId="1" fillId="0" borderId="0"/>
    <xf numFmtId="0" fontId="22" fillId="0" borderId="0" applyNumberFormat="0" applyFill="0" applyBorder="0" applyAlignment="0" applyProtection="0"/>
    <xf numFmtId="0" fontId="42" fillId="0" borderId="5">
      <alignment horizontal="center" vertical="center"/>
    </xf>
    <xf numFmtId="0" fontId="49" fillId="0" borderId="0" applyNumberFormat="0" applyFill="0" applyBorder="0" applyAlignment="0" applyProtection="0">
      <alignment vertical="top"/>
      <protection locked="0"/>
    </xf>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50" fillId="17"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4" borderId="0" applyNumberFormat="0" applyBorder="0" applyAlignment="0" applyProtection="0"/>
    <xf numFmtId="0" fontId="51" fillId="8" borderId="0" applyNumberFormat="0" applyBorder="0" applyAlignment="0" applyProtection="0"/>
    <xf numFmtId="0" fontId="52" fillId="25" borderId="14" applyNumberFormat="0" applyAlignment="0" applyProtection="0"/>
    <xf numFmtId="0" fontId="53" fillId="26" borderId="15" applyNumberFormat="0" applyAlignment="0" applyProtection="0"/>
    <xf numFmtId="0" fontId="54" fillId="0" borderId="0" applyNumberFormat="0" applyFill="0" applyBorder="0" applyAlignment="0" applyProtection="0"/>
    <xf numFmtId="0" fontId="55" fillId="9" borderId="0" applyNumberFormat="0" applyBorder="0" applyAlignment="0" applyProtection="0"/>
    <xf numFmtId="0" fontId="59" fillId="12" borderId="14" applyNumberFormat="0" applyAlignment="0" applyProtection="0"/>
    <xf numFmtId="0" fontId="61" fillId="27" borderId="0" applyNumberFormat="0" applyBorder="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63" fillId="0" borderId="0" applyNumberFormat="0" applyFill="0" applyBorder="0" applyAlignment="0" applyProtection="0"/>
    <xf numFmtId="0" fontId="54" fillId="0" borderId="0" applyNumberFormat="0" applyFill="0" applyBorder="0" applyAlignment="0" applyProtection="0"/>
    <xf numFmtId="0" fontId="52" fillId="25" borderId="14" applyNumberFormat="0" applyAlignment="0" applyProtection="0"/>
    <xf numFmtId="0" fontId="54" fillId="0" borderId="0" applyNumberFormat="0" applyFill="0" applyBorder="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216" fontId="163" fillId="0" borderId="0" applyFont="0" applyFill="0" applyBorder="0" applyProtection="0">
      <protection locked="0"/>
    </xf>
    <xf numFmtId="0" fontId="177" fillId="70" borderId="48" applyFill="0">
      <alignment horizontal="center"/>
    </xf>
    <xf numFmtId="216" fontId="177" fillId="70" borderId="48" applyFill="0">
      <alignment horizontal="center" vertical="center"/>
    </xf>
    <xf numFmtId="216" fontId="163" fillId="0" borderId="0" applyFont="0" applyFill="0" applyBorder="0" applyProtection="0">
      <protection locked="0"/>
    </xf>
    <xf numFmtId="216" fontId="177" fillId="70" borderId="48" applyFill="0">
      <alignment horizontal="center" vertical="center"/>
    </xf>
    <xf numFmtId="0" fontId="177" fillId="70" borderId="48" applyFill="0">
      <alignment horizontal="center"/>
    </xf>
    <xf numFmtId="0" fontId="52" fillId="25" borderId="14" applyNumberFormat="0" applyAlignment="0" applyProtection="0"/>
    <xf numFmtId="0" fontId="149" fillId="0" borderId="0" applyNumberFormat="0" applyFill="0" applyBorder="0" applyAlignment="0" applyProtection="0"/>
    <xf numFmtId="0" fontId="56" fillId="0" borderId="38" applyNumberFormat="0" applyFill="0" applyAlignment="0" applyProtection="0"/>
    <xf numFmtId="0" fontId="57" fillId="0" borderId="39" applyNumberFormat="0" applyFill="0" applyAlignment="0" applyProtection="0"/>
    <xf numFmtId="0" fontId="58" fillId="0" borderId="16" applyNumberFormat="0" applyFill="0" applyAlignment="0" applyProtection="0"/>
    <xf numFmtId="0" fontId="58" fillId="0" borderId="0" applyNumberFormat="0" applyFill="0" applyBorder="0" applyAlignment="0" applyProtection="0"/>
    <xf numFmtId="0" fontId="153" fillId="0" borderId="0" applyNumberFormat="0" applyFill="0" applyBorder="0" applyAlignment="0" applyProtection="0"/>
    <xf numFmtId="0" fontId="59" fillId="12" borderId="14" applyNumberFormat="0" applyAlignment="0" applyProtection="0"/>
    <xf numFmtId="0" fontId="22" fillId="0" borderId="0" applyBorder="0"/>
    <xf numFmtId="0" fontId="23" fillId="0" borderId="0"/>
    <xf numFmtId="0" fontId="22" fillId="28" borderId="18" applyNumberFormat="0" applyFont="0" applyAlignment="0" applyProtection="0"/>
    <xf numFmtId="0" fontId="62" fillId="25" borderId="19" applyNumberFormat="0" applyAlignment="0" applyProtection="0"/>
    <xf numFmtId="178" fontId="168" fillId="0" borderId="0" applyNumberFormat="0" applyFill="0" applyAlignment="0" applyProtection="0"/>
    <xf numFmtId="0" fontId="35" fillId="0" borderId="0" applyNumberFormat="0" applyFill="0" applyBorder="0" applyAlignment="0" applyProtection="0"/>
    <xf numFmtId="0" fontId="40" fillId="0" borderId="20" applyNumberFormat="0" applyFill="0" applyAlignment="0" applyProtection="0"/>
    <xf numFmtId="0" fontId="3" fillId="0" borderId="20" applyNumberFormat="0" applyFill="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64" fontId="39"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39" fillId="0" borderId="0" applyFont="0" applyFill="0" applyBorder="0" applyAlignment="0" applyProtection="0"/>
    <xf numFmtId="164" fontId="1" fillId="0" borderId="0" applyFont="0" applyFill="0" applyBorder="0" applyAlignment="0" applyProtection="0"/>
    <xf numFmtId="186" fontId="1" fillId="0" borderId="0" applyFont="0" applyFill="0" applyBorder="0" applyAlignment="0" applyProtection="0"/>
    <xf numFmtId="0" fontId="193" fillId="0" borderId="0"/>
    <xf numFmtId="9" fontId="193" fillId="0" borderId="0" applyFont="0" applyFill="0" applyBorder="0" applyAlignment="0" applyProtection="0"/>
    <xf numFmtId="178" fontId="162" fillId="36" borderId="0"/>
    <xf numFmtId="0" fontId="194" fillId="0" borderId="0" applyNumberFormat="0" applyFont="0" applyProtection="0">
      <alignment horizontal="right" vertical="center"/>
    </xf>
    <xf numFmtId="9" fontId="39" fillId="0" borderId="0" applyFont="0" applyFill="0" applyBorder="0" applyAlignment="0" applyProtection="0"/>
    <xf numFmtId="0" fontId="1" fillId="0" borderId="0"/>
    <xf numFmtId="0" fontId="162" fillId="0" borderId="0"/>
    <xf numFmtId="0" fontId="168" fillId="0" borderId="0" applyNumberFormat="0" applyFill="0" applyAlignment="0"/>
    <xf numFmtId="0" fontId="171" fillId="0" borderId="0" applyNumberFormat="0" applyFill="0" applyBorder="0" applyAlignment="0" applyProtection="0">
      <alignment vertical="top"/>
      <protection locked="0"/>
    </xf>
    <xf numFmtId="0" fontId="54" fillId="0" borderId="0" applyNumberFormat="0" applyFill="0" applyBorder="0" applyAlignment="0" applyProtection="0"/>
    <xf numFmtId="231" fontId="22" fillId="0" borderId="0" applyFont="0" applyFill="0" applyBorder="0" applyAlignment="0" applyProtection="0"/>
    <xf numFmtId="0" fontId="167" fillId="0" borderId="0" applyNumberFormat="0" applyFill="0" applyBorder="0" applyAlignment="0" applyProtection="0">
      <alignment vertical="top"/>
      <protection locked="0"/>
    </xf>
    <xf numFmtId="0" fontId="163" fillId="69" borderId="0" applyFill="0" applyBorder="0">
      <alignment wrapText="1"/>
    </xf>
    <xf numFmtId="0" fontId="179" fillId="0" borderId="0" applyNumberFormat="0" applyFill="0" applyBorder="0" applyAlignment="0" applyProtection="0"/>
    <xf numFmtId="0" fontId="54" fillId="0" borderId="0" applyNumberFormat="0" applyFill="0" applyBorder="0" applyAlignment="0" applyProtection="0"/>
    <xf numFmtId="232" fontId="22" fillId="0" borderId="0" applyFont="0" applyFill="0" applyBorder="0" applyAlignment="0" applyProtection="0"/>
    <xf numFmtId="0" fontId="60" fillId="0" borderId="17" applyNumberFormat="0" applyFill="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41" fillId="42" borderId="43" applyNumberFormat="0" applyFont="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164" fontId="1" fillId="0" borderId="0" applyFont="0" applyFill="0" applyBorder="0" applyAlignment="0" applyProtection="0"/>
    <xf numFmtId="0" fontId="22" fillId="0" borderId="0" applyBorder="0"/>
    <xf numFmtId="9" fontId="39" fillId="0" borderId="0" applyFont="0" applyFill="0" applyBorder="0" applyAlignment="0" applyProtection="0"/>
    <xf numFmtId="178" fontId="168" fillId="0" borderId="0" applyNumberFormat="0" applyFill="0" applyAlignment="0"/>
    <xf numFmtId="40" fontId="22" fillId="0" borderId="48">
      <alignment vertical="top" wrapText="1"/>
    </xf>
    <xf numFmtId="0" fontId="22" fillId="0" borderId="0"/>
    <xf numFmtId="164" fontId="22" fillId="0" borderId="0" applyFont="0" applyFill="0" applyBorder="0" applyAlignment="0" applyProtection="0"/>
    <xf numFmtId="229" fontId="22" fillId="0" borderId="0" applyFont="0" applyFill="0" applyBorder="0" applyAlignment="0" applyProtection="0"/>
    <xf numFmtId="16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165" fillId="0" borderId="50" applyFill="0">
      <alignment horizontal="center"/>
    </xf>
    <xf numFmtId="229" fontId="22" fillId="0" borderId="0" applyFont="0" applyFill="0" applyBorder="0" applyAlignment="0" applyProtection="0"/>
    <xf numFmtId="164" fontId="1" fillId="0" borderId="0" applyFont="0" applyFill="0" applyBorder="0" applyAlignment="0" applyProtection="0"/>
    <xf numFmtId="230" fontId="22" fillId="0" borderId="0" applyFont="0" applyFill="0" applyBorder="0" applyAlignment="0" applyProtection="0"/>
    <xf numFmtId="0" fontId="22" fillId="0" borderId="0">
      <alignment horizontal="center" wrapText="1"/>
    </xf>
    <xf numFmtId="0" fontId="1" fillId="0" borderId="0"/>
    <xf numFmtId="229" fontId="22" fillId="0" borderId="0" applyFont="0" applyFill="0" applyBorder="0" applyAlignment="0" applyProtection="0"/>
    <xf numFmtId="0" fontId="1" fillId="0" borderId="0"/>
    <xf numFmtId="0" fontId="1" fillId="0" borderId="0"/>
    <xf numFmtId="0" fontId="1" fillId="0" borderId="0"/>
    <xf numFmtId="178" fontId="165" fillId="0" borderId="50" applyFill="0">
      <alignment horizontal="center"/>
    </xf>
    <xf numFmtId="9" fontId="22" fillId="0" borderId="0" applyFont="0" applyFill="0" applyBorder="0" applyAlignment="0" applyProtection="0"/>
    <xf numFmtId="9" fontId="22" fillId="0" borderId="0" applyFont="0" applyFill="0" applyBorder="0" applyAlignment="0" applyProtection="0"/>
    <xf numFmtId="173" fontId="1" fillId="0" borderId="0"/>
    <xf numFmtId="0" fontId="1" fillId="0" borderId="0"/>
    <xf numFmtId="9" fontId="22" fillId="0" borderId="0" applyFont="0" applyFill="0" applyBorder="0" applyAlignment="0" applyProtection="0"/>
    <xf numFmtId="164" fontId="1" fillId="0" borderId="0" applyFont="0" applyFill="0" applyBorder="0" applyAlignment="0" applyProtection="0"/>
    <xf numFmtId="0" fontId="22" fillId="0" borderId="0" applyBorder="0"/>
    <xf numFmtId="0" fontId="22" fillId="0" borderId="0"/>
    <xf numFmtId="0" fontId="22" fillId="0" borderId="0"/>
    <xf numFmtId="216" fontId="163" fillId="0" borderId="0" applyFont="0" applyFill="0" applyBorder="0" applyProtection="0">
      <protection locked="0"/>
    </xf>
    <xf numFmtId="216" fontId="163" fillId="0" borderId="0" applyFont="0" applyFill="0" applyBorder="0" applyProtection="0">
      <protection locked="0"/>
    </xf>
    <xf numFmtId="216" fontId="163" fillId="0" borderId="0" applyFont="0" applyFill="0" applyBorder="0" applyProtection="0">
      <protection locked="0"/>
    </xf>
    <xf numFmtId="216" fontId="163" fillId="0" borderId="0" applyFont="0" applyFill="0" applyBorder="0" applyProtection="0">
      <protection locked="0"/>
    </xf>
    <xf numFmtId="216" fontId="163" fillId="0" borderId="0" applyFont="0" applyFill="0" applyBorder="0" applyProtection="0">
      <protection locked="0"/>
    </xf>
    <xf numFmtId="0" fontId="22" fillId="0" borderId="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0" borderId="0" applyNumberFormat="0" applyBorder="0" applyAlignment="0" applyProtection="0"/>
    <xf numFmtId="0" fontId="64" fillId="13" borderId="0" applyNumberFormat="0" applyBorder="0" applyAlignment="0" applyProtection="0"/>
    <xf numFmtId="0" fontId="64" fillId="16" borderId="0" applyNumberFormat="0" applyBorder="0" applyAlignment="0" applyProtection="0"/>
    <xf numFmtId="0" fontId="181" fillId="17" borderId="0" applyNumberFormat="0" applyBorder="0" applyAlignment="0" applyProtection="0"/>
    <xf numFmtId="0" fontId="181" fillId="14" borderId="0" applyNumberFormat="0" applyBorder="0" applyAlignment="0" applyProtection="0"/>
    <xf numFmtId="0" fontId="181" fillId="15" borderId="0" applyNumberFormat="0" applyBorder="0" applyAlignment="0" applyProtection="0"/>
    <xf numFmtId="0" fontId="181" fillId="18" borderId="0" applyNumberFormat="0" applyBorder="0" applyAlignment="0" applyProtection="0"/>
    <xf numFmtId="0" fontId="181" fillId="19" borderId="0" applyNumberFormat="0" applyBorder="0" applyAlignment="0" applyProtection="0"/>
    <xf numFmtId="0" fontId="181" fillId="20" borderId="0" applyNumberFormat="0" applyBorder="0" applyAlignment="0" applyProtection="0"/>
    <xf numFmtId="0" fontId="181" fillId="21" borderId="0" applyNumberFormat="0" applyBorder="0" applyAlignment="0" applyProtection="0"/>
    <xf numFmtId="0" fontId="181" fillId="22" borderId="0" applyNumberFormat="0" applyBorder="0" applyAlignment="0" applyProtection="0"/>
    <xf numFmtId="0" fontId="181" fillId="23" borderId="0" applyNumberFormat="0" applyBorder="0" applyAlignment="0" applyProtection="0"/>
    <xf numFmtId="0" fontId="181" fillId="18" borderId="0" applyNumberFormat="0" applyBorder="0" applyAlignment="0" applyProtection="0"/>
    <xf numFmtId="0" fontId="181" fillId="19" borderId="0" applyNumberFormat="0" applyBorder="0" applyAlignment="0" applyProtection="0"/>
    <xf numFmtId="0" fontId="181" fillId="24" borderId="0" applyNumberFormat="0" applyBorder="0" applyAlignment="0" applyProtection="0"/>
    <xf numFmtId="0" fontId="182" fillId="8" borderId="0" applyNumberFormat="0" applyBorder="0" applyAlignment="0" applyProtection="0"/>
    <xf numFmtId="0" fontId="183" fillId="25" borderId="14" applyNumberFormat="0" applyAlignment="0" applyProtection="0"/>
    <xf numFmtId="0" fontId="184" fillId="26" borderId="15" applyNumberFormat="0" applyAlignment="0" applyProtection="0"/>
    <xf numFmtId="0" fontId="185" fillId="0" borderId="0" applyNumberFormat="0" applyFill="0" applyBorder="0" applyAlignment="0" applyProtection="0"/>
    <xf numFmtId="0" fontId="186" fillId="9" borderId="0" applyNumberFormat="0" applyBorder="0" applyAlignment="0" applyProtection="0"/>
    <xf numFmtId="0" fontId="72" fillId="0" borderId="38" applyNumberFormat="0" applyFill="0" applyAlignment="0" applyProtection="0"/>
    <xf numFmtId="0" fontId="73" fillId="0" borderId="39" applyNumberFormat="0" applyFill="0" applyAlignment="0" applyProtection="0"/>
    <xf numFmtId="0" fontId="74" fillId="0" borderId="16" applyNumberFormat="0" applyFill="0" applyAlignment="0" applyProtection="0"/>
    <xf numFmtId="0" fontId="74" fillId="0" borderId="0" applyNumberFormat="0" applyFill="0" applyBorder="0" applyAlignment="0" applyProtection="0"/>
    <xf numFmtId="0" fontId="180" fillId="0" borderId="0" applyNumberFormat="0" applyFill="0" applyBorder="0" applyAlignment="0" applyProtection="0">
      <alignment vertical="top"/>
      <protection locked="0"/>
    </xf>
    <xf numFmtId="0" fontId="187" fillId="12" borderId="14" applyNumberFormat="0" applyAlignment="0" applyProtection="0"/>
    <xf numFmtId="0" fontId="188" fillId="0" borderId="17" applyNumberFormat="0" applyFill="0" applyAlignment="0" applyProtection="0"/>
    <xf numFmtId="0" fontId="189" fillId="27" borderId="0" applyNumberFormat="0" applyBorder="0" applyAlignment="0" applyProtection="0"/>
    <xf numFmtId="0" fontId="65" fillId="0" borderId="0"/>
    <xf numFmtId="0" fontId="64" fillId="0" borderId="0"/>
    <xf numFmtId="0" fontId="64" fillId="0" borderId="0"/>
    <xf numFmtId="0" fontId="64" fillId="0" borderId="0"/>
    <xf numFmtId="0" fontId="22" fillId="28" borderId="18" applyNumberFormat="0" applyFont="0" applyAlignment="0" applyProtection="0"/>
    <xf numFmtId="0" fontId="190" fillId="25" borderId="19" applyNumberFormat="0" applyAlignment="0" applyProtection="0"/>
    <xf numFmtId="0" fontId="191" fillId="0" borderId="20" applyNumberFormat="0" applyFill="0" applyAlignment="0" applyProtection="0"/>
    <xf numFmtId="0" fontId="192" fillId="0" borderId="0" applyNumberFormat="0" applyFill="0" applyBorder="0" applyAlignment="0" applyProtection="0"/>
    <xf numFmtId="173" fontId="39" fillId="0" borderId="0"/>
    <xf numFmtId="0" fontId="64" fillId="0" borderId="0"/>
    <xf numFmtId="0" fontId="64" fillId="0" borderId="0"/>
    <xf numFmtId="0" fontId="185" fillId="0" borderId="0" applyNumberFormat="0" applyFill="0" applyBorder="0" applyAlignment="0" applyProtection="0"/>
    <xf numFmtId="0" fontId="185" fillId="0" borderId="0" applyNumberFormat="0" applyFill="0" applyBorder="0" applyAlignment="0" applyProtection="0"/>
    <xf numFmtId="0" fontId="64" fillId="0" borderId="0"/>
    <xf numFmtId="0" fontId="64" fillId="0" borderId="0"/>
    <xf numFmtId="0" fontId="22" fillId="0" borderId="0"/>
    <xf numFmtId="0" fontId="22" fillId="28" borderId="18" applyNumberFormat="0" applyFont="0" applyAlignment="0" applyProtection="0"/>
    <xf numFmtId="0" fontId="26" fillId="25" borderId="14" applyNumberFormat="0" applyAlignment="0" applyProtection="0"/>
    <xf numFmtId="0" fontId="89" fillId="12" borderId="14" applyNumberFormat="0" applyAlignment="0" applyProtection="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177" fillId="70" borderId="48" applyFill="0">
      <alignment horizontal="center"/>
    </xf>
    <xf numFmtId="216" fontId="177" fillId="70" borderId="48" applyFill="0">
      <alignment horizontal="center" vertical="center"/>
    </xf>
    <xf numFmtId="0" fontId="1" fillId="0" borderId="0"/>
    <xf numFmtId="0" fontId="22" fillId="0" borderId="0"/>
    <xf numFmtId="0" fontId="64" fillId="0" borderId="0"/>
    <xf numFmtId="0" fontId="64" fillId="0" borderId="0"/>
    <xf numFmtId="0" fontId="64" fillId="0" borderId="0"/>
    <xf numFmtId="0" fontId="64" fillId="0" borderId="0"/>
    <xf numFmtId="0" fontId="22" fillId="0" borderId="0"/>
    <xf numFmtId="0" fontId="39" fillId="0" borderId="0"/>
    <xf numFmtId="0" fontId="22" fillId="0" borderId="0"/>
    <xf numFmtId="0" fontId="1" fillId="0" borderId="0"/>
    <xf numFmtId="0" fontId="22" fillId="0" borderId="0"/>
    <xf numFmtId="0" fontId="1" fillId="0" borderId="0"/>
    <xf numFmtId="0" fontId="22" fillId="0" borderId="0"/>
    <xf numFmtId="0" fontId="22" fillId="0" borderId="0"/>
    <xf numFmtId="173"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Border="0"/>
    <xf numFmtId="0" fontId="22" fillId="0" borderId="0"/>
    <xf numFmtId="0" fontId="22" fillId="0" borderId="0"/>
    <xf numFmtId="0" fontId="22" fillId="0" borderId="0"/>
    <xf numFmtId="0" fontId="22" fillId="0" borderId="0"/>
    <xf numFmtId="0" fontId="22" fillId="0" borderId="0"/>
    <xf numFmtId="0" fontId="22" fillId="28" borderId="18" applyNumberFormat="0" applyFont="0" applyAlignment="0" applyProtection="0"/>
    <xf numFmtId="0" fontId="22" fillId="0" borderId="0"/>
    <xf numFmtId="0" fontId="42" fillId="0" borderId="12">
      <alignment horizontal="center" vertical="center"/>
    </xf>
    <xf numFmtId="0" fontId="22" fillId="28" borderId="18" applyNumberFormat="0" applyFont="0" applyAlignment="0" applyProtection="0"/>
    <xf numFmtId="0" fontId="22" fillId="0" borderId="0"/>
    <xf numFmtId="0" fontId="22" fillId="0" borderId="0"/>
    <xf numFmtId="0" fontId="22" fillId="0" borderId="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34" fillId="25" borderId="19" applyNumberFormat="0" applyAlignment="0" applyProtection="0"/>
    <xf numFmtId="0" fontId="62" fillId="25" borderId="19" applyNumberFormat="0" applyAlignment="0" applyProtection="0"/>
    <xf numFmtId="0" fontId="36" fillId="0" borderId="20" applyNumberFormat="0" applyFill="0" applyAlignment="0" applyProtection="0"/>
    <xf numFmtId="0" fontId="89" fillId="12" borderId="14" applyNumberFormat="0" applyAlignment="0" applyProtection="0"/>
    <xf numFmtId="0" fontId="42" fillId="0" borderId="12">
      <alignment horizontal="center" vertical="center"/>
    </xf>
    <xf numFmtId="0" fontId="183" fillId="25" borderId="14" applyNumberFormat="0" applyAlignment="0" applyProtection="0"/>
    <xf numFmtId="0" fontId="52" fillId="25" borderId="14" applyNumberFormat="0" applyAlignment="0" applyProtection="0"/>
    <xf numFmtId="0" fontId="40" fillId="0" borderId="20" applyNumberFormat="0" applyFill="0" applyAlignment="0" applyProtection="0"/>
    <xf numFmtId="0" fontId="62" fillId="25" borderId="19" applyNumberFormat="0" applyAlignment="0" applyProtection="0"/>
    <xf numFmtId="0" fontId="59" fillId="12" borderId="14" applyNumberFormat="0" applyAlignment="0" applyProtection="0"/>
    <xf numFmtId="0" fontId="52" fillId="25" borderId="14" applyNumberFormat="0" applyAlignment="0" applyProtection="0"/>
    <xf numFmtId="0" fontId="59" fillId="12" borderId="14" applyNumberFormat="0" applyAlignment="0" applyProtection="0"/>
    <xf numFmtId="0" fontId="59" fillId="12" borderId="14" applyNumberFormat="0" applyAlignment="0" applyProtection="0"/>
    <xf numFmtId="0" fontId="36" fillId="0" borderId="20" applyNumberFormat="0" applyFill="0" applyAlignment="0" applyProtection="0"/>
    <xf numFmtId="0" fontId="34" fillId="25" borderId="19" applyNumberFormat="0" applyAlignment="0" applyProtection="0"/>
    <xf numFmtId="0" fontId="62" fillId="25" borderId="19"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3" fillId="0" borderId="20" applyNumberFormat="0" applyFill="0" applyAlignment="0" applyProtection="0"/>
    <xf numFmtId="0" fontId="22" fillId="28" borderId="18" applyNumberFormat="0" applyFont="0" applyAlignment="0" applyProtection="0"/>
    <xf numFmtId="0" fontId="40" fillId="0" borderId="20" applyNumberFormat="0" applyFill="0" applyAlignment="0" applyProtection="0"/>
    <xf numFmtId="0" fontId="26" fillId="25" borderId="14" applyNumberFormat="0" applyAlignment="0" applyProtection="0"/>
    <xf numFmtId="0" fontId="191" fillId="0" borderId="20" applyNumberFormat="0" applyFill="0" applyAlignment="0" applyProtection="0"/>
    <xf numFmtId="0" fontId="26" fillId="25" borderId="14" applyNumberFormat="0" applyAlignment="0" applyProtection="0"/>
    <xf numFmtId="0" fontId="89" fillId="12" borderId="14" applyNumberFormat="0" applyAlignment="0" applyProtection="0"/>
    <xf numFmtId="0" fontId="26" fillId="25" borderId="14" applyNumberFormat="0" applyAlignment="0" applyProtection="0"/>
    <xf numFmtId="0" fontId="23"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42" fillId="0" borderId="5">
      <alignment horizontal="center" vertical="center"/>
    </xf>
    <xf numFmtId="0" fontId="62" fillId="25" borderId="19" applyNumberFormat="0" applyAlignment="0" applyProtection="0"/>
    <xf numFmtId="0" fontId="59" fillId="12" borderId="14" applyNumberFormat="0" applyAlignment="0" applyProtection="0"/>
    <xf numFmtId="0" fontId="190" fillId="25" borderId="19" applyNumberFormat="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3"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62" fillId="25" borderId="19" applyNumberForma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3" fillId="0" borderId="20" applyNumberFormat="0" applyFill="0" applyAlignment="0" applyProtection="0"/>
    <xf numFmtId="0" fontId="52" fillId="25" borderId="14" applyNumberFormat="0" applyAlignment="0" applyProtection="0"/>
    <xf numFmtId="0" fontId="89" fillId="12" borderId="14" applyNumberFormat="0" applyAlignment="0" applyProtection="0"/>
    <xf numFmtId="0" fontId="52" fillId="25" borderId="14" applyNumberFormat="0" applyAlignment="0" applyProtection="0"/>
    <xf numFmtId="0" fontId="62" fillId="25" borderId="19" applyNumberFormat="0" applyAlignment="0" applyProtection="0"/>
    <xf numFmtId="0" fontId="59" fillId="12" borderId="14" applyNumberFormat="0" applyAlignment="0" applyProtection="0"/>
    <xf numFmtId="0" fontId="3"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40" fillId="0" borderId="20" applyNumberFormat="0" applyFill="0" applyAlignment="0" applyProtection="0"/>
    <xf numFmtId="0" fontId="40" fillId="0" borderId="20" applyNumberFormat="0" applyFill="0" applyAlignment="0" applyProtection="0"/>
    <xf numFmtId="0" fontId="62" fillId="25" borderId="19" applyNumberFormat="0" applyAlignment="0" applyProtection="0"/>
    <xf numFmtId="0" fontId="52" fillId="25" borderId="14" applyNumberFormat="0" applyAlignment="0" applyProtection="0"/>
    <xf numFmtId="0" fontId="187" fillId="12" borderId="14" applyNumberFormat="0" applyAlignment="0" applyProtection="0"/>
    <xf numFmtId="0" fontId="183" fillId="25" borderId="14" applyNumberFormat="0" applyAlignment="0" applyProtection="0"/>
    <xf numFmtId="0" fontId="42" fillId="0" borderId="5">
      <alignment horizontal="center" vertical="center"/>
    </xf>
    <xf numFmtId="0" fontId="187" fillId="12" borderId="14" applyNumberFormat="0" applyAlignment="0" applyProtection="0"/>
    <xf numFmtId="0" fontId="22" fillId="28" borderId="18" applyNumberFormat="0" applyFont="0" applyAlignment="0" applyProtection="0"/>
    <xf numFmtId="0" fontId="191" fillId="0" borderId="20" applyNumberFormat="0" applyFill="0" applyAlignment="0" applyProtection="0"/>
    <xf numFmtId="0" fontId="40" fillId="0" borderId="20" applyNumberFormat="0" applyFill="0" applyAlignment="0" applyProtection="0"/>
    <xf numFmtId="0" fontId="22" fillId="28" borderId="18" applyNumberFormat="0" applyFont="0" applyAlignment="0" applyProtection="0"/>
    <xf numFmtId="0" fontId="26" fillId="25" borderId="14" applyNumberFormat="0" applyAlignment="0" applyProtection="0"/>
    <xf numFmtId="0" fontId="89" fillId="12" borderId="14" applyNumberFormat="0" applyAlignment="0" applyProtection="0"/>
    <xf numFmtId="0" fontId="23" fillId="28" borderId="18" applyNumberFormat="0" applyFont="0" applyAlignment="0" applyProtection="0"/>
    <xf numFmtId="0" fontId="36"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52" fillId="25" borderId="14" applyNumberFormat="0" applyAlignment="0" applyProtection="0"/>
    <xf numFmtId="0" fontId="59" fillId="12" borderId="14" applyNumberFormat="0" applyAlignment="0" applyProtection="0"/>
    <xf numFmtId="0" fontId="22" fillId="28" borderId="18" applyNumberFormat="0" applyFont="0" applyAlignment="0" applyProtection="0"/>
    <xf numFmtId="0" fontId="40" fillId="0" borderId="20" applyNumberFormat="0" applyFill="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54" fillId="0" borderId="0" applyNumberFormat="0" applyFill="0" applyBorder="0" applyAlignment="0" applyProtection="0"/>
    <xf numFmtId="164" fontId="1" fillId="0" borderId="0" applyFont="0" applyFill="0" applyBorder="0" applyAlignment="0" applyProtection="0"/>
    <xf numFmtId="0" fontId="22" fillId="0" borderId="0"/>
    <xf numFmtId="0" fontId="22" fillId="0" borderId="0"/>
    <xf numFmtId="0" fontId="43" fillId="0" borderId="0"/>
    <xf numFmtId="0" fontId="43" fillId="0" borderId="0"/>
    <xf numFmtId="164" fontId="1" fillId="0" borderId="0" applyFont="0" applyFill="0" applyBorder="0" applyAlignment="0" applyProtection="0"/>
    <xf numFmtId="0" fontId="1" fillId="0" borderId="0"/>
    <xf numFmtId="226" fontId="54" fillId="0" borderId="0" applyNumberFormat="0" applyFill="0" applyBorder="0" applyAlignment="0" applyProtection="0"/>
    <xf numFmtId="226" fontId="74"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226" fontId="58" fillId="0" borderId="16" applyNumberFormat="0" applyFill="0" applyAlignment="0" applyProtection="0"/>
    <xf numFmtId="0" fontId="58" fillId="0" borderId="16" applyNumberFormat="0" applyFill="0" applyAlignment="0" applyProtection="0"/>
    <xf numFmtId="226" fontId="58" fillId="0" borderId="16" applyNumberFormat="0" applyFill="0" applyAlignment="0" applyProtection="0"/>
    <xf numFmtId="226" fontId="30" fillId="0" borderId="16" applyNumberFormat="0" applyFill="0" applyAlignment="0" applyProtection="0"/>
    <xf numFmtId="164" fontId="1" fillId="0" borderId="0" applyFont="0" applyFill="0" applyBorder="0" applyAlignment="0" applyProtection="0"/>
    <xf numFmtId="0" fontId="30" fillId="0" borderId="16" applyNumberFormat="0" applyFill="0" applyAlignment="0" applyProtection="0"/>
    <xf numFmtId="0" fontId="74" fillId="0" borderId="16" applyNumberFormat="0" applyFill="0" applyAlignment="0" applyProtection="0"/>
    <xf numFmtId="226" fontId="58"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164" fontId="1" fillId="0" borderId="0" applyFont="0" applyFill="0" applyBorder="0" applyAlignment="0" applyProtection="0"/>
    <xf numFmtId="226" fontId="74"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226" fontId="58" fillId="0" borderId="16" applyNumberFormat="0" applyFill="0" applyAlignment="0" applyProtection="0"/>
    <xf numFmtId="226" fontId="30" fillId="0" borderId="16"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58" fillId="0" borderId="16" applyNumberFormat="0" applyFill="0" applyAlignment="0" applyProtection="0"/>
    <xf numFmtId="0" fontId="58" fillId="0" borderId="16" applyNumberFormat="0" applyFill="0" applyAlignment="0" applyProtection="0"/>
    <xf numFmtId="9" fontId="22" fillId="0" borderId="0" applyFont="0" applyFill="0" applyBorder="0" applyAlignment="0" applyProtection="0"/>
    <xf numFmtId="0" fontId="30" fillId="0" borderId="16"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0" fontId="58" fillId="0" borderId="16"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9" fillId="0" borderId="0" applyNumberFormat="0" applyFill="0" applyBorder="0" applyAlignment="0" applyProtection="0"/>
    <xf numFmtId="0" fontId="58" fillId="0" borderId="16" applyNumberFormat="0" applyFill="0" applyAlignment="0" applyProtection="0"/>
    <xf numFmtId="0" fontId="58" fillId="0" borderId="16" applyNumberFormat="0" applyFill="0" applyAlignment="0" applyProtection="0"/>
    <xf numFmtId="226" fontId="30" fillId="0" borderId="16" applyNumberFormat="0" applyFill="0" applyAlignment="0" applyProtection="0"/>
    <xf numFmtId="0" fontId="30"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195" fillId="0" borderId="0"/>
    <xf numFmtId="164" fontId="195" fillId="0" borderId="0" applyFont="0" applyFill="0" applyBorder="0" applyAlignment="0" applyProtection="0"/>
    <xf numFmtId="9" fontId="195" fillId="0" borderId="0" applyFont="0" applyFill="0" applyBorder="0" applyAlignment="0" applyProtection="0"/>
    <xf numFmtId="0" fontId="195" fillId="0" borderId="0"/>
    <xf numFmtId="164" fontId="195" fillId="0" borderId="0" applyFont="0" applyFill="0" applyBorder="0" applyAlignment="0" applyProtection="0"/>
    <xf numFmtId="9" fontId="195" fillId="0" borderId="0" applyFont="0" applyFill="0" applyBorder="0" applyAlignment="0" applyProtection="0"/>
    <xf numFmtId="0" fontId="39" fillId="7" borderId="0" applyNumberFormat="0" applyBorder="0" applyAlignment="0" applyProtection="0"/>
    <xf numFmtId="0" fontId="65"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65"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65"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5"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65"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5"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5"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65" fillId="16" borderId="0" applyNumberFormat="0" applyBorder="0" applyAlignment="0" applyProtection="0"/>
    <xf numFmtId="0" fontId="39" fillId="16" borderId="0" applyNumberFormat="0" applyBorder="0" applyAlignment="0" applyProtection="0"/>
    <xf numFmtId="0" fontId="66" fillId="17" borderId="0" applyNumberFormat="0" applyBorder="0" applyAlignment="0" applyProtection="0"/>
    <xf numFmtId="164" fontId="1" fillId="0" borderId="0" applyFont="0" applyFill="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4" borderId="0" applyNumberFormat="0" applyBorder="0" applyAlignment="0" applyProtection="0"/>
    <xf numFmtId="0" fontId="67" fillId="8" borderId="0" applyNumberFormat="0" applyBorder="0" applyAlignment="0" applyProtection="0"/>
    <xf numFmtId="0" fontId="68" fillId="25" borderId="14" applyNumberFormat="0" applyAlignment="0" applyProtection="0"/>
    <xf numFmtId="0" fontId="69" fillId="26" borderId="15" applyNumberFormat="0" applyAlignment="0" applyProtection="0"/>
    <xf numFmtId="164" fontId="1" fillId="0" borderId="0" applyFont="0" applyFill="0" applyBorder="0" applyAlignment="0" applyProtection="0"/>
    <xf numFmtId="164" fontId="22" fillId="0" borderId="0" applyFont="0" applyFill="0" applyBorder="0" applyAlignment="0" applyProtection="0"/>
    <xf numFmtId="164" fontId="39" fillId="0" borderId="0" applyFon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71" fillId="9" borderId="0" applyNumberFormat="0" applyBorder="0" applyAlignment="0" applyProtection="0"/>
    <xf numFmtId="0" fontId="72" fillId="0" borderId="38" applyNumberFormat="0" applyFill="0" applyAlignment="0" applyProtection="0"/>
    <xf numFmtId="0" fontId="73" fillId="0" borderId="39" applyNumberFormat="0" applyFill="0" applyAlignment="0" applyProtection="0"/>
    <xf numFmtId="0" fontId="74" fillId="0" borderId="16" applyNumberFormat="0" applyFill="0" applyAlignment="0" applyProtection="0"/>
    <xf numFmtId="0" fontId="74" fillId="0" borderId="0" applyNumberFormat="0" applyFill="0" applyBorder="0" applyAlignment="0" applyProtection="0"/>
    <xf numFmtId="0" fontId="75" fillId="12" borderId="14" applyNumberFormat="0" applyAlignment="0" applyProtection="0"/>
    <xf numFmtId="0" fontId="76" fillId="0" borderId="17" applyNumberFormat="0" applyFill="0" applyAlignment="0" applyProtection="0"/>
    <xf numFmtId="164" fontId="1" fillId="0" borderId="0" applyFont="0" applyFill="0" applyBorder="0" applyAlignment="0" applyProtection="0"/>
    <xf numFmtId="0" fontId="77" fillId="27" borderId="0" applyNumberFormat="0" applyBorder="0" applyAlignment="0" applyProtection="0"/>
    <xf numFmtId="0" fontId="22" fillId="0" borderId="0"/>
    <xf numFmtId="164" fontId="1" fillId="0" borderId="0" applyFont="0" applyFill="0" applyBorder="0" applyAlignment="0" applyProtection="0"/>
    <xf numFmtId="0" fontId="22" fillId="0" borderId="0"/>
    <xf numFmtId="0" fontId="22" fillId="0" borderId="0"/>
    <xf numFmtId="173" fontId="39" fillId="0" borderId="0"/>
    <xf numFmtId="173" fontId="39" fillId="0" borderId="0"/>
    <xf numFmtId="0" fontId="65" fillId="0" borderId="0"/>
    <xf numFmtId="0" fontId="65" fillId="0" borderId="0"/>
    <xf numFmtId="0" fontId="65" fillId="0" borderId="0"/>
    <xf numFmtId="178" fontId="39" fillId="0" borderId="0"/>
    <xf numFmtId="0" fontId="22" fillId="0" borderId="0"/>
    <xf numFmtId="0" fontId="22" fillId="0" borderId="0"/>
    <xf numFmtId="0" fontId="23" fillId="0" borderId="0"/>
    <xf numFmtId="173" fontId="39" fillId="0" borderId="0"/>
    <xf numFmtId="178" fontId="22" fillId="0" borderId="0" applyBorder="0"/>
    <xf numFmtId="0" fontId="22" fillId="0" borderId="0" applyBorder="0"/>
    <xf numFmtId="178" fontId="22" fillId="0" borderId="0"/>
    <xf numFmtId="0" fontId="41" fillId="0" borderId="0"/>
    <xf numFmtId="0" fontId="22" fillId="0" borderId="0"/>
    <xf numFmtId="9" fontId="22" fillId="0" borderId="0" applyFont="0" applyFill="0" applyBorder="0" applyAlignment="0" applyProtection="0"/>
    <xf numFmtId="0" fontId="23" fillId="0" borderId="0"/>
    <xf numFmtId="164" fontId="1" fillId="0" borderId="0" applyFont="0" applyFill="0" applyBorder="0" applyAlignment="0" applyProtection="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78" fillId="25" borderId="19" applyNumberFormat="0" applyAlignment="0" applyProtection="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0" fillId="0" borderId="20" applyNumberFormat="0" applyFill="0" applyAlignment="0" applyProtection="0"/>
    <xf numFmtId="0" fontId="79" fillId="0" borderId="20" applyNumberFormat="0" applyFill="0" applyAlignment="0" applyProtection="0"/>
    <xf numFmtId="0" fontId="80" fillId="0" borderId="0" applyNumberFormat="0" applyFill="0" applyBorder="0" applyAlignment="0" applyProtection="0"/>
    <xf numFmtId="9" fontId="163"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0" fontId="22" fillId="0" borderId="0"/>
    <xf numFmtId="164" fontId="1" fillId="0" borderId="0" applyFont="0" applyFill="0" applyBorder="0" applyAlignment="0" applyProtection="0"/>
    <xf numFmtId="9" fontId="16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5" fillId="0" borderId="0" applyFont="0" applyFill="0" applyBorder="0" applyAlignment="0" applyProtection="0"/>
    <xf numFmtId="0" fontId="20" fillId="0" borderId="0"/>
    <xf numFmtId="9" fontId="22" fillId="0" borderId="0" applyFont="0" applyFill="0" applyBorder="0" applyAlignment="0" applyProtection="0"/>
    <xf numFmtId="9" fontId="195"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9" fontId="163" fillId="0" borderId="0" applyFont="0" applyFill="0" applyBorder="0" applyAlignment="0" applyProtection="0"/>
    <xf numFmtId="0" fontId="30" fillId="0" borderId="16"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49" fontId="101" fillId="69" borderId="13">
      <alignment horizontal="right" indent="2"/>
    </xf>
    <xf numFmtId="0" fontId="195" fillId="0" borderId="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41"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0" fontId="22" fillId="0" borderId="0"/>
    <xf numFmtId="173"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64" fontId="39" fillId="0" borderId="0" applyFont="0" applyFill="0" applyBorder="0" applyAlignment="0" applyProtection="0"/>
    <xf numFmtId="49" fontId="101" fillId="69" borderId="13">
      <alignment horizontal="right" indent="2"/>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9" fillId="13" borderId="0" applyNumberFormat="0" applyBorder="0" applyAlignment="0" applyProtection="0"/>
    <xf numFmtId="0" fontId="196"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14" borderId="0" applyNumberFormat="0" applyBorder="0" applyAlignment="0" applyProtection="0"/>
    <xf numFmtId="0" fontId="196"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28" borderId="0" applyNumberFormat="0" applyBorder="0" applyAlignment="0" applyProtection="0"/>
    <xf numFmtId="0" fontId="196"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2" borderId="0" applyNumberFormat="0" applyBorder="0" applyAlignment="0" applyProtection="0"/>
    <xf numFmtId="0" fontId="196"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96"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9" fillId="28" borderId="0" applyNumberFormat="0" applyBorder="0" applyAlignment="0" applyProtection="0"/>
    <xf numFmtId="0" fontId="196"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9" fillId="11" borderId="0" applyNumberFormat="0" applyBorder="0" applyAlignment="0" applyProtection="0"/>
    <xf numFmtId="0" fontId="196"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9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27" borderId="0" applyNumberFormat="0" applyBorder="0" applyAlignment="0" applyProtection="0"/>
    <xf numFmtId="0" fontId="19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9" fillId="8" borderId="0" applyNumberFormat="0" applyBorder="0" applyAlignment="0" applyProtection="0"/>
    <xf numFmtId="0" fontId="19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9" fillId="11" borderId="0" applyNumberFormat="0" applyBorder="0" applyAlignment="0" applyProtection="0"/>
    <xf numFmtId="0" fontId="19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9" fillId="28" borderId="0" applyNumberFormat="0" applyBorder="0" applyAlignment="0" applyProtection="0"/>
    <xf numFmtId="0" fontId="19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50" fillId="11" borderId="0" applyNumberFormat="0" applyBorder="0" applyAlignment="0" applyProtection="0"/>
    <xf numFmtId="0" fontId="197" fillId="46" borderId="0" applyNumberFormat="0" applyBorder="0" applyAlignment="0" applyProtection="0"/>
    <xf numFmtId="0" fontId="130" fillId="46" borderId="0" applyNumberFormat="0" applyBorder="0" applyAlignment="0" applyProtection="0"/>
    <xf numFmtId="0" fontId="50" fillId="24" borderId="0" applyNumberFormat="0" applyBorder="0" applyAlignment="0" applyProtection="0"/>
    <xf numFmtId="0" fontId="197" fillId="50" borderId="0" applyNumberFormat="0" applyBorder="0" applyAlignment="0" applyProtection="0"/>
    <xf numFmtId="0" fontId="130" fillId="50" borderId="0" applyNumberFormat="0" applyBorder="0" applyAlignment="0" applyProtection="0"/>
    <xf numFmtId="0" fontId="50" fillId="16" borderId="0" applyNumberFormat="0" applyBorder="0" applyAlignment="0" applyProtection="0"/>
    <xf numFmtId="0" fontId="197" fillId="54" borderId="0" applyNumberFormat="0" applyBorder="0" applyAlignment="0" applyProtection="0"/>
    <xf numFmtId="0" fontId="130" fillId="54" borderId="0" applyNumberFormat="0" applyBorder="0" applyAlignment="0" applyProtection="0"/>
    <xf numFmtId="0" fontId="50" fillId="8" borderId="0" applyNumberFormat="0" applyBorder="0" applyAlignment="0" applyProtection="0"/>
    <xf numFmtId="0" fontId="197" fillId="58" borderId="0" applyNumberFormat="0" applyBorder="0" applyAlignment="0" applyProtection="0"/>
    <xf numFmtId="0" fontId="130" fillId="58" borderId="0" applyNumberFormat="0" applyBorder="0" applyAlignment="0" applyProtection="0"/>
    <xf numFmtId="0" fontId="50" fillId="11" borderId="0" applyNumberFormat="0" applyBorder="0" applyAlignment="0" applyProtection="0"/>
    <xf numFmtId="0" fontId="197" fillId="62" borderId="0" applyNumberFormat="0" applyBorder="0" applyAlignment="0" applyProtection="0"/>
    <xf numFmtId="0" fontId="130" fillId="62" borderId="0" applyNumberFormat="0" applyBorder="0" applyAlignment="0" applyProtection="0"/>
    <xf numFmtId="0" fontId="50" fillId="14" borderId="0" applyNumberFormat="0" applyBorder="0" applyAlignment="0" applyProtection="0"/>
    <xf numFmtId="0" fontId="197" fillId="66" borderId="0" applyNumberFormat="0" applyBorder="0" applyAlignment="0" applyProtection="0"/>
    <xf numFmtId="0" fontId="130" fillId="66" borderId="0" applyNumberFormat="0" applyBorder="0" applyAlignment="0" applyProtection="0"/>
    <xf numFmtId="0" fontId="50" fillId="72" borderId="0" applyNumberFormat="0" applyBorder="0" applyAlignment="0" applyProtection="0"/>
    <xf numFmtId="0" fontId="197" fillId="43" borderId="0" applyNumberFormat="0" applyBorder="0" applyAlignment="0" applyProtection="0"/>
    <xf numFmtId="0" fontId="130" fillId="43" borderId="0" applyNumberFormat="0" applyBorder="0" applyAlignment="0" applyProtection="0"/>
    <xf numFmtId="0" fontId="50" fillId="24" borderId="0" applyNumberFormat="0" applyBorder="0" applyAlignment="0" applyProtection="0"/>
    <xf numFmtId="0" fontId="197" fillId="47" borderId="0" applyNumberFormat="0" applyBorder="0" applyAlignment="0" applyProtection="0"/>
    <xf numFmtId="0" fontId="130" fillId="47" borderId="0" applyNumberFormat="0" applyBorder="0" applyAlignment="0" applyProtection="0"/>
    <xf numFmtId="0" fontId="50" fillId="16" borderId="0" applyNumberFormat="0" applyBorder="0" applyAlignment="0" applyProtection="0"/>
    <xf numFmtId="0" fontId="197" fillId="51" borderId="0" applyNumberFormat="0" applyBorder="0" applyAlignment="0" applyProtection="0"/>
    <xf numFmtId="0" fontId="130" fillId="51" borderId="0" applyNumberFormat="0" applyBorder="0" applyAlignment="0" applyProtection="0"/>
    <xf numFmtId="0" fontId="50" fillId="73" borderId="0" applyNumberFormat="0" applyBorder="0" applyAlignment="0" applyProtection="0"/>
    <xf numFmtId="0" fontId="197" fillId="55" borderId="0" applyNumberFormat="0" applyBorder="0" applyAlignment="0" applyProtection="0"/>
    <xf numFmtId="0" fontId="130" fillId="55" borderId="0" applyNumberFormat="0" applyBorder="0" applyAlignment="0" applyProtection="0"/>
    <xf numFmtId="0" fontId="197" fillId="59" borderId="0" applyNumberFormat="0" applyBorder="0" applyAlignment="0" applyProtection="0"/>
    <xf numFmtId="0" fontId="130" fillId="59" borderId="0" applyNumberFormat="0" applyBorder="0" applyAlignment="0" applyProtection="0"/>
    <xf numFmtId="0" fontId="50" fillId="22" borderId="0" applyNumberFormat="0" applyBorder="0" applyAlignment="0" applyProtection="0"/>
    <xf numFmtId="0" fontId="197" fillId="63" borderId="0" applyNumberFormat="0" applyBorder="0" applyAlignment="0" applyProtection="0"/>
    <xf numFmtId="0" fontId="130" fillId="63" borderId="0" applyNumberFormat="0" applyBorder="0" applyAlignment="0" applyProtection="0"/>
    <xf numFmtId="0" fontId="51" fillId="10" borderId="0" applyNumberFormat="0" applyBorder="0" applyAlignment="0" applyProtection="0"/>
    <xf numFmtId="0" fontId="198" fillId="38" borderId="0" applyNumberFormat="0" applyBorder="0" applyAlignment="0" applyProtection="0"/>
    <xf numFmtId="0" fontId="122" fillId="38" borderId="0" applyNumberFormat="0" applyBorder="0" applyAlignment="0" applyProtection="0"/>
    <xf numFmtId="4" fontId="22" fillId="74" borderId="0" applyFont="0" applyBorder="0" applyAlignment="0">
      <alignment horizontal="right"/>
    </xf>
    <xf numFmtId="4" fontId="22" fillId="74" borderId="0" applyFont="0" applyBorder="0" applyAlignment="0">
      <alignment horizontal="right"/>
    </xf>
    <xf numFmtId="4" fontId="22" fillId="74" borderId="0" applyFont="0" applyBorder="0" applyAlignment="0">
      <alignment horizontal="right"/>
    </xf>
    <xf numFmtId="4" fontId="22" fillId="74" borderId="0" applyFont="0" applyBorder="0" applyAlignment="0">
      <alignment horizontal="right"/>
    </xf>
    <xf numFmtId="4" fontId="22" fillId="74" borderId="0" applyFont="0" applyBorder="0" applyAlignment="0">
      <alignment horizontal="right"/>
    </xf>
    <xf numFmtId="0" fontId="199" fillId="75" borderId="14" applyNumberFormat="0" applyAlignment="0" applyProtection="0"/>
    <xf numFmtId="0" fontId="200" fillId="40" borderId="2" applyNumberFormat="0" applyAlignment="0" applyProtection="0"/>
    <xf numFmtId="0" fontId="125" fillId="40" borderId="2" applyNumberFormat="0" applyAlignment="0" applyProtection="0"/>
    <xf numFmtId="0" fontId="201" fillId="41" borderId="42" applyNumberFormat="0" applyAlignment="0" applyProtection="0"/>
    <xf numFmtId="0" fontId="127" fillId="41" borderId="42" applyNumberFormat="0" applyAlignment="0" applyProtection="0"/>
    <xf numFmtId="0" fontId="22" fillId="71" borderId="0"/>
    <xf numFmtId="0" fontId="22" fillId="71" borderId="0"/>
    <xf numFmtId="0" fontId="22" fillId="71" borderId="0"/>
    <xf numFmtId="0" fontId="22" fillId="71" borderId="0"/>
    <xf numFmtId="0" fontId="22" fillId="71" borderId="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233" fontId="22" fillId="0" borderId="0" applyFont="0" applyFill="0" applyBorder="0" applyAlignment="0" applyProtection="0"/>
    <xf numFmtId="0" fontId="202" fillId="0" borderId="0" applyNumberFormat="0" applyFill="0" applyBorder="0" applyAlignment="0" applyProtection="0"/>
    <xf numFmtId="0" fontId="129" fillId="0" borderId="0" applyNumberFormat="0" applyFill="0" applyBorder="0" applyAlignment="0" applyProtection="0"/>
    <xf numFmtId="0" fontId="55" fillId="11" borderId="0" applyNumberFormat="0" applyBorder="0" applyAlignment="0" applyProtection="0"/>
    <xf numFmtId="0" fontId="203" fillId="37" borderId="0" applyNumberFormat="0" applyBorder="0" applyAlignment="0" applyProtection="0"/>
    <xf numFmtId="0" fontId="121" fillId="37" borderId="0" applyNumberFormat="0" applyBorder="0" applyAlignment="0" applyProtection="0"/>
    <xf numFmtId="4" fontId="22" fillId="71" borderId="0"/>
    <xf numFmtId="4" fontId="22" fillId="71" borderId="0"/>
    <xf numFmtId="4" fontId="22" fillId="71" borderId="0"/>
    <xf numFmtId="4" fontId="22" fillId="71" borderId="0"/>
    <xf numFmtId="4" fontId="22" fillId="71" borderId="0"/>
    <xf numFmtId="0" fontId="204" fillId="0" borderId="54" applyNumberFormat="0" applyFill="0" applyAlignment="0" applyProtection="0"/>
    <xf numFmtId="0" fontId="151" fillId="0" borderId="45" applyNumberFormat="0" applyFill="0" applyAlignment="0" applyProtection="0"/>
    <xf numFmtId="0" fontId="132" fillId="0" borderId="45" applyNumberFormat="0" applyFill="0" applyAlignment="0" applyProtection="0"/>
    <xf numFmtId="0" fontId="205" fillId="0" borderId="55" applyNumberFormat="0" applyFill="0" applyAlignment="0" applyProtection="0"/>
    <xf numFmtId="0" fontId="152" fillId="0" borderId="46" applyNumberFormat="0" applyFill="0" applyAlignment="0" applyProtection="0"/>
    <xf numFmtId="0" fontId="133" fillId="0" borderId="46" applyNumberFormat="0" applyFill="0" applyAlignment="0" applyProtection="0"/>
    <xf numFmtId="0" fontId="206" fillId="0" borderId="56" applyNumberFormat="0" applyFill="0" applyAlignment="0" applyProtection="0"/>
    <xf numFmtId="0" fontId="153" fillId="0" borderId="47" applyNumberFormat="0" applyFill="0" applyAlignment="0" applyProtection="0"/>
    <xf numFmtId="0" fontId="206" fillId="0" borderId="56" applyNumberFormat="0" applyFill="0" applyAlignment="0" applyProtection="0"/>
    <xf numFmtId="0" fontId="120" fillId="0" borderId="47" applyNumberFormat="0" applyFill="0" applyAlignment="0" applyProtection="0"/>
    <xf numFmtId="0" fontId="206" fillId="0" borderId="0" applyNumberFormat="0" applyFill="0" applyBorder="0" applyAlignment="0" applyProtection="0"/>
    <xf numFmtId="0" fontId="153" fillId="0" borderId="0" applyNumberFormat="0" applyFill="0" applyBorder="0" applyAlignment="0" applyProtection="0"/>
    <xf numFmtId="0" fontId="120" fillId="0" borderId="0" applyNumberFormat="0" applyFill="0" applyBorder="0" applyAlignment="0" applyProtection="0"/>
    <xf numFmtId="0" fontId="59" fillId="27" borderId="14" applyNumberFormat="0" applyAlignment="0" applyProtection="0"/>
    <xf numFmtId="0" fontId="207" fillId="67" borderId="2" applyNumberFormat="0" applyAlignment="0" applyProtection="0"/>
    <xf numFmtId="0" fontId="2" fillId="67" borderId="2" applyNumberFormat="0" applyAlignment="0" applyProtection="0"/>
    <xf numFmtId="4" fontId="22" fillId="76" borderId="0">
      <alignment horizontal="right"/>
    </xf>
    <xf numFmtId="4" fontId="22" fillId="76" borderId="0">
      <alignment horizontal="right"/>
    </xf>
    <xf numFmtId="4" fontId="22" fillId="76" borderId="0">
      <alignment horizontal="right"/>
    </xf>
    <xf numFmtId="4" fontId="22" fillId="76" borderId="0">
      <alignment horizontal="right"/>
    </xf>
    <xf numFmtId="4" fontId="22" fillId="76" borderId="0">
      <alignment horizontal="right"/>
    </xf>
    <xf numFmtId="0" fontId="63" fillId="0" borderId="57" applyNumberFormat="0" applyFill="0" applyAlignment="0" applyProtection="0"/>
    <xf numFmtId="0" fontId="208" fillId="0" borderId="41" applyNumberFormat="0" applyFill="0" applyAlignment="0" applyProtection="0"/>
    <xf numFmtId="0" fontId="126" fillId="0" borderId="41" applyNumberFormat="0" applyFill="0" applyAlignment="0" applyProtection="0"/>
    <xf numFmtId="0" fontId="209" fillId="27" borderId="0" applyNumberFormat="0" applyBorder="0" applyAlignment="0" applyProtection="0"/>
    <xf numFmtId="0" fontId="210" fillId="39" borderId="0" applyNumberFormat="0" applyBorder="0" applyAlignment="0" applyProtection="0"/>
    <xf numFmtId="0" fontId="123"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0" fontId="211" fillId="0" borderId="0"/>
    <xf numFmtId="0" fontId="1" fillId="0" borderId="0"/>
    <xf numFmtId="0" fontId="1" fillId="0" borderId="0"/>
    <xf numFmtId="0" fontId="196" fillId="42" borderId="43" applyNumberFormat="0" applyFont="0" applyAlignment="0" applyProtection="0"/>
    <xf numFmtId="0" fontId="1" fillId="42" borderId="43" applyNumberFormat="0" applyFont="0" applyAlignment="0" applyProtection="0"/>
    <xf numFmtId="0" fontId="1" fillId="42" borderId="43" applyNumberFormat="0" applyFont="0" applyAlignment="0" applyProtection="0"/>
    <xf numFmtId="0" fontId="1" fillId="42" borderId="43" applyNumberFormat="0" applyFont="0" applyAlignment="0" applyProtection="0"/>
    <xf numFmtId="0" fontId="62" fillId="75" borderId="19" applyNumberFormat="0" applyAlignment="0" applyProtection="0"/>
    <xf numFmtId="0" fontId="212" fillId="40" borderId="40" applyNumberFormat="0" applyAlignment="0" applyProtection="0"/>
    <xf numFmtId="0" fontId="124" fillId="40"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0" fontId="213" fillId="0" borderId="32">
      <alignment horizont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41" fillId="77" borderId="0" applyNumberFormat="0" applyFont="0" applyBorder="0" applyAlignment="0" applyProtection="0"/>
    <xf numFmtId="0" fontId="214" fillId="0" borderId="0" applyNumberFormat="0" applyFill="0" applyBorder="0" applyAlignment="0" applyProtection="0"/>
    <xf numFmtId="0" fontId="40" fillId="0" borderId="58" applyNumberFormat="0" applyFill="0" applyAlignment="0" applyProtection="0"/>
    <xf numFmtId="0" fontId="215" fillId="0" borderId="44" applyNumberFormat="0" applyFill="0" applyAlignment="0" applyProtection="0"/>
    <xf numFmtId="0" fontId="3" fillId="0" borderId="44" applyNumberFormat="0" applyFill="0" applyAlignment="0" applyProtection="0"/>
    <xf numFmtId="0" fontId="216" fillId="0" borderId="0" applyNumberFormat="0" applyFill="0" applyBorder="0" applyAlignment="0" applyProtection="0"/>
    <xf numFmtId="0" fontId="128" fillId="0" borderId="0" applyNumberFormat="0" applyFill="0" applyBorder="0" applyAlignment="0" applyProtection="0"/>
    <xf numFmtId="0" fontId="42" fillId="0" borderId="12">
      <alignment horizontal="center" vertical="center"/>
    </xf>
    <xf numFmtId="49" fontId="101" fillId="69" borderId="13">
      <alignment horizontal="right" indent="2"/>
    </xf>
    <xf numFmtId="49" fontId="101" fillId="69" borderId="13">
      <alignment horizontal="right" indent="2"/>
    </xf>
    <xf numFmtId="0" fontId="36" fillId="0" borderId="20" applyNumberFormat="0" applyFill="0" applyAlignment="0" applyProtection="0"/>
    <xf numFmtId="0" fontId="26" fillId="25" borderId="14" applyNumberFormat="0" applyAlignment="0" applyProtection="0"/>
    <xf numFmtId="0" fontId="40" fillId="0" borderId="20" applyNumberFormat="0" applyFill="0" applyAlignment="0" applyProtection="0"/>
    <xf numFmtId="0" fontId="3" fillId="0" borderId="20" applyNumberFormat="0" applyFill="0" applyAlignment="0" applyProtection="0"/>
    <xf numFmtId="0" fontId="34" fillId="25" borderId="19" applyNumberFormat="0" applyAlignment="0" applyProtection="0"/>
    <xf numFmtId="0" fontId="42" fillId="0" borderId="12">
      <alignment horizontal="center" vertical="center"/>
    </xf>
    <xf numFmtId="0" fontId="89" fillId="12" borderId="14" applyNumberFormat="0" applyAlignment="0" applyProtection="0"/>
    <xf numFmtId="0" fontId="54" fillId="0" borderId="0" applyNumberFormat="0" applyFill="0" applyBorder="0" applyAlignment="0" applyProtection="0"/>
    <xf numFmtId="0" fontId="68" fillId="25" borderId="14" applyNumberFormat="0" applyAlignment="0" applyProtection="0"/>
    <xf numFmtId="0" fontId="75" fillId="12" borderId="14" applyNumberFormat="0" applyAlignment="0" applyProtection="0"/>
    <xf numFmtId="0" fontId="78" fillId="25" borderId="19" applyNumberFormat="0" applyAlignment="0" applyProtection="0"/>
    <xf numFmtId="0" fontId="40" fillId="0" borderId="20" applyNumberFormat="0" applyFill="0" applyAlignment="0" applyProtection="0"/>
    <xf numFmtId="0" fontId="79" fillId="0" borderId="20" applyNumberFormat="0" applyFill="0" applyAlignment="0" applyProtection="0"/>
    <xf numFmtId="0" fontId="54" fillId="0" borderId="0" applyNumberFormat="0" applyFill="0" applyBorder="0" applyAlignment="0" applyProtection="0"/>
    <xf numFmtId="49" fontId="101" fillId="69" borderId="13">
      <alignment horizontal="right" indent="2"/>
    </xf>
    <xf numFmtId="0" fontId="42" fillId="0" borderId="12">
      <alignment horizontal="center" vertical="center"/>
    </xf>
    <xf numFmtId="0" fontId="42" fillId="0" borderId="12">
      <alignment horizontal="center" vertical="center"/>
    </xf>
    <xf numFmtId="49" fontId="101" fillId="69" borderId="13">
      <alignment horizontal="right" indent="2"/>
    </xf>
    <xf numFmtId="0" fontId="26" fillId="25" borderId="14" applyNumberFormat="0" applyAlignment="0" applyProtection="0"/>
    <xf numFmtId="0" fontId="89" fillId="12" borderId="14" applyNumberFormat="0" applyAlignment="0" applyProtection="0"/>
    <xf numFmtId="0" fontId="34"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149" fillId="0" borderId="0" applyNumberFormat="0" applyFill="0" applyBorder="0" applyAlignment="0" applyProtection="0"/>
    <xf numFmtId="9" fontId="22" fillId="0" borderId="0" applyFont="0" applyFill="0" applyBorder="0" applyAlignment="0" applyProtection="0"/>
    <xf numFmtId="0" fontId="39" fillId="7" borderId="0" applyNumberFormat="0" applyBorder="0" applyAlignment="0" applyProtection="0"/>
    <xf numFmtId="0" fontId="65"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65"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65"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5"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65"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5"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5"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65" fillId="16" borderId="0" applyNumberFormat="0" applyBorder="0" applyAlignment="0" applyProtection="0"/>
    <xf numFmtId="0" fontId="39" fillId="16" borderId="0" applyNumberFormat="0" applyBorder="0" applyAlignment="0" applyProtection="0"/>
    <xf numFmtId="0" fontId="66" fillId="17"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4" borderId="0" applyNumberFormat="0" applyBorder="0" applyAlignment="0" applyProtection="0"/>
    <xf numFmtId="0" fontId="67" fillId="8" borderId="0" applyNumberFormat="0" applyBorder="0" applyAlignment="0" applyProtection="0"/>
    <xf numFmtId="0" fontId="68" fillId="25" borderId="14" applyNumberFormat="0" applyAlignment="0" applyProtection="0"/>
    <xf numFmtId="0" fontId="69" fillId="26" borderId="15" applyNumberFormat="0" applyAlignment="0" applyProtection="0"/>
    <xf numFmtId="164" fontId="22" fillId="0" borderId="0" applyFont="0" applyFill="0" applyBorder="0" applyAlignment="0" applyProtection="0"/>
    <xf numFmtId="164" fontId="39" fillId="0" borderId="0" applyFon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71" fillId="9" borderId="0" applyNumberFormat="0" applyBorder="0" applyAlignment="0" applyProtection="0"/>
    <xf numFmtId="0" fontId="72" fillId="0" borderId="38" applyNumberFormat="0" applyFill="0" applyAlignment="0" applyProtection="0"/>
    <xf numFmtId="0" fontId="73" fillId="0" borderId="39" applyNumberFormat="0" applyFill="0" applyAlignment="0" applyProtection="0"/>
    <xf numFmtId="0" fontId="74" fillId="0" borderId="16" applyNumberFormat="0" applyFill="0" applyAlignment="0" applyProtection="0"/>
    <xf numFmtId="0" fontId="74" fillId="0" borderId="0" applyNumberFormat="0" applyFill="0" applyBorder="0" applyAlignment="0" applyProtection="0"/>
    <xf numFmtId="0" fontId="75" fillId="12" borderId="14" applyNumberFormat="0" applyAlignment="0" applyProtection="0"/>
    <xf numFmtId="0" fontId="76" fillId="0" borderId="17" applyNumberFormat="0" applyFill="0" applyAlignment="0" applyProtection="0"/>
    <xf numFmtId="0" fontId="77" fillId="27" borderId="0" applyNumberFormat="0" applyBorder="0" applyAlignment="0" applyProtection="0"/>
    <xf numFmtId="0" fontId="22" fillId="0" borderId="0"/>
    <xf numFmtId="0" fontId="22" fillId="0" borderId="0"/>
    <xf numFmtId="0" fontId="22" fillId="0" borderId="0"/>
    <xf numFmtId="173" fontId="39" fillId="0" borderId="0"/>
    <xf numFmtId="173" fontId="39" fillId="0" borderId="0"/>
    <xf numFmtId="0" fontId="65" fillId="0" borderId="0"/>
    <xf numFmtId="0" fontId="65" fillId="0" borderId="0"/>
    <xf numFmtId="0" fontId="65" fillId="0" borderId="0"/>
    <xf numFmtId="178" fontId="39" fillId="0" borderId="0"/>
    <xf numFmtId="0" fontId="22" fillId="0" borderId="0"/>
    <xf numFmtId="0" fontId="22" fillId="0" borderId="0"/>
    <xf numFmtId="0" fontId="23" fillId="0" borderId="0"/>
    <xf numFmtId="0" fontId="42" fillId="0" borderId="12">
      <alignment horizontal="center" vertical="center"/>
    </xf>
    <xf numFmtId="173" fontId="39" fillId="0" borderId="0"/>
    <xf numFmtId="178" fontId="22" fillId="0" borderId="0" applyBorder="0"/>
    <xf numFmtId="0" fontId="22" fillId="0" borderId="0" applyBorder="0"/>
    <xf numFmtId="178" fontId="22" fillId="0" borderId="0"/>
    <xf numFmtId="0" fontId="41" fillId="0" borderId="0"/>
    <xf numFmtId="0" fontId="22" fillId="0" borderId="0"/>
    <xf numFmtId="9" fontId="22" fillId="0" borderId="0" applyFont="0" applyFill="0" applyBorder="0" applyAlignment="0" applyProtection="0"/>
    <xf numFmtId="0" fontId="23" fillId="0" borderId="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78" fillId="25" borderId="19" applyNumberFormat="0" applyAlignment="0" applyProtection="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0" fillId="0" borderId="20" applyNumberFormat="0" applyFill="0" applyAlignment="0" applyProtection="0"/>
    <xf numFmtId="0" fontId="79" fillId="0" borderId="20" applyNumberFormat="0" applyFill="0" applyAlignment="0" applyProtection="0"/>
    <xf numFmtId="0" fontId="80" fillId="0" borderId="0" applyNumberFormat="0" applyFill="0" applyBorder="0" applyAlignment="0" applyProtection="0"/>
    <xf numFmtId="0" fontId="22" fillId="0" borderId="0"/>
    <xf numFmtId="49" fontId="101" fillId="69" borderId="13">
      <alignment horizontal="right" indent="2"/>
    </xf>
    <xf numFmtId="9" fontId="22" fillId="0" borderId="0" applyFont="0" applyFill="0" applyBorder="0" applyAlignment="0" applyProtection="0"/>
    <xf numFmtId="164" fontId="22" fillId="0" borderId="0" applyFont="0" applyFill="0" applyBorder="0" applyAlignment="0" applyProtection="0"/>
    <xf numFmtId="0" fontId="22" fillId="0" borderId="0"/>
    <xf numFmtId="0" fontId="42" fillId="0" borderId="12">
      <alignment horizontal="center" vertical="center"/>
    </xf>
    <xf numFmtId="0" fontId="22" fillId="0" borderId="0"/>
    <xf numFmtId="0" fontId="22" fillId="28" borderId="18" applyNumberFormat="0" applyFont="0" applyAlignment="0" applyProtection="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9" fontId="101" fillId="69" borderId="13">
      <alignment horizontal="right" indent="2"/>
    </xf>
    <xf numFmtId="164" fontId="22" fillId="0" borderId="0" applyFont="0" applyFill="0" applyBorder="0" applyAlignment="0" applyProtection="0"/>
    <xf numFmtId="49" fontId="101" fillId="69" borderId="13">
      <alignment horizontal="right" indent="2"/>
    </xf>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28" borderId="18" applyNumberFormat="0" applyFont="0" applyAlignment="0" applyProtection="0"/>
    <xf numFmtId="0" fontId="22"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0" fontId="42" fillId="0" borderId="12">
      <alignment horizontal="center" vertical="center"/>
    </xf>
    <xf numFmtId="49" fontId="101" fillId="69" borderId="13">
      <alignment horizontal="right" indent="2"/>
    </xf>
    <xf numFmtId="0" fontId="26" fillId="25" borderId="14" applyNumberFormat="0" applyAlignment="0" applyProtection="0"/>
    <xf numFmtId="0" fontId="89" fillId="12" borderId="14" applyNumberFormat="0" applyAlignment="0" applyProtection="0"/>
    <xf numFmtId="0" fontId="34"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199" fillId="75" borderId="14" applyNumberFormat="0" applyAlignment="0" applyProtection="0"/>
    <xf numFmtId="0" fontId="59" fillId="27" borderId="14" applyNumberFormat="0" applyAlignment="0" applyProtection="0"/>
    <xf numFmtId="0" fontId="62" fillId="75" borderId="19" applyNumberFormat="0" applyAlignment="0" applyProtection="0"/>
    <xf numFmtId="0" fontId="42" fillId="0" borderId="12">
      <alignment horizontal="center" vertical="center"/>
    </xf>
    <xf numFmtId="49" fontId="101" fillId="69" borderId="13">
      <alignment horizontal="right" indent="2"/>
    </xf>
    <xf numFmtId="0" fontId="54" fillId="0" borderId="0" applyNumberFormat="0" applyFill="0" applyBorder="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23" fillId="28" borderId="18" applyNumberFormat="0" applyFont="0" applyAlignment="0" applyProtection="0"/>
    <xf numFmtId="0" fontId="22" fillId="28" borderId="18" applyNumberFormat="0" applyFont="0" applyAlignment="0" applyProtection="0"/>
    <xf numFmtId="0" fontId="23"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78" fillId="25" borderId="19" applyNumberFormat="0" applyAlignment="0" applyProtection="0"/>
    <xf numFmtId="0" fontId="22" fillId="28" borderId="18" applyNumberFormat="0" applyFont="0" applyAlignment="0" applyProtection="0"/>
    <xf numFmtId="0" fontId="22" fillId="28" borderId="18" applyNumberFormat="0" applyFont="0" applyAlignment="0" applyProtection="0"/>
    <xf numFmtId="0" fontId="23" fillId="28" borderId="18" applyNumberFormat="0" applyFont="0" applyAlignment="0" applyProtection="0"/>
    <xf numFmtId="0" fontId="22" fillId="28" borderId="18" applyNumberFormat="0" applyFont="0" applyAlignment="0" applyProtection="0"/>
    <xf numFmtId="0" fontId="23" fillId="28" borderId="18" applyNumberFormat="0" applyFont="0" applyAlignment="0" applyProtection="0"/>
    <xf numFmtId="0" fontId="40" fillId="0" borderId="58" applyNumberFormat="0" applyFill="0" applyAlignment="0" applyProtection="0"/>
    <xf numFmtId="0" fontId="62" fillId="25" borderId="19" applyNumberFormat="0" applyAlignment="0" applyProtection="0"/>
    <xf numFmtId="0" fontId="190" fillId="25" borderId="19" applyNumberFormat="0" applyAlignment="0" applyProtection="0"/>
    <xf numFmtId="0" fontId="42" fillId="0" borderId="5">
      <alignment horizontal="center" vertical="center"/>
    </xf>
    <xf numFmtId="0" fontId="42" fillId="0" borderId="5">
      <alignment horizontal="center" vertical="center"/>
    </xf>
    <xf numFmtId="0" fontId="62" fillId="25" borderId="19" applyNumberFormat="0" applyAlignment="0" applyProtection="0"/>
    <xf numFmtId="0" fontId="62" fillId="25" borderId="19" applyNumberFormat="0" applyAlignment="0" applyProtection="0"/>
    <xf numFmtId="0" fontId="62" fillId="25" borderId="19" applyNumberFormat="0" applyAlignment="0" applyProtection="0"/>
    <xf numFmtId="0" fontId="34" fillId="25" borderId="19" applyNumberFormat="0" applyAlignment="0" applyProtection="0"/>
    <xf numFmtId="0" fontId="62" fillId="25" borderId="19" applyNumberFormat="0" applyAlignment="0" applyProtection="0"/>
    <xf numFmtId="0" fontId="34" fillId="25" borderId="19" applyNumberFormat="0" applyAlignment="0" applyProtection="0"/>
    <xf numFmtId="0" fontId="62" fillId="25" borderId="19" applyNumberFormat="0" applyAlignment="0" applyProtection="0"/>
    <xf numFmtId="226" fontId="1" fillId="0" borderId="0"/>
    <xf numFmtId="226" fontId="68" fillId="25" borderId="14" applyNumberFormat="0" applyAlignment="0" applyProtection="0"/>
    <xf numFmtId="226" fontId="22" fillId="0" borderId="0" applyFont="0" applyFill="0" applyBorder="0" applyAlignment="0" applyProtection="0"/>
    <xf numFmtId="226" fontId="54" fillId="0" borderId="0" applyNumberFormat="0" applyFill="0" applyBorder="0" applyAlignment="0" applyProtection="0"/>
    <xf numFmtId="226" fontId="58" fillId="0" borderId="16" applyNumberFormat="0" applyFill="0" applyAlignment="0" applyProtection="0"/>
    <xf numFmtId="226" fontId="74" fillId="0" borderId="16" applyNumberFormat="0" applyFill="0" applyAlignment="0" applyProtection="0"/>
    <xf numFmtId="226" fontId="75" fillId="12" borderId="14" applyNumberFormat="0" applyAlignment="0" applyProtection="0"/>
    <xf numFmtId="226" fontId="65" fillId="28" borderId="18" applyNumberFormat="0" applyFont="0" applyAlignment="0" applyProtection="0"/>
    <xf numFmtId="226" fontId="78" fillId="25" borderId="19" applyNumberFormat="0" applyAlignment="0" applyProtection="0"/>
    <xf numFmtId="226" fontId="54" fillId="0" borderId="0" applyNumberFormat="0" applyFill="0" applyBorder="0" applyAlignment="0" applyProtection="0"/>
    <xf numFmtId="226" fontId="42" fillId="0" borderId="5">
      <alignment horizontal="center" vertical="center"/>
    </xf>
    <xf numFmtId="226" fontId="42" fillId="0" borderId="12">
      <alignment horizontal="center" vertical="center"/>
    </xf>
    <xf numFmtId="226" fontId="40" fillId="0" borderId="20" applyNumberFormat="0" applyFill="0" applyAlignment="0" applyProtection="0"/>
    <xf numFmtId="226" fontId="40" fillId="0" borderId="20" applyNumberFormat="0" applyFill="0" applyAlignment="0" applyProtection="0"/>
    <xf numFmtId="226" fontId="79" fillId="0" borderId="20" applyNumberFormat="0" applyFill="0" applyAlignment="0" applyProtection="0"/>
    <xf numFmtId="226" fontId="38" fillId="0" borderId="0" applyNumberFormat="0" applyFill="0" applyBorder="0" applyAlignment="0" applyProtection="0">
      <alignment vertical="top"/>
      <protection locked="0"/>
    </xf>
    <xf numFmtId="165" fontId="1" fillId="0" borderId="0" applyFont="0" applyFill="0" applyBorder="0" applyAlignment="0" applyProtection="0"/>
    <xf numFmtId="226" fontId="22" fillId="0" borderId="0"/>
    <xf numFmtId="226" fontId="22" fillId="0" borderId="0"/>
    <xf numFmtId="164" fontId="42" fillId="0" borderId="0" applyFont="0" applyFill="0" applyBorder="0" applyAlignment="0" applyProtection="0"/>
    <xf numFmtId="226" fontId="42" fillId="0" borderId="0"/>
    <xf numFmtId="226" fontId="42" fillId="0" borderId="0"/>
    <xf numFmtId="164" fontId="42" fillId="0" borderId="0" applyFont="0" applyFill="0" applyBorder="0" applyAlignment="0" applyProtection="0"/>
    <xf numFmtId="4" fontId="43" fillId="0" borderId="0" applyFont="0" applyFill="0" applyBorder="0" applyAlignment="0" applyProtection="0"/>
    <xf numFmtId="226" fontId="39" fillId="7" borderId="0" applyNumberFormat="0" applyBorder="0" applyAlignment="0" applyProtection="0"/>
    <xf numFmtId="226" fontId="86" fillId="44" borderId="0" applyNumberFormat="0" applyBorder="0" applyAlignment="0" applyProtection="0"/>
    <xf numFmtId="226" fontId="39" fillId="8" borderId="0" applyNumberFormat="0" applyBorder="0" applyAlignment="0" applyProtection="0"/>
    <xf numFmtId="226" fontId="86" fillId="48" borderId="0" applyNumberFormat="0" applyBorder="0" applyAlignment="0" applyProtection="0"/>
    <xf numFmtId="226" fontId="39" fillId="9" borderId="0" applyNumberFormat="0" applyBorder="0" applyAlignment="0" applyProtection="0"/>
    <xf numFmtId="226" fontId="86" fillId="52" borderId="0" applyNumberFormat="0" applyBorder="0" applyAlignment="0" applyProtection="0"/>
    <xf numFmtId="226" fontId="39" fillId="10" borderId="0" applyNumberFormat="0" applyBorder="0" applyAlignment="0" applyProtection="0"/>
    <xf numFmtId="226" fontId="86" fillId="56"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86" fillId="64" borderId="0" applyNumberFormat="0" applyBorder="0" applyAlignment="0" applyProtection="0"/>
    <xf numFmtId="226" fontId="39" fillId="13" borderId="0" applyNumberFormat="0" applyBorder="0" applyAlignment="0" applyProtection="0"/>
    <xf numFmtId="226" fontId="86" fillId="45"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86" fillId="53" borderId="0" applyNumberFormat="0" applyBorder="0" applyAlignment="0" applyProtection="0"/>
    <xf numFmtId="226" fontId="39" fillId="10" borderId="0" applyNumberFormat="0" applyBorder="0" applyAlignment="0" applyProtection="0"/>
    <xf numFmtId="226" fontId="86" fillId="57" borderId="0" applyNumberFormat="0" applyBorder="0" applyAlignment="0" applyProtection="0"/>
    <xf numFmtId="226" fontId="39" fillId="13" borderId="0" applyNumberFormat="0" applyBorder="0" applyAlignment="0" applyProtection="0"/>
    <xf numFmtId="226" fontId="86" fillId="61" borderId="0" applyNumberFormat="0" applyBorder="0" applyAlignment="0" applyProtection="0"/>
    <xf numFmtId="226" fontId="39" fillId="16" borderId="0" applyNumberFormat="0" applyBorder="0" applyAlignment="0" applyProtection="0"/>
    <xf numFmtId="226" fontId="86" fillId="65" borderId="0" applyNumberFormat="0" applyBorder="0" applyAlignment="0" applyProtection="0"/>
    <xf numFmtId="226" fontId="149" fillId="0" borderId="0" applyNumberFormat="0" applyFill="0" applyBorder="0" applyAlignment="0" applyProtection="0"/>
    <xf numFmtId="226" fontId="58" fillId="0" borderId="16" applyNumberFormat="0" applyFill="0" applyAlignment="0" applyProtection="0"/>
    <xf numFmtId="226" fontId="22" fillId="0" borderId="0" applyBorder="0"/>
    <xf numFmtId="226" fontId="22" fillId="0" borderId="0"/>
    <xf numFmtId="226" fontId="1" fillId="0" borderId="0"/>
    <xf numFmtId="226" fontId="1" fillId="0" borderId="0"/>
    <xf numFmtId="226" fontId="22" fillId="0" borderId="0"/>
    <xf numFmtId="226" fontId="141" fillId="42" borderId="43" applyNumberFormat="0" applyFont="0" applyAlignment="0" applyProtection="0"/>
    <xf numFmtId="226" fontId="22" fillId="0" borderId="0"/>
    <xf numFmtId="226" fontId="22" fillId="28" borderId="18" applyNumberFormat="0" applyFont="0" applyAlignment="0" applyProtection="0"/>
    <xf numFmtId="226" fontId="23" fillId="7" borderId="0" applyNumberFormat="0" applyBorder="0" applyAlignment="0" applyProtection="0"/>
    <xf numFmtId="226" fontId="23" fillId="8" borderId="0" applyNumberFormat="0" applyBorder="0" applyAlignment="0" applyProtection="0"/>
    <xf numFmtId="226" fontId="23" fillId="9" borderId="0" applyNumberFormat="0" applyBorder="0" applyAlignment="0" applyProtection="0"/>
    <xf numFmtId="226" fontId="23" fillId="10" borderId="0" applyNumberFormat="0" applyBorder="0" applyAlignment="0" applyProtection="0"/>
    <xf numFmtId="226" fontId="23" fillId="11" borderId="0" applyNumberFormat="0" applyBorder="0" applyAlignment="0" applyProtection="0"/>
    <xf numFmtId="226" fontId="23" fillId="12" borderId="0" applyNumberFormat="0" applyBorder="0" applyAlignment="0" applyProtection="0"/>
    <xf numFmtId="226" fontId="23" fillId="13" borderId="0" applyNumberFormat="0" applyBorder="0" applyAlignment="0" applyProtection="0"/>
    <xf numFmtId="226" fontId="23" fillId="14" borderId="0" applyNumberFormat="0" applyBorder="0" applyAlignment="0" applyProtection="0"/>
    <xf numFmtId="226" fontId="23" fillId="15" borderId="0" applyNumberFormat="0" applyBorder="0" applyAlignment="0" applyProtection="0"/>
    <xf numFmtId="226" fontId="23" fillId="10" borderId="0" applyNumberFormat="0" applyBorder="0" applyAlignment="0" applyProtection="0"/>
    <xf numFmtId="226" fontId="23" fillId="13" borderId="0" applyNumberFormat="0" applyBorder="0" applyAlignment="0" applyProtection="0"/>
    <xf numFmtId="226" fontId="23" fillId="16" borderId="0" applyNumberFormat="0" applyBorder="0" applyAlignment="0" applyProtection="0"/>
    <xf numFmtId="226" fontId="24" fillId="17" borderId="0" applyNumberFormat="0" applyBorder="0" applyAlignment="0" applyProtection="0"/>
    <xf numFmtId="226" fontId="24" fillId="14" borderId="0" applyNumberFormat="0" applyBorder="0" applyAlignment="0" applyProtection="0"/>
    <xf numFmtId="226" fontId="24" fillId="15"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0" borderId="0" applyNumberFormat="0" applyBorder="0" applyAlignment="0" applyProtection="0"/>
    <xf numFmtId="226" fontId="24" fillId="21" borderId="0" applyNumberFormat="0" applyBorder="0" applyAlignment="0" applyProtection="0"/>
    <xf numFmtId="226" fontId="24" fillId="22" borderId="0" applyNumberFormat="0" applyBorder="0" applyAlignment="0" applyProtection="0"/>
    <xf numFmtId="226" fontId="24" fillId="23"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4" borderId="0" applyNumberFormat="0" applyBorder="0" applyAlignment="0" applyProtection="0"/>
    <xf numFmtId="226" fontId="25" fillId="8" borderId="0" applyNumberFormat="0" applyBorder="0" applyAlignment="0" applyProtection="0"/>
    <xf numFmtId="226" fontId="27" fillId="26" borderId="15" applyNumberFormat="0" applyAlignment="0" applyProtection="0"/>
    <xf numFmtId="226" fontId="28" fillId="0" borderId="0" applyNumberFormat="0" applyFill="0" applyBorder="0" applyAlignment="0" applyProtection="0"/>
    <xf numFmtId="226" fontId="29" fillId="9" borderId="0" applyNumberFormat="0" applyBorder="0" applyAlignment="0" applyProtection="0"/>
    <xf numFmtId="226" fontId="87" fillId="0" borderId="38" applyNumberFormat="0" applyFill="0" applyAlignment="0" applyProtection="0"/>
    <xf numFmtId="226" fontId="88" fillId="0" borderId="39" applyNumberFormat="0" applyFill="0" applyAlignment="0" applyProtection="0"/>
    <xf numFmtId="226" fontId="30" fillId="0" borderId="16" applyNumberFormat="0" applyFill="0" applyAlignment="0" applyProtection="0"/>
    <xf numFmtId="226" fontId="30" fillId="0" borderId="0" applyNumberFormat="0" applyFill="0" applyBorder="0" applyAlignment="0" applyProtection="0"/>
    <xf numFmtId="226" fontId="31" fillId="0" borderId="17" applyNumberFormat="0" applyFill="0" applyAlignment="0" applyProtection="0"/>
    <xf numFmtId="226" fontId="32" fillId="27" borderId="0" applyNumberFormat="0" applyBorder="0" applyAlignment="0" applyProtection="0"/>
    <xf numFmtId="226" fontId="20" fillId="0" borderId="0"/>
    <xf numFmtId="226" fontId="20" fillId="0" borderId="0"/>
    <xf numFmtId="226" fontId="37" fillId="0" borderId="0" applyNumberFormat="0" applyFill="0" applyBorder="0" applyAlignment="0" applyProtection="0"/>
    <xf numFmtId="226" fontId="42" fillId="0" borderId="0"/>
    <xf numFmtId="226" fontId="39" fillId="7" borderId="0" applyNumberFormat="0" applyBorder="0" applyAlignment="0" applyProtection="0"/>
    <xf numFmtId="226" fontId="39" fillId="8" borderId="0" applyNumberFormat="0" applyBorder="0" applyAlignment="0" applyProtection="0"/>
    <xf numFmtId="226" fontId="39" fillId="9" borderId="0" applyNumberFormat="0" applyBorder="0" applyAlignment="0" applyProtection="0"/>
    <xf numFmtId="226" fontId="39" fillId="10"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39" fillId="13"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39" fillId="10" borderId="0" applyNumberFormat="0" applyBorder="0" applyAlignment="0" applyProtection="0"/>
    <xf numFmtId="226" fontId="39" fillId="13" borderId="0" applyNumberFormat="0" applyBorder="0" applyAlignment="0" applyProtection="0"/>
    <xf numFmtId="226" fontId="39" fillId="16" borderId="0" applyNumberFormat="0" applyBorder="0" applyAlignment="0" applyProtection="0"/>
    <xf numFmtId="226" fontId="135" fillId="0" borderId="0" applyFont="0" applyFill="0" applyBorder="0" applyAlignment="0" applyProtection="0"/>
    <xf numFmtId="226" fontId="58" fillId="0" borderId="16" applyNumberFormat="0" applyFill="0" applyAlignment="0" applyProtection="0"/>
    <xf numFmtId="226" fontId="1" fillId="0" borderId="0"/>
    <xf numFmtId="226" fontId="22" fillId="0" borderId="0" applyBorder="0"/>
    <xf numFmtId="226" fontId="141" fillId="42" borderId="43" applyNumberFormat="0" applyFont="0" applyAlignment="0" applyProtection="0"/>
    <xf numFmtId="226" fontId="1" fillId="0" borderId="0"/>
    <xf numFmtId="49" fontId="101" fillId="69" borderId="13">
      <alignment horizontal="right" indent="2"/>
    </xf>
    <xf numFmtId="226" fontId="42" fillId="0" borderId="5">
      <alignment horizontal="center" vertical="center"/>
    </xf>
    <xf numFmtId="49" fontId="101" fillId="69" borderId="13">
      <alignment horizontal="right" indent="2"/>
    </xf>
    <xf numFmtId="0" fontId="42" fillId="0" borderId="12">
      <alignment horizontal="center" vertical="center"/>
    </xf>
    <xf numFmtId="226" fontId="64" fillId="7" borderId="0" applyNumberFormat="0" applyBorder="0" applyAlignment="0" applyProtection="0"/>
    <xf numFmtId="226" fontId="64" fillId="8" borderId="0" applyNumberFormat="0" applyBorder="0" applyAlignment="0" applyProtection="0"/>
    <xf numFmtId="226" fontId="64" fillId="9" borderId="0" applyNumberFormat="0" applyBorder="0" applyAlignment="0" applyProtection="0"/>
    <xf numFmtId="226" fontId="64" fillId="10" borderId="0" applyNumberFormat="0" applyBorder="0" applyAlignment="0" applyProtection="0"/>
    <xf numFmtId="226" fontId="64" fillId="11" borderId="0" applyNumberFormat="0" applyBorder="0" applyAlignment="0" applyProtection="0"/>
    <xf numFmtId="226" fontId="64" fillId="12" borderId="0" applyNumberFormat="0" applyBorder="0" applyAlignment="0" applyProtection="0"/>
    <xf numFmtId="226" fontId="64" fillId="13" borderId="0" applyNumberFormat="0" applyBorder="0" applyAlignment="0" applyProtection="0"/>
    <xf numFmtId="226" fontId="64" fillId="14" borderId="0" applyNumberFormat="0" applyBorder="0" applyAlignment="0" applyProtection="0"/>
    <xf numFmtId="226" fontId="64" fillId="15" borderId="0" applyNumberFormat="0" applyBorder="0" applyAlignment="0" applyProtection="0"/>
    <xf numFmtId="226" fontId="64" fillId="10" borderId="0" applyNumberFormat="0" applyBorder="0" applyAlignment="0" applyProtection="0"/>
    <xf numFmtId="226" fontId="64" fillId="13" borderId="0" applyNumberFormat="0" applyBorder="0" applyAlignment="0" applyProtection="0"/>
    <xf numFmtId="226" fontId="64" fillId="16" borderId="0" applyNumberFormat="0" applyBorder="0" applyAlignment="0" applyProtection="0"/>
    <xf numFmtId="226" fontId="74" fillId="0" borderId="16" applyNumberFormat="0" applyFill="0" applyAlignment="0" applyProtection="0"/>
    <xf numFmtId="226" fontId="65" fillId="0" borderId="0"/>
    <xf numFmtId="226" fontId="22" fillId="28" borderId="18" applyNumberFormat="0" applyFont="0" applyAlignment="0" applyProtection="0"/>
    <xf numFmtId="226" fontId="22" fillId="0" borderId="0"/>
    <xf numFmtId="226" fontId="42" fillId="0" borderId="12">
      <alignment horizontal="center" vertical="center"/>
    </xf>
    <xf numFmtId="226" fontId="42" fillId="0" borderId="12">
      <alignment horizontal="center" vertical="center"/>
    </xf>
    <xf numFmtId="226" fontId="26" fillId="25" borderId="14" applyNumberFormat="0" applyAlignment="0" applyProtection="0"/>
    <xf numFmtId="226" fontId="89" fillId="12" borderId="14" applyNumberFormat="0" applyAlignment="0" applyProtection="0"/>
    <xf numFmtId="226" fontId="23" fillId="28" borderId="18" applyNumberFormat="0" applyFont="0" applyAlignment="0" applyProtection="0"/>
    <xf numFmtId="226" fontId="34" fillId="25" borderId="19" applyNumberFormat="0" applyAlignment="0" applyProtection="0"/>
    <xf numFmtId="226" fontId="36" fillId="0" borderId="20" applyNumberFormat="0" applyFill="0" applyAlignment="0" applyProtection="0"/>
    <xf numFmtId="226" fontId="22" fillId="28" borderId="18" applyNumberFormat="0" applyFont="0" applyAlignment="0" applyProtection="0"/>
    <xf numFmtId="226" fontId="40" fillId="0" borderId="20" applyNumberFormat="0" applyFill="0" applyAlignment="0" applyProtection="0"/>
    <xf numFmtId="226" fontId="23" fillId="28" borderId="18" applyNumberFormat="0" applyFont="0" applyAlignment="0" applyProtection="0"/>
    <xf numFmtId="226" fontId="22" fillId="0" borderId="0"/>
    <xf numFmtId="226" fontId="22" fillId="0" borderId="0" applyBorder="0"/>
    <xf numFmtId="226" fontId="22" fillId="0" borderId="0" applyBorder="0"/>
    <xf numFmtId="226" fontId="22" fillId="0" borderId="0" applyBorder="0"/>
    <xf numFmtId="226" fontId="22" fillId="0" borderId="0" applyBorder="0"/>
    <xf numFmtId="4" fontId="43" fillId="0" borderId="0" applyFont="0" applyFill="0" applyBorder="0" applyAlignment="0" applyProtection="0"/>
    <xf numFmtId="4" fontId="43" fillId="0" borderId="0" applyFont="0" applyFill="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50" fillId="17" borderId="0" applyNumberFormat="0" applyBorder="0" applyAlignment="0" applyProtection="0"/>
    <xf numFmtId="0" fontId="66" fillId="17" borderId="0" applyNumberFormat="0" applyBorder="0" applyAlignment="0" applyProtection="0"/>
    <xf numFmtId="0" fontId="50" fillId="14" borderId="0" applyNumberFormat="0" applyBorder="0" applyAlignment="0" applyProtection="0"/>
    <xf numFmtId="0" fontId="66" fillId="14" borderId="0" applyNumberFormat="0" applyBorder="0" applyAlignment="0" applyProtection="0"/>
    <xf numFmtId="0" fontId="50" fillId="15" borderId="0" applyNumberFormat="0" applyBorder="0" applyAlignment="0" applyProtection="0"/>
    <xf numFmtId="0" fontId="66" fillId="15"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50" fillId="19" borderId="0" applyNumberFormat="0" applyBorder="0" applyAlignment="0" applyProtection="0"/>
    <xf numFmtId="0" fontId="66" fillId="19" borderId="0" applyNumberFormat="0" applyBorder="0" applyAlignment="0" applyProtection="0"/>
    <xf numFmtId="0" fontId="50" fillId="20" borderId="0" applyNumberFormat="0" applyBorder="0" applyAlignment="0" applyProtection="0"/>
    <xf numFmtId="0" fontId="66" fillId="20" borderId="0" applyNumberFormat="0" applyBorder="0" applyAlignment="0" applyProtection="0"/>
    <xf numFmtId="0" fontId="50" fillId="21" borderId="0" applyNumberFormat="0" applyBorder="0" applyAlignment="0" applyProtection="0"/>
    <xf numFmtId="0" fontId="66" fillId="21" borderId="0" applyNumberFormat="0" applyBorder="0" applyAlignment="0" applyProtection="0"/>
    <xf numFmtId="0" fontId="50" fillId="22" borderId="0" applyNumberFormat="0" applyBorder="0" applyAlignment="0" applyProtection="0"/>
    <xf numFmtId="0" fontId="66" fillId="22" borderId="0" applyNumberFormat="0" applyBorder="0" applyAlignment="0" applyProtection="0"/>
    <xf numFmtId="0" fontId="50" fillId="23" borderId="0" applyNumberFormat="0" applyBorder="0" applyAlignment="0" applyProtection="0"/>
    <xf numFmtId="0" fontId="66" fillId="23" borderId="0" applyNumberFormat="0" applyBorder="0" applyAlignment="0" applyProtection="0"/>
    <xf numFmtId="0" fontId="50" fillId="18"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50" fillId="24" borderId="0" applyNumberFormat="0" applyBorder="0" applyAlignment="0" applyProtection="0"/>
    <xf numFmtId="0" fontId="66" fillId="24" borderId="0" applyNumberFormat="0" applyBorder="0" applyAlignment="0" applyProtection="0"/>
    <xf numFmtId="0" fontId="51" fillId="8" borderId="0" applyNumberFormat="0" applyBorder="0" applyAlignment="0" applyProtection="0"/>
    <xf numFmtId="0" fontId="67" fillId="8" borderId="0" applyNumberFormat="0" applyBorder="0" applyAlignment="0" applyProtection="0"/>
    <xf numFmtId="0" fontId="52" fillId="25" borderId="14" applyNumberFormat="0" applyAlignment="0" applyProtection="0"/>
    <xf numFmtId="0" fontId="68" fillId="25" borderId="14" applyNumberFormat="0" applyAlignment="0" applyProtection="0"/>
    <xf numFmtId="0" fontId="69" fillId="26" borderId="15" applyNumberFormat="0" applyAlignment="0" applyProtection="0"/>
    <xf numFmtId="0" fontId="22" fillId="0" borderId="0" applyFont="0" applyFill="0" applyBorder="0" applyAlignment="0" applyProtection="0"/>
    <xf numFmtId="0" fontId="70" fillId="0" borderId="0" applyNumberFormat="0" applyFill="0" applyBorder="0" applyAlignment="0" applyProtection="0"/>
    <xf numFmtId="0" fontId="55" fillId="9" borderId="0" applyNumberFormat="0" applyBorder="0" applyAlignment="0" applyProtection="0"/>
    <xf numFmtId="0" fontId="71" fillId="9" borderId="0" applyNumberFormat="0" applyBorder="0" applyAlignment="0" applyProtection="0"/>
    <xf numFmtId="0" fontId="56" fillId="0" borderId="38" applyNumberFormat="0" applyFill="0" applyAlignment="0" applyProtection="0"/>
    <xf numFmtId="0" fontId="72" fillId="0" borderId="38" applyNumberFormat="0" applyFill="0" applyAlignment="0" applyProtection="0"/>
    <xf numFmtId="0" fontId="57" fillId="0" borderId="39" applyNumberFormat="0" applyFill="0" applyAlignment="0" applyProtection="0"/>
    <xf numFmtId="0" fontId="73" fillId="0" borderId="39"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58" fillId="0" borderId="0" applyNumberFormat="0" applyFill="0" applyBorder="0" applyAlignment="0" applyProtection="0"/>
    <xf numFmtId="0" fontId="74" fillId="0" borderId="0" applyNumberFormat="0" applyFill="0" applyBorder="0" applyAlignment="0" applyProtection="0"/>
    <xf numFmtId="0" fontId="59" fillId="12" borderId="14" applyNumberFormat="0" applyAlignment="0" applyProtection="0"/>
    <xf numFmtId="0" fontId="75" fillId="12" borderId="14" applyNumberFormat="0" applyAlignment="0" applyProtection="0"/>
    <xf numFmtId="0" fontId="60" fillId="0" borderId="17" applyNumberFormat="0" applyFill="0" applyAlignment="0" applyProtection="0"/>
    <xf numFmtId="0" fontId="76" fillId="0" borderId="17" applyNumberFormat="0" applyFill="0" applyAlignment="0" applyProtection="0"/>
    <xf numFmtId="0" fontId="61" fillId="27" borderId="0" applyNumberFormat="0" applyBorder="0" applyAlignment="0" applyProtection="0"/>
    <xf numFmtId="0" fontId="77" fillId="27" borderId="0" applyNumberFormat="0" applyBorder="0" applyAlignment="0" applyProtection="0"/>
    <xf numFmtId="0" fontId="22" fillId="0" borderId="0"/>
    <xf numFmtId="0" fontId="22" fillId="0" borderId="0"/>
    <xf numFmtId="0" fontId="22" fillId="0" borderId="0"/>
    <xf numFmtId="0" fontId="22" fillId="0" borderId="0"/>
    <xf numFmtId="0" fontId="42" fillId="0" borderId="0"/>
    <xf numFmtId="0" fontId="22" fillId="0" borderId="0"/>
    <xf numFmtId="0" fontId="20" fillId="0" borderId="0"/>
    <xf numFmtId="0" fontId="20" fillId="0" borderId="0"/>
    <xf numFmtId="0" fontId="65" fillId="28" borderId="18" applyNumberFormat="0" applyFont="0" applyAlignment="0" applyProtection="0"/>
    <xf numFmtId="0" fontId="62" fillId="25" borderId="19" applyNumberFormat="0" applyAlignment="0" applyProtection="0"/>
    <xf numFmtId="0" fontId="78" fillId="25" borderId="19" applyNumberFormat="0" applyAlignment="0" applyProtection="0"/>
    <xf numFmtId="0" fontId="35"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79" fillId="0" borderId="20" applyNumberFormat="0" applyFill="0" applyAlignment="0" applyProtection="0"/>
    <xf numFmtId="0" fontId="80" fillId="0" borderId="0" applyNumberFormat="0" applyFill="0" applyBorder="0" applyAlignment="0" applyProtection="0"/>
    <xf numFmtId="0" fontId="149" fillId="0" borderId="0" applyNumberFormat="0" applyFill="0" applyBorder="0" applyAlignment="0" applyProtection="0"/>
    <xf numFmtId="0" fontId="42" fillId="0" borderId="0"/>
    <xf numFmtId="0" fontId="42" fillId="0" borderId="0"/>
    <xf numFmtId="0" fontId="42" fillId="0" borderId="0"/>
    <xf numFmtId="226" fontId="135" fillId="0" borderId="0" applyFont="0" applyFill="0" applyBorder="0" applyAlignment="0" applyProtection="0"/>
    <xf numFmtId="0" fontId="22" fillId="0" borderId="0"/>
    <xf numFmtId="0" fontId="20" fillId="0" borderId="0"/>
    <xf numFmtId="0" fontId="42" fillId="0" borderId="0"/>
    <xf numFmtId="0" fontId="20" fillId="0" borderId="0"/>
    <xf numFmtId="0" fontId="22" fillId="0" borderId="0"/>
    <xf numFmtId="0" fontId="42" fillId="0" borderId="0"/>
    <xf numFmtId="0" fontId="42" fillId="0" borderId="0"/>
    <xf numFmtId="0" fontId="43" fillId="0" borderId="0"/>
    <xf numFmtId="0" fontId="39" fillId="7" borderId="0" applyNumberFormat="0" applyBorder="0" applyAlignment="0" applyProtection="0"/>
    <xf numFmtId="0" fontId="86" fillId="44" borderId="0" applyNumberFormat="0" applyBorder="0" applyAlignment="0" applyProtection="0"/>
    <xf numFmtId="0" fontId="39" fillId="8" borderId="0" applyNumberFormat="0" applyBorder="0" applyAlignment="0" applyProtection="0"/>
    <xf numFmtId="0" fontId="86" fillId="48" borderId="0" applyNumberFormat="0" applyBorder="0" applyAlignment="0" applyProtection="0"/>
    <xf numFmtId="0" fontId="39" fillId="9" borderId="0" applyNumberFormat="0" applyBorder="0" applyAlignment="0" applyProtection="0"/>
    <xf numFmtId="0" fontId="86" fillId="52" borderId="0" applyNumberFormat="0" applyBorder="0" applyAlignment="0" applyProtection="0"/>
    <xf numFmtId="0" fontId="39" fillId="10" borderId="0" applyNumberFormat="0" applyBorder="0" applyAlignment="0" applyProtection="0"/>
    <xf numFmtId="0" fontId="86" fillId="56"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86" fillId="64" borderId="0" applyNumberFormat="0" applyBorder="0" applyAlignment="0" applyProtection="0"/>
    <xf numFmtId="0" fontId="39" fillId="13" borderId="0" applyNumberFormat="0" applyBorder="0" applyAlignment="0" applyProtection="0"/>
    <xf numFmtId="0" fontId="86" fillId="4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86" fillId="53" borderId="0" applyNumberFormat="0" applyBorder="0" applyAlignment="0" applyProtection="0"/>
    <xf numFmtId="0" fontId="39" fillId="10" borderId="0" applyNumberFormat="0" applyBorder="0" applyAlignment="0" applyProtection="0"/>
    <xf numFmtId="0" fontId="86" fillId="57" borderId="0" applyNumberFormat="0" applyBorder="0" applyAlignment="0" applyProtection="0"/>
    <xf numFmtId="0" fontId="39" fillId="13" borderId="0" applyNumberFormat="0" applyBorder="0" applyAlignment="0" applyProtection="0"/>
    <xf numFmtId="0" fontId="86" fillId="61" borderId="0" applyNumberFormat="0" applyBorder="0" applyAlignment="0" applyProtection="0"/>
    <xf numFmtId="0" fontId="39" fillId="16" borderId="0" applyNumberFormat="0" applyBorder="0" applyAlignment="0" applyProtection="0"/>
    <xf numFmtId="0" fontId="86" fillId="65" borderId="0" applyNumberFormat="0" applyBorder="0" applyAlignment="0" applyProtection="0"/>
    <xf numFmtId="0" fontId="144" fillId="46" borderId="0" applyNumberFormat="0" applyBorder="0" applyAlignment="0" applyProtection="0"/>
    <xf numFmtId="0" fontId="144" fillId="50" borderId="0" applyNumberFormat="0" applyBorder="0" applyAlignment="0" applyProtection="0"/>
    <xf numFmtId="0" fontId="144" fillId="54" borderId="0" applyNumberFormat="0" applyBorder="0" applyAlignment="0" applyProtection="0"/>
    <xf numFmtId="0" fontId="144" fillId="58" borderId="0" applyNumberFormat="0" applyBorder="0" applyAlignment="0" applyProtection="0"/>
    <xf numFmtId="0" fontId="144" fillId="62" borderId="0" applyNumberFormat="0" applyBorder="0" applyAlignment="0" applyProtection="0"/>
    <xf numFmtId="0" fontId="144" fillId="66" borderId="0" applyNumberFormat="0" applyBorder="0" applyAlignment="0" applyProtection="0"/>
    <xf numFmtId="0" fontId="144" fillId="43" borderId="0" applyNumberFormat="0" applyBorder="0" applyAlignment="0" applyProtection="0"/>
    <xf numFmtId="0" fontId="144" fillId="47" borderId="0" applyNumberFormat="0" applyBorder="0" applyAlignment="0" applyProtection="0"/>
    <xf numFmtId="0" fontId="144" fillId="51" borderId="0" applyNumberFormat="0" applyBorder="0" applyAlignment="0" applyProtection="0"/>
    <xf numFmtId="0" fontId="144" fillId="55" borderId="0" applyNumberFormat="0" applyBorder="0" applyAlignment="0" applyProtection="0"/>
    <xf numFmtId="0" fontId="50" fillId="19" borderId="0" applyNumberFormat="0" applyBorder="0" applyAlignment="0" applyProtection="0"/>
    <xf numFmtId="0" fontId="144" fillId="63" borderId="0" applyNumberFormat="0" applyBorder="0" applyAlignment="0" applyProtection="0"/>
    <xf numFmtId="0" fontId="145" fillId="38" borderId="0" applyNumberFormat="0" applyBorder="0" applyAlignment="0" applyProtection="0"/>
    <xf numFmtId="0" fontId="147" fillId="40" borderId="2" applyNumberFormat="0" applyAlignment="0" applyProtection="0"/>
    <xf numFmtId="0" fontId="53" fillId="26" borderId="15" applyNumberFormat="0" applyAlignment="0" applyProtection="0"/>
    <xf numFmtId="0" fontId="54" fillId="0" borderId="0" applyNumberFormat="0" applyFill="0" applyBorder="0" applyAlignment="0" applyProtection="0"/>
    <xf numFmtId="0" fontId="150" fillId="37" borderId="0" applyNumberFormat="0" applyBorder="0" applyAlignment="0" applyProtection="0"/>
    <xf numFmtId="0" fontId="58" fillId="0" borderId="16" applyNumberFormat="0" applyFill="0" applyAlignment="0" applyProtection="0"/>
    <xf numFmtId="0" fontId="153" fillId="0" borderId="47" applyNumberFormat="0" applyFill="0" applyAlignment="0" applyProtection="0"/>
    <xf numFmtId="0" fontId="153" fillId="0" borderId="0" applyNumberFormat="0" applyFill="0" applyBorder="0" applyAlignment="0" applyProtection="0"/>
    <xf numFmtId="0" fontId="154" fillId="67" borderId="2" applyNumberFormat="0" applyAlignment="0" applyProtection="0"/>
    <xf numFmtId="0" fontId="155" fillId="0" borderId="41" applyNumberFormat="0" applyFill="0" applyAlignment="0" applyProtection="0"/>
    <xf numFmtId="0" fontId="157" fillId="39" borderId="0" applyNumberFormat="0" applyBorder="0" applyAlignment="0" applyProtection="0"/>
    <xf numFmtId="0" fontId="158" fillId="40" borderId="40" applyNumberFormat="0" applyAlignment="0" applyProtection="0"/>
    <xf numFmtId="0" fontId="40" fillId="0" borderId="20" applyNumberFormat="0" applyFill="0" applyAlignment="0" applyProtection="0"/>
    <xf numFmtId="0" fontId="3" fillId="0" borderId="20" applyNumberFormat="0" applyFill="0" applyAlignment="0" applyProtection="0"/>
    <xf numFmtId="0" fontId="63" fillId="0" borderId="0" applyNumberFormat="0" applyFill="0" applyBorder="0" applyAlignment="0" applyProtection="0"/>
    <xf numFmtId="226" fontId="54" fillId="0" borderId="0" applyNumberFormat="0" applyFill="0" applyBorder="0" applyAlignment="0" applyProtection="0"/>
    <xf numFmtId="0" fontId="34"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58" fillId="0" borderId="16" applyNumberFormat="0" applyFill="0" applyAlignment="0" applyProtection="0"/>
    <xf numFmtId="0" fontId="40" fillId="0" borderId="20" applyNumberFormat="0" applyFill="0" applyAlignment="0" applyProtection="0"/>
    <xf numFmtId="0" fontId="3" fillId="0" borderId="20" applyNumberFormat="0" applyFill="0" applyAlignment="0" applyProtection="0"/>
    <xf numFmtId="9" fontId="193" fillId="0" borderId="0" applyFont="0" applyFill="0" applyBorder="0" applyAlignment="0" applyProtection="0"/>
    <xf numFmtId="231" fontId="22" fillId="0" borderId="0" applyFont="0" applyFill="0" applyBorder="0" applyAlignment="0" applyProtection="0"/>
    <xf numFmtId="0" fontId="74" fillId="0" borderId="16" applyNumberFormat="0" applyFill="0" applyAlignment="0" applyProtection="0"/>
    <xf numFmtId="0" fontId="191" fillId="0" borderId="20" applyNumberFormat="0" applyFill="0" applyAlignment="0" applyProtection="0"/>
    <xf numFmtId="0" fontId="36"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34" fillId="25" borderId="19" applyNumberFormat="0" applyAlignment="0" applyProtection="0"/>
    <xf numFmtId="0" fontId="62"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62" fillId="25" borderId="19" applyNumberFormat="0" applyAlignment="0" applyProtection="0"/>
    <xf numFmtId="0" fontId="36" fillId="0" borderId="20" applyNumberFormat="0" applyFill="0" applyAlignment="0" applyProtection="0"/>
    <xf numFmtId="0" fontId="34" fillId="25" borderId="19" applyNumberFormat="0" applyAlignment="0" applyProtection="0"/>
    <xf numFmtId="0" fontId="62" fillId="25" borderId="19" applyNumberFormat="0" applyAlignment="0" applyProtection="0"/>
    <xf numFmtId="0" fontId="62" fillId="25" borderId="19" applyNumberFormat="0" applyAlignment="0" applyProtection="0"/>
    <xf numFmtId="0" fontId="40" fillId="0" borderId="20" applyNumberFormat="0" applyFill="0" applyAlignment="0" applyProtection="0"/>
    <xf numFmtId="0" fontId="3" fillId="0" borderId="20" applyNumberFormat="0" applyFill="0" applyAlignment="0" applyProtection="0"/>
    <xf numFmtId="0" fontId="40" fillId="0" borderId="20" applyNumberFormat="0" applyFill="0" applyAlignment="0" applyProtection="0"/>
    <xf numFmtId="0" fontId="191" fillId="0" borderId="20" applyNumberFormat="0" applyFill="0" applyAlignment="0" applyProtection="0"/>
    <xf numFmtId="0" fontId="62" fillId="25" borderId="19" applyNumberFormat="0" applyAlignment="0" applyProtection="0"/>
    <xf numFmtId="0" fontId="190" fillId="25" borderId="19" applyNumberFormat="0" applyAlignment="0" applyProtection="0"/>
    <xf numFmtId="0" fontId="62" fillId="25" borderId="19" applyNumberFormat="0" applyAlignment="0" applyProtection="0"/>
    <xf numFmtId="0" fontId="3" fillId="0" borderId="20" applyNumberFormat="0" applyFill="0" applyAlignment="0" applyProtection="0"/>
    <xf numFmtId="0" fontId="62" fillId="25" borderId="19" applyNumberFormat="0" applyAlignment="0" applyProtection="0"/>
    <xf numFmtId="0" fontId="40" fillId="0" borderId="20" applyNumberFormat="0" applyFill="0" applyAlignment="0" applyProtection="0"/>
    <xf numFmtId="0" fontId="40" fillId="0" borderId="20" applyNumberFormat="0" applyFill="0" applyAlignment="0" applyProtection="0"/>
    <xf numFmtId="0" fontId="3" fillId="0" borderId="20" applyNumberFormat="0" applyFill="0" applyAlignment="0" applyProtection="0"/>
    <xf numFmtId="0" fontId="62" fillId="25" borderId="19" applyNumberFormat="0" applyAlignment="0" applyProtection="0"/>
    <xf numFmtId="0" fontId="3"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62" fillId="25" borderId="19" applyNumberFormat="0" applyAlignment="0" applyProtection="0"/>
    <xf numFmtId="0" fontId="191" fillId="0" borderId="20" applyNumberFormat="0" applyFill="0" applyAlignment="0" applyProtection="0"/>
    <xf numFmtId="0" fontId="40" fillId="0" borderId="20" applyNumberFormat="0" applyFill="0" applyAlignment="0" applyProtection="0"/>
    <xf numFmtId="0" fontId="36"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195" fillId="0" borderId="0"/>
    <xf numFmtId="164" fontId="195" fillId="0" borderId="0" applyFont="0" applyFill="0" applyBorder="0" applyAlignment="0" applyProtection="0"/>
    <xf numFmtId="0" fontId="217" fillId="0" borderId="0" applyNumberFormat="0" applyFill="0" applyBorder="0" applyAlignment="0" applyProtection="0">
      <alignment vertical="top"/>
      <protection locked="0"/>
    </xf>
    <xf numFmtId="0" fontId="195" fillId="0" borderId="0"/>
    <xf numFmtId="164" fontId="195" fillId="0" borderId="0" applyFont="0" applyFill="0" applyBorder="0" applyAlignment="0" applyProtection="0"/>
    <xf numFmtId="0" fontId="1" fillId="0" borderId="0"/>
    <xf numFmtId="0" fontId="54" fillId="0" borderId="0" applyNumberFormat="0" applyFill="0" applyBorder="0" applyAlignment="0" applyProtection="0"/>
    <xf numFmtId="0" fontId="1" fillId="0" borderId="0"/>
    <xf numFmtId="49" fontId="101" fillId="69" borderId="13">
      <alignment horizontal="right" indent="2"/>
    </xf>
    <xf numFmtId="0" fontId="42" fillId="0" borderId="12">
      <alignment horizontal="center" vertical="center"/>
    </xf>
    <xf numFmtId="0" fontId="42" fillId="0" borderId="12">
      <alignment horizontal="center" vertical="center"/>
    </xf>
    <xf numFmtId="49" fontId="101" fillId="69" borderId="13">
      <alignment horizontal="right" indent="2"/>
    </xf>
    <xf numFmtId="226" fontId="42" fillId="0" borderId="5">
      <alignment horizontal="center" vertical="center"/>
    </xf>
    <xf numFmtId="226" fontId="42" fillId="0" borderId="5">
      <alignment horizontal="center" vertical="center"/>
    </xf>
    <xf numFmtId="49" fontId="101" fillId="69" borderId="13">
      <alignment horizontal="right" indent="2"/>
    </xf>
    <xf numFmtId="49" fontId="101" fillId="69" borderId="13">
      <alignment horizontal="right" indent="2"/>
    </xf>
    <xf numFmtId="0" fontId="42" fillId="0" borderId="12">
      <alignment horizontal="center" vertical="center"/>
    </xf>
    <xf numFmtId="49" fontId="101" fillId="69" borderId="13">
      <alignment horizontal="right" indent="2"/>
    </xf>
    <xf numFmtId="226" fontId="42" fillId="0" borderId="12">
      <alignment horizontal="center" vertical="center"/>
    </xf>
    <xf numFmtId="49" fontId="101" fillId="69" borderId="13">
      <alignment horizontal="right" indent="2"/>
    </xf>
    <xf numFmtId="226" fontId="42" fillId="0" borderId="12">
      <alignment horizontal="center" vertical="center"/>
    </xf>
    <xf numFmtId="0" fontId="42" fillId="0" borderId="5">
      <alignment horizontal="center" vertical="center"/>
    </xf>
    <xf numFmtId="0" fontId="42" fillId="0" borderId="5">
      <alignment horizontal="center" vertical="center"/>
    </xf>
    <xf numFmtId="0" fontId="42" fillId="0" borderId="12">
      <alignment horizontal="center" vertical="center"/>
    </xf>
    <xf numFmtId="226" fontId="54" fillId="0" borderId="0" applyNumberFormat="0" applyFill="0" applyBorder="0" applyAlignment="0" applyProtection="0"/>
    <xf numFmtId="0" fontId="1" fillId="0" borderId="0"/>
    <xf numFmtId="0" fontId="149" fillId="0" borderId="0" applyNumberFormat="0" applyFill="0" applyBorder="0" applyAlignment="0" applyProtection="0"/>
    <xf numFmtId="0" fontId="135" fillId="0" borderId="0" applyFont="0" applyFill="0" applyBorder="0" applyAlignment="0" applyProtection="0"/>
    <xf numFmtId="0" fontId="54" fillId="0" borderId="0" applyNumberFormat="0" applyFill="0" applyBorder="0" applyAlignment="0" applyProtection="0"/>
    <xf numFmtId="0" fontId="22" fillId="0" borderId="0" applyBorder="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5" fillId="0" borderId="0"/>
    <xf numFmtId="0" fontId="195" fillId="0" borderId="0"/>
    <xf numFmtId="0" fontId="39" fillId="7" borderId="0" applyNumberFormat="0" applyBorder="0" applyAlignment="0" applyProtection="0"/>
    <xf numFmtId="0" fontId="65"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65"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65"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5"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65"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5"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5" fillId="15"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65"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65" fillId="13"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65" fillId="16" borderId="0" applyNumberFormat="0" applyBorder="0" applyAlignment="0" applyProtection="0"/>
    <xf numFmtId="0" fontId="39" fillId="16" borderId="0" applyNumberFormat="0" applyBorder="0" applyAlignment="0" applyProtection="0"/>
    <xf numFmtId="0" fontId="66" fillId="17"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4" borderId="0" applyNumberFormat="0" applyBorder="0" applyAlignment="0" applyProtection="0"/>
    <xf numFmtId="0" fontId="67" fillId="8" borderId="0" applyNumberFormat="0" applyBorder="0" applyAlignment="0" applyProtection="0"/>
    <xf numFmtId="0" fontId="68" fillId="25" borderId="14" applyNumberFormat="0" applyAlignment="0" applyProtection="0"/>
    <xf numFmtId="0" fontId="69" fillId="26" borderId="15" applyNumberFormat="0" applyAlignment="0" applyProtection="0"/>
    <xf numFmtId="164" fontId="22" fillId="0" borderId="0" applyFont="0" applyFill="0" applyBorder="0" applyAlignment="0" applyProtection="0"/>
    <xf numFmtId="164" fontId="39" fillId="0" borderId="0" applyFont="0" applyFill="0" applyBorder="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71" fillId="9" borderId="0" applyNumberFormat="0" applyBorder="0" applyAlignment="0" applyProtection="0"/>
    <xf numFmtId="0" fontId="72" fillId="0" borderId="38" applyNumberFormat="0" applyFill="0" applyAlignment="0" applyProtection="0"/>
    <xf numFmtId="0" fontId="73" fillId="0" borderId="39" applyNumberFormat="0" applyFill="0" applyAlignment="0" applyProtection="0"/>
    <xf numFmtId="0" fontId="74" fillId="0" borderId="16" applyNumberFormat="0" applyFill="0" applyAlignment="0" applyProtection="0"/>
    <xf numFmtId="0" fontId="74" fillId="0" borderId="0" applyNumberFormat="0" applyFill="0" applyBorder="0" applyAlignment="0" applyProtection="0"/>
    <xf numFmtId="0" fontId="75" fillId="12" borderId="14" applyNumberFormat="0" applyAlignment="0" applyProtection="0"/>
    <xf numFmtId="0" fontId="76" fillId="0" borderId="17" applyNumberFormat="0" applyFill="0" applyAlignment="0" applyProtection="0"/>
    <xf numFmtId="0" fontId="77" fillId="27" borderId="0" applyNumberFormat="0" applyBorder="0" applyAlignment="0" applyProtection="0"/>
    <xf numFmtId="0" fontId="22" fillId="0" borderId="0"/>
    <xf numFmtId="0" fontId="22" fillId="0" borderId="0"/>
    <xf numFmtId="0" fontId="22" fillId="0" borderId="0"/>
    <xf numFmtId="173" fontId="39" fillId="0" borderId="0"/>
    <xf numFmtId="173" fontId="39" fillId="0" borderId="0"/>
    <xf numFmtId="0" fontId="65" fillId="0" borderId="0"/>
    <xf numFmtId="0" fontId="65" fillId="0" borderId="0"/>
    <xf numFmtId="0" fontId="65" fillId="0" borderId="0"/>
    <xf numFmtId="178" fontId="39" fillId="0" borderId="0"/>
    <xf numFmtId="0" fontId="22" fillId="0" borderId="0"/>
    <xf numFmtId="0" fontId="22" fillId="0" borderId="0"/>
    <xf numFmtId="0" fontId="23" fillId="0" borderId="0"/>
    <xf numFmtId="173" fontId="39" fillId="0" borderId="0"/>
    <xf numFmtId="178" fontId="22" fillId="0" borderId="0" applyBorder="0"/>
    <xf numFmtId="0" fontId="22" fillId="0" borderId="0" applyBorder="0"/>
    <xf numFmtId="178" fontId="22" fillId="0" borderId="0"/>
    <xf numFmtId="0" fontId="41" fillId="0" borderId="0"/>
    <xf numFmtId="0" fontId="22" fillId="0" borderId="0"/>
    <xf numFmtId="0" fontId="23" fillId="0" borderId="0"/>
    <xf numFmtId="0" fontId="22" fillId="28" borderId="18" applyNumberFormat="0" applyFont="0" applyAlignment="0" applyProtection="0"/>
    <xf numFmtId="0" fontId="22" fillId="28" borderId="18" applyNumberFormat="0" applyFont="0" applyAlignment="0" applyProtection="0"/>
    <xf numFmtId="0" fontId="65" fillId="28" borderId="18" applyNumberFormat="0" applyFont="0" applyAlignment="0" applyProtection="0"/>
    <xf numFmtId="0" fontId="22" fillId="28" borderId="18" applyNumberFormat="0" applyFont="0" applyAlignment="0" applyProtection="0"/>
    <xf numFmtId="0" fontId="22" fillId="28" borderId="18" applyNumberFormat="0" applyFont="0" applyAlignment="0" applyProtection="0"/>
    <xf numFmtId="0" fontId="78" fillId="25" borderId="19" applyNumberFormat="0" applyAlignment="0" applyProtection="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0" fillId="0" borderId="20" applyNumberFormat="0" applyFill="0" applyAlignment="0" applyProtection="0"/>
    <xf numFmtId="0" fontId="79" fillId="0" borderId="20" applyNumberFormat="0" applyFill="0" applyAlignment="0" applyProtection="0"/>
    <xf numFmtId="0" fontId="80" fillId="0" borderId="0" applyNumberFormat="0" applyFill="0" applyBorder="0" applyAlignment="0" applyProtection="0"/>
    <xf numFmtId="0" fontId="195" fillId="0" borderId="0"/>
    <xf numFmtId="173" fontId="1" fillId="0" borderId="0"/>
    <xf numFmtId="0" fontId="22" fillId="0" borderId="0"/>
    <xf numFmtId="0" fontId="22" fillId="0" borderId="0"/>
    <xf numFmtId="0" fontId="22" fillId="0" borderId="0" applyBorder="0"/>
    <xf numFmtId="49" fontId="101" fillId="69" borderId="13">
      <alignment horizontal="right" indent="2"/>
    </xf>
    <xf numFmtId="0" fontId="39" fillId="13" borderId="0" applyNumberFormat="0" applyBorder="0" applyAlignment="0" applyProtection="0"/>
    <xf numFmtId="0" fontId="196"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14" borderId="0" applyNumberFormat="0" applyBorder="0" applyAlignment="0" applyProtection="0"/>
    <xf numFmtId="0" fontId="196"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28" borderId="0" applyNumberFormat="0" applyBorder="0" applyAlignment="0" applyProtection="0"/>
    <xf numFmtId="0" fontId="196"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2" borderId="0" applyNumberFormat="0" applyBorder="0" applyAlignment="0" applyProtection="0"/>
    <xf numFmtId="0" fontId="196"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96" fillId="60" borderId="0" applyNumberFormat="0" applyBorder="0" applyAlignment="0" applyProtection="0"/>
    <xf numFmtId="0" fontId="1" fillId="60" borderId="0" applyNumberFormat="0" applyBorder="0" applyAlignment="0" applyProtection="0"/>
    <xf numFmtId="0" fontId="39" fillId="28" borderId="0" applyNumberFormat="0" applyBorder="0" applyAlignment="0" applyProtection="0"/>
    <xf numFmtId="0" fontId="196"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9" fillId="11" borderId="0" applyNumberFormat="0" applyBorder="0" applyAlignment="0" applyProtection="0"/>
    <xf numFmtId="0" fontId="196"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96" fillId="49" borderId="0" applyNumberFormat="0" applyBorder="0" applyAlignment="0" applyProtection="0"/>
    <xf numFmtId="0" fontId="1" fillId="49" borderId="0" applyNumberFormat="0" applyBorder="0" applyAlignment="0" applyProtection="0"/>
    <xf numFmtId="0" fontId="39" fillId="27" borderId="0" applyNumberFormat="0" applyBorder="0" applyAlignment="0" applyProtection="0"/>
    <xf numFmtId="0" fontId="19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9" fillId="8" borderId="0" applyNumberFormat="0" applyBorder="0" applyAlignment="0" applyProtection="0"/>
    <xf numFmtId="0" fontId="19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9" fillId="11" borderId="0" applyNumberFormat="0" applyBorder="0" applyAlignment="0" applyProtection="0"/>
    <xf numFmtId="0" fontId="19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9" fillId="28" borderId="0" applyNumberFormat="0" applyBorder="0" applyAlignment="0" applyProtection="0"/>
    <xf numFmtId="0" fontId="19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50" fillId="11" borderId="0" applyNumberFormat="0" applyBorder="0" applyAlignment="0" applyProtection="0"/>
    <xf numFmtId="0" fontId="197" fillId="46" borderId="0" applyNumberFormat="0" applyBorder="0" applyAlignment="0" applyProtection="0"/>
    <xf numFmtId="0" fontId="130" fillId="46" borderId="0" applyNumberFormat="0" applyBorder="0" applyAlignment="0" applyProtection="0"/>
    <xf numFmtId="0" fontId="50" fillId="24" borderId="0" applyNumberFormat="0" applyBorder="0" applyAlignment="0" applyProtection="0"/>
    <xf numFmtId="0" fontId="197" fillId="50" borderId="0" applyNumberFormat="0" applyBorder="0" applyAlignment="0" applyProtection="0"/>
    <xf numFmtId="0" fontId="130" fillId="50" borderId="0" applyNumberFormat="0" applyBorder="0" applyAlignment="0" applyProtection="0"/>
    <xf numFmtId="0" fontId="50" fillId="16" borderId="0" applyNumberFormat="0" applyBorder="0" applyAlignment="0" applyProtection="0"/>
    <xf numFmtId="0" fontId="197" fillId="54" borderId="0" applyNumberFormat="0" applyBorder="0" applyAlignment="0" applyProtection="0"/>
    <xf numFmtId="0" fontId="130" fillId="54" borderId="0" applyNumberFormat="0" applyBorder="0" applyAlignment="0" applyProtection="0"/>
    <xf numFmtId="0" fontId="50" fillId="8" borderId="0" applyNumberFormat="0" applyBorder="0" applyAlignment="0" applyProtection="0"/>
    <xf numFmtId="0" fontId="197" fillId="58" borderId="0" applyNumberFormat="0" applyBorder="0" applyAlignment="0" applyProtection="0"/>
    <xf numFmtId="0" fontId="130" fillId="58" borderId="0" applyNumberFormat="0" applyBorder="0" applyAlignment="0" applyProtection="0"/>
    <xf numFmtId="0" fontId="50" fillId="11" borderId="0" applyNumberFormat="0" applyBorder="0" applyAlignment="0" applyProtection="0"/>
    <xf numFmtId="0" fontId="197" fillId="62" borderId="0" applyNumberFormat="0" applyBorder="0" applyAlignment="0" applyProtection="0"/>
    <xf numFmtId="0" fontId="130" fillId="62" borderId="0" applyNumberFormat="0" applyBorder="0" applyAlignment="0" applyProtection="0"/>
    <xf numFmtId="0" fontId="50" fillId="14" borderId="0" applyNumberFormat="0" applyBorder="0" applyAlignment="0" applyProtection="0"/>
    <xf numFmtId="0" fontId="197" fillId="66" borderId="0" applyNumberFormat="0" applyBorder="0" applyAlignment="0" applyProtection="0"/>
    <xf numFmtId="0" fontId="130" fillId="66" borderId="0" applyNumberFormat="0" applyBorder="0" applyAlignment="0" applyProtection="0"/>
    <xf numFmtId="0" fontId="50" fillId="72" borderId="0" applyNumberFormat="0" applyBorder="0" applyAlignment="0" applyProtection="0"/>
    <xf numFmtId="0" fontId="197" fillId="43" borderId="0" applyNumberFormat="0" applyBorder="0" applyAlignment="0" applyProtection="0"/>
    <xf numFmtId="0" fontId="130" fillId="43" borderId="0" applyNumberFormat="0" applyBorder="0" applyAlignment="0" applyProtection="0"/>
    <xf numFmtId="0" fontId="50" fillId="24" borderId="0" applyNumberFormat="0" applyBorder="0" applyAlignment="0" applyProtection="0"/>
    <xf numFmtId="0" fontId="197" fillId="47" borderId="0" applyNumberFormat="0" applyBorder="0" applyAlignment="0" applyProtection="0"/>
    <xf numFmtId="0" fontId="130" fillId="47" borderId="0" applyNumberFormat="0" applyBorder="0" applyAlignment="0" applyProtection="0"/>
    <xf numFmtId="0" fontId="50" fillId="16" borderId="0" applyNumberFormat="0" applyBorder="0" applyAlignment="0" applyProtection="0"/>
    <xf numFmtId="0" fontId="197" fillId="51" borderId="0" applyNumberFormat="0" applyBorder="0" applyAlignment="0" applyProtection="0"/>
    <xf numFmtId="0" fontId="130" fillId="51" borderId="0" applyNumberFormat="0" applyBorder="0" applyAlignment="0" applyProtection="0"/>
    <xf numFmtId="0" fontId="50" fillId="73" borderId="0" applyNumberFormat="0" applyBorder="0" applyAlignment="0" applyProtection="0"/>
    <xf numFmtId="0" fontId="197" fillId="55" borderId="0" applyNumberFormat="0" applyBorder="0" applyAlignment="0" applyProtection="0"/>
    <xf numFmtId="0" fontId="130" fillId="55" borderId="0" applyNumberFormat="0" applyBorder="0" applyAlignment="0" applyProtection="0"/>
    <xf numFmtId="0" fontId="197" fillId="59" borderId="0" applyNumberFormat="0" applyBorder="0" applyAlignment="0" applyProtection="0"/>
    <xf numFmtId="0" fontId="130" fillId="59" borderId="0" applyNumberFormat="0" applyBorder="0" applyAlignment="0" applyProtection="0"/>
    <xf numFmtId="0" fontId="50" fillId="22" borderId="0" applyNumberFormat="0" applyBorder="0" applyAlignment="0" applyProtection="0"/>
    <xf numFmtId="0" fontId="197" fillId="63" borderId="0" applyNumberFormat="0" applyBorder="0" applyAlignment="0" applyProtection="0"/>
    <xf numFmtId="0" fontId="130" fillId="63" borderId="0" applyNumberFormat="0" applyBorder="0" applyAlignment="0" applyProtection="0"/>
    <xf numFmtId="0" fontId="51" fillId="10" borderId="0" applyNumberFormat="0" applyBorder="0" applyAlignment="0" applyProtection="0"/>
    <xf numFmtId="0" fontId="198" fillId="38" borderId="0" applyNumberFormat="0" applyBorder="0" applyAlignment="0" applyProtection="0"/>
    <xf numFmtId="0" fontId="122" fillId="38" borderId="0" applyNumberFormat="0" applyBorder="0" applyAlignment="0" applyProtection="0"/>
    <xf numFmtId="0" fontId="199" fillId="75" borderId="14" applyNumberFormat="0" applyAlignment="0" applyProtection="0"/>
    <xf numFmtId="0" fontId="200" fillId="40" borderId="2" applyNumberFormat="0" applyAlignment="0" applyProtection="0"/>
    <xf numFmtId="0" fontId="125" fillId="40" borderId="2" applyNumberFormat="0" applyAlignment="0" applyProtection="0"/>
    <xf numFmtId="0" fontId="201" fillId="41" borderId="42" applyNumberFormat="0" applyAlignment="0" applyProtection="0"/>
    <xf numFmtId="0" fontId="127" fillId="41" borderId="42" applyNumberFormat="0" applyAlignment="0" applyProtection="0"/>
    <xf numFmtId="164" fontId="1" fillId="0" borderId="0" applyFont="0" applyFill="0" applyBorder="0" applyAlignment="0" applyProtection="0"/>
    <xf numFmtId="233" fontId="22" fillId="0" borderId="0" applyFont="0" applyFill="0" applyBorder="0" applyAlignment="0" applyProtection="0"/>
    <xf numFmtId="0" fontId="202" fillId="0" borderId="0" applyNumberFormat="0" applyFill="0" applyBorder="0" applyAlignment="0" applyProtection="0"/>
    <xf numFmtId="0" fontId="129" fillId="0" borderId="0" applyNumberFormat="0" applyFill="0" applyBorder="0" applyAlignment="0" applyProtection="0"/>
    <xf numFmtId="0" fontId="55" fillId="11" borderId="0" applyNumberFormat="0" applyBorder="0" applyAlignment="0" applyProtection="0"/>
    <xf numFmtId="0" fontId="203" fillId="37" borderId="0" applyNumberFormat="0" applyBorder="0" applyAlignment="0" applyProtection="0"/>
    <xf numFmtId="0" fontId="121" fillId="37" borderId="0" applyNumberFormat="0" applyBorder="0" applyAlignment="0" applyProtection="0"/>
    <xf numFmtId="0" fontId="204" fillId="0" borderId="54" applyNumberFormat="0" applyFill="0" applyAlignment="0" applyProtection="0"/>
    <xf numFmtId="0" fontId="151" fillId="0" borderId="45" applyNumberFormat="0" applyFill="0" applyAlignment="0" applyProtection="0"/>
    <xf numFmtId="0" fontId="132" fillId="0" borderId="45" applyNumberFormat="0" applyFill="0" applyAlignment="0" applyProtection="0"/>
    <xf numFmtId="0" fontId="205" fillId="0" borderId="55" applyNumberFormat="0" applyFill="0" applyAlignment="0" applyProtection="0"/>
    <xf numFmtId="0" fontId="152" fillId="0" borderId="46" applyNumberFormat="0" applyFill="0" applyAlignment="0" applyProtection="0"/>
    <xf numFmtId="0" fontId="133" fillId="0" borderId="46" applyNumberFormat="0" applyFill="0" applyAlignment="0" applyProtection="0"/>
    <xf numFmtId="0" fontId="206" fillId="0" borderId="56" applyNumberFormat="0" applyFill="0" applyAlignment="0" applyProtection="0"/>
    <xf numFmtId="0" fontId="153" fillId="0" borderId="47" applyNumberFormat="0" applyFill="0" applyAlignment="0" applyProtection="0"/>
    <xf numFmtId="0" fontId="120" fillId="0" borderId="47" applyNumberFormat="0" applyFill="0" applyAlignment="0" applyProtection="0"/>
    <xf numFmtId="0" fontId="206" fillId="0" borderId="0" applyNumberFormat="0" applyFill="0" applyBorder="0" applyAlignment="0" applyProtection="0"/>
    <xf numFmtId="0" fontId="153" fillId="0" borderId="0" applyNumberFormat="0" applyFill="0" applyBorder="0" applyAlignment="0" applyProtection="0"/>
    <xf numFmtId="0" fontId="120" fillId="0" borderId="0" applyNumberFormat="0" applyFill="0" applyBorder="0" applyAlignment="0" applyProtection="0"/>
    <xf numFmtId="0" fontId="59" fillId="27" borderId="14" applyNumberFormat="0" applyAlignment="0" applyProtection="0"/>
    <xf numFmtId="0" fontId="207" fillId="67" borderId="2" applyNumberFormat="0" applyAlignment="0" applyProtection="0"/>
    <xf numFmtId="0" fontId="2" fillId="67" borderId="2" applyNumberFormat="0" applyAlignment="0" applyProtection="0"/>
    <xf numFmtId="0" fontId="63" fillId="0" borderId="57" applyNumberFormat="0" applyFill="0" applyAlignment="0" applyProtection="0"/>
    <xf numFmtId="0" fontId="208" fillId="0" borderId="41" applyNumberFormat="0" applyFill="0" applyAlignment="0" applyProtection="0"/>
    <xf numFmtId="0" fontId="126" fillId="0" borderId="41" applyNumberFormat="0" applyFill="0" applyAlignment="0" applyProtection="0"/>
    <xf numFmtId="0" fontId="209" fillId="27" borderId="0" applyNumberFormat="0" applyBorder="0" applyAlignment="0" applyProtection="0"/>
    <xf numFmtId="0" fontId="210" fillId="39" borderId="0" applyNumberFormat="0" applyBorder="0" applyAlignment="0" applyProtection="0"/>
    <xf numFmtId="0" fontId="123"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0" fontId="211" fillId="0" borderId="0"/>
    <xf numFmtId="0" fontId="1" fillId="0" borderId="0"/>
    <xf numFmtId="0" fontId="1" fillId="0" borderId="0"/>
    <xf numFmtId="0" fontId="196" fillId="42" borderId="43" applyNumberFormat="0" applyFont="0" applyAlignment="0" applyProtection="0"/>
    <xf numFmtId="0" fontId="62" fillId="75" borderId="19" applyNumberFormat="0" applyAlignment="0" applyProtection="0"/>
    <xf numFmtId="0" fontId="212" fillId="40" borderId="40" applyNumberFormat="0" applyAlignment="0" applyProtection="0"/>
    <xf numFmtId="0" fontId="124" fillId="40" borderId="40" applyNumberFormat="0" applyAlignment="0" applyProtection="0"/>
    <xf numFmtId="9" fontId="1" fillId="0" borderId="0" applyFont="0" applyFill="0" applyBorder="0" applyAlignment="0" applyProtection="0"/>
    <xf numFmtId="0" fontId="214" fillId="0" borderId="0" applyNumberFormat="0" applyFill="0" applyBorder="0" applyAlignment="0" applyProtection="0"/>
    <xf numFmtId="0" fontId="40" fillId="0" borderId="58" applyNumberFormat="0" applyFill="0" applyAlignment="0" applyProtection="0"/>
    <xf numFmtId="0" fontId="215" fillId="0" borderId="44" applyNumberFormat="0" applyFill="0" applyAlignment="0" applyProtection="0"/>
    <xf numFmtId="0" fontId="3" fillId="0" borderId="44" applyNumberFormat="0" applyFill="0" applyAlignment="0" applyProtection="0"/>
    <xf numFmtId="0" fontId="216" fillId="0" borderId="0" applyNumberFormat="0" applyFill="0" applyBorder="0" applyAlignment="0" applyProtection="0"/>
    <xf numFmtId="0" fontId="128" fillId="0" borderId="0" applyNumberFormat="0" applyFill="0" applyBorder="0" applyAlignment="0" applyProtection="0"/>
    <xf numFmtId="0" fontId="36" fillId="0" borderId="20" applyNumberFormat="0" applyFill="0" applyAlignment="0" applyProtection="0"/>
    <xf numFmtId="0" fontId="40" fillId="0" borderId="20" applyNumberFormat="0" applyFill="0" applyAlignment="0" applyProtection="0"/>
    <xf numFmtId="0" fontId="3" fillId="0" borderId="20" applyNumberFormat="0" applyFill="0" applyAlignment="0" applyProtection="0"/>
    <xf numFmtId="0" fontId="78" fillId="25" borderId="19" applyNumberFormat="0" applyAlignment="0" applyProtection="0"/>
    <xf numFmtId="0" fontId="40" fillId="0" borderId="20" applyNumberFormat="0" applyFill="0" applyAlignment="0" applyProtection="0"/>
    <xf numFmtId="0" fontId="79" fillId="0" borderId="20" applyNumberFormat="0" applyFill="0" applyAlignment="0" applyProtection="0"/>
    <xf numFmtId="0" fontId="34"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149" fillId="0" borderId="0" applyNumberFormat="0" applyFill="0" applyBorder="0" applyAlignment="0" applyProtection="0"/>
    <xf numFmtId="0" fontId="42" fillId="0" borderId="12">
      <alignment horizontal="center" vertical="center"/>
    </xf>
    <xf numFmtId="0" fontId="22" fillId="0" borderId="0"/>
    <xf numFmtId="0" fontId="65" fillId="0" borderId="0"/>
    <xf numFmtId="0" fontId="65" fillId="0" borderId="0"/>
    <xf numFmtId="0" fontId="23" fillId="0" borderId="0"/>
    <xf numFmtId="173" fontId="39" fillId="0" borderId="0"/>
    <xf numFmtId="0" fontId="22" fillId="0" borderId="0" applyBorder="0"/>
    <xf numFmtId="0" fontId="22" fillId="0" borderId="0"/>
    <xf numFmtId="0" fontId="23" fillId="0" borderId="0"/>
    <xf numFmtId="0" fontId="40" fillId="0" borderId="20" applyNumberFormat="0" applyFill="0" applyAlignment="0" applyProtection="0"/>
    <xf numFmtId="0" fontId="79" fillId="0" borderId="20" applyNumberFormat="0" applyFill="0" applyAlignment="0" applyProtection="0"/>
    <xf numFmtId="0" fontId="42" fillId="0" borderId="12">
      <alignment horizontal="center" vertical="center"/>
    </xf>
    <xf numFmtId="0" fontId="22" fillId="28" borderId="18" applyNumberFormat="0" applyFont="0" applyAlignment="0" applyProtection="0"/>
    <xf numFmtId="0" fontId="22" fillId="28" borderId="18" applyNumberFormat="0" applyFont="0" applyAlignment="0" applyProtection="0"/>
    <xf numFmtId="0" fontId="34" fillId="25" borderId="19" applyNumberFormat="0" applyAlignment="0" applyProtection="0"/>
    <xf numFmtId="0" fontId="36" fillId="0" borderId="20" applyNumberFormat="0" applyFill="0" applyAlignment="0" applyProtection="0"/>
    <xf numFmtId="0" fontId="40" fillId="0" borderId="20" applyNumberFormat="0" applyFill="0" applyAlignment="0" applyProtection="0"/>
    <xf numFmtId="0" fontId="62" fillId="75" borderId="19" applyNumberFormat="0" applyAlignment="0" applyProtection="0"/>
    <xf numFmtId="0" fontId="40" fillId="0" borderId="58" applyNumberFormat="0" applyFill="0" applyAlignment="0" applyProtection="0"/>
    <xf numFmtId="49" fontId="101" fillId="69" borderId="13">
      <alignment horizontal="right" indent="2"/>
    </xf>
    <xf numFmtId="226" fontId="42" fillId="0" borderId="5">
      <alignment horizontal="center" vertical="center"/>
    </xf>
    <xf numFmtId="0" fontId="42" fillId="0" borderId="12">
      <alignment horizontal="center" vertical="center"/>
    </xf>
    <xf numFmtId="226" fontId="42" fillId="0" borderId="12">
      <alignment horizontal="center" vertical="center"/>
    </xf>
    <xf numFmtId="49" fontId="101" fillId="69" borderId="13">
      <alignment horizontal="right" indent="2"/>
    </xf>
    <xf numFmtId="49" fontId="101" fillId="69" borderId="13">
      <alignment horizontal="right" indent="2"/>
    </xf>
    <xf numFmtId="226" fontId="42" fillId="0" borderId="12">
      <alignment horizontal="center" vertical="center"/>
    </xf>
    <xf numFmtId="0" fontId="42" fillId="0" borderId="12">
      <alignment horizontal="center" vertical="center"/>
    </xf>
    <xf numFmtId="226" fontId="42" fillId="0" borderId="5">
      <alignment horizontal="center" vertical="center"/>
    </xf>
    <xf numFmtId="0" fontId="42" fillId="0" borderId="12">
      <alignment horizontal="center" vertical="center"/>
    </xf>
    <xf numFmtId="226" fontId="42" fillId="0" borderId="5">
      <alignment horizontal="center" vertical="center"/>
    </xf>
    <xf numFmtId="226" fontId="42" fillId="0" borderId="5">
      <alignment horizontal="center" vertical="center"/>
    </xf>
    <xf numFmtId="0" fontId="42" fillId="0" borderId="12">
      <alignment horizontal="center" vertical="center"/>
    </xf>
    <xf numFmtId="226" fontId="54" fillId="0" borderId="0" applyNumberFormat="0" applyFill="0" applyBorder="0" applyAlignment="0" applyProtection="0"/>
    <xf numFmtId="0" fontId="42" fillId="0" borderId="12">
      <alignment horizontal="center" vertical="center"/>
    </xf>
    <xf numFmtId="226" fontId="42" fillId="0" borderId="12">
      <alignment horizontal="center" vertical="center"/>
    </xf>
    <xf numFmtId="226" fontId="42" fillId="0" borderId="12">
      <alignment horizontal="center" vertical="center"/>
    </xf>
    <xf numFmtId="0" fontId="54" fillId="0" borderId="0" applyNumberFormat="0" applyFill="0" applyBorder="0" applyAlignment="0" applyProtection="0"/>
    <xf numFmtId="0" fontId="54" fillId="0" borderId="0" applyNumberFormat="0" applyFill="0" applyBorder="0" applyAlignment="0" applyProtection="0"/>
    <xf numFmtId="0" fontId="74" fillId="0" borderId="16" applyNumberFormat="0" applyFill="0" applyAlignment="0" applyProtection="0"/>
    <xf numFmtId="0" fontId="42" fillId="0" borderId="12">
      <alignment horizontal="center" vertical="center"/>
    </xf>
    <xf numFmtId="0" fontId="58" fillId="0" borderId="16" applyNumberFormat="0" applyFill="0" applyAlignment="0" applyProtection="0"/>
    <xf numFmtId="0" fontId="54" fillId="0" borderId="0" applyNumberFormat="0" applyFill="0" applyBorder="0" applyAlignment="0" applyProtection="0"/>
    <xf numFmtId="49" fontId="101" fillId="69" borderId="13">
      <alignment horizontal="right" indent="2"/>
    </xf>
    <xf numFmtId="0" fontId="54" fillId="0" borderId="0" applyNumberFormat="0" applyFill="0" applyBorder="0" applyAlignment="0" applyProtection="0"/>
    <xf numFmtId="0" fontId="42" fillId="0" borderId="12">
      <alignment horizontal="center" vertical="center"/>
    </xf>
    <xf numFmtId="226" fontId="42" fillId="0" borderId="12">
      <alignment horizontal="center" vertical="center"/>
    </xf>
    <xf numFmtId="226" fontId="42" fillId="0" borderId="12">
      <alignment horizontal="center" vertical="center"/>
    </xf>
    <xf numFmtId="0" fontId="30" fillId="0" borderId="16" applyNumberFormat="0" applyFill="0" applyAlignment="0" applyProtection="0"/>
    <xf numFmtId="49" fontId="101" fillId="69" borderId="13">
      <alignment horizontal="right" indent="2"/>
    </xf>
    <xf numFmtId="0" fontId="58"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226" fontId="1" fillId="0" borderId="0"/>
    <xf numFmtId="226" fontId="68" fillId="25" borderId="14" applyNumberFormat="0" applyAlignment="0" applyProtection="0"/>
    <xf numFmtId="226" fontId="22" fillId="0" borderId="0" applyFont="0" applyFill="0" applyBorder="0" applyAlignment="0" applyProtection="0"/>
    <xf numFmtId="226" fontId="54" fillId="0" borderId="0" applyNumberFormat="0" applyFill="0" applyBorder="0" applyAlignment="0" applyProtection="0"/>
    <xf numFmtId="226" fontId="75" fillId="12" borderId="14" applyNumberFormat="0" applyAlignment="0" applyProtection="0"/>
    <xf numFmtId="226" fontId="65" fillId="28" borderId="18" applyNumberFormat="0" applyFont="0" applyAlignment="0" applyProtection="0"/>
    <xf numFmtId="226" fontId="78" fillId="25" borderId="19" applyNumberFormat="0" applyAlignment="0" applyProtection="0"/>
    <xf numFmtId="226" fontId="42" fillId="0" borderId="12">
      <alignment horizontal="center" vertical="center"/>
    </xf>
    <xf numFmtId="226" fontId="40" fillId="0" borderId="20" applyNumberFormat="0" applyFill="0" applyAlignment="0" applyProtection="0"/>
    <xf numFmtId="226" fontId="40" fillId="0" borderId="20" applyNumberFormat="0" applyFill="0" applyAlignment="0" applyProtection="0"/>
    <xf numFmtId="226" fontId="79" fillId="0" borderId="20" applyNumberFormat="0" applyFill="0" applyAlignment="0" applyProtection="0"/>
    <xf numFmtId="226" fontId="22" fillId="0" borderId="0"/>
    <xf numFmtId="226" fontId="22" fillId="0" borderId="0"/>
    <xf numFmtId="226" fontId="42" fillId="0" borderId="0"/>
    <xf numFmtId="226" fontId="42" fillId="0" borderId="0"/>
    <xf numFmtId="226" fontId="39" fillId="7" borderId="0" applyNumberFormat="0" applyBorder="0" applyAlignment="0" applyProtection="0"/>
    <xf numFmtId="226" fontId="86" fillId="44" borderId="0" applyNumberFormat="0" applyBorder="0" applyAlignment="0" applyProtection="0"/>
    <xf numFmtId="226" fontId="39" fillId="8" borderId="0" applyNumberFormat="0" applyBorder="0" applyAlignment="0" applyProtection="0"/>
    <xf numFmtId="226" fontId="86" fillId="48" borderId="0" applyNumberFormat="0" applyBorder="0" applyAlignment="0" applyProtection="0"/>
    <xf numFmtId="226" fontId="39" fillId="9" borderId="0" applyNumberFormat="0" applyBorder="0" applyAlignment="0" applyProtection="0"/>
    <xf numFmtId="226" fontId="86" fillId="52" borderId="0" applyNumberFormat="0" applyBorder="0" applyAlignment="0" applyProtection="0"/>
    <xf numFmtId="226" fontId="39" fillId="10" borderId="0" applyNumberFormat="0" applyBorder="0" applyAlignment="0" applyProtection="0"/>
    <xf numFmtId="226" fontId="86" fillId="56"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86" fillId="64" borderId="0" applyNumberFormat="0" applyBorder="0" applyAlignment="0" applyProtection="0"/>
    <xf numFmtId="226" fontId="39" fillId="13" borderId="0" applyNumberFormat="0" applyBorder="0" applyAlignment="0" applyProtection="0"/>
    <xf numFmtId="226" fontId="86" fillId="45"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86" fillId="53" borderId="0" applyNumberFormat="0" applyBorder="0" applyAlignment="0" applyProtection="0"/>
    <xf numFmtId="226" fontId="39" fillId="10" borderId="0" applyNumberFormat="0" applyBorder="0" applyAlignment="0" applyProtection="0"/>
    <xf numFmtId="226" fontId="86" fillId="57" borderId="0" applyNumberFormat="0" applyBorder="0" applyAlignment="0" applyProtection="0"/>
    <xf numFmtId="226" fontId="39" fillId="13" borderId="0" applyNumberFormat="0" applyBorder="0" applyAlignment="0" applyProtection="0"/>
    <xf numFmtId="226" fontId="86" fillId="61" borderId="0" applyNumberFormat="0" applyBorder="0" applyAlignment="0" applyProtection="0"/>
    <xf numFmtId="226" fontId="39" fillId="16" borderId="0" applyNumberFormat="0" applyBorder="0" applyAlignment="0" applyProtection="0"/>
    <xf numFmtId="226" fontId="86" fillId="65" borderId="0" applyNumberFormat="0" applyBorder="0" applyAlignment="0" applyProtection="0"/>
    <xf numFmtId="0" fontId="42" fillId="0" borderId="12">
      <alignment horizontal="center" vertical="center"/>
    </xf>
    <xf numFmtId="226" fontId="149" fillId="0" borderId="0" applyNumberFormat="0" applyFill="0" applyBorder="0" applyAlignment="0" applyProtection="0"/>
    <xf numFmtId="226" fontId="22" fillId="0" borderId="0" applyBorder="0"/>
    <xf numFmtId="226" fontId="22" fillId="0" borderId="0"/>
    <xf numFmtId="226" fontId="1" fillId="0" borderId="0"/>
    <xf numFmtId="226" fontId="1" fillId="0" borderId="0"/>
    <xf numFmtId="226" fontId="22" fillId="0" borderId="0"/>
    <xf numFmtId="226" fontId="141" fillId="42" borderId="43" applyNumberFormat="0" applyFont="0" applyAlignment="0" applyProtection="0"/>
    <xf numFmtId="226" fontId="22" fillId="0" borderId="0"/>
    <xf numFmtId="226" fontId="22" fillId="28" borderId="18" applyNumberFormat="0" applyFont="0" applyAlignment="0" applyProtection="0"/>
    <xf numFmtId="226" fontId="23" fillId="7" borderId="0" applyNumberFormat="0" applyBorder="0" applyAlignment="0" applyProtection="0"/>
    <xf numFmtId="226" fontId="23" fillId="8" borderId="0" applyNumberFormat="0" applyBorder="0" applyAlignment="0" applyProtection="0"/>
    <xf numFmtId="226" fontId="23" fillId="9" borderId="0" applyNumberFormat="0" applyBorder="0" applyAlignment="0" applyProtection="0"/>
    <xf numFmtId="226" fontId="23" fillId="10" borderId="0" applyNumberFormat="0" applyBorder="0" applyAlignment="0" applyProtection="0"/>
    <xf numFmtId="226" fontId="23" fillId="11" borderId="0" applyNumberFormat="0" applyBorder="0" applyAlignment="0" applyProtection="0"/>
    <xf numFmtId="226" fontId="23" fillId="12" borderId="0" applyNumberFormat="0" applyBorder="0" applyAlignment="0" applyProtection="0"/>
    <xf numFmtId="226" fontId="23" fillId="13" borderId="0" applyNumberFormat="0" applyBorder="0" applyAlignment="0" applyProtection="0"/>
    <xf numFmtId="226" fontId="23" fillId="14" borderId="0" applyNumberFormat="0" applyBorder="0" applyAlignment="0" applyProtection="0"/>
    <xf numFmtId="226" fontId="23" fillId="15" borderId="0" applyNumberFormat="0" applyBorder="0" applyAlignment="0" applyProtection="0"/>
    <xf numFmtId="226" fontId="23" fillId="10" borderId="0" applyNumberFormat="0" applyBorder="0" applyAlignment="0" applyProtection="0"/>
    <xf numFmtId="226" fontId="23" fillId="13" borderId="0" applyNumberFormat="0" applyBorder="0" applyAlignment="0" applyProtection="0"/>
    <xf numFmtId="226" fontId="23" fillId="16" borderId="0" applyNumberFormat="0" applyBorder="0" applyAlignment="0" applyProtection="0"/>
    <xf numFmtId="226" fontId="24" fillId="17" borderId="0" applyNumberFormat="0" applyBorder="0" applyAlignment="0" applyProtection="0"/>
    <xf numFmtId="226" fontId="24" fillId="14" borderId="0" applyNumberFormat="0" applyBorder="0" applyAlignment="0" applyProtection="0"/>
    <xf numFmtId="226" fontId="24" fillId="15"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0" borderId="0" applyNumberFormat="0" applyBorder="0" applyAlignment="0" applyProtection="0"/>
    <xf numFmtId="226" fontId="24" fillId="21" borderId="0" applyNumberFormat="0" applyBorder="0" applyAlignment="0" applyProtection="0"/>
    <xf numFmtId="226" fontId="24" fillId="22" borderId="0" applyNumberFormat="0" applyBorder="0" applyAlignment="0" applyProtection="0"/>
    <xf numFmtId="226" fontId="24" fillId="23" borderId="0" applyNumberFormat="0" applyBorder="0" applyAlignment="0" applyProtection="0"/>
    <xf numFmtId="226" fontId="24" fillId="18" borderId="0" applyNumberFormat="0" applyBorder="0" applyAlignment="0" applyProtection="0"/>
    <xf numFmtId="226" fontId="24" fillId="19" borderId="0" applyNumberFormat="0" applyBorder="0" applyAlignment="0" applyProtection="0"/>
    <xf numFmtId="226" fontId="24" fillId="24" borderId="0" applyNumberFormat="0" applyBorder="0" applyAlignment="0" applyProtection="0"/>
    <xf numFmtId="226" fontId="25" fillId="8" borderId="0" applyNumberFormat="0" applyBorder="0" applyAlignment="0" applyProtection="0"/>
    <xf numFmtId="226" fontId="27" fillId="26" borderId="15" applyNumberFormat="0" applyAlignment="0" applyProtection="0"/>
    <xf numFmtId="226" fontId="28" fillId="0" borderId="0" applyNumberFormat="0" applyFill="0" applyBorder="0" applyAlignment="0" applyProtection="0"/>
    <xf numFmtId="226" fontId="29" fillId="9" borderId="0" applyNumberFormat="0" applyBorder="0" applyAlignment="0" applyProtection="0"/>
    <xf numFmtId="226" fontId="87" fillId="0" borderId="38" applyNumberFormat="0" applyFill="0" applyAlignment="0" applyProtection="0"/>
    <xf numFmtId="226" fontId="88" fillId="0" borderId="39" applyNumberFormat="0" applyFill="0" applyAlignment="0" applyProtection="0"/>
    <xf numFmtId="226" fontId="30" fillId="0" borderId="16" applyNumberFormat="0" applyFill="0" applyAlignment="0" applyProtection="0"/>
    <xf numFmtId="226" fontId="30" fillId="0" borderId="0" applyNumberFormat="0" applyFill="0" applyBorder="0" applyAlignment="0" applyProtection="0"/>
    <xf numFmtId="226" fontId="31" fillId="0" borderId="17" applyNumberFormat="0" applyFill="0" applyAlignment="0" applyProtection="0"/>
    <xf numFmtId="226" fontId="32" fillId="27" borderId="0" applyNumberFormat="0" applyBorder="0" applyAlignment="0" applyProtection="0"/>
    <xf numFmtId="226" fontId="20" fillId="0" borderId="0"/>
    <xf numFmtId="226" fontId="20" fillId="0" borderId="0"/>
    <xf numFmtId="226" fontId="37" fillId="0" borderId="0" applyNumberFormat="0" applyFill="0" applyBorder="0" applyAlignment="0" applyProtection="0"/>
    <xf numFmtId="226" fontId="1" fillId="0" borderId="0"/>
    <xf numFmtId="0" fontId="58" fillId="0" borderId="16" applyNumberFormat="0" applyFill="0" applyAlignment="0" applyProtection="0"/>
    <xf numFmtId="226" fontId="42" fillId="0" borderId="0"/>
    <xf numFmtId="226" fontId="39" fillId="7" borderId="0" applyNumberFormat="0" applyBorder="0" applyAlignment="0" applyProtection="0"/>
    <xf numFmtId="226" fontId="39" fillId="8" borderId="0" applyNumberFormat="0" applyBorder="0" applyAlignment="0" applyProtection="0"/>
    <xf numFmtId="226" fontId="39" fillId="9" borderId="0" applyNumberFormat="0" applyBorder="0" applyAlignment="0" applyProtection="0"/>
    <xf numFmtId="226" fontId="39" fillId="10" borderId="0" applyNumberFormat="0" applyBorder="0" applyAlignment="0" applyProtection="0"/>
    <xf numFmtId="226" fontId="39" fillId="11" borderId="0" applyNumberFormat="0" applyBorder="0" applyAlignment="0" applyProtection="0"/>
    <xf numFmtId="226" fontId="39" fillId="12" borderId="0" applyNumberFormat="0" applyBorder="0" applyAlignment="0" applyProtection="0"/>
    <xf numFmtId="226" fontId="39" fillId="13" borderId="0" applyNumberFormat="0" applyBorder="0" applyAlignment="0" applyProtection="0"/>
    <xf numFmtId="226" fontId="39" fillId="14" borderId="0" applyNumberFormat="0" applyBorder="0" applyAlignment="0" applyProtection="0"/>
    <xf numFmtId="226" fontId="39" fillId="15" borderId="0" applyNumberFormat="0" applyBorder="0" applyAlignment="0" applyProtection="0"/>
    <xf numFmtId="226" fontId="39" fillId="10" borderId="0" applyNumberFormat="0" applyBorder="0" applyAlignment="0" applyProtection="0"/>
    <xf numFmtId="226" fontId="39" fillId="13" borderId="0" applyNumberFormat="0" applyBorder="0" applyAlignment="0" applyProtection="0"/>
    <xf numFmtId="226" fontId="39" fillId="16" borderId="0" applyNumberFormat="0" applyBorder="0" applyAlignment="0" applyProtection="0"/>
    <xf numFmtId="226" fontId="22" fillId="0" borderId="0" applyBorder="0"/>
    <xf numFmtId="226" fontId="135" fillId="0" borderId="0" applyFont="0" applyFill="0" applyBorder="0" applyAlignment="0" applyProtection="0"/>
    <xf numFmtId="226" fontId="141" fillId="42" borderId="43" applyNumberFormat="0" applyFont="0" applyAlignment="0" applyProtection="0"/>
    <xf numFmtId="226" fontId="54" fillId="0" borderId="0" applyNumberFormat="0" applyFill="0" applyBorder="0" applyAlignment="0" applyProtection="0"/>
    <xf numFmtId="226" fontId="64" fillId="7" borderId="0" applyNumberFormat="0" applyBorder="0" applyAlignment="0" applyProtection="0"/>
    <xf numFmtId="226" fontId="64" fillId="8" borderId="0" applyNumberFormat="0" applyBorder="0" applyAlignment="0" applyProtection="0"/>
    <xf numFmtId="226" fontId="64" fillId="9" borderId="0" applyNumberFormat="0" applyBorder="0" applyAlignment="0" applyProtection="0"/>
    <xf numFmtId="226" fontId="64" fillId="10" borderId="0" applyNumberFormat="0" applyBorder="0" applyAlignment="0" applyProtection="0"/>
    <xf numFmtId="226" fontId="64" fillId="11" borderId="0" applyNumberFormat="0" applyBorder="0" applyAlignment="0" applyProtection="0"/>
    <xf numFmtId="226" fontId="64" fillId="12" borderId="0" applyNumberFormat="0" applyBorder="0" applyAlignment="0" applyProtection="0"/>
    <xf numFmtId="226" fontId="64" fillId="13" borderId="0" applyNumberFormat="0" applyBorder="0" applyAlignment="0" applyProtection="0"/>
    <xf numFmtId="226" fontId="64" fillId="14" borderId="0" applyNumberFormat="0" applyBorder="0" applyAlignment="0" applyProtection="0"/>
    <xf numFmtId="226" fontId="64" fillId="15" borderId="0" applyNumberFormat="0" applyBorder="0" applyAlignment="0" applyProtection="0"/>
    <xf numFmtId="226" fontId="64" fillId="10" borderId="0" applyNumberFormat="0" applyBorder="0" applyAlignment="0" applyProtection="0"/>
    <xf numFmtId="226" fontId="64" fillId="13" borderId="0" applyNumberFormat="0" applyBorder="0" applyAlignment="0" applyProtection="0"/>
    <xf numFmtId="226" fontId="64" fillId="16" borderId="0" applyNumberFormat="0" applyBorder="0" applyAlignment="0" applyProtection="0"/>
    <xf numFmtId="226" fontId="65" fillId="0" borderId="0"/>
    <xf numFmtId="226" fontId="42" fillId="0" borderId="12">
      <alignment horizontal="center" vertical="center"/>
    </xf>
    <xf numFmtId="226" fontId="22" fillId="28" borderId="18" applyNumberFormat="0" applyFont="0" applyAlignment="0" applyProtection="0"/>
    <xf numFmtId="226" fontId="22" fillId="0" borderId="0"/>
    <xf numFmtId="226" fontId="42" fillId="0" borderId="12">
      <alignment horizontal="center" vertical="center"/>
    </xf>
    <xf numFmtId="226" fontId="42" fillId="0" borderId="12">
      <alignment horizontal="center" vertical="center"/>
    </xf>
    <xf numFmtId="226" fontId="26" fillId="25" borderId="14" applyNumberFormat="0" applyAlignment="0" applyProtection="0"/>
    <xf numFmtId="226" fontId="89" fillId="12" borderId="14" applyNumberFormat="0" applyAlignment="0" applyProtection="0"/>
    <xf numFmtId="226" fontId="23" fillId="28" borderId="18" applyNumberFormat="0" applyFont="0" applyAlignment="0" applyProtection="0"/>
    <xf numFmtId="226" fontId="34" fillId="25" borderId="19" applyNumberFormat="0" applyAlignment="0" applyProtection="0"/>
    <xf numFmtId="226" fontId="36" fillId="0" borderId="20" applyNumberFormat="0" applyFill="0" applyAlignment="0" applyProtection="0"/>
    <xf numFmtId="226" fontId="22" fillId="28" borderId="18" applyNumberFormat="0" applyFont="0" applyAlignment="0" applyProtection="0"/>
    <xf numFmtId="226" fontId="40" fillId="0" borderId="20" applyNumberFormat="0" applyFill="0" applyAlignment="0" applyProtection="0"/>
    <xf numFmtId="226" fontId="23" fillId="28" borderId="18" applyNumberFormat="0" applyFont="0" applyAlignment="0" applyProtection="0"/>
    <xf numFmtId="226" fontId="22" fillId="0" borderId="0"/>
    <xf numFmtId="226" fontId="22" fillId="0" borderId="0" applyBorder="0"/>
    <xf numFmtId="226" fontId="22" fillId="0" borderId="0" applyBorder="0"/>
    <xf numFmtId="226" fontId="22" fillId="0" borderId="0" applyBorder="0"/>
    <xf numFmtId="226" fontId="22" fillId="0" borderId="0" applyBorder="0"/>
    <xf numFmtId="0" fontId="58" fillId="0" borderId="16" applyNumberFormat="0" applyFill="0" applyAlignment="0" applyProtection="0"/>
    <xf numFmtId="0" fontId="42" fillId="0" borderId="12">
      <alignment horizontal="center" vertical="center"/>
    </xf>
    <xf numFmtId="0" fontId="30"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4" fillId="0" borderId="0" applyNumberFormat="0" applyFill="0" applyBorder="0" applyAlignment="0" applyProtection="0"/>
    <xf numFmtId="49" fontId="101" fillId="69" borderId="13">
      <alignment horizontal="right" indent="2"/>
    </xf>
    <xf numFmtId="226" fontId="54" fillId="0" borderId="0" applyNumberFormat="0" applyFill="0" applyBorder="0" applyAlignment="0" applyProtection="0"/>
    <xf numFmtId="226" fontId="58" fillId="0" borderId="16" applyNumberFormat="0" applyFill="0" applyAlignment="0" applyProtection="0"/>
    <xf numFmtId="226" fontId="74" fillId="0" borderId="16" applyNumberFormat="0" applyFill="0" applyAlignment="0" applyProtection="0"/>
    <xf numFmtId="226" fontId="58" fillId="0" borderId="16" applyNumberFormat="0" applyFill="0" applyAlignment="0" applyProtection="0"/>
    <xf numFmtId="226" fontId="30" fillId="0" borderId="16"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58"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22" fillId="0" borderId="0" applyBorder="0"/>
    <xf numFmtId="0" fontId="58" fillId="0" borderId="16"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0" fontId="42" fillId="0" borderId="12">
      <alignment horizontal="center" vertical="center"/>
    </xf>
    <xf numFmtId="0" fontId="42" fillId="0" borderId="12">
      <alignment horizontal="center" vertical="center"/>
    </xf>
    <xf numFmtId="0" fontId="58"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30" fillId="0" borderId="16" applyNumberFormat="0" applyFill="0" applyAlignment="0" applyProtection="0"/>
    <xf numFmtId="226" fontId="30" fillId="0" borderId="16"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226" fontId="58" fillId="0" borderId="16" applyNumberFormat="0" applyFill="0" applyAlignment="0" applyProtection="0"/>
    <xf numFmtId="226" fontId="30" fillId="0" borderId="16" applyNumberFormat="0" applyFill="0" applyAlignment="0" applyProtection="0"/>
    <xf numFmtId="226" fontId="58" fillId="0" borderId="16" applyNumberFormat="0" applyFill="0" applyAlignment="0" applyProtection="0"/>
    <xf numFmtId="226" fontId="74"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30" fillId="0" borderId="16" applyNumberFormat="0" applyFill="0" applyAlignment="0" applyProtection="0"/>
    <xf numFmtId="0" fontId="58" fillId="0" borderId="16" applyNumberFormat="0" applyFill="0" applyAlignment="0" applyProtection="0"/>
  </cellStyleXfs>
  <cellXfs count="349">
    <xf numFmtId="0" fontId="0" fillId="0" borderId="0" xfId="0"/>
    <xf numFmtId="3" fontId="0" fillId="0" borderId="0" xfId="6" applyFont="1"/>
    <xf numFmtId="0" fontId="6" fillId="2" borderId="0" xfId="2"/>
    <xf numFmtId="0" fontId="5" fillId="5" borderId="0" xfId="3"/>
    <xf numFmtId="0" fontId="7" fillId="3" borderId="0" xfId="1"/>
    <xf numFmtId="0" fontId="4" fillId="0" borderId="0" xfId="4"/>
    <xf numFmtId="0" fontId="3" fillId="2" borderId="0" xfId="2" applyFont="1" applyAlignment="1">
      <alignment horizontal="right"/>
    </xf>
    <xf numFmtId="0" fontId="3" fillId="2" borderId="0" xfId="2" applyFont="1" applyAlignment="1">
      <alignment horizontal="center"/>
    </xf>
    <xf numFmtId="3" fontId="0" fillId="4" borderId="0" xfId="6" applyFont="1" applyFill="1"/>
    <xf numFmtId="0" fontId="10" fillId="0" borderId="0" xfId="0" applyFont="1"/>
    <xf numFmtId="0" fontId="3" fillId="0" borderId="0" xfId="0" applyFont="1" applyAlignment="1">
      <alignment horizontal="center"/>
    </xf>
    <xf numFmtId="0" fontId="8" fillId="0" borderId="0" xfId="0" applyFont="1" applyAlignment="1">
      <alignment horizontal="center"/>
    </xf>
    <xf numFmtId="0" fontId="3" fillId="0" borderId="0" xfId="5" applyFont="1" applyFill="1" applyAlignment="1">
      <alignment textRotation="90" wrapText="1"/>
    </xf>
    <xf numFmtId="0" fontId="0" fillId="0" borderId="0" xfId="0" applyFont="1"/>
    <xf numFmtId="0" fontId="0" fillId="0" borderId="3" xfId="0" applyBorder="1"/>
    <xf numFmtId="0" fontId="12" fillId="0" borderId="0" xfId="4" applyFont="1"/>
    <xf numFmtId="166" fontId="0" fillId="0" borderId="0" xfId="0" applyNumberFormat="1"/>
    <xf numFmtId="0" fontId="0" fillId="0" borderId="0" xfId="0"/>
    <xf numFmtId="0" fontId="1" fillId="0" borderId="0" xfId="4" applyFont="1"/>
    <xf numFmtId="169" fontId="0" fillId="0" borderId="0" xfId="0" applyNumberFormat="1"/>
    <xf numFmtId="170" fontId="0" fillId="0" borderId="0" xfId="0" applyNumberFormat="1"/>
    <xf numFmtId="171" fontId="0" fillId="0" borderId="0" xfId="0" applyNumberFormat="1"/>
    <xf numFmtId="1" fontId="0" fillId="0" borderId="0" xfId="0" applyNumberFormat="1"/>
    <xf numFmtId="0" fontId="18" fillId="0" borderId="0" xfId="0" applyFont="1"/>
    <xf numFmtId="0" fontId="12" fillId="0" borderId="0" xfId="0" applyFont="1"/>
    <xf numFmtId="0" fontId="19" fillId="0" borderId="0" xfId="0" applyFont="1"/>
    <xf numFmtId="3" fontId="0" fillId="0" borderId="0" xfId="0" applyNumberFormat="1" applyFill="1"/>
    <xf numFmtId="15" fontId="0" fillId="0" borderId="0" xfId="0" applyNumberFormat="1"/>
    <xf numFmtId="0" fontId="21" fillId="0" borderId="0" xfId="15" applyFont="1"/>
    <xf numFmtId="0" fontId="21" fillId="0" borderId="0" xfId="15" quotePrefix="1" applyFont="1"/>
    <xf numFmtId="2" fontId="21" fillId="0" borderId="0" xfId="15" applyNumberFormat="1" applyFont="1"/>
    <xf numFmtId="10" fontId="0" fillId="0" borderId="0" xfId="5" applyNumberFormat="1" applyFont="1" applyFill="1"/>
    <xf numFmtId="10" fontId="0" fillId="0" borderId="0" xfId="10" applyNumberFormat="1" applyFont="1" applyFill="1"/>
    <xf numFmtId="0" fontId="0" fillId="0" borderId="0" xfId="0" applyFill="1"/>
    <xf numFmtId="0" fontId="0" fillId="0" borderId="0" xfId="0"/>
    <xf numFmtId="0" fontId="3" fillId="0" borderId="0" xfId="0" applyFont="1"/>
    <xf numFmtId="0" fontId="0" fillId="0" borderId="0" xfId="0" applyBorder="1"/>
    <xf numFmtId="179" fontId="0" fillId="0" borderId="0" xfId="0" applyNumberFormat="1"/>
    <xf numFmtId="0" fontId="15" fillId="0" borderId="0" xfId="0" applyFont="1" applyFill="1"/>
    <xf numFmtId="3" fontId="0" fillId="0" borderId="0" xfId="6" applyFont="1" applyBorder="1"/>
    <xf numFmtId="0" fontId="21" fillId="0" borderId="26" xfId="15" applyFont="1" applyBorder="1"/>
    <xf numFmtId="0" fontId="83" fillId="0" borderId="27" xfId="352" applyFont="1" applyBorder="1"/>
    <xf numFmtId="0" fontId="83" fillId="0" borderId="26" xfId="352" applyFont="1" applyBorder="1"/>
    <xf numFmtId="0" fontId="84" fillId="0" borderId="0" xfId="352" applyFont="1" applyBorder="1"/>
    <xf numFmtId="0" fontId="85" fillId="0" borderId="29" xfId="352" applyFont="1" applyBorder="1"/>
    <xf numFmtId="167" fontId="0" fillId="0" borderId="0" xfId="0" applyNumberFormat="1" applyBorder="1"/>
    <xf numFmtId="2" fontId="91" fillId="0" borderId="0" xfId="15" applyNumberFormat="1" applyFont="1"/>
    <xf numFmtId="0" fontId="91" fillId="0" borderId="0" xfId="15" applyFont="1"/>
    <xf numFmtId="0" fontId="21" fillId="0" borderId="0" xfId="15" applyFont="1" applyBorder="1"/>
    <xf numFmtId="0" fontId="92" fillId="0" borderId="27" xfId="15" applyFont="1" applyBorder="1"/>
    <xf numFmtId="0" fontId="21" fillId="0" borderId="28" xfId="15" applyFont="1" applyBorder="1"/>
    <xf numFmtId="0" fontId="92" fillId="0" borderId="29" xfId="15" applyFont="1" applyBorder="1"/>
    <xf numFmtId="0" fontId="21" fillId="0" borderId="30" xfId="15" applyFont="1" applyBorder="1"/>
    <xf numFmtId="0" fontId="21" fillId="0" borderId="29" xfId="15" applyFont="1" applyBorder="1"/>
    <xf numFmtId="0" fontId="82" fillId="0" borderId="30" xfId="15" applyFont="1" applyBorder="1" applyAlignment="1">
      <alignment horizontal="center"/>
    </xf>
    <xf numFmtId="0" fontId="82" fillId="0" borderId="29" xfId="15" applyFont="1" applyBorder="1"/>
    <xf numFmtId="0" fontId="82" fillId="0" borderId="0" xfId="15" applyFont="1" applyBorder="1"/>
    <xf numFmtId="1" fontId="21" fillId="0" borderId="30" xfId="15" applyNumberFormat="1" applyFont="1" applyBorder="1"/>
    <xf numFmtId="0" fontId="21" fillId="0" borderId="0" xfId="15" quotePrefix="1" applyFont="1" applyBorder="1"/>
    <xf numFmtId="0" fontId="21" fillId="0" borderId="31" xfId="15" applyFont="1" applyBorder="1"/>
    <xf numFmtId="0" fontId="82" fillId="0" borderId="0" xfId="15" applyFont="1"/>
    <xf numFmtId="0" fontId="94" fillId="0" borderId="0" xfId="364" applyFont="1" applyAlignment="1">
      <alignment horizontal="centerContinuous" vertical="center" wrapText="1"/>
    </xf>
    <xf numFmtId="0" fontId="21" fillId="0" borderId="0" xfId="364" applyFont="1" applyAlignment="1">
      <alignment horizontal="centerContinuous" vertical="center" wrapText="1"/>
    </xf>
    <xf numFmtId="0" fontId="96" fillId="0" borderId="0" xfId="364" applyFont="1" applyAlignment="1">
      <alignment horizontal="centerContinuous" vertical="center" wrapText="1"/>
    </xf>
    <xf numFmtId="0" fontId="97" fillId="0" borderId="0" xfId="364" applyFont="1" applyAlignment="1">
      <alignment horizontal="centerContinuous" vertical="center" wrapText="1"/>
    </xf>
    <xf numFmtId="0" fontId="20" fillId="0" borderId="0" xfId="363"/>
    <xf numFmtId="0" fontId="21" fillId="0" borderId="7" xfId="364" applyFont="1" applyFill="1" applyBorder="1"/>
    <xf numFmtId="0" fontId="21" fillId="0" borderId="8" xfId="364" applyFont="1" applyFill="1" applyBorder="1"/>
    <xf numFmtId="0" fontId="21" fillId="0" borderId="5" xfId="364" applyFont="1" applyFill="1" applyBorder="1" applyAlignment="1">
      <alignment horizontal="centerContinuous"/>
    </xf>
    <xf numFmtId="0" fontId="21" fillId="0" borderId="6" xfId="364" applyFont="1" applyFill="1" applyBorder="1" applyAlignment="1">
      <alignment horizontal="centerContinuous"/>
    </xf>
    <xf numFmtId="0" fontId="21" fillId="0" borderId="0" xfId="364" applyFont="1"/>
    <xf numFmtId="0" fontId="21" fillId="0" borderId="9" xfId="364" applyFont="1" applyFill="1" applyBorder="1"/>
    <xf numFmtId="0" fontId="21" fillId="0" borderId="11" xfId="364" applyFont="1" applyFill="1" applyBorder="1" applyAlignment="1">
      <alignment horizontal="centerContinuous"/>
    </xf>
    <xf numFmtId="0" fontId="21" fillId="0" borderId="12" xfId="364" applyFont="1" applyFill="1" applyBorder="1" applyAlignment="1">
      <alignment horizontal="centerContinuous"/>
    </xf>
    <xf numFmtId="0" fontId="21" fillId="0" borderId="12" xfId="364" applyFont="1" applyFill="1" applyBorder="1"/>
    <xf numFmtId="0" fontId="21" fillId="0" borderId="13" xfId="364" applyFont="1" applyFill="1" applyBorder="1"/>
    <xf numFmtId="0" fontId="21" fillId="0" borderId="11" xfId="364" applyFont="1" applyFill="1" applyBorder="1" applyAlignment="1">
      <alignment horizontal="centerContinuous" vertical="center" wrapText="1"/>
    </xf>
    <xf numFmtId="0" fontId="21" fillId="0" borderId="12" xfId="364" applyFont="1" applyFill="1" applyBorder="1" applyAlignment="1">
      <alignment horizontal="centerContinuous" vertical="center" wrapText="1"/>
    </xf>
    <xf numFmtId="0" fontId="99" fillId="0" borderId="5" xfId="364" applyFont="1" applyFill="1" applyBorder="1"/>
    <xf numFmtId="0" fontId="99" fillId="0" borderId="21" xfId="364" applyFont="1" applyFill="1" applyBorder="1" applyAlignment="1">
      <alignment horizontal="centerContinuous" vertical="center" wrapText="1"/>
    </xf>
    <xf numFmtId="0" fontId="99" fillId="0" borderId="5" xfId="364" applyFont="1" applyFill="1" applyBorder="1" applyAlignment="1">
      <alignment horizontal="centerContinuous" vertical="center" wrapText="1"/>
    </xf>
    <xf numFmtId="0" fontId="99" fillId="0" borderId="5" xfId="364" quotePrefix="1" applyFont="1" applyFill="1" applyBorder="1" applyAlignment="1">
      <alignment horizontal="centerContinuous" vertical="center" wrapText="1"/>
    </xf>
    <xf numFmtId="0" fontId="93" fillId="0" borderId="0" xfId="364" applyFont="1"/>
    <xf numFmtId="0" fontId="21" fillId="0" borderId="0" xfId="364" quotePrefix="1" applyFont="1"/>
    <xf numFmtId="1" fontId="21" fillId="0" borderId="0" xfId="364" applyNumberFormat="1" applyFont="1" applyAlignment="1">
      <alignment horizontal="right"/>
    </xf>
    <xf numFmtId="167" fontId="21" fillId="0" borderId="0" xfId="364" applyNumberFormat="1" applyFont="1" applyAlignment="1">
      <alignment horizontal="right"/>
    </xf>
    <xf numFmtId="167" fontId="21" fillId="0" borderId="0" xfId="364" applyNumberFormat="1" applyFont="1"/>
    <xf numFmtId="1" fontId="21" fillId="0" borderId="12" xfId="364" applyNumberFormat="1" applyFont="1" applyFill="1" applyBorder="1" applyAlignment="1">
      <alignment horizontal="right"/>
    </xf>
    <xf numFmtId="167" fontId="21" fillId="0" borderId="12" xfId="364" applyNumberFormat="1" applyFont="1" applyFill="1" applyBorder="1" applyAlignment="1">
      <alignment horizontal="right"/>
    </xf>
    <xf numFmtId="167" fontId="21" fillId="0" borderId="12" xfId="364" applyNumberFormat="1" applyFont="1" applyFill="1" applyBorder="1"/>
    <xf numFmtId="10" fontId="0" fillId="0" borderId="0" xfId="10" applyNumberFormat="1" applyFont="1" applyBorder="1"/>
    <xf numFmtId="0" fontId="3" fillId="0" borderId="0" xfId="4" applyFont="1"/>
    <xf numFmtId="169" fontId="0" fillId="0" borderId="0" xfId="0" applyNumberFormat="1" applyFill="1"/>
    <xf numFmtId="169" fontId="5" fillId="5" borderId="0" xfId="3" applyNumberFormat="1"/>
    <xf numFmtId="180" fontId="0" fillId="0" borderId="0" xfId="0" applyNumberFormat="1"/>
    <xf numFmtId="3" fontId="0" fillId="0" borderId="0" xfId="0" applyNumberFormat="1" applyFont="1" applyBorder="1"/>
    <xf numFmtId="0" fontId="100" fillId="0" borderId="0" xfId="15" applyFont="1"/>
    <xf numFmtId="10" fontId="0" fillId="4" borderId="0" xfId="10" applyNumberFormat="1" applyFont="1" applyFill="1"/>
    <xf numFmtId="0" fontId="0" fillId="0" borderId="0" xfId="0" applyNumberFormat="1" applyAlignment="1"/>
    <xf numFmtId="0" fontId="3" fillId="0" borderId="0" xfId="0" applyFont="1" applyAlignment="1"/>
    <xf numFmtId="0" fontId="21" fillId="0" borderId="32" xfId="15" applyFont="1" applyBorder="1"/>
    <xf numFmtId="167" fontId="21" fillId="0" borderId="0" xfId="15" applyNumberFormat="1" applyFont="1"/>
    <xf numFmtId="0" fontId="21" fillId="0" borderId="0" xfId="15" quotePrefix="1" applyFont="1" applyAlignment="1"/>
    <xf numFmtId="0" fontId="21" fillId="0" borderId="0" xfId="15" quotePrefix="1" applyFont="1" applyAlignment="1">
      <alignment horizontal="right"/>
    </xf>
    <xf numFmtId="0" fontId="82" fillId="0" borderId="0" xfId="15" applyFont="1" applyBorder="1" applyAlignment="1">
      <alignment horizontal="center"/>
    </xf>
    <xf numFmtId="1" fontId="21" fillId="0" borderId="0" xfId="15" applyNumberFormat="1" applyFont="1" applyBorder="1"/>
    <xf numFmtId="1" fontId="21" fillId="29" borderId="0" xfId="15" applyNumberFormat="1" applyFont="1" applyFill="1" applyBorder="1"/>
    <xf numFmtId="1" fontId="82" fillId="0" borderId="0" xfId="15" applyNumberFormat="1" applyFont="1" applyBorder="1"/>
    <xf numFmtId="10" fontId="21" fillId="0" borderId="0" xfId="10" applyNumberFormat="1" applyFont="1" applyBorder="1"/>
    <xf numFmtId="10" fontId="21" fillId="0" borderId="0" xfId="15" applyNumberFormat="1" applyFont="1"/>
    <xf numFmtId="10" fontId="82" fillId="0" borderId="0" xfId="15" applyNumberFormat="1" applyFont="1"/>
    <xf numFmtId="1" fontId="21" fillId="29" borderId="26" xfId="15" applyNumberFormat="1" applyFont="1" applyFill="1" applyBorder="1"/>
    <xf numFmtId="0" fontId="85" fillId="0" borderId="0" xfId="352" applyFont="1" applyBorder="1"/>
    <xf numFmtId="0" fontId="102" fillId="0" borderId="29" xfId="352" applyFont="1" applyBorder="1" applyAlignment="1">
      <alignment horizontal="right"/>
    </xf>
    <xf numFmtId="0" fontId="102" fillId="0" borderId="0" xfId="352" applyFont="1" applyBorder="1" applyAlignment="1">
      <alignment horizontal="right"/>
    </xf>
    <xf numFmtId="17" fontId="101" fillId="0" borderId="29" xfId="376" applyNumberFormat="1" applyFont="1" applyBorder="1"/>
    <xf numFmtId="167" fontId="86" fillId="0" borderId="0" xfId="300" applyNumberFormat="1" applyFont="1" applyBorder="1"/>
    <xf numFmtId="167" fontId="86" fillId="0" borderId="30" xfId="300" applyNumberFormat="1" applyFont="1" applyBorder="1"/>
    <xf numFmtId="17" fontId="86" fillId="0" borderId="29" xfId="256" applyNumberFormat="1" applyFont="1" applyBorder="1"/>
    <xf numFmtId="17" fontId="86" fillId="0" borderId="31" xfId="256" applyNumberFormat="1" applyFont="1" applyBorder="1"/>
    <xf numFmtId="167" fontId="86" fillId="0" borderId="32" xfId="300" applyNumberFormat="1" applyFont="1" applyBorder="1"/>
    <xf numFmtId="167" fontId="86" fillId="0" borderId="33" xfId="300" applyNumberFormat="1" applyFont="1" applyBorder="1"/>
    <xf numFmtId="0" fontId="21" fillId="0" borderId="0" xfId="15" applyFont="1" applyAlignment="1">
      <alignment horizontal="right"/>
    </xf>
    <xf numFmtId="10" fontId="90" fillId="0" borderId="0" xfId="15" applyNumberFormat="1" applyFont="1"/>
    <xf numFmtId="0" fontId="0" fillId="0" borderId="0" xfId="0" applyAlignment="1">
      <alignment wrapText="1"/>
    </xf>
    <xf numFmtId="169" fontId="0" fillId="0" borderId="0" xfId="0" applyNumberFormat="1" applyAlignment="1">
      <alignment wrapText="1"/>
    </xf>
    <xf numFmtId="9" fontId="0" fillId="0" borderId="0" xfId="10" applyFont="1"/>
    <xf numFmtId="174" fontId="3" fillId="0" borderId="0" xfId="10" applyNumberFormat="1" applyFont="1"/>
    <xf numFmtId="181" fontId="0" fillId="0" borderId="0" xfId="0" applyNumberFormat="1"/>
    <xf numFmtId="169" fontId="0" fillId="0" borderId="4" xfId="10" applyNumberFormat="1" applyFont="1" applyBorder="1"/>
    <xf numFmtId="182" fontId="0" fillId="0" borderId="0" xfId="0" applyNumberFormat="1"/>
    <xf numFmtId="0" fontId="4" fillId="0" borderId="0" xfId="0" applyFont="1"/>
    <xf numFmtId="170" fontId="0" fillId="0" borderId="0" xfId="0" applyNumberFormat="1" applyFill="1"/>
    <xf numFmtId="0" fontId="6" fillId="0" borderId="0" xfId="0" applyFont="1"/>
    <xf numFmtId="0" fontId="0" fillId="30" borderId="0" xfId="0" applyFill="1"/>
    <xf numFmtId="3" fontId="0" fillId="0" borderId="1" xfId="0" applyNumberFormat="1" applyBorder="1"/>
    <xf numFmtId="3" fontId="0" fillId="0" borderId="1" xfId="0" applyNumberFormat="1" applyFill="1" applyBorder="1"/>
    <xf numFmtId="0" fontId="1" fillId="0" borderId="1" xfId="4" applyFont="1" applyBorder="1"/>
    <xf numFmtId="169" fontId="0" fillId="0" borderId="1" xfId="0" applyNumberFormat="1" applyBorder="1"/>
    <xf numFmtId="3" fontId="0" fillId="0" borderId="0" xfId="0" applyNumberFormat="1" applyBorder="1"/>
    <xf numFmtId="172" fontId="0" fillId="0" borderId="0" xfId="0" applyNumberFormat="1" applyFill="1"/>
    <xf numFmtId="169" fontId="5" fillId="0" borderId="0" xfId="3" applyNumberFormat="1" applyFill="1"/>
    <xf numFmtId="179" fontId="0" fillId="4" borderId="0" xfId="0" applyNumberFormat="1" applyFill="1"/>
    <xf numFmtId="0" fontId="104" fillId="0" borderId="0" xfId="0" applyFont="1"/>
    <xf numFmtId="167" fontId="0" fillId="0" borderId="1" xfId="0" applyNumberFormat="1" applyBorder="1"/>
    <xf numFmtId="0" fontId="107" fillId="0" borderId="0" xfId="15" applyFont="1"/>
    <xf numFmtId="9" fontId="0" fillId="4" borderId="0" xfId="0" applyNumberFormat="1" applyFill="1" applyAlignment="1"/>
    <xf numFmtId="171" fontId="0" fillId="32" borderId="0" xfId="0" applyNumberFormat="1" applyFill="1" applyAlignment="1">
      <alignment wrapText="1"/>
    </xf>
    <xf numFmtId="0" fontId="3" fillId="0" borderId="0" xfId="4" applyFont="1" applyBorder="1"/>
    <xf numFmtId="0" fontId="0" fillId="0" borderId="0" xfId="0"/>
    <xf numFmtId="10" fontId="0" fillId="0" borderId="0" xfId="0" applyNumberFormat="1"/>
    <xf numFmtId="0" fontId="15" fillId="0" borderId="0" xfId="0" applyFont="1"/>
    <xf numFmtId="10" fontId="0" fillId="0" borderId="0" xfId="10" applyNumberFormat="1" applyFont="1"/>
    <xf numFmtId="3" fontId="0" fillId="0" borderId="0" xfId="0" applyNumberFormat="1"/>
    <xf numFmtId="0" fontId="4" fillId="0" borderId="0" xfId="0" applyFont="1"/>
    <xf numFmtId="0" fontId="0" fillId="0" borderId="0" xfId="0" applyFill="1"/>
    <xf numFmtId="0" fontId="3" fillId="0" borderId="0" xfId="0" applyFont="1"/>
    <xf numFmtId="0" fontId="110" fillId="0" borderId="0" xfId="15" applyFont="1"/>
    <xf numFmtId="0" fontId="6" fillId="2" borderId="0" xfId="2" applyBorder="1"/>
    <xf numFmtId="0" fontId="3" fillId="2" borderId="0" xfId="2" applyFont="1" applyBorder="1" applyAlignment="1">
      <alignment horizontal="center"/>
    </xf>
    <xf numFmtId="166" fontId="0" fillId="0" borderId="0" xfId="0" applyNumberFormat="1" applyBorder="1"/>
    <xf numFmtId="3" fontId="0" fillId="0" borderId="1" xfId="6" applyFont="1" applyFill="1" applyBorder="1"/>
    <xf numFmtId="172" fontId="0" fillId="31" borderId="1" xfId="0" applyNumberFormat="1" applyFill="1" applyBorder="1"/>
    <xf numFmtId="169" fontId="0" fillId="0" borderId="1" xfId="0" applyNumberFormat="1" applyFill="1" applyBorder="1"/>
    <xf numFmtId="169" fontId="0" fillId="0" borderId="34" xfId="0" applyNumberFormat="1" applyBorder="1"/>
    <xf numFmtId="0" fontId="21" fillId="33" borderId="0" xfId="364" quotePrefix="1" applyFont="1" applyFill="1"/>
    <xf numFmtId="0" fontId="21" fillId="33" borderId="0" xfId="364" applyFont="1" applyFill="1"/>
    <xf numFmtId="1" fontId="21" fillId="33" borderId="0" xfId="364" applyNumberFormat="1" applyFont="1" applyFill="1" applyAlignment="1">
      <alignment horizontal="right"/>
    </xf>
    <xf numFmtId="167" fontId="21" fillId="33" borderId="0" xfId="364" applyNumberFormat="1" applyFont="1" applyFill="1" applyAlignment="1">
      <alignment horizontal="right"/>
    </xf>
    <xf numFmtId="167" fontId="21" fillId="33" borderId="0" xfId="364" applyNumberFormat="1" applyFont="1" applyFill="1"/>
    <xf numFmtId="0" fontId="21" fillId="33" borderId="0" xfId="15" applyFont="1" applyFill="1"/>
    <xf numFmtId="0" fontId="21" fillId="33" borderId="0" xfId="15" quotePrefix="1" applyFont="1" applyFill="1"/>
    <xf numFmtId="0" fontId="21" fillId="33" borderId="0" xfId="364" applyFont="1" applyFill="1" applyBorder="1"/>
    <xf numFmtId="1" fontId="21" fillId="33" borderId="0" xfId="364" applyNumberFormat="1" applyFont="1" applyFill="1" applyBorder="1" applyAlignment="1">
      <alignment horizontal="right"/>
    </xf>
    <xf numFmtId="167" fontId="21" fillId="33" borderId="0" xfId="364" applyNumberFormat="1" applyFont="1" applyFill="1" applyBorder="1" applyAlignment="1">
      <alignment horizontal="right"/>
    </xf>
    <xf numFmtId="167" fontId="21" fillId="33" borderId="0" xfId="364" applyNumberFormat="1" applyFont="1" applyFill="1" applyBorder="1"/>
    <xf numFmtId="0" fontId="21" fillId="0" borderId="0" xfId="364" applyFont="1" applyFill="1" applyBorder="1"/>
    <xf numFmtId="0" fontId="21" fillId="33" borderId="0" xfId="15" applyFont="1" applyFill="1" applyBorder="1"/>
    <xf numFmtId="0" fontId="110" fillId="0" borderId="0" xfId="15" applyFont="1" applyAlignment="1">
      <alignment horizontal="right"/>
    </xf>
    <xf numFmtId="1" fontId="21" fillId="0" borderId="35" xfId="15" applyNumberFormat="1" applyFont="1" applyBorder="1"/>
    <xf numFmtId="0" fontId="21" fillId="0" borderId="10" xfId="15" applyFont="1" applyBorder="1"/>
    <xf numFmtId="0" fontId="21" fillId="0" borderId="7" xfId="15" applyFont="1" applyBorder="1"/>
    <xf numFmtId="10" fontId="21" fillId="0" borderId="7" xfId="15" applyNumberFormat="1" applyFont="1" applyBorder="1"/>
    <xf numFmtId="0" fontId="111" fillId="0" borderId="8" xfId="15" applyFont="1" applyBorder="1" applyAlignment="1">
      <alignment horizontal="right"/>
    </xf>
    <xf numFmtId="0" fontId="111" fillId="0" borderId="22" xfId="15" applyFont="1" applyBorder="1"/>
    <xf numFmtId="10" fontId="21" fillId="0" borderId="0" xfId="15" applyNumberFormat="1" applyFont="1" applyBorder="1"/>
    <xf numFmtId="0" fontId="21" fillId="0" borderId="9" xfId="15" applyFont="1" applyBorder="1"/>
    <xf numFmtId="0" fontId="21" fillId="0" borderId="22" xfId="15" applyFont="1" applyBorder="1"/>
    <xf numFmtId="0" fontId="21" fillId="0" borderId="0" xfId="15" applyFont="1" applyBorder="1" applyAlignment="1">
      <alignment horizontal="right"/>
    </xf>
    <xf numFmtId="10" fontId="21" fillId="0" borderId="9" xfId="15" applyNumberFormat="1" applyFont="1" applyBorder="1"/>
    <xf numFmtId="0" fontId="21" fillId="0" borderId="11" xfId="15" applyFont="1" applyBorder="1"/>
    <xf numFmtId="0" fontId="21" fillId="0" borderId="12" xfId="15" applyFont="1" applyBorder="1" applyAlignment="1">
      <alignment horizontal="right"/>
    </xf>
    <xf numFmtId="10" fontId="21" fillId="0" borderId="12" xfId="15" applyNumberFormat="1" applyFont="1" applyBorder="1"/>
    <xf numFmtId="10" fontId="21" fillId="0" borderId="13" xfId="15" applyNumberFormat="1" applyFont="1" applyBorder="1"/>
    <xf numFmtId="1" fontId="21" fillId="0" borderId="33" xfId="15" applyNumberFormat="1" applyFont="1" applyBorder="1"/>
    <xf numFmtId="0" fontId="21" fillId="0" borderId="27" xfId="15" quotePrefix="1" applyFont="1" applyBorder="1" applyAlignment="1">
      <alignment horizontal="right"/>
    </xf>
    <xf numFmtId="0" fontId="21" fillId="0" borderId="26" xfId="15" quotePrefix="1" applyFont="1" applyBorder="1" applyAlignment="1">
      <alignment horizontal="right"/>
    </xf>
    <xf numFmtId="167" fontId="21" fillId="0" borderId="28" xfId="15" applyNumberFormat="1" applyFont="1" applyBorder="1"/>
    <xf numFmtId="0" fontId="21" fillId="0" borderId="29" xfId="15" quotePrefix="1" applyFont="1" applyBorder="1" applyAlignment="1">
      <alignment horizontal="right"/>
    </xf>
    <xf numFmtId="0" fontId="21" fillId="0" borderId="0" xfId="15" quotePrefix="1" applyFont="1" applyBorder="1" applyAlignment="1">
      <alignment horizontal="right"/>
    </xf>
    <xf numFmtId="167" fontId="21" fillId="0" borderId="30" xfId="15" applyNumberFormat="1" applyFont="1" applyBorder="1"/>
    <xf numFmtId="0" fontId="21" fillId="0" borderId="31" xfId="15" quotePrefix="1" applyFont="1" applyBorder="1" applyAlignment="1">
      <alignment horizontal="right"/>
    </xf>
    <xf numFmtId="0" fontId="21" fillId="0" borderId="32" xfId="15" quotePrefix="1" applyFont="1" applyBorder="1" applyAlignment="1">
      <alignment horizontal="right"/>
    </xf>
    <xf numFmtId="167" fontId="21" fillId="0" borderId="33" xfId="15" applyNumberFormat="1" applyFont="1" applyBorder="1"/>
    <xf numFmtId="10" fontId="1" fillId="0" borderId="0" xfId="10" applyNumberFormat="1" applyFont="1" applyBorder="1" applyAlignment="1">
      <alignment wrapText="1"/>
    </xf>
    <xf numFmtId="2" fontId="92" fillId="0" borderId="0" xfId="15" applyNumberFormat="1" applyFont="1"/>
    <xf numFmtId="171" fontId="21" fillId="0" borderId="0" xfId="15" applyNumberFormat="1" applyFont="1"/>
    <xf numFmtId="0" fontId="0" fillId="0" borderId="28" xfId="0" applyBorder="1"/>
    <xf numFmtId="0" fontId="0" fillId="0" borderId="29" xfId="0" applyBorder="1"/>
    <xf numFmtId="0" fontId="0" fillId="0" borderId="30" xfId="0" applyBorder="1"/>
    <xf numFmtId="0" fontId="102" fillId="0" borderId="30" xfId="352" applyFont="1" applyBorder="1" applyAlignment="1">
      <alignment horizontal="right"/>
    </xf>
    <xf numFmtId="17" fontId="86" fillId="0" borderId="29" xfId="0" applyNumberFormat="1" applyFont="1" applyBorder="1"/>
    <xf numFmtId="17" fontId="86" fillId="0" borderId="31" xfId="0" applyNumberFormat="1" applyFont="1" applyBorder="1"/>
    <xf numFmtId="0" fontId="21" fillId="0" borderId="27" xfId="15" applyFont="1" applyBorder="1"/>
    <xf numFmtId="0" fontId="104" fillId="0" borderId="0" xfId="0" applyFont="1" applyFill="1"/>
    <xf numFmtId="169" fontId="0" fillId="0" borderId="0" xfId="0" applyNumberFormat="1" applyFill="1" applyBorder="1"/>
    <xf numFmtId="3" fontId="0" fillId="0" borderId="0" xfId="0" applyNumberFormat="1" applyFill="1" applyBorder="1"/>
    <xf numFmtId="0" fontId="0" fillId="0" borderId="12" xfId="0" applyFill="1" applyBorder="1"/>
    <xf numFmtId="10" fontId="0" fillId="0" borderId="0" xfId="0" applyNumberFormat="1" applyFill="1"/>
    <xf numFmtId="0" fontId="0" fillId="0" borderId="32" xfId="0" applyBorder="1"/>
    <xf numFmtId="0" fontId="0" fillId="0" borderId="33" xfId="0" applyBorder="1"/>
    <xf numFmtId="0" fontId="0" fillId="0" borderId="36" xfId="0" applyBorder="1"/>
    <xf numFmtId="0" fontId="0" fillId="0" borderId="37" xfId="0" applyBorder="1"/>
    <xf numFmtId="169" fontId="0" fillId="30" borderId="1" xfId="0" applyNumberFormat="1" applyFill="1" applyBorder="1"/>
    <xf numFmtId="0" fontId="0" fillId="4" borderId="0" xfId="10" applyNumberFormat="1" applyFont="1" applyFill="1"/>
    <xf numFmtId="3" fontId="0" fillId="0" borderId="12" xfId="6" applyFont="1" applyFill="1" applyBorder="1"/>
    <xf numFmtId="10" fontId="11" fillId="0" borderId="0" xfId="10" applyNumberFormat="1" applyFont="1"/>
    <xf numFmtId="10" fontId="0" fillId="0" borderId="1" xfId="10" applyNumberFormat="1" applyFont="1" applyFill="1" applyBorder="1"/>
    <xf numFmtId="0" fontId="118" fillId="0" borderId="0" xfId="0" applyFont="1"/>
    <xf numFmtId="0" fontId="0" fillId="34" borderId="0" xfId="0" applyFill="1"/>
    <xf numFmtId="0" fontId="119" fillId="34" borderId="0" xfId="0" applyFont="1" applyFill="1" applyAlignment="1">
      <alignment wrapText="1"/>
    </xf>
    <xf numFmtId="0" fontId="119" fillId="34" borderId="0" xfId="0" applyFont="1" applyFill="1"/>
    <xf numFmtId="0" fontId="119" fillId="34" borderId="0" xfId="0" applyFont="1" applyFill="1" applyBorder="1" applyAlignment="1">
      <alignment wrapText="1"/>
    </xf>
    <xf numFmtId="0" fontId="119" fillId="34" borderId="5" xfId="0" applyFont="1" applyFill="1" applyBorder="1" applyAlignment="1">
      <alignment wrapText="1"/>
    </xf>
    <xf numFmtId="0" fontId="119" fillId="34" borderId="0" xfId="0" applyFont="1" applyFill="1" applyAlignment="1">
      <alignment horizontal="right"/>
    </xf>
    <xf numFmtId="2" fontId="119" fillId="34" borderId="0" xfId="10" applyNumberFormat="1" applyFont="1" applyFill="1" applyAlignment="1">
      <alignment horizontal="right" wrapText="1"/>
    </xf>
    <xf numFmtId="0" fontId="15" fillId="34" borderId="0" xfId="0" applyFont="1" applyFill="1"/>
    <xf numFmtId="0" fontId="0" fillId="36" borderId="0" xfId="0" applyFill="1"/>
    <xf numFmtId="0" fontId="5" fillId="36" borderId="0" xfId="0" applyFont="1" applyFill="1"/>
    <xf numFmtId="3" fontId="119" fillId="34" borderId="0" xfId="10" applyNumberFormat="1" applyFont="1" applyFill="1" applyAlignment="1">
      <alignment horizontal="right" wrapText="1"/>
    </xf>
    <xf numFmtId="0" fontId="8" fillId="34" borderId="0" xfId="0" applyFont="1" applyFill="1"/>
    <xf numFmtId="0" fontId="8" fillId="34" borderId="0" xfId="0" applyFont="1" applyFill="1" applyAlignment="1">
      <alignment horizontal="right"/>
    </xf>
    <xf numFmtId="9" fontId="119" fillId="34" borderId="0" xfId="0" applyNumberFormat="1" applyFont="1" applyFill="1" applyAlignment="1">
      <alignment horizontal="right"/>
    </xf>
    <xf numFmtId="1" fontId="119" fillId="34" borderId="0" xfId="0" applyNumberFormat="1" applyFont="1" applyFill="1" applyAlignment="1">
      <alignment horizontal="right"/>
    </xf>
    <xf numFmtId="1" fontId="119" fillId="34" borderId="0" xfId="0" applyNumberFormat="1" applyFont="1" applyFill="1"/>
    <xf numFmtId="1" fontId="119" fillId="34" borderId="0" xfId="10" applyNumberFormat="1" applyFont="1" applyFill="1" applyAlignment="1">
      <alignment horizontal="right" wrapText="1"/>
    </xf>
    <xf numFmtId="180" fontId="18" fillId="0" borderId="0" xfId="0" applyNumberFormat="1" applyFont="1"/>
    <xf numFmtId="169" fontId="0" fillId="0" borderId="0" xfId="0" applyNumberFormat="1" applyBorder="1" applyAlignment="1">
      <alignment wrapText="1"/>
    </xf>
    <xf numFmtId="0" fontId="9" fillId="34" borderId="0" xfId="0" applyFont="1" applyFill="1"/>
    <xf numFmtId="22" fontId="0" fillId="34" borderId="0" xfId="0" applyNumberFormat="1" applyFill="1" applyAlignment="1">
      <alignment horizontal="center"/>
    </xf>
    <xf numFmtId="0" fontId="3" fillId="34" borderId="0" xfId="5" applyFont="1" applyFill="1" applyAlignment="1">
      <alignment textRotation="90" wrapText="1"/>
    </xf>
    <xf numFmtId="0" fontId="0" fillId="34" borderId="0" xfId="0" applyFill="1" applyBorder="1"/>
    <xf numFmtId="0" fontId="10" fillId="34" borderId="0" xfId="0" applyFont="1" applyFill="1" applyAlignment="1">
      <alignment textRotation="90" wrapText="1"/>
    </xf>
    <xf numFmtId="0" fontId="3" fillId="34" borderId="0" xfId="0" applyFont="1" applyFill="1" applyAlignment="1">
      <alignment textRotation="90" wrapText="1"/>
    </xf>
    <xf numFmtId="183" fontId="0" fillId="34" borderId="0" xfId="378" applyNumberFormat="1" applyFont="1" applyFill="1"/>
    <xf numFmtId="173" fontId="0" fillId="34" borderId="0" xfId="10" applyNumberFormat="1" applyFont="1" applyFill="1"/>
    <xf numFmtId="166" fontId="0" fillId="34" borderId="0" xfId="10" applyNumberFormat="1" applyFont="1" applyFill="1"/>
    <xf numFmtId="0" fontId="0" fillId="34" borderId="0" xfId="0" applyFill="1" applyAlignment="1">
      <alignment horizontal="right"/>
    </xf>
    <xf numFmtId="10" fontId="0" fillId="34" borderId="0" xfId="10" applyNumberFormat="1" applyFont="1" applyFill="1"/>
    <xf numFmtId="173" fontId="0" fillId="34" borderId="0" xfId="378" applyNumberFormat="1" applyFont="1" applyFill="1"/>
    <xf numFmtId="183" fontId="119" fillId="35" borderId="59" xfId="11" applyNumberFormat="1" applyFont="1" applyFill="1" applyBorder="1"/>
    <xf numFmtId="183" fontId="119" fillId="35" borderId="60" xfId="11" applyNumberFormat="1" applyFont="1" applyFill="1" applyBorder="1"/>
    <xf numFmtId="183" fontId="119" fillId="35" borderId="61" xfId="11" applyNumberFormat="1" applyFont="1" applyFill="1" applyBorder="1"/>
    <xf numFmtId="9" fontId="119" fillId="35" borderId="59" xfId="0" applyNumberFormat="1" applyFont="1" applyFill="1" applyBorder="1"/>
    <xf numFmtId="9" fontId="119" fillId="35" borderId="60" xfId="0" applyNumberFormat="1" applyFont="1" applyFill="1" applyBorder="1"/>
    <xf numFmtId="9" fontId="119" fillId="35" borderId="61" xfId="0" applyNumberFormat="1" applyFont="1" applyFill="1" applyBorder="1"/>
    <xf numFmtId="9" fontId="119" fillId="35" borderId="59" xfId="11" applyNumberFormat="1" applyFont="1" applyFill="1" applyBorder="1"/>
    <xf numFmtId="9" fontId="119" fillId="35" borderId="60" xfId="11" applyNumberFormat="1" applyFont="1" applyFill="1" applyBorder="1"/>
    <xf numFmtId="9" fontId="119" fillId="35" borderId="61" xfId="11" applyNumberFormat="1" applyFont="1" applyFill="1" applyBorder="1"/>
    <xf numFmtId="3" fontId="119" fillId="35" borderId="59" xfId="11" applyNumberFormat="1" applyFont="1" applyFill="1" applyBorder="1"/>
    <xf numFmtId="3" fontId="119" fillId="35" borderId="60" xfId="11" applyNumberFormat="1" applyFont="1" applyFill="1" applyBorder="1"/>
    <xf numFmtId="3" fontId="119" fillId="35" borderId="61" xfId="11" applyNumberFormat="1" applyFont="1" applyFill="1" applyBorder="1"/>
    <xf numFmtId="167" fontId="0" fillId="34" borderId="0" xfId="0" applyNumberFormat="1" applyFill="1"/>
    <xf numFmtId="2" fontId="0" fillId="34" borderId="0" xfId="378" applyNumberFormat="1" applyFont="1" applyFill="1"/>
    <xf numFmtId="2" fontId="0" fillId="34" borderId="0" xfId="0" applyNumberFormat="1" applyFill="1"/>
    <xf numFmtId="3" fontId="0" fillId="0" borderId="34" xfId="0" applyNumberFormat="1" applyFill="1" applyBorder="1"/>
    <xf numFmtId="0" fontId="103" fillId="0" borderId="0" xfId="352" applyFont="1" applyBorder="1" applyAlignment="1">
      <alignment horizontal="right"/>
    </xf>
    <xf numFmtId="0" fontId="103" fillId="0" borderId="30" xfId="352" applyFont="1" applyBorder="1" applyAlignment="1">
      <alignment horizontal="right"/>
    </xf>
    <xf numFmtId="167" fontId="112" fillId="0" borderId="0" xfId="352" applyNumberFormat="1" applyFont="1" applyBorder="1" applyAlignment="1">
      <alignment horizontal="right"/>
    </xf>
    <xf numFmtId="167" fontId="112" fillId="0" borderId="30" xfId="352" applyNumberFormat="1" applyFont="1" applyBorder="1" applyAlignment="1">
      <alignment horizontal="right"/>
    </xf>
    <xf numFmtId="167" fontId="112" fillId="0" borderId="32" xfId="352" applyNumberFormat="1" applyFont="1" applyBorder="1" applyAlignment="1">
      <alignment horizontal="right"/>
    </xf>
    <xf numFmtId="167" fontId="112" fillId="0" borderId="33" xfId="352" applyNumberFormat="1" applyFont="1" applyBorder="1" applyAlignment="1">
      <alignment horizontal="right"/>
    </xf>
    <xf numFmtId="0" fontId="0" fillId="0" borderId="26" xfId="0" applyBorder="1"/>
    <xf numFmtId="0" fontId="1" fillId="0" borderId="26" xfId="256" applyBorder="1"/>
    <xf numFmtId="0" fontId="1" fillId="0" borderId="28" xfId="256" applyBorder="1"/>
    <xf numFmtId="0" fontId="84" fillId="0" borderId="29" xfId="352" applyFont="1" applyBorder="1"/>
    <xf numFmtId="0" fontId="1" fillId="0" borderId="0" xfId="256" applyBorder="1"/>
    <xf numFmtId="0" fontId="1" fillId="0" borderId="30" xfId="256" applyBorder="1"/>
    <xf numFmtId="0" fontId="42" fillId="0" borderId="29" xfId="352" applyBorder="1"/>
    <xf numFmtId="0" fontId="42" fillId="0" borderId="0" xfId="352" applyBorder="1"/>
    <xf numFmtId="0" fontId="1" fillId="0" borderId="29" xfId="256" applyBorder="1"/>
    <xf numFmtId="0" fontId="102" fillId="0" borderId="0" xfId="376" applyFont="1" applyBorder="1" applyAlignment="1">
      <alignment horizontal="right"/>
    </xf>
    <xf numFmtId="0" fontId="102" fillId="0" borderId="30" xfId="376" applyFont="1" applyBorder="1" applyAlignment="1">
      <alignment horizontal="right"/>
    </xf>
    <xf numFmtId="0" fontId="103" fillId="0" borderId="0" xfId="376" applyFont="1" applyBorder="1" applyAlignment="1">
      <alignment horizontal="right"/>
    </xf>
    <xf numFmtId="0" fontId="103" fillId="0" borderId="30" xfId="376" applyFont="1" applyBorder="1" applyAlignment="1">
      <alignment horizontal="right"/>
    </xf>
    <xf numFmtId="3" fontId="0" fillId="0" borderId="0" xfId="6" applyFont="1" applyFill="1" applyBorder="1"/>
    <xf numFmtId="0" fontId="3" fillId="0" borderId="0" xfId="0" applyFont="1" applyBorder="1"/>
    <xf numFmtId="0" fontId="3" fillId="0" borderId="0" xfId="0" applyFont="1" applyBorder="1" applyAlignment="1">
      <alignment horizontal="center"/>
    </xf>
    <xf numFmtId="168" fontId="0" fillId="0" borderId="0" xfId="10" applyNumberFormat="1" applyFont="1" applyBorder="1"/>
    <xf numFmtId="10" fontId="0" fillId="0" borderId="0" xfId="10" applyNumberFormat="1" applyFont="1" applyFill="1" applyBorder="1"/>
    <xf numFmtId="0" fontId="0" fillId="0" borderId="0" xfId="0" applyFill="1" applyBorder="1"/>
    <xf numFmtId="168" fontId="0" fillId="0" borderId="0" xfId="10" applyNumberFormat="1" applyFont="1" applyFill="1" applyBorder="1"/>
    <xf numFmtId="0" fontId="5" fillId="5" borderId="0" xfId="3" applyBorder="1"/>
    <xf numFmtId="9" fontId="0" fillId="0" borderId="0" xfId="0" applyNumberFormat="1" applyBorder="1"/>
    <xf numFmtId="3" fontId="4" fillId="0" borderId="0" xfId="4" applyNumberFormat="1" applyBorder="1"/>
    <xf numFmtId="0" fontId="4" fillId="0" borderId="0" xfId="4" applyBorder="1"/>
    <xf numFmtId="0" fontId="1" fillId="0" borderId="0" xfId="4" applyFont="1" applyBorder="1"/>
    <xf numFmtId="184" fontId="0" fillId="0" borderId="0" xfId="0" applyNumberFormat="1" applyBorder="1"/>
    <xf numFmtId="4" fontId="0" fillId="0" borderId="0" xfId="0" applyNumberFormat="1" applyBorder="1"/>
    <xf numFmtId="0" fontId="0" fillId="0" borderId="0" xfId="0" applyFont="1" applyBorder="1"/>
    <xf numFmtId="169" fontId="0" fillId="0" borderId="0" xfId="0" applyNumberFormat="1" applyBorder="1"/>
    <xf numFmtId="3" fontId="3" fillId="0" borderId="0" xfId="0" applyNumberFormat="1" applyFont="1" applyBorder="1"/>
    <xf numFmtId="169" fontId="0" fillId="32" borderId="0" xfId="0" applyNumberFormat="1" applyFill="1" applyBorder="1"/>
    <xf numFmtId="0" fontId="0" fillId="0" borderId="0" xfId="0" applyBorder="1" applyAlignment="1">
      <alignment wrapText="1"/>
    </xf>
    <xf numFmtId="0" fontId="4" fillId="0" borderId="0" xfId="4" applyBorder="1" applyAlignment="1">
      <alignment wrapText="1"/>
    </xf>
    <xf numFmtId="3" fontId="0" fillId="0" borderId="0" xfId="0" applyNumberFormat="1" applyBorder="1" applyAlignment="1">
      <alignment wrapText="1"/>
    </xf>
    <xf numFmtId="172" fontId="0" fillId="0" borderId="0" xfId="0" applyNumberFormat="1" applyBorder="1"/>
    <xf numFmtId="172" fontId="0" fillId="0" borderId="0" xfId="0" applyNumberFormat="1" applyBorder="1" applyAlignment="1">
      <alignment wrapText="1"/>
    </xf>
    <xf numFmtId="0" fontId="3" fillId="0" borderId="0" xfId="0" applyFont="1" applyBorder="1" applyAlignment="1">
      <alignment wrapText="1"/>
    </xf>
    <xf numFmtId="10" fontId="3" fillId="0" borderId="0" xfId="10" applyNumberFormat="1" applyFont="1" applyBorder="1"/>
    <xf numFmtId="169" fontId="0" fillId="0" borderId="0" xfId="0" applyNumberFormat="1" applyFill="1" applyBorder="1" applyAlignment="1">
      <alignment wrapText="1"/>
    </xf>
    <xf numFmtId="185" fontId="0" fillId="0" borderId="0" xfId="0" applyNumberFormat="1" applyBorder="1" applyAlignment="1">
      <alignment wrapText="1"/>
    </xf>
    <xf numFmtId="172" fontId="104" fillId="0" borderId="0" xfId="0" applyNumberFormat="1" applyFont="1" applyBorder="1" applyAlignment="1">
      <alignment wrapText="1"/>
    </xf>
    <xf numFmtId="172" fontId="104" fillId="0" borderId="0" xfId="0" applyNumberFormat="1" applyFont="1" applyBorder="1"/>
    <xf numFmtId="169" fontId="104" fillId="0" borderId="0" xfId="0" applyNumberFormat="1" applyFont="1" applyBorder="1" applyAlignment="1">
      <alignment wrapText="1"/>
    </xf>
    <xf numFmtId="171" fontId="0" fillId="0" borderId="0" xfId="10" applyNumberFormat="1" applyFont="1" applyBorder="1"/>
    <xf numFmtId="9" fontId="0" fillId="31" borderId="0" xfId="0" applyNumberFormat="1" applyFill="1" applyBorder="1"/>
    <xf numFmtId="180" fontId="0" fillId="0" borderId="0" xfId="0" applyNumberFormat="1" applyBorder="1"/>
    <xf numFmtId="173" fontId="0" fillId="0" borderId="0" xfId="10" applyNumberFormat="1" applyFont="1" applyBorder="1" applyAlignment="1">
      <alignment wrapText="1"/>
    </xf>
    <xf numFmtId="169" fontId="5" fillId="5" borderId="0" xfId="3" applyNumberFormat="1" applyBorder="1"/>
    <xf numFmtId="174" fontId="3" fillId="0" borderId="0" xfId="10" applyNumberFormat="1" applyFont="1" applyBorder="1"/>
    <xf numFmtId="174" fontId="3" fillId="0" borderId="0" xfId="10" applyNumberFormat="1" applyFont="1" applyBorder="1" applyAlignment="1">
      <alignment wrapText="1"/>
    </xf>
    <xf numFmtId="169" fontId="0" fillId="0" borderId="0" xfId="10" applyNumberFormat="1" applyFont="1" applyBorder="1"/>
    <xf numFmtId="169" fontId="0" fillId="0" borderId="1" xfId="0" applyNumberFormat="1" applyBorder="1" applyAlignment="1">
      <alignment wrapText="1"/>
    </xf>
    <xf numFmtId="169" fontId="0" fillId="0" borderId="34" xfId="0" applyNumberFormat="1" applyBorder="1" applyAlignment="1">
      <alignment wrapText="1"/>
    </xf>
    <xf numFmtId="169" fontId="0" fillId="0" borderId="1" xfId="0" applyNumberFormat="1" applyFill="1" applyBorder="1" applyAlignment="1">
      <alignment wrapText="1"/>
    </xf>
    <xf numFmtId="169" fontId="0" fillId="0" borderId="34" xfId="0" applyNumberFormat="1" applyFill="1" applyBorder="1"/>
    <xf numFmtId="3" fontId="18" fillId="0" borderId="0" xfId="6" applyFont="1" applyBorder="1"/>
    <xf numFmtId="10" fontId="0" fillId="34" borderId="0" xfId="378" applyNumberFormat="1" applyFont="1" applyFill="1"/>
    <xf numFmtId="0" fontId="218" fillId="34" borderId="0" xfId="0" applyFont="1" applyFill="1"/>
    <xf numFmtId="10" fontId="0" fillId="0" borderId="29" xfId="10" applyNumberFormat="1" applyFont="1" applyBorder="1"/>
    <xf numFmtId="10" fontId="0" fillId="0" borderId="31" xfId="10" applyNumberFormat="1" applyFont="1" applyBorder="1"/>
    <xf numFmtId="10" fontId="0" fillId="0" borderId="27" xfId="10" applyNumberFormat="1" applyFont="1" applyBorder="1"/>
    <xf numFmtId="0" fontId="3" fillId="0" borderId="62" xfId="0" applyFont="1" applyBorder="1"/>
    <xf numFmtId="0" fontId="21" fillId="0" borderId="10" xfId="364" applyFont="1" applyFill="1" applyBorder="1" applyAlignment="1">
      <alignment horizontal="center" vertical="center"/>
    </xf>
    <xf numFmtId="0" fontId="22" fillId="0" borderId="8" xfId="364" applyBorder="1" applyAlignment="1">
      <alignment horizontal="center" vertical="center"/>
    </xf>
    <xf numFmtId="0" fontId="22" fillId="0" borderId="11" xfId="364" applyBorder="1" applyAlignment="1">
      <alignment horizontal="center" vertical="center"/>
    </xf>
    <xf numFmtId="0" fontId="22" fillId="0" borderId="13" xfId="364" applyBorder="1" applyAlignment="1">
      <alignment horizontal="center" vertical="center"/>
    </xf>
    <xf numFmtId="0" fontId="219" fillId="34" borderId="0" xfId="0" applyFont="1" applyFill="1"/>
  </cellXfs>
  <cellStyles count="5553">
    <cellStyle name="_x0013_" xfId="72"/>
    <cellStyle name="_x0013_ 2" xfId="2852"/>
    <cellStyle name="_x0013_ 3" xfId="1918"/>
    <cellStyle name="=C:\WINNT\SYSTEM32\COMMAND.COM" xfId="73"/>
    <cellStyle name="=C:\WINNT\SYSTEM32\COMMAND.COM 2" xfId="2853"/>
    <cellStyle name="=C:\WINNT\SYSTEM32\COMMAND.COM 3" xfId="1919"/>
    <cellStyle name="20% - Accent1" xfId="398" builtinId="30" customBuiltin="1"/>
    <cellStyle name="20% - Accent1 2" xfId="17"/>
    <cellStyle name="20% - Accent1 2 2" xfId="75"/>
    <cellStyle name="20% - Accent1 2 2 2" xfId="76"/>
    <cellStyle name="20% - Accent1 2 2 2 2" xfId="2856"/>
    <cellStyle name="20% - Accent1 2 2 2 3" xfId="1922"/>
    <cellStyle name="20% - Accent1 2 2 3" xfId="880"/>
    <cellStyle name="20% - Accent1 2 2 3 2" xfId="3395"/>
    <cellStyle name="20% - Accent1 2 2 3 3" xfId="2450"/>
    <cellStyle name="20% - Accent1 2 2 3 3 2" xfId="5414"/>
    <cellStyle name="20% - Accent1 2 2 3 3 3" xfId="4501"/>
    <cellStyle name="20% - Accent1 2 2 3 4" xfId="4735"/>
    <cellStyle name="20% - Accent1 2 2 3 5" xfId="5056"/>
    <cellStyle name="20% - Accent1 2 2 3 6" xfId="3954"/>
    <cellStyle name="20% - Accent1 2 2 4" xfId="2855"/>
    <cellStyle name="20% - Accent1 2 2 4 2" xfId="4829"/>
    <cellStyle name="20% - Accent1 2 2 4 3" xfId="5159"/>
    <cellStyle name="20% - Accent1 2 2 4 4" xfId="4125"/>
    <cellStyle name="20% - Accent1 2 2 5" xfId="1921"/>
    <cellStyle name="20% - Accent1 2 3" xfId="77"/>
    <cellStyle name="20% - Accent1 2 3 2" xfId="1055"/>
    <cellStyle name="20% - Accent1 2 3 2 2" xfId="3505"/>
    <cellStyle name="20% - Accent1 2 3 2 3" xfId="2552"/>
    <cellStyle name="20% - Accent1 2 3 2 3 2" xfId="5454"/>
    <cellStyle name="20% - Accent1 2 3 2 3 3" xfId="4502"/>
    <cellStyle name="20% - Accent1 2 3 2 4" xfId="4773"/>
    <cellStyle name="20% - Accent1 2 3 2 5" xfId="5057"/>
    <cellStyle name="20% - Accent1 2 3 2 6" xfId="3955"/>
    <cellStyle name="20% - Accent1 2 3 3" xfId="2857"/>
    <cellStyle name="20% - Accent1 2 3 4" xfId="1923"/>
    <cellStyle name="20% - Accent1 2 4" xfId="78"/>
    <cellStyle name="20% - Accent1 2 4 2" xfId="1627"/>
    <cellStyle name="20% - Accent1 2 4 2 2" xfId="3655"/>
    <cellStyle name="20% - Accent1 2 4 2 3" xfId="2657"/>
    <cellStyle name="20% - Accent1 2 4 2 3 2" xfId="5470"/>
    <cellStyle name="20% - Accent1 2 4 2 3 3" xfId="4503"/>
    <cellStyle name="20% - Accent1 2 4 2 4" xfId="4795"/>
    <cellStyle name="20% - Accent1 2 4 2 5" xfId="5058"/>
    <cellStyle name="20% - Accent1 2 4 2 6" xfId="3956"/>
    <cellStyle name="20% - Accent1 2 4 3" xfId="2858"/>
    <cellStyle name="20% - Accent1 2 4 4" xfId="1924"/>
    <cellStyle name="20% - Accent1 2 5" xfId="74"/>
    <cellStyle name="20% - Accent1 2 5 2" xfId="3222"/>
    <cellStyle name="20% - Accent1 2 5 3" xfId="2278"/>
    <cellStyle name="20% - Accent1 2 5 4" xfId="595"/>
    <cellStyle name="20% - Accent1 2 6" xfId="2854"/>
    <cellStyle name="20% - Accent1 2 6 2" xfId="4828"/>
    <cellStyle name="20% - Accent1 2 6 3" xfId="5158"/>
    <cellStyle name="20% - Accent1 2 6 4" xfId="4124"/>
    <cellStyle name="20% - Accent1 2 7" xfId="1920"/>
    <cellStyle name="20% - Accent1 3" xfId="596"/>
    <cellStyle name="20% - Accent1 3 2" xfId="3223"/>
    <cellStyle name="20% - Accent1 3 2 2" xfId="4926"/>
    <cellStyle name="20% - Accent1 3 2 3" xfId="5160"/>
    <cellStyle name="20% - Accent1 3 2 4" xfId="4127"/>
    <cellStyle name="20% - Accent1 3 3" xfId="2279"/>
    <cellStyle name="20% - Accent1 3 3 2" xfId="5383"/>
    <cellStyle name="20% - Accent1 3 3 3" xfId="4126"/>
    <cellStyle name="20% - Accent1 3 4" xfId="4704"/>
    <cellStyle name="20% - Accent1 4" xfId="594"/>
    <cellStyle name="20% - Accent1 4 2" xfId="3221"/>
    <cellStyle name="20% - Accent1 4 2 2" xfId="4925"/>
    <cellStyle name="20% - Accent1 4 2 3" xfId="5161"/>
    <cellStyle name="20% - Accent1 4 2 4" xfId="4129"/>
    <cellStyle name="20% - Accent1 4 3" xfId="2277"/>
    <cellStyle name="20% - Accent1 4 3 2" xfId="5382"/>
    <cellStyle name="20% - Accent1 4 3 3" xfId="4128"/>
    <cellStyle name="20% - Accent1 4 4" xfId="4703"/>
    <cellStyle name="20% - Accent1 5" xfId="3064"/>
    <cellStyle name="20% - Accent1 6" xfId="2134"/>
    <cellStyle name="20% - Accent2" xfId="402" builtinId="34" customBuiltin="1"/>
    <cellStyle name="20% - Accent2 2" xfId="18"/>
    <cellStyle name="20% - Accent2 2 2" xfId="80"/>
    <cellStyle name="20% - Accent2 2 2 2" xfId="81"/>
    <cellStyle name="20% - Accent2 2 2 2 2" xfId="2861"/>
    <cellStyle name="20% - Accent2 2 2 2 3" xfId="1927"/>
    <cellStyle name="20% - Accent2 2 2 3" xfId="881"/>
    <cellStyle name="20% - Accent2 2 2 3 2" xfId="3396"/>
    <cellStyle name="20% - Accent2 2 2 3 3" xfId="2451"/>
    <cellStyle name="20% - Accent2 2 2 3 3 2" xfId="5415"/>
    <cellStyle name="20% - Accent2 2 2 3 3 3" xfId="4504"/>
    <cellStyle name="20% - Accent2 2 2 3 4" xfId="4736"/>
    <cellStyle name="20% - Accent2 2 2 3 5" xfId="5059"/>
    <cellStyle name="20% - Accent2 2 2 3 6" xfId="3957"/>
    <cellStyle name="20% - Accent2 2 2 4" xfId="2860"/>
    <cellStyle name="20% - Accent2 2 2 4 2" xfId="4831"/>
    <cellStyle name="20% - Accent2 2 2 4 3" xfId="5163"/>
    <cellStyle name="20% - Accent2 2 2 4 4" xfId="4131"/>
    <cellStyle name="20% - Accent2 2 2 5" xfId="1926"/>
    <cellStyle name="20% - Accent2 2 3" xfId="82"/>
    <cellStyle name="20% - Accent2 2 3 2" xfId="1056"/>
    <cellStyle name="20% - Accent2 2 3 2 2" xfId="3506"/>
    <cellStyle name="20% - Accent2 2 3 2 3" xfId="2553"/>
    <cellStyle name="20% - Accent2 2 3 2 3 2" xfId="5455"/>
    <cellStyle name="20% - Accent2 2 3 2 3 3" xfId="4505"/>
    <cellStyle name="20% - Accent2 2 3 2 4" xfId="4774"/>
    <cellStyle name="20% - Accent2 2 3 2 5" xfId="5060"/>
    <cellStyle name="20% - Accent2 2 3 2 6" xfId="3958"/>
    <cellStyle name="20% - Accent2 2 3 3" xfId="2862"/>
    <cellStyle name="20% - Accent2 2 3 4" xfId="1928"/>
    <cellStyle name="20% - Accent2 2 4" xfId="83"/>
    <cellStyle name="20% - Accent2 2 4 2" xfId="1628"/>
    <cellStyle name="20% - Accent2 2 4 2 2" xfId="3656"/>
    <cellStyle name="20% - Accent2 2 4 2 3" xfId="2658"/>
    <cellStyle name="20% - Accent2 2 4 2 3 2" xfId="5471"/>
    <cellStyle name="20% - Accent2 2 4 2 3 3" xfId="4506"/>
    <cellStyle name="20% - Accent2 2 4 2 4" xfId="4796"/>
    <cellStyle name="20% - Accent2 2 4 2 5" xfId="5061"/>
    <cellStyle name="20% - Accent2 2 4 2 6" xfId="3959"/>
    <cellStyle name="20% - Accent2 2 4 3" xfId="2863"/>
    <cellStyle name="20% - Accent2 2 4 4" xfId="1929"/>
    <cellStyle name="20% - Accent2 2 5" xfId="79"/>
    <cellStyle name="20% - Accent2 2 5 2" xfId="3225"/>
    <cellStyle name="20% - Accent2 2 5 3" xfId="2281"/>
    <cellStyle name="20% - Accent2 2 5 4" xfId="598"/>
    <cellStyle name="20% - Accent2 2 6" xfId="2859"/>
    <cellStyle name="20% - Accent2 2 6 2" xfId="4830"/>
    <cellStyle name="20% - Accent2 2 6 3" xfId="5162"/>
    <cellStyle name="20% - Accent2 2 6 4" xfId="4130"/>
    <cellStyle name="20% - Accent2 2 7" xfId="1925"/>
    <cellStyle name="20% - Accent2 3" xfId="599"/>
    <cellStyle name="20% - Accent2 3 2" xfId="3226"/>
    <cellStyle name="20% - Accent2 3 2 2" xfId="4928"/>
    <cellStyle name="20% - Accent2 3 2 3" xfId="5164"/>
    <cellStyle name="20% - Accent2 3 2 4" xfId="4133"/>
    <cellStyle name="20% - Accent2 3 3" xfId="2282"/>
    <cellStyle name="20% - Accent2 3 3 2" xfId="5385"/>
    <cellStyle name="20% - Accent2 3 3 3" xfId="4132"/>
    <cellStyle name="20% - Accent2 3 4" xfId="4706"/>
    <cellStyle name="20% - Accent2 4" xfId="597"/>
    <cellStyle name="20% - Accent2 4 2" xfId="3224"/>
    <cellStyle name="20% - Accent2 4 2 2" xfId="4927"/>
    <cellStyle name="20% - Accent2 4 2 3" xfId="5165"/>
    <cellStyle name="20% - Accent2 4 2 4" xfId="4135"/>
    <cellStyle name="20% - Accent2 4 3" xfId="2280"/>
    <cellStyle name="20% - Accent2 4 3 2" xfId="5384"/>
    <cellStyle name="20% - Accent2 4 3 3" xfId="4134"/>
    <cellStyle name="20% - Accent2 4 4" xfId="4705"/>
    <cellStyle name="20% - Accent2 5" xfId="3068"/>
    <cellStyle name="20% - Accent2 6" xfId="2138"/>
    <cellStyle name="20% - Accent3" xfId="406" builtinId="38" customBuiltin="1"/>
    <cellStyle name="20% - Accent3 2" xfId="19"/>
    <cellStyle name="20% - Accent3 2 2" xfId="85"/>
    <cellStyle name="20% - Accent3 2 2 2" xfId="86"/>
    <cellStyle name="20% - Accent3 2 2 2 2" xfId="2866"/>
    <cellStyle name="20% - Accent3 2 2 2 3" xfId="1932"/>
    <cellStyle name="20% - Accent3 2 2 3" xfId="882"/>
    <cellStyle name="20% - Accent3 2 2 3 2" xfId="3397"/>
    <cellStyle name="20% - Accent3 2 2 3 3" xfId="2452"/>
    <cellStyle name="20% - Accent3 2 2 3 3 2" xfId="5416"/>
    <cellStyle name="20% - Accent3 2 2 3 3 3" xfId="4507"/>
    <cellStyle name="20% - Accent3 2 2 3 4" xfId="4737"/>
    <cellStyle name="20% - Accent3 2 2 3 5" xfId="5062"/>
    <cellStyle name="20% - Accent3 2 2 3 6" xfId="3960"/>
    <cellStyle name="20% - Accent3 2 2 4" xfId="2865"/>
    <cellStyle name="20% - Accent3 2 2 4 2" xfId="4833"/>
    <cellStyle name="20% - Accent3 2 2 4 3" xfId="5167"/>
    <cellStyle name="20% - Accent3 2 2 4 4" xfId="4137"/>
    <cellStyle name="20% - Accent3 2 2 5" xfId="1931"/>
    <cellStyle name="20% - Accent3 2 3" xfId="87"/>
    <cellStyle name="20% - Accent3 2 3 2" xfId="1057"/>
    <cellStyle name="20% - Accent3 2 3 2 2" xfId="3507"/>
    <cellStyle name="20% - Accent3 2 3 2 3" xfId="2554"/>
    <cellStyle name="20% - Accent3 2 3 2 3 2" xfId="5456"/>
    <cellStyle name="20% - Accent3 2 3 2 3 3" xfId="4508"/>
    <cellStyle name="20% - Accent3 2 3 2 4" xfId="4775"/>
    <cellStyle name="20% - Accent3 2 3 2 5" xfId="5063"/>
    <cellStyle name="20% - Accent3 2 3 2 6" xfId="3961"/>
    <cellStyle name="20% - Accent3 2 3 3" xfId="2867"/>
    <cellStyle name="20% - Accent3 2 3 4" xfId="1933"/>
    <cellStyle name="20% - Accent3 2 4" xfId="88"/>
    <cellStyle name="20% - Accent3 2 4 2" xfId="1629"/>
    <cellStyle name="20% - Accent3 2 4 2 2" xfId="3657"/>
    <cellStyle name="20% - Accent3 2 4 2 3" xfId="2659"/>
    <cellStyle name="20% - Accent3 2 4 2 3 2" xfId="5472"/>
    <cellStyle name="20% - Accent3 2 4 2 3 3" xfId="4509"/>
    <cellStyle name="20% - Accent3 2 4 2 4" xfId="4797"/>
    <cellStyle name="20% - Accent3 2 4 2 5" xfId="5064"/>
    <cellStyle name="20% - Accent3 2 4 2 6" xfId="3962"/>
    <cellStyle name="20% - Accent3 2 4 3" xfId="2868"/>
    <cellStyle name="20% - Accent3 2 4 4" xfId="1934"/>
    <cellStyle name="20% - Accent3 2 5" xfId="84"/>
    <cellStyle name="20% - Accent3 2 5 2" xfId="3228"/>
    <cellStyle name="20% - Accent3 2 5 3" xfId="2284"/>
    <cellStyle name="20% - Accent3 2 5 4" xfId="601"/>
    <cellStyle name="20% - Accent3 2 6" xfId="2864"/>
    <cellStyle name="20% - Accent3 2 6 2" xfId="4832"/>
    <cellStyle name="20% - Accent3 2 6 3" xfId="5166"/>
    <cellStyle name="20% - Accent3 2 6 4" xfId="4136"/>
    <cellStyle name="20% - Accent3 2 7" xfId="1930"/>
    <cellStyle name="20% - Accent3 3" xfId="602"/>
    <cellStyle name="20% - Accent3 3 2" xfId="3229"/>
    <cellStyle name="20% - Accent3 3 2 2" xfId="4930"/>
    <cellStyle name="20% - Accent3 3 2 3" xfId="5168"/>
    <cellStyle name="20% - Accent3 3 2 4" xfId="4139"/>
    <cellStyle name="20% - Accent3 3 3" xfId="2285"/>
    <cellStyle name="20% - Accent3 3 3 2" xfId="5387"/>
    <cellStyle name="20% - Accent3 3 3 3" xfId="4138"/>
    <cellStyle name="20% - Accent3 3 4" xfId="4708"/>
    <cellStyle name="20% - Accent3 4" xfId="600"/>
    <cellStyle name="20% - Accent3 4 2" xfId="3227"/>
    <cellStyle name="20% - Accent3 4 2 2" xfId="4929"/>
    <cellStyle name="20% - Accent3 4 2 3" xfId="5169"/>
    <cellStyle name="20% - Accent3 4 2 4" xfId="4141"/>
    <cellStyle name="20% - Accent3 4 3" xfId="2283"/>
    <cellStyle name="20% - Accent3 4 3 2" xfId="5386"/>
    <cellStyle name="20% - Accent3 4 3 3" xfId="4140"/>
    <cellStyle name="20% - Accent3 4 4" xfId="4707"/>
    <cellStyle name="20% - Accent3 5" xfId="3072"/>
    <cellStyle name="20% - Accent3 6" xfId="2142"/>
    <cellStyle name="20% - Accent4" xfId="410" builtinId="42" customBuiltin="1"/>
    <cellStyle name="20% - Accent4 2" xfId="20"/>
    <cellStyle name="20% - Accent4 2 2" xfId="90"/>
    <cellStyle name="20% - Accent4 2 2 2" xfId="91"/>
    <cellStyle name="20% - Accent4 2 2 2 2" xfId="2871"/>
    <cellStyle name="20% - Accent4 2 2 2 3" xfId="1937"/>
    <cellStyle name="20% - Accent4 2 2 3" xfId="883"/>
    <cellStyle name="20% - Accent4 2 2 3 2" xfId="3398"/>
    <cellStyle name="20% - Accent4 2 2 3 3" xfId="2453"/>
    <cellStyle name="20% - Accent4 2 2 3 3 2" xfId="5417"/>
    <cellStyle name="20% - Accent4 2 2 3 3 3" xfId="4510"/>
    <cellStyle name="20% - Accent4 2 2 3 4" xfId="4738"/>
    <cellStyle name="20% - Accent4 2 2 3 5" xfId="5065"/>
    <cellStyle name="20% - Accent4 2 2 3 6" xfId="3963"/>
    <cellStyle name="20% - Accent4 2 2 4" xfId="2870"/>
    <cellStyle name="20% - Accent4 2 2 4 2" xfId="4835"/>
    <cellStyle name="20% - Accent4 2 2 4 3" xfId="5171"/>
    <cellStyle name="20% - Accent4 2 2 4 4" xfId="4143"/>
    <cellStyle name="20% - Accent4 2 2 5" xfId="1936"/>
    <cellStyle name="20% - Accent4 2 3" xfId="92"/>
    <cellStyle name="20% - Accent4 2 3 2" xfId="1058"/>
    <cellStyle name="20% - Accent4 2 3 2 2" xfId="3508"/>
    <cellStyle name="20% - Accent4 2 3 2 3" xfId="2555"/>
    <cellStyle name="20% - Accent4 2 3 2 3 2" xfId="5457"/>
    <cellStyle name="20% - Accent4 2 3 2 3 3" xfId="4511"/>
    <cellStyle name="20% - Accent4 2 3 2 4" xfId="4776"/>
    <cellStyle name="20% - Accent4 2 3 2 5" xfId="5066"/>
    <cellStyle name="20% - Accent4 2 3 2 6" xfId="3964"/>
    <cellStyle name="20% - Accent4 2 3 3" xfId="2872"/>
    <cellStyle name="20% - Accent4 2 3 4" xfId="1938"/>
    <cellStyle name="20% - Accent4 2 4" xfId="93"/>
    <cellStyle name="20% - Accent4 2 4 2" xfId="1630"/>
    <cellStyle name="20% - Accent4 2 4 2 2" xfId="3658"/>
    <cellStyle name="20% - Accent4 2 4 2 3" xfId="2660"/>
    <cellStyle name="20% - Accent4 2 4 2 3 2" xfId="5473"/>
    <cellStyle name="20% - Accent4 2 4 2 3 3" xfId="4512"/>
    <cellStyle name="20% - Accent4 2 4 2 4" xfId="4798"/>
    <cellStyle name="20% - Accent4 2 4 2 5" xfId="5067"/>
    <cellStyle name="20% - Accent4 2 4 2 6" xfId="3965"/>
    <cellStyle name="20% - Accent4 2 4 3" xfId="2873"/>
    <cellStyle name="20% - Accent4 2 4 4" xfId="1939"/>
    <cellStyle name="20% - Accent4 2 5" xfId="89"/>
    <cellStyle name="20% - Accent4 2 5 2" xfId="3231"/>
    <cellStyle name="20% - Accent4 2 5 3" xfId="2287"/>
    <cellStyle name="20% - Accent4 2 5 4" xfId="604"/>
    <cellStyle name="20% - Accent4 2 6" xfId="2869"/>
    <cellStyle name="20% - Accent4 2 6 2" xfId="4834"/>
    <cellStyle name="20% - Accent4 2 6 3" xfId="5170"/>
    <cellStyle name="20% - Accent4 2 6 4" xfId="4142"/>
    <cellStyle name="20% - Accent4 2 7" xfId="1935"/>
    <cellStyle name="20% - Accent4 3" xfId="605"/>
    <cellStyle name="20% - Accent4 3 2" xfId="3232"/>
    <cellStyle name="20% - Accent4 3 2 2" xfId="4932"/>
    <cellStyle name="20% - Accent4 3 2 3" xfId="5172"/>
    <cellStyle name="20% - Accent4 3 2 4" xfId="4145"/>
    <cellStyle name="20% - Accent4 3 3" xfId="2288"/>
    <cellStyle name="20% - Accent4 3 3 2" xfId="5389"/>
    <cellStyle name="20% - Accent4 3 3 3" xfId="4144"/>
    <cellStyle name="20% - Accent4 3 4" xfId="4710"/>
    <cellStyle name="20% - Accent4 4" xfId="603"/>
    <cellStyle name="20% - Accent4 4 2" xfId="3230"/>
    <cellStyle name="20% - Accent4 4 2 2" xfId="4931"/>
    <cellStyle name="20% - Accent4 4 2 3" xfId="5173"/>
    <cellStyle name="20% - Accent4 4 2 4" xfId="4147"/>
    <cellStyle name="20% - Accent4 4 3" xfId="2286"/>
    <cellStyle name="20% - Accent4 4 3 2" xfId="5388"/>
    <cellStyle name="20% - Accent4 4 3 3" xfId="4146"/>
    <cellStyle name="20% - Accent4 4 4" xfId="4709"/>
    <cellStyle name="20% - Accent4 5" xfId="3076"/>
    <cellStyle name="20% - Accent4 6" xfId="2146"/>
    <cellStyle name="20% - Accent5" xfId="414" builtinId="46" customBuiltin="1"/>
    <cellStyle name="20% - Accent5 2" xfId="21"/>
    <cellStyle name="20% - Accent5 2 2" xfId="95"/>
    <cellStyle name="20% - Accent5 2 2 2" xfId="96"/>
    <cellStyle name="20% - Accent5 2 2 2 2" xfId="2876"/>
    <cellStyle name="20% - Accent5 2 2 2 3" xfId="1942"/>
    <cellStyle name="20% - Accent5 2 2 3" xfId="884"/>
    <cellStyle name="20% - Accent5 2 2 3 2" xfId="3399"/>
    <cellStyle name="20% - Accent5 2 2 3 3" xfId="2454"/>
    <cellStyle name="20% - Accent5 2 2 3 3 2" xfId="5418"/>
    <cellStyle name="20% - Accent5 2 2 3 3 3" xfId="4513"/>
    <cellStyle name="20% - Accent5 2 2 3 4" xfId="4739"/>
    <cellStyle name="20% - Accent5 2 2 3 5" xfId="5068"/>
    <cellStyle name="20% - Accent5 2 2 3 6" xfId="3966"/>
    <cellStyle name="20% - Accent5 2 2 4" xfId="2875"/>
    <cellStyle name="20% - Accent5 2 2 4 2" xfId="4836"/>
    <cellStyle name="20% - Accent5 2 2 4 3" xfId="5174"/>
    <cellStyle name="20% - Accent5 2 2 4 4" xfId="4148"/>
    <cellStyle name="20% - Accent5 2 2 5" xfId="1941"/>
    <cellStyle name="20% - Accent5 2 3" xfId="97"/>
    <cellStyle name="20% - Accent5 2 3 2" xfId="1059"/>
    <cellStyle name="20% - Accent5 2 3 2 2" xfId="3509"/>
    <cellStyle name="20% - Accent5 2 3 2 3" xfId="2556"/>
    <cellStyle name="20% - Accent5 2 3 2 3 2" xfId="5458"/>
    <cellStyle name="20% - Accent5 2 3 2 3 3" xfId="4514"/>
    <cellStyle name="20% - Accent5 2 3 2 4" xfId="4777"/>
    <cellStyle name="20% - Accent5 2 3 2 5" xfId="5069"/>
    <cellStyle name="20% - Accent5 2 3 2 6" xfId="3967"/>
    <cellStyle name="20% - Accent5 2 3 3" xfId="2877"/>
    <cellStyle name="20% - Accent5 2 3 4" xfId="1943"/>
    <cellStyle name="20% - Accent5 2 4" xfId="98"/>
    <cellStyle name="20% - Accent5 2 4 2" xfId="1631"/>
    <cellStyle name="20% - Accent5 2 4 2 2" xfId="3659"/>
    <cellStyle name="20% - Accent5 2 4 2 3" xfId="2661"/>
    <cellStyle name="20% - Accent5 2 4 2 3 2" xfId="5474"/>
    <cellStyle name="20% - Accent5 2 4 2 3 3" xfId="4515"/>
    <cellStyle name="20% - Accent5 2 4 2 4" xfId="4799"/>
    <cellStyle name="20% - Accent5 2 4 2 5" xfId="5070"/>
    <cellStyle name="20% - Accent5 2 4 2 6" xfId="3968"/>
    <cellStyle name="20% - Accent5 2 4 3" xfId="2878"/>
    <cellStyle name="20% - Accent5 2 4 4" xfId="1944"/>
    <cellStyle name="20% - Accent5 2 5" xfId="94"/>
    <cellStyle name="20% - Accent5 2 5 2" xfId="3234"/>
    <cellStyle name="20% - Accent5 2 5 3" xfId="2290"/>
    <cellStyle name="20% - Accent5 2 5 4" xfId="607"/>
    <cellStyle name="20% - Accent5 2 6" xfId="2874"/>
    <cellStyle name="20% - Accent5 2 7" xfId="1940"/>
    <cellStyle name="20% - Accent5 3" xfId="606"/>
    <cellStyle name="20% - Accent5 3 2" xfId="3233"/>
    <cellStyle name="20% - Accent5 3 2 2" xfId="4933"/>
    <cellStyle name="20% - Accent5 3 2 3" xfId="5175"/>
    <cellStyle name="20% - Accent5 3 2 4" xfId="4150"/>
    <cellStyle name="20% - Accent5 3 3" xfId="2289"/>
    <cellStyle name="20% - Accent5 3 3 2" xfId="5390"/>
    <cellStyle name="20% - Accent5 3 3 3" xfId="4149"/>
    <cellStyle name="20% - Accent5 3 4" xfId="4711"/>
    <cellStyle name="20% - Accent5 4" xfId="3080"/>
    <cellStyle name="20% - Accent5 4 2" xfId="4151"/>
    <cellStyle name="20% - Accent5 5" xfId="2150"/>
    <cellStyle name="20% - Accent6" xfId="418" builtinId="50" customBuiltin="1"/>
    <cellStyle name="20% - Accent6 2" xfId="22"/>
    <cellStyle name="20% - Accent6 2 2" xfId="100"/>
    <cellStyle name="20% - Accent6 2 2 2" xfId="101"/>
    <cellStyle name="20% - Accent6 2 2 2 2" xfId="2881"/>
    <cellStyle name="20% - Accent6 2 2 2 3" xfId="1947"/>
    <cellStyle name="20% - Accent6 2 2 3" xfId="885"/>
    <cellStyle name="20% - Accent6 2 2 3 2" xfId="3400"/>
    <cellStyle name="20% - Accent6 2 2 3 3" xfId="2455"/>
    <cellStyle name="20% - Accent6 2 2 3 3 2" xfId="5419"/>
    <cellStyle name="20% - Accent6 2 2 3 3 3" xfId="4516"/>
    <cellStyle name="20% - Accent6 2 2 3 4" xfId="4740"/>
    <cellStyle name="20% - Accent6 2 2 3 5" xfId="5071"/>
    <cellStyle name="20% - Accent6 2 2 3 6" xfId="3969"/>
    <cellStyle name="20% - Accent6 2 2 4" xfId="2880"/>
    <cellStyle name="20% - Accent6 2 2 4 2" xfId="4838"/>
    <cellStyle name="20% - Accent6 2 2 4 3" xfId="5177"/>
    <cellStyle name="20% - Accent6 2 2 4 4" xfId="4153"/>
    <cellStyle name="20% - Accent6 2 2 5" xfId="1946"/>
    <cellStyle name="20% - Accent6 2 3" xfId="102"/>
    <cellStyle name="20% - Accent6 2 3 2" xfId="1060"/>
    <cellStyle name="20% - Accent6 2 3 2 2" xfId="3510"/>
    <cellStyle name="20% - Accent6 2 3 2 3" xfId="2557"/>
    <cellStyle name="20% - Accent6 2 3 2 3 2" xfId="5459"/>
    <cellStyle name="20% - Accent6 2 3 2 3 3" xfId="4517"/>
    <cellStyle name="20% - Accent6 2 3 2 4" xfId="4778"/>
    <cellStyle name="20% - Accent6 2 3 2 5" xfId="5072"/>
    <cellStyle name="20% - Accent6 2 3 2 6" xfId="3970"/>
    <cellStyle name="20% - Accent6 2 3 3" xfId="2882"/>
    <cellStyle name="20% - Accent6 2 3 4" xfId="1948"/>
    <cellStyle name="20% - Accent6 2 4" xfId="103"/>
    <cellStyle name="20% - Accent6 2 4 2" xfId="1632"/>
    <cellStyle name="20% - Accent6 2 4 2 2" xfId="3660"/>
    <cellStyle name="20% - Accent6 2 4 2 3" xfId="2662"/>
    <cellStyle name="20% - Accent6 2 4 2 3 2" xfId="5475"/>
    <cellStyle name="20% - Accent6 2 4 2 3 3" xfId="4518"/>
    <cellStyle name="20% - Accent6 2 4 2 4" xfId="4800"/>
    <cellStyle name="20% - Accent6 2 4 2 5" xfId="5073"/>
    <cellStyle name="20% - Accent6 2 4 2 6" xfId="3971"/>
    <cellStyle name="20% - Accent6 2 4 3" xfId="2883"/>
    <cellStyle name="20% - Accent6 2 4 4" xfId="1949"/>
    <cellStyle name="20% - Accent6 2 5" xfId="99"/>
    <cellStyle name="20% - Accent6 2 5 2" xfId="3236"/>
    <cellStyle name="20% - Accent6 2 5 3" xfId="2292"/>
    <cellStyle name="20% - Accent6 2 5 4" xfId="609"/>
    <cellStyle name="20% - Accent6 2 6" xfId="2879"/>
    <cellStyle name="20% - Accent6 2 6 2" xfId="4837"/>
    <cellStyle name="20% - Accent6 2 6 3" xfId="5176"/>
    <cellStyle name="20% - Accent6 2 6 4" xfId="4152"/>
    <cellStyle name="20% - Accent6 2 7" xfId="1945"/>
    <cellStyle name="20% - Accent6 3" xfId="610"/>
    <cellStyle name="20% - Accent6 3 2" xfId="3237"/>
    <cellStyle name="20% - Accent6 3 2 2" xfId="4935"/>
    <cellStyle name="20% - Accent6 3 2 3" xfId="5178"/>
    <cellStyle name="20% - Accent6 3 2 4" xfId="4155"/>
    <cellStyle name="20% - Accent6 3 3" xfId="2293"/>
    <cellStyle name="20% - Accent6 3 3 2" xfId="5392"/>
    <cellStyle name="20% - Accent6 3 3 3" xfId="4154"/>
    <cellStyle name="20% - Accent6 3 4" xfId="4713"/>
    <cellStyle name="20% - Accent6 4" xfId="608"/>
    <cellStyle name="20% - Accent6 4 2" xfId="3235"/>
    <cellStyle name="20% - Accent6 4 2 2" xfId="4934"/>
    <cellStyle name="20% - Accent6 4 2 3" xfId="5179"/>
    <cellStyle name="20% - Accent6 4 2 4" xfId="4157"/>
    <cellStyle name="20% - Accent6 4 3" xfId="2291"/>
    <cellStyle name="20% - Accent6 4 3 2" xfId="5391"/>
    <cellStyle name="20% - Accent6 4 3 3" xfId="4156"/>
    <cellStyle name="20% - Accent6 4 4" xfId="4712"/>
    <cellStyle name="20% - Accent6 5" xfId="3084"/>
    <cellStyle name="20% - Accent6 6" xfId="2154"/>
    <cellStyle name="40% - Accent1" xfId="399" builtinId="31" customBuiltin="1"/>
    <cellStyle name="40% - Accent1 2" xfId="23"/>
    <cellStyle name="40% - Accent1 2 2" xfId="105"/>
    <cellStyle name="40% - Accent1 2 2 2" xfId="106"/>
    <cellStyle name="40% - Accent1 2 2 2 2" xfId="2886"/>
    <cellStyle name="40% - Accent1 2 2 2 3" xfId="1952"/>
    <cellStyle name="40% - Accent1 2 2 3" xfId="886"/>
    <cellStyle name="40% - Accent1 2 2 3 2" xfId="3401"/>
    <cellStyle name="40% - Accent1 2 2 3 3" xfId="2456"/>
    <cellStyle name="40% - Accent1 2 2 3 3 2" xfId="5420"/>
    <cellStyle name="40% - Accent1 2 2 3 3 3" xfId="4519"/>
    <cellStyle name="40% - Accent1 2 2 3 4" xfId="4741"/>
    <cellStyle name="40% - Accent1 2 2 3 5" xfId="5074"/>
    <cellStyle name="40% - Accent1 2 2 3 6" xfId="3972"/>
    <cellStyle name="40% - Accent1 2 2 4" xfId="2885"/>
    <cellStyle name="40% - Accent1 2 2 4 2" xfId="4840"/>
    <cellStyle name="40% - Accent1 2 2 4 3" xfId="5181"/>
    <cellStyle name="40% - Accent1 2 2 4 4" xfId="4159"/>
    <cellStyle name="40% - Accent1 2 2 5" xfId="1951"/>
    <cellStyle name="40% - Accent1 2 3" xfId="107"/>
    <cellStyle name="40% - Accent1 2 3 2" xfId="1061"/>
    <cellStyle name="40% - Accent1 2 3 2 2" xfId="3511"/>
    <cellStyle name="40% - Accent1 2 3 2 3" xfId="2558"/>
    <cellStyle name="40% - Accent1 2 3 2 3 2" xfId="5460"/>
    <cellStyle name="40% - Accent1 2 3 2 3 3" xfId="4520"/>
    <cellStyle name="40% - Accent1 2 3 2 4" xfId="4779"/>
    <cellStyle name="40% - Accent1 2 3 2 5" xfId="5075"/>
    <cellStyle name="40% - Accent1 2 3 2 6" xfId="3973"/>
    <cellStyle name="40% - Accent1 2 3 3" xfId="2887"/>
    <cellStyle name="40% - Accent1 2 3 4" xfId="1953"/>
    <cellStyle name="40% - Accent1 2 4" xfId="108"/>
    <cellStyle name="40% - Accent1 2 4 2" xfId="1633"/>
    <cellStyle name="40% - Accent1 2 4 2 2" xfId="3661"/>
    <cellStyle name="40% - Accent1 2 4 2 3" xfId="2663"/>
    <cellStyle name="40% - Accent1 2 4 2 3 2" xfId="5476"/>
    <cellStyle name="40% - Accent1 2 4 2 3 3" xfId="4521"/>
    <cellStyle name="40% - Accent1 2 4 2 4" xfId="4801"/>
    <cellStyle name="40% - Accent1 2 4 2 5" xfId="5076"/>
    <cellStyle name="40% - Accent1 2 4 2 6" xfId="3974"/>
    <cellStyle name="40% - Accent1 2 4 3" xfId="2888"/>
    <cellStyle name="40% - Accent1 2 4 4" xfId="1954"/>
    <cellStyle name="40% - Accent1 2 5" xfId="104"/>
    <cellStyle name="40% - Accent1 2 5 2" xfId="3239"/>
    <cellStyle name="40% - Accent1 2 5 3" xfId="2295"/>
    <cellStyle name="40% - Accent1 2 5 4" xfId="612"/>
    <cellStyle name="40% - Accent1 2 6" xfId="2884"/>
    <cellStyle name="40% - Accent1 2 6 2" xfId="4839"/>
    <cellStyle name="40% - Accent1 2 6 3" xfId="5180"/>
    <cellStyle name="40% - Accent1 2 6 4" xfId="4158"/>
    <cellStyle name="40% - Accent1 2 7" xfId="1950"/>
    <cellStyle name="40% - Accent1 3" xfId="613"/>
    <cellStyle name="40% - Accent1 3 2" xfId="3240"/>
    <cellStyle name="40% - Accent1 3 2 2" xfId="4937"/>
    <cellStyle name="40% - Accent1 3 2 3" xfId="5182"/>
    <cellStyle name="40% - Accent1 3 2 4" xfId="4161"/>
    <cellStyle name="40% - Accent1 3 3" xfId="2296"/>
    <cellStyle name="40% - Accent1 3 3 2" xfId="5394"/>
    <cellStyle name="40% - Accent1 3 3 3" xfId="4160"/>
    <cellStyle name="40% - Accent1 3 4" xfId="4715"/>
    <cellStyle name="40% - Accent1 4" xfId="611"/>
    <cellStyle name="40% - Accent1 4 2" xfId="3238"/>
    <cellStyle name="40% - Accent1 4 2 2" xfId="4936"/>
    <cellStyle name="40% - Accent1 4 2 3" xfId="5183"/>
    <cellStyle name="40% - Accent1 4 2 4" xfId="4163"/>
    <cellStyle name="40% - Accent1 4 3" xfId="2294"/>
    <cellStyle name="40% - Accent1 4 3 2" xfId="5393"/>
    <cellStyle name="40% - Accent1 4 3 3" xfId="4162"/>
    <cellStyle name="40% - Accent1 4 4" xfId="4714"/>
    <cellStyle name="40% - Accent1 5" xfId="3065"/>
    <cellStyle name="40% - Accent1 6" xfId="2135"/>
    <cellStyle name="40% - Accent2" xfId="403" builtinId="35" customBuiltin="1"/>
    <cellStyle name="40% - Accent2 2" xfId="24"/>
    <cellStyle name="40% - Accent2 2 2" xfId="110"/>
    <cellStyle name="40% - Accent2 2 2 2" xfId="111"/>
    <cellStyle name="40% - Accent2 2 2 2 2" xfId="2891"/>
    <cellStyle name="40% - Accent2 2 2 2 3" xfId="1957"/>
    <cellStyle name="40% - Accent2 2 2 3" xfId="887"/>
    <cellStyle name="40% - Accent2 2 2 3 2" xfId="3402"/>
    <cellStyle name="40% - Accent2 2 2 3 3" xfId="2457"/>
    <cellStyle name="40% - Accent2 2 2 3 3 2" xfId="5421"/>
    <cellStyle name="40% - Accent2 2 2 3 3 3" xfId="4522"/>
    <cellStyle name="40% - Accent2 2 2 3 4" xfId="4742"/>
    <cellStyle name="40% - Accent2 2 2 3 5" xfId="5077"/>
    <cellStyle name="40% - Accent2 2 2 3 6" xfId="3975"/>
    <cellStyle name="40% - Accent2 2 2 4" xfId="2890"/>
    <cellStyle name="40% - Accent2 2 2 4 2" xfId="4841"/>
    <cellStyle name="40% - Accent2 2 2 4 3" xfId="5184"/>
    <cellStyle name="40% - Accent2 2 2 4 4" xfId="4164"/>
    <cellStyle name="40% - Accent2 2 2 5" xfId="1956"/>
    <cellStyle name="40% - Accent2 2 3" xfId="112"/>
    <cellStyle name="40% - Accent2 2 3 2" xfId="1062"/>
    <cellStyle name="40% - Accent2 2 3 2 2" xfId="3512"/>
    <cellStyle name="40% - Accent2 2 3 2 3" xfId="2559"/>
    <cellStyle name="40% - Accent2 2 3 2 3 2" xfId="5461"/>
    <cellStyle name="40% - Accent2 2 3 2 3 3" xfId="4523"/>
    <cellStyle name="40% - Accent2 2 3 2 4" xfId="4780"/>
    <cellStyle name="40% - Accent2 2 3 2 5" xfId="5078"/>
    <cellStyle name="40% - Accent2 2 3 2 6" xfId="3976"/>
    <cellStyle name="40% - Accent2 2 3 3" xfId="2892"/>
    <cellStyle name="40% - Accent2 2 3 4" xfId="1958"/>
    <cellStyle name="40% - Accent2 2 4" xfId="113"/>
    <cellStyle name="40% - Accent2 2 4 2" xfId="1634"/>
    <cellStyle name="40% - Accent2 2 4 2 2" xfId="3662"/>
    <cellStyle name="40% - Accent2 2 4 2 3" xfId="2664"/>
    <cellStyle name="40% - Accent2 2 4 2 3 2" xfId="5477"/>
    <cellStyle name="40% - Accent2 2 4 2 3 3" xfId="4524"/>
    <cellStyle name="40% - Accent2 2 4 2 4" xfId="4802"/>
    <cellStyle name="40% - Accent2 2 4 2 5" xfId="5079"/>
    <cellStyle name="40% - Accent2 2 4 2 6" xfId="3977"/>
    <cellStyle name="40% - Accent2 2 4 3" xfId="2893"/>
    <cellStyle name="40% - Accent2 2 4 4" xfId="1959"/>
    <cellStyle name="40% - Accent2 2 5" xfId="109"/>
    <cellStyle name="40% - Accent2 2 5 2" xfId="3242"/>
    <cellStyle name="40% - Accent2 2 5 3" xfId="2298"/>
    <cellStyle name="40% - Accent2 2 5 4" xfId="615"/>
    <cellStyle name="40% - Accent2 2 6" xfId="2889"/>
    <cellStyle name="40% - Accent2 2 7" xfId="1955"/>
    <cellStyle name="40% - Accent2 3" xfId="614"/>
    <cellStyle name="40% - Accent2 3 2" xfId="3241"/>
    <cellStyle name="40% - Accent2 3 2 2" xfId="4938"/>
    <cellStyle name="40% - Accent2 3 2 3" xfId="5185"/>
    <cellStyle name="40% - Accent2 3 2 4" xfId="4166"/>
    <cellStyle name="40% - Accent2 3 3" xfId="2297"/>
    <cellStyle name="40% - Accent2 3 3 2" xfId="5395"/>
    <cellStyle name="40% - Accent2 3 3 3" xfId="4165"/>
    <cellStyle name="40% - Accent2 3 4" xfId="4716"/>
    <cellStyle name="40% - Accent2 4" xfId="3069"/>
    <cellStyle name="40% - Accent2 4 2" xfId="4167"/>
    <cellStyle name="40% - Accent2 5" xfId="2139"/>
    <cellStyle name="40% - Accent3" xfId="407" builtinId="39" customBuiltin="1"/>
    <cellStyle name="40% - Accent3 2" xfId="25"/>
    <cellStyle name="40% - Accent3 2 2" xfId="115"/>
    <cellStyle name="40% - Accent3 2 2 2" xfId="116"/>
    <cellStyle name="40% - Accent3 2 2 2 2" xfId="2896"/>
    <cellStyle name="40% - Accent3 2 2 2 3" xfId="1962"/>
    <cellStyle name="40% - Accent3 2 2 3" xfId="888"/>
    <cellStyle name="40% - Accent3 2 2 3 2" xfId="3403"/>
    <cellStyle name="40% - Accent3 2 2 3 3" xfId="2458"/>
    <cellStyle name="40% - Accent3 2 2 3 3 2" xfId="5422"/>
    <cellStyle name="40% - Accent3 2 2 3 3 3" xfId="4525"/>
    <cellStyle name="40% - Accent3 2 2 3 4" xfId="4743"/>
    <cellStyle name="40% - Accent3 2 2 3 5" xfId="5080"/>
    <cellStyle name="40% - Accent3 2 2 3 6" xfId="3978"/>
    <cellStyle name="40% - Accent3 2 2 4" xfId="2895"/>
    <cellStyle name="40% - Accent3 2 2 4 2" xfId="4843"/>
    <cellStyle name="40% - Accent3 2 2 4 3" xfId="5187"/>
    <cellStyle name="40% - Accent3 2 2 4 4" xfId="4169"/>
    <cellStyle name="40% - Accent3 2 2 5" xfId="1961"/>
    <cellStyle name="40% - Accent3 2 3" xfId="117"/>
    <cellStyle name="40% - Accent3 2 3 2" xfId="1063"/>
    <cellStyle name="40% - Accent3 2 3 2 2" xfId="3513"/>
    <cellStyle name="40% - Accent3 2 3 2 3" xfId="2560"/>
    <cellStyle name="40% - Accent3 2 3 2 3 2" xfId="5462"/>
    <cellStyle name="40% - Accent3 2 3 2 3 3" xfId="4526"/>
    <cellStyle name="40% - Accent3 2 3 2 4" xfId="4781"/>
    <cellStyle name="40% - Accent3 2 3 2 5" xfId="5081"/>
    <cellStyle name="40% - Accent3 2 3 2 6" xfId="3979"/>
    <cellStyle name="40% - Accent3 2 3 3" xfId="2897"/>
    <cellStyle name="40% - Accent3 2 3 4" xfId="1963"/>
    <cellStyle name="40% - Accent3 2 4" xfId="118"/>
    <cellStyle name="40% - Accent3 2 4 2" xfId="1635"/>
    <cellStyle name="40% - Accent3 2 4 2 2" xfId="3663"/>
    <cellStyle name="40% - Accent3 2 4 2 3" xfId="2665"/>
    <cellStyle name="40% - Accent3 2 4 2 3 2" xfId="5478"/>
    <cellStyle name="40% - Accent3 2 4 2 3 3" xfId="4527"/>
    <cellStyle name="40% - Accent3 2 4 2 4" xfId="4803"/>
    <cellStyle name="40% - Accent3 2 4 2 5" xfId="5082"/>
    <cellStyle name="40% - Accent3 2 4 2 6" xfId="3980"/>
    <cellStyle name="40% - Accent3 2 4 3" xfId="2898"/>
    <cellStyle name="40% - Accent3 2 4 4" xfId="1964"/>
    <cellStyle name="40% - Accent3 2 5" xfId="114"/>
    <cellStyle name="40% - Accent3 2 5 2" xfId="3244"/>
    <cellStyle name="40% - Accent3 2 5 3" xfId="2300"/>
    <cellStyle name="40% - Accent3 2 5 4" xfId="617"/>
    <cellStyle name="40% - Accent3 2 6" xfId="2894"/>
    <cellStyle name="40% - Accent3 2 6 2" xfId="4842"/>
    <cellStyle name="40% - Accent3 2 6 3" xfId="5186"/>
    <cellStyle name="40% - Accent3 2 6 4" xfId="4168"/>
    <cellStyle name="40% - Accent3 2 7" xfId="1960"/>
    <cellStyle name="40% - Accent3 3" xfId="618"/>
    <cellStyle name="40% - Accent3 3 2" xfId="3245"/>
    <cellStyle name="40% - Accent3 3 2 2" xfId="4940"/>
    <cellStyle name="40% - Accent3 3 2 3" xfId="5188"/>
    <cellStyle name="40% - Accent3 3 2 4" xfId="4171"/>
    <cellStyle name="40% - Accent3 3 3" xfId="2301"/>
    <cellStyle name="40% - Accent3 3 3 2" xfId="5397"/>
    <cellStyle name="40% - Accent3 3 3 3" xfId="4170"/>
    <cellStyle name="40% - Accent3 3 4" xfId="4718"/>
    <cellStyle name="40% - Accent3 4" xfId="616"/>
    <cellStyle name="40% - Accent3 4 2" xfId="3243"/>
    <cellStyle name="40% - Accent3 4 2 2" xfId="4939"/>
    <cellStyle name="40% - Accent3 4 2 3" xfId="5189"/>
    <cellStyle name="40% - Accent3 4 2 4" xfId="4173"/>
    <cellStyle name="40% - Accent3 4 3" xfId="2299"/>
    <cellStyle name="40% - Accent3 4 3 2" xfId="5396"/>
    <cellStyle name="40% - Accent3 4 3 3" xfId="4172"/>
    <cellStyle name="40% - Accent3 4 4" xfId="4717"/>
    <cellStyle name="40% - Accent3 5" xfId="3073"/>
    <cellStyle name="40% - Accent3 6" xfId="2143"/>
    <cellStyle name="40% - Accent4" xfId="411" builtinId="43" customBuiltin="1"/>
    <cellStyle name="40% - Accent4 2" xfId="26"/>
    <cellStyle name="40% - Accent4 2 2" xfId="120"/>
    <cellStyle name="40% - Accent4 2 2 2" xfId="121"/>
    <cellStyle name="40% - Accent4 2 2 2 2" xfId="2901"/>
    <cellStyle name="40% - Accent4 2 2 2 3" xfId="1967"/>
    <cellStyle name="40% - Accent4 2 2 3" xfId="889"/>
    <cellStyle name="40% - Accent4 2 2 3 2" xfId="3404"/>
    <cellStyle name="40% - Accent4 2 2 3 3" xfId="2459"/>
    <cellStyle name="40% - Accent4 2 2 3 3 2" xfId="5423"/>
    <cellStyle name="40% - Accent4 2 2 3 3 3" xfId="4528"/>
    <cellStyle name="40% - Accent4 2 2 3 4" xfId="4744"/>
    <cellStyle name="40% - Accent4 2 2 3 5" xfId="5083"/>
    <cellStyle name="40% - Accent4 2 2 3 6" xfId="3981"/>
    <cellStyle name="40% - Accent4 2 2 4" xfId="2900"/>
    <cellStyle name="40% - Accent4 2 2 4 2" xfId="4845"/>
    <cellStyle name="40% - Accent4 2 2 4 3" xfId="5191"/>
    <cellStyle name="40% - Accent4 2 2 4 4" xfId="4175"/>
    <cellStyle name="40% - Accent4 2 2 5" xfId="1966"/>
    <cellStyle name="40% - Accent4 2 3" xfId="122"/>
    <cellStyle name="40% - Accent4 2 3 2" xfId="1064"/>
    <cellStyle name="40% - Accent4 2 3 2 2" xfId="3514"/>
    <cellStyle name="40% - Accent4 2 3 2 3" xfId="2561"/>
    <cellStyle name="40% - Accent4 2 3 2 3 2" xfId="5463"/>
    <cellStyle name="40% - Accent4 2 3 2 3 3" xfId="4529"/>
    <cellStyle name="40% - Accent4 2 3 2 4" xfId="4782"/>
    <cellStyle name="40% - Accent4 2 3 2 5" xfId="5084"/>
    <cellStyle name="40% - Accent4 2 3 2 6" xfId="3982"/>
    <cellStyle name="40% - Accent4 2 3 3" xfId="2902"/>
    <cellStyle name="40% - Accent4 2 3 4" xfId="1968"/>
    <cellStyle name="40% - Accent4 2 4" xfId="123"/>
    <cellStyle name="40% - Accent4 2 4 2" xfId="1636"/>
    <cellStyle name="40% - Accent4 2 4 2 2" xfId="3664"/>
    <cellStyle name="40% - Accent4 2 4 2 3" xfId="2666"/>
    <cellStyle name="40% - Accent4 2 4 2 3 2" xfId="5479"/>
    <cellStyle name="40% - Accent4 2 4 2 3 3" xfId="4530"/>
    <cellStyle name="40% - Accent4 2 4 2 4" xfId="4804"/>
    <cellStyle name="40% - Accent4 2 4 2 5" xfId="5085"/>
    <cellStyle name="40% - Accent4 2 4 2 6" xfId="3983"/>
    <cellStyle name="40% - Accent4 2 4 3" xfId="2903"/>
    <cellStyle name="40% - Accent4 2 4 4" xfId="1969"/>
    <cellStyle name="40% - Accent4 2 5" xfId="119"/>
    <cellStyle name="40% - Accent4 2 5 2" xfId="3247"/>
    <cellStyle name="40% - Accent4 2 5 3" xfId="2303"/>
    <cellStyle name="40% - Accent4 2 5 4" xfId="620"/>
    <cellStyle name="40% - Accent4 2 6" xfId="2899"/>
    <cellStyle name="40% - Accent4 2 6 2" xfId="4844"/>
    <cellStyle name="40% - Accent4 2 6 3" xfId="5190"/>
    <cellStyle name="40% - Accent4 2 6 4" xfId="4174"/>
    <cellStyle name="40% - Accent4 2 7" xfId="1965"/>
    <cellStyle name="40% - Accent4 3" xfId="621"/>
    <cellStyle name="40% - Accent4 3 2" xfId="3248"/>
    <cellStyle name="40% - Accent4 3 2 2" xfId="4942"/>
    <cellStyle name="40% - Accent4 3 2 3" xfId="5192"/>
    <cellStyle name="40% - Accent4 3 2 4" xfId="4177"/>
    <cellStyle name="40% - Accent4 3 3" xfId="2304"/>
    <cellStyle name="40% - Accent4 3 3 2" xfId="5399"/>
    <cellStyle name="40% - Accent4 3 3 3" xfId="4176"/>
    <cellStyle name="40% - Accent4 3 4" xfId="4720"/>
    <cellStyle name="40% - Accent4 4" xfId="619"/>
    <cellStyle name="40% - Accent4 4 2" xfId="3246"/>
    <cellStyle name="40% - Accent4 4 2 2" xfId="4941"/>
    <cellStyle name="40% - Accent4 4 2 3" xfId="5193"/>
    <cellStyle name="40% - Accent4 4 2 4" xfId="4179"/>
    <cellStyle name="40% - Accent4 4 3" xfId="2302"/>
    <cellStyle name="40% - Accent4 4 3 2" xfId="5398"/>
    <cellStyle name="40% - Accent4 4 3 3" xfId="4178"/>
    <cellStyle name="40% - Accent4 4 4" xfId="4719"/>
    <cellStyle name="40% - Accent4 5" xfId="3077"/>
    <cellStyle name="40% - Accent4 6" xfId="2147"/>
    <cellStyle name="40% - Accent5" xfId="415" builtinId="47" customBuiltin="1"/>
    <cellStyle name="40% - Accent5 2" xfId="27"/>
    <cellStyle name="40% - Accent5 2 2" xfId="125"/>
    <cellStyle name="40% - Accent5 2 2 2" xfId="126"/>
    <cellStyle name="40% - Accent5 2 2 2 2" xfId="2906"/>
    <cellStyle name="40% - Accent5 2 2 2 3" xfId="1972"/>
    <cellStyle name="40% - Accent5 2 2 3" xfId="890"/>
    <cellStyle name="40% - Accent5 2 2 3 2" xfId="3405"/>
    <cellStyle name="40% - Accent5 2 2 3 3" xfId="2460"/>
    <cellStyle name="40% - Accent5 2 2 3 3 2" xfId="5424"/>
    <cellStyle name="40% - Accent5 2 2 3 3 3" xfId="4531"/>
    <cellStyle name="40% - Accent5 2 2 3 4" xfId="4745"/>
    <cellStyle name="40% - Accent5 2 2 3 5" xfId="5086"/>
    <cellStyle name="40% - Accent5 2 2 3 6" xfId="3984"/>
    <cellStyle name="40% - Accent5 2 2 4" xfId="2905"/>
    <cellStyle name="40% - Accent5 2 2 4 2" xfId="4847"/>
    <cellStyle name="40% - Accent5 2 2 4 3" xfId="5195"/>
    <cellStyle name="40% - Accent5 2 2 4 4" xfId="4181"/>
    <cellStyle name="40% - Accent5 2 2 5" xfId="1971"/>
    <cellStyle name="40% - Accent5 2 3" xfId="127"/>
    <cellStyle name="40% - Accent5 2 3 2" xfId="1065"/>
    <cellStyle name="40% - Accent5 2 3 2 2" xfId="3515"/>
    <cellStyle name="40% - Accent5 2 3 2 3" xfId="2562"/>
    <cellStyle name="40% - Accent5 2 3 2 3 2" xfId="5464"/>
    <cellStyle name="40% - Accent5 2 3 2 3 3" xfId="4532"/>
    <cellStyle name="40% - Accent5 2 3 2 4" xfId="4783"/>
    <cellStyle name="40% - Accent5 2 3 2 5" xfId="5087"/>
    <cellStyle name="40% - Accent5 2 3 2 6" xfId="3985"/>
    <cellStyle name="40% - Accent5 2 3 3" xfId="2907"/>
    <cellStyle name="40% - Accent5 2 3 4" xfId="1973"/>
    <cellStyle name="40% - Accent5 2 4" xfId="128"/>
    <cellStyle name="40% - Accent5 2 4 2" xfId="1637"/>
    <cellStyle name="40% - Accent5 2 4 2 2" xfId="3665"/>
    <cellStyle name="40% - Accent5 2 4 2 3" xfId="2667"/>
    <cellStyle name="40% - Accent5 2 4 2 3 2" xfId="5480"/>
    <cellStyle name="40% - Accent5 2 4 2 3 3" xfId="4533"/>
    <cellStyle name="40% - Accent5 2 4 2 4" xfId="4805"/>
    <cellStyle name="40% - Accent5 2 4 2 5" xfId="5088"/>
    <cellStyle name="40% - Accent5 2 4 2 6" xfId="3986"/>
    <cellStyle name="40% - Accent5 2 4 3" xfId="2908"/>
    <cellStyle name="40% - Accent5 2 4 4" xfId="1974"/>
    <cellStyle name="40% - Accent5 2 5" xfId="124"/>
    <cellStyle name="40% - Accent5 2 5 2" xfId="3250"/>
    <cellStyle name="40% - Accent5 2 5 3" xfId="2306"/>
    <cellStyle name="40% - Accent5 2 5 4" xfId="623"/>
    <cellStyle name="40% - Accent5 2 6" xfId="2904"/>
    <cellStyle name="40% - Accent5 2 6 2" xfId="4846"/>
    <cellStyle name="40% - Accent5 2 6 3" xfId="5194"/>
    <cellStyle name="40% - Accent5 2 6 4" xfId="4180"/>
    <cellStyle name="40% - Accent5 2 7" xfId="1970"/>
    <cellStyle name="40% - Accent5 3" xfId="624"/>
    <cellStyle name="40% - Accent5 3 2" xfId="3251"/>
    <cellStyle name="40% - Accent5 3 2 2" xfId="4944"/>
    <cellStyle name="40% - Accent5 3 2 3" xfId="5196"/>
    <cellStyle name="40% - Accent5 3 2 4" xfId="4183"/>
    <cellStyle name="40% - Accent5 3 3" xfId="2307"/>
    <cellStyle name="40% - Accent5 3 3 2" xfId="5401"/>
    <cellStyle name="40% - Accent5 3 3 3" xfId="4182"/>
    <cellStyle name="40% - Accent5 3 4" xfId="4722"/>
    <cellStyle name="40% - Accent5 4" xfId="622"/>
    <cellStyle name="40% - Accent5 4 2" xfId="3249"/>
    <cellStyle name="40% - Accent5 4 2 2" xfId="4943"/>
    <cellStyle name="40% - Accent5 4 2 3" xfId="5197"/>
    <cellStyle name="40% - Accent5 4 2 4" xfId="4185"/>
    <cellStyle name="40% - Accent5 4 3" xfId="2305"/>
    <cellStyle name="40% - Accent5 4 3 2" xfId="5400"/>
    <cellStyle name="40% - Accent5 4 3 3" xfId="4184"/>
    <cellStyle name="40% - Accent5 4 4" xfId="4721"/>
    <cellStyle name="40% - Accent5 5" xfId="3081"/>
    <cellStyle name="40% - Accent5 6" xfId="2151"/>
    <cellStyle name="40% - Accent6" xfId="419" builtinId="51" customBuiltin="1"/>
    <cellStyle name="40% - Accent6 2" xfId="28"/>
    <cellStyle name="40% - Accent6 2 2" xfId="130"/>
    <cellStyle name="40% - Accent6 2 2 2" xfId="131"/>
    <cellStyle name="40% - Accent6 2 2 2 2" xfId="2911"/>
    <cellStyle name="40% - Accent6 2 2 2 3" xfId="1977"/>
    <cellStyle name="40% - Accent6 2 2 3" xfId="891"/>
    <cellStyle name="40% - Accent6 2 2 3 2" xfId="3406"/>
    <cellStyle name="40% - Accent6 2 2 3 3" xfId="2461"/>
    <cellStyle name="40% - Accent6 2 2 3 3 2" xfId="5425"/>
    <cellStyle name="40% - Accent6 2 2 3 3 3" xfId="4534"/>
    <cellStyle name="40% - Accent6 2 2 3 4" xfId="4746"/>
    <cellStyle name="40% - Accent6 2 2 3 5" xfId="5089"/>
    <cellStyle name="40% - Accent6 2 2 3 6" xfId="3987"/>
    <cellStyle name="40% - Accent6 2 2 4" xfId="2910"/>
    <cellStyle name="40% - Accent6 2 2 4 2" xfId="4849"/>
    <cellStyle name="40% - Accent6 2 2 4 3" xfId="5199"/>
    <cellStyle name="40% - Accent6 2 2 4 4" xfId="4187"/>
    <cellStyle name="40% - Accent6 2 2 5" xfId="1976"/>
    <cellStyle name="40% - Accent6 2 3" xfId="132"/>
    <cellStyle name="40% - Accent6 2 3 2" xfId="1066"/>
    <cellStyle name="40% - Accent6 2 3 2 2" xfId="3516"/>
    <cellStyle name="40% - Accent6 2 3 2 3" xfId="2563"/>
    <cellStyle name="40% - Accent6 2 3 2 3 2" xfId="5465"/>
    <cellStyle name="40% - Accent6 2 3 2 3 3" xfId="4535"/>
    <cellStyle name="40% - Accent6 2 3 2 4" xfId="4784"/>
    <cellStyle name="40% - Accent6 2 3 2 5" xfId="5090"/>
    <cellStyle name="40% - Accent6 2 3 2 6" xfId="3988"/>
    <cellStyle name="40% - Accent6 2 3 3" xfId="2912"/>
    <cellStyle name="40% - Accent6 2 3 4" xfId="1978"/>
    <cellStyle name="40% - Accent6 2 4" xfId="133"/>
    <cellStyle name="40% - Accent6 2 4 2" xfId="1638"/>
    <cellStyle name="40% - Accent6 2 4 2 2" xfId="3666"/>
    <cellStyle name="40% - Accent6 2 4 2 3" xfId="2668"/>
    <cellStyle name="40% - Accent6 2 4 2 3 2" xfId="5481"/>
    <cellStyle name="40% - Accent6 2 4 2 3 3" xfId="4536"/>
    <cellStyle name="40% - Accent6 2 4 2 4" xfId="4806"/>
    <cellStyle name="40% - Accent6 2 4 2 5" xfId="5091"/>
    <cellStyle name="40% - Accent6 2 4 2 6" xfId="3989"/>
    <cellStyle name="40% - Accent6 2 4 3" xfId="2913"/>
    <cellStyle name="40% - Accent6 2 4 4" xfId="1979"/>
    <cellStyle name="40% - Accent6 2 5" xfId="129"/>
    <cellStyle name="40% - Accent6 2 5 2" xfId="3253"/>
    <cellStyle name="40% - Accent6 2 5 3" xfId="2309"/>
    <cellStyle name="40% - Accent6 2 5 4" xfId="626"/>
    <cellStyle name="40% - Accent6 2 6" xfId="2909"/>
    <cellStyle name="40% - Accent6 2 6 2" xfId="4848"/>
    <cellStyle name="40% - Accent6 2 6 3" xfId="5198"/>
    <cellStyle name="40% - Accent6 2 6 4" xfId="4186"/>
    <cellStyle name="40% - Accent6 2 7" xfId="1975"/>
    <cellStyle name="40% - Accent6 3" xfId="627"/>
    <cellStyle name="40% - Accent6 3 2" xfId="3254"/>
    <cellStyle name="40% - Accent6 3 2 2" xfId="4946"/>
    <cellStyle name="40% - Accent6 3 2 3" xfId="5200"/>
    <cellStyle name="40% - Accent6 3 2 4" xfId="4189"/>
    <cellStyle name="40% - Accent6 3 3" xfId="2310"/>
    <cellStyle name="40% - Accent6 3 3 2" xfId="5403"/>
    <cellStyle name="40% - Accent6 3 3 3" xfId="4188"/>
    <cellStyle name="40% - Accent6 3 4" xfId="4724"/>
    <cellStyle name="40% - Accent6 4" xfId="625"/>
    <cellStyle name="40% - Accent6 4 2" xfId="3252"/>
    <cellStyle name="40% - Accent6 4 2 2" xfId="4945"/>
    <cellStyle name="40% - Accent6 4 2 3" xfId="5201"/>
    <cellStyle name="40% - Accent6 4 2 4" xfId="4191"/>
    <cellStyle name="40% - Accent6 4 3" xfId="2308"/>
    <cellStyle name="40% - Accent6 4 3 2" xfId="5402"/>
    <cellStyle name="40% - Accent6 4 3 3" xfId="4190"/>
    <cellStyle name="40% - Accent6 4 4" xfId="4723"/>
    <cellStyle name="40% - Accent6 5" xfId="3085"/>
    <cellStyle name="40% - Accent6 6" xfId="2155"/>
    <cellStyle name="60% - Accent1" xfId="400" builtinId="32" customBuiltin="1"/>
    <cellStyle name="60% - Accent1 2" xfId="29"/>
    <cellStyle name="60% - Accent1 2 2" xfId="135"/>
    <cellStyle name="60% - Accent1 2 2 2" xfId="892"/>
    <cellStyle name="60% - Accent1 2 2 2 2" xfId="3407"/>
    <cellStyle name="60% - Accent1 2 2 2 3" xfId="2462"/>
    <cellStyle name="60% - Accent1 2 2 2 3 2" xfId="5426"/>
    <cellStyle name="60% - Accent1 2 2 2 3 3" xfId="4537"/>
    <cellStyle name="60% - Accent1 2 2 2 4" xfId="4747"/>
    <cellStyle name="60% - Accent1 2 2 2 5" xfId="5092"/>
    <cellStyle name="60% - Accent1 2 2 2 6" xfId="3990"/>
    <cellStyle name="60% - Accent1 2 2 3" xfId="2915"/>
    <cellStyle name="60% - Accent1 2 2 3 2" xfId="4851"/>
    <cellStyle name="60% - Accent1 2 2 3 3" xfId="5203"/>
    <cellStyle name="60% - Accent1 2 2 3 4" xfId="4193"/>
    <cellStyle name="60% - Accent1 2 2 4" xfId="1981"/>
    <cellStyle name="60% - Accent1 2 3" xfId="134"/>
    <cellStyle name="60% - Accent1 2 3 2" xfId="3517"/>
    <cellStyle name="60% - Accent1 2 3 3" xfId="2564"/>
    <cellStyle name="60% - Accent1 2 4" xfId="1639"/>
    <cellStyle name="60% - Accent1 2 4 2" xfId="3667"/>
    <cellStyle name="60% - Accent1 2 4 3" xfId="2669"/>
    <cellStyle name="60% - Accent1 2 5" xfId="629"/>
    <cellStyle name="60% - Accent1 2 5 2" xfId="3256"/>
    <cellStyle name="60% - Accent1 2 5 3" xfId="2312"/>
    <cellStyle name="60% - Accent1 2 6" xfId="2914"/>
    <cellStyle name="60% - Accent1 2 6 2" xfId="4850"/>
    <cellStyle name="60% - Accent1 2 6 3" xfId="5202"/>
    <cellStyle name="60% - Accent1 2 6 4" xfId="4192"/>
    <cellStyle name="60% - Accent1 2 7" xfId="1980"/>
    <cellStyle name="60% - Accent1 3" xfId="630"/>
    <cellStyle name="60% - Accent1 3 2" xfId="3257"/>
    <cellStyle name="60% - Accent1 3 2 2" xfId="4947"/>
    <cellStyle name="60% - Accent1 3 2 3" xfId="5204"/>
    <cellStyle name="60% - Accent1 3 2 4" xfId="4194"/>
    <cellStyle name="60% - Accent1 3 3" xfId="2313"/>
    <cellStyle name="60% - Accent1 4" xfId="628"/>
    <cellStyle name="60% - Accent1 4 2" xfId="3255"/>
    <cellStyle name="60% - Accent1 4 3" xfId="2311"/>
    <cellStyle name="60% - Accent1 5" xfId="3066"/>
    <cellStyle name="60% - Accent1 6" xfId="2136"/>
    <cellStyle name="60% - Accent2" xfId="404" builtinId="36" customBuiltin="1"/>
    <cellStyle name="60% - Accent2 2" xfId="30"/>
    <cellStyle name="60% - Accent2 2 2" xfId="137"/>
    <cellStyle name="60% - Accent2 2 2 2" xfId="893"/>
    <cellStyle name="60% - Accent2 2 2 2 2" xfId="3408"/>
    <cellStyle name="60% - Accent2 2 2 2 3" xfId="2463"/>
    <cellStyle name="60% - Accent2 2 2 2 3 2" xfId="5427"/>
    <cellStyle name="60% - Accent2 2 2 2 3 3" xfId="4538"/>
    <cellStyle name="60% - Accent2 2 2 2 4" xfId="4748"/>
    <cellStyle name="60% - Accent2 2 2 2 5" xfId="5093"/>
    <cellStyle name="60% - Accent2 2 2 2 6" xfId="3992"/>
    <cellStyle name="60% - Accent2 2 2 3" xfId="2917"/>
    <cellStyle name="60% - Accent2 2 2 3 2" xfId="4853"/>
    <cellStyle name="60% - Accent2 2 2 3 3" xfId="5206"/>
    <cellStyle name="60% - Accent2 2 2 3 4" xfId="4196"/>
    <cellStyle name="60% - Accent2 2 2 4" xfId="1983"/>
    <cellStyle name="60% - Accent2 2 3" xfId="136"/>
    <cellStyle name="60% - Accent2 2 3 2" xfId="3518"/>
    <cellStyle name="60% - Accent2 2 3 3" xfId="2565"/>
    <cellStyle name="60% - Accent2 2 4" xfId="1640"/>
    <cellStyle name="60% - Accent2 2 4 2" xfId="3668"/>
    <cellStyle name="60% - Accent2 2 4 3" xfId="2670"/>
    <cellStyle name="60% - Accent2 2 5" xfId="632"/>
    <cellStyle name="60% - Accent2 2 5 2" xfId="3259"/>
    <cellStyle name="60% - Accent2 2 5 3" xfId="2315"/>
    <cellStyle name="60% - Accent2 2 6" xfId="2916"/>
    <cellStyle name="60% - Accent2 2 6 2" xfId="4852"/>
    <cellStyle name="60% - Accent2 2 6 3" xfId="5205"/>
    <cellStyle name="60% - Accent2 2 6 4" xfId="4195"/>
    <cellStyle name="60% - Accent2 2 7" xfId="1982"/>
    <cellStyle name="60% - Accent2 3" xfId="633"/>
    <cellStyle name="60% - Accent2 3 2" xfId="3260"/>
    <cellStyle name="60% - Accent2 3 2 2" xfId="4948"/>
    <cellStyle name="60% - Accent2 3 2 3" xfId="5207"/>
    <cellStyle name="60% - Accent2 3 2 4" xfId="4197"/>
    <cellStyle name="60% - Accent2 3 3" xfId="2316"/>
    <cellStyle name="60% - Accent2 4" xfId="631"/>
    <cellStyle name="60% - Accent2 4 2" xfId="3258"/>
    <cellStyle name="60% - Accent2 4 3" xfId="2314"/>
    <cellStyle name="60% - Accent2 5" xfId="3070"/>
    <cellStyle name="60% - Accent2 6" xfId="2140"/>
    <cellStyle name="60% - Accent3" xfId="408" builtinId="40" customBuiltin="1"/>
    <cellStyle name="60% - Accent3 2" xfId="31"/>
    <cellStyle name="60% - Accent3 2 2" xfId="139"/>
    <cellStyle name="60% - Accent3 2 2 2" xfId="894"/>
    <cellStyle name="60% - Accent3 2 2 2 2" xfId="3409"/>
    <cellStyle name="60% - Accent3 2 2 2 3" xfId="2464"/>
    <cellStyle name="60% - Accent3 2 2 2 3 2" xfId="5428"/>
    <cellStyle name="60% - Accent3 2 2 2 3 3" xfId="4539"/>
    <cellStyle name="60% - Accent3 2 2 2 4" xfId="4749"/>
    <cellStyle name="60% - Accent3 2 2 2 5" xfId="5094"/>
    <cellStyle name="60% - Accent3 2 2 2 6" xfId="3993"/>
    <cellStyle name="60% - Accent3 2 2 3" xfId="2919"/>
    <cellStyle name="60% - Accent3 2 2 3 2" xfId="4855"/>
    <cellStyle name="60% - Accent3 2 2 3 3" xfId="5209"/>
    <cellStyle name="60% - Accent3 2 2 3 4" xfId="4199"/>
    <cellStyle name="60% - Accent3 2 2 4" xfId="1985"/>
    <cellStyle name="60% - Accent3 2 3" xfId="138"/>
    <cellStyle name="60% - Accent3 2 3 2" xfId="3519"/>
    <cellStyle name="60% - Accent3 2 3 3" xfId="2566"/>
    <cellStyle name="60% - Accent3 2 4" xfId="1641"/>
    <cellStyle name="60% - Accent3 2 4 2" xfId="3669"/>
    <cellStyle name="60% - Accent3 2 4 3" xfId="2671"/>
    <cellStyle name="60% - Accent3 2 5" xfId="635"/>
    <cellStyle name="60% - Accent3 2 5 2" xfId="3262"/>
    <cellStyle name="60% - Accent3 2 5 3" xfId="2318"/>
    <cellStyle name="60% - Accent3 2 6" xfId="2918"/>
    <cellStyle name="60% - Accent3 2 6 2" xfId="4854"/>
    <cellStyle name="60% - Accent3 2 6 3" xfId="5208"/>
    <cellStyle name="60% - Accent3 2 6 4" xfId="4198"/>
    <cellStyle name="60% - Accent3 2 7" xfId="1984"/>
    <cellStyle name="60% - Accent3 3" xfId="636"/>
    <cellStyle name="60% - Accent3 3 2" xfId="3263"/>
    <cellStyle name="60% - Accent3 3 2 2" xfId="4949"/>
    <cellStyle name="60% - Accent3 3 2 3" xfId="5210"/>
    <cellStyle name="60% - Accent3 3 2 4" xfId="4200"/>
    <cellStyle name="60% - Accent3 3 3" xfId="2319"/>
    <cellStyle name="60% - Accent3 4" xfId="634"/>
    <cellStyle name="60% - Accent3 4 2" xfId="3261"/>
    <cellStyle name="60% - Accent3 4 3" xfId="2317"/>
    <cellStyle name="60% - Accent3 5" xfId="3074"/>
    <cellStyle name="60% - Accent3 6" xfId="2144"/>
    <cellStyle name="60% - Accent4" xfId="412" builtinId="44" customBuiltin="1"/>
    <cellStyle name="60% - Accent4 2" xfId="32"/>
    <cellStyle name="60% - Accent4 2 2" xfId="141"/>
    <cellStyle name="60% - Accent4 2 2 2" xfId="895"/>
    <cellStyle name="60% - Accent4 2 2 2 2" xfId="3410"/>
    <cellStyle name="60% - Accent4 2 2 2 3" xfId="2465"/>
    <cellStyle name="60% - Accent4 2 2 2 3 2" xfId="5429"/>
    <cellStyle name="60% - Accent4 2 2 2 3 3" xfId="4540"/>
    <cellStyle name="60% - Accent4 2 2 2 4" xfId="4750"/>
    <cellStyle name="60% - Accent4 2 2 2 5" xfId="5095"/>
    <cellStyle name="60% - Accent4 2 2 2 6" xfId="3994"/>
    <cellStyle name="60% - Accent4 2 2 3" xfId="2921"/>
    <cellStyle name="60% - Accent4 2 2 3 2" xfId="4857"/>
    <cellStyle name="60% - Accent4 2 2 3 3" xfId="5212"/>
    <cellStyle name="60% - Accent4 2 2 3 4" xfId="4202"/>
    <cellStyle name="60% - Accent4 2 2 4" xfId="1987"/>
    <cellStyle name="60% - Accent4 2 3" xfId="140"/>
    <cellStyle name="60% - Accent4 2 3 2" xfId="3520"/>
    <cellStyle name="60% - Accent4 2 3 3" xfId="2567"/>
    <cellStyle name="60% - Accent4 2 4" xfId="1642"/>
    <cellStyle name="60% - Accent4 2 4 2" xfId="3670"/>
    <cellStyle name="60% - Accent4 2 4 3" xfId="2672"/>
    <cellStyle name="60% - Accent4 2 5" xfId="638"/>
    <cellStyle name="60% - Accent4 2 5 2" xfId="3265"/>
    <cellStyle name="60% - Accent4 2 5 3" xfId="2321"/>
    <cellStyle name="60% - Accent4 2 6" xfId="2920"/>
    <cellStyle name="60% - Accent4 2 6 2" xfId="4856"/>
    <cellStyle name="60% - Accent4 2 6 3" xfId="5211"/>
    <cellStyle name="60% - Accent4 2 6 4" xfId="4201"/>
    <cellStyle name="60% - Accent4 2 7" xfId="1986"/>
    <cellStyle name="60% - Accent4 3" xfId="639"/>
    <cellStyle name="60% - Accent4 3 2" xfId="3266"/>
    <cellStyle name="60% - Accent4 3 2 2" xfId="4950"/>
    <cellStyle name="60% - Accent4 3 2 3" xfId="5213"/>
    <cellStyle name="60% - Accent4 3 2 4" xfId="4203"/>
    <cellStyle name="60% - Accent4 3 3" xfId="2322"/>
    <cellStyle name="60% - Accent4 4" xfId="637"/>
    <cellStyle name="60% - Accent4 4 2" xfId="3264"/>
    <cellStyle name="60% - Accent4 4 3" xfId="2320"/>
    <cellStyle name="60% - Accent4 5" xfId="3078"/>
    <cellStyle name="60% - Accent4 6" xfId="2148"/>
    <cellStyle name="60% - Accent5" xfId="416" builtinId="48" customBuiltin="1"/>
    <cellStyle name="60% - Accent5 2" xfId="33"/>
    <cellStyle name="60% - Accent5 2 2" xfId="143"/>
    <cellStyle name="60% - Accent5 2 2 2" xfId="896"/>
    <cellStyle name="60% - Accent5 2 2 2 2" xfId="3411"/>
    <cellStyle name="60% - Accent5 2 2 2 3" xfId="2466"/>
    <cellStyle name="60% - Accent5 2 2 2 3 2" xfId="5430"/>
    <cellStyle name="60% - Accent5 2 2 2 3 3" xfId="4541"/>
    <cellStyle name="60% - Accent5 2 2 2 4" xfId="4751"/>
    <cellStyle name="60% - Accent5 2 2 2 5" xfId="5096"/>
    <cellStyle name="60% - Accent5 2 2 2 6" xfId="3995"/>
    <cellStyle name="60% - Accent5 2 2 3" xfId="2923"/>
    <cellStyle name="60% - Accent5 2 2 3 2" xfId="4859"/>
    <cellStyle name="60% - Accent5 2 2 3 3" xfId="5215"/>
    <cellStyle name="60% - Accent5 2 2 3 4" xfId="4205"/>
    <cellStyle name="60% - Accent5 2 2 4" xfId="1989"/>
    <cellStyle name="60% - Accent5 2 3" xfId="142"/>
    <cellStyle name="60% - Accent5 2 3 2" xfId="3521"/>
    <cellStyle name="60% - Accent5 2 3 3" xfId="2568"/>
    <cellStyle name="60% - Accent5 2 4" xfId="1643"/>
    <cellStyle name="60% - Accent5 2 4 2" xfId="3671"/>
    <cellStyle name="60% - Accent5 2 4 3" xfId="2673"/>
    <cellStyle name="60% - Accent5 2 5" xfId="641"/>
    <cellStyle name="60% - Accent5 2 5 2" xfId="3268"/>
    <cellStyle name="60% - Accent5 2 5 3" xfId="2324"/>
    <cellStyle name="60% - Accent5 2 6" xfId="2922"/>
    <cellStyle name="60% - Accent5 2 6 2" xfId="4858"/>
    <cellStyle name="60% - Accent5 2 6 3" xfId="5214"/>
    <cellStyle name="60% - Accent5 2 6 4" xfId="4204"/>
    <cellStyle name="60% - Accent5 2 7" xfId="1988"/>
    <cellStyle name="60% - Accent5 3" xfId="642"/>
    <cellStyle name="60% - Accent5 3 2" xfId="3269"/>
    <cellStyle name="60% - Accent5 3 2 2" xfId="4951"/>
    <cellStyle name="60% - Accent5 3 2 3" xfId="5216"/>
    <cellStyle name="60% - Accent5 3 2 4" xfId="4206"/>
    <cellStyle name="60% - Accent5 3 3" xfId="2325"/>
    <cellStyle name="60% - Accent5 4" xfId="640"/>
    <cellStyle name="60% - Accent5 4 2" xfId="3267"/>
    <cellStyle name="60% - Accent5 4 3" xfId="2323"/>
    <cellStyle name="60% - Accent5 5" xfId="3082"/>
    <cellStyle name="60% - Accent5 6" xfId="2152"/>
    <cellStyle name="60% - Accent6" xfId="420" builtinId="52" customBuiltin="1"/>
    <cellStyle name="60% - Accent6 2" xfId="34"/>
    <cellStyle name="60% - Accent6 2 2" xfId="145"/>
    <cellStyle name="60% - Accent6 2 2 2" xfId="897"/>
    <cellStyle name="60% - Accent6 2 2 2 2" xfId="3412"/>
    <cellStyle name="60% - Accent6 2 2 2 3" xfId="2467"/>
    <cellStyle name="60% - Accent6 2 2 2 3 2" xfId="5431"/>
    <cellStyle name="60% - Accent6 2 2 2 3 3" xfId="4542"/>
    <cellStyle name="60% - Accent6 2 2 2 4" xfId="4752"/>
    <cellStyle name="60% - Accent6 2 2 2 5" xfId="5097"/>
    <cellStyle name="60% - Accent6 2 2 2 6" xfId="3996"/>
    <cellStyle name="60% - Accent6 2 2 3" xfId="2925"/>
    <cellStyle name="60% - Accent6 2 2 3 2" xfId="4861"/>
    <cellStyle name="60% - Accent6 2 2 3 3" xfId="5218"/>
    <cellStyle name="60% - Accent6 2 2 3 4" xfId="4208"/>
    <cellStyle name="60% - Accent6 2 2 4" xfId="1991"/>
    <cellStyle name="60% - Accent6 2 3" xfId="144"/>
    <cellStyle name="60% - Accent6 2 3 2" xfId="3522"/>
    <cellStyle name="60% - Accent6 2 3 3" xfId="2569"/>
    <cellStyle name="60% - Accent6 2 4" xfId="1644"/>
    <cellStyle name="60% - Accent6 2 4 2" xfId="3672"/>
    <cellStyle name="60% - Accent6 2 4 3" xfId="2674"/>
    <cellStyle name="60% - Accent6 2 5" xfId="644"/>
    <cellStyle name="60% - Accent6 2 5 2" xfId="3271"/>
    <cellStyle name="60% - Accent6 2 5 3" xfId="2327"/>
    <cellStyle name="60% - Accent6 2 6" xfId="2924"/>
    <cellStyle name="60% - Accent6 2 6 2" xfId="4860"/>
    <cellStyle name="60% - Accent6 2 6 3" xfId="5217"/>
    <cellStyle name="60% - Accent6 2 6 4" xfId="4207"/>
    <cellStyle name="60% - Accent6 2 7" xfId="1990"/>
    <cellStyle name="60% - Accent6 3" xfId="645"/>
    <cellStyle name="60% - Accent6 3 2" xfId="3272"/>
    <cellStyle name="60% - Accent6 3 2 2" xfId="4952"/>
    <cellStyle name="60% - Accent6 3 2 3" xfId="5219"/>
    <cellStyle name="60% - Accent6 3 2 4" xfId="4209"/>
    <cellStyle name="60% - Accent6 3 3" xfId="2328"/>
    <cellStyle name="60% - Accent6 4" xfId="643"/>
    <cellStyle name="60% - Accent6 4 2" xfId="3270"/>
    <cellStyle name="60% - Accent6 4 3" xfId="2326"/>
    <cellStyle name="60% - Accent6 5" xfId="3086"/>
    <cellStyle name="60% - Accent6 6" xfId="2156"/>
    <cellStyle name="Accent1" xfId="397" builtinId="29" customBuiltin="1"/>
    <cellStyle name="Accent1 2" xfId="35"/>
    <cellStyle name="Accent1 2 2" xfId="147"/>
    <cellStyle name="Accent1 2 2 2" xfId="898"/>
    <cellStyle name="Accent1 2 2 2 2" xfId="3413"/>
    <cellStyle name="Accent1 2 2 2 3" xfId="2468"/>
    <cellStyle name="Accent1 2 2 2 3 2" xfId="5432"/>
    <cellStyle name="Accent1 2 2 2 3 3" xfId="4543"/>
    <cellStyle name="Accent1 2 2 2 4" xfId="4753"/>
    <cellStyle name="Accent1 2 2 2 5" xfId="5098"/>
    <cellStyle name="Accent1 2 2 2 6" xfId="3997"/>
    <cellStyle name="Accent1 2 2 3" xfId="2927"/>
    <cellStyle name="Accent1 2 2 3 2" xfId="4863"/>
    <cellStyle name="Accent1 2 2 3 3" xfId="5221"/>
    <cellStyle name="Accent1 2 2 3 4" xfId="4211"/>
    <cellStyle name="Accent1 2 2 4" xfId="1993"/>
    <cellStyle name="Accent1 2 3" xfId="146"/>
    <cellStyle name="Accent1 2 3 2" xfId="3523"/>
    <cellStyle name="Accent1 2 3 3" xfId="2570"/>
    <cellStyle name="Accent1 2 4" xfId="1645"/>
    <cellStyle name="Accent1 2 4 2" xfId="3673"/>
    <cellStyle name="Accent1 2 4 3" xfId="2675"/>
    <cellStyle name="Accent1 2 5" xfId="647"/>
    <cellStyle name="Accent1 2 5 2" xfId="3274"/>
    <cellStyle name="Accent1 2 5 3" xfId="2330"/>
    <cellStyle name="Accent1 2 6" xfId="2926"/>
    <cellStyle name="Accent1 2 6 2" xfId="4862"/>
    <cellStyle name="Accent1 2 6 3" xfId="5220"/>
    <cellStyle name="Accent1 2 6 4" xfId="4210"/>
    <cellStyle name="Accent1 2 7" xfId="1992"/>
    <cellStyle name="Accent1 3" xfId="648"/>
    <cellStyle name="Accent1 3 2" xfId="3275"/>
    <cellStyle name="Accent1 3 2 2" xfId="4953"/>
    <cellStyle name="Accent1 3 2 3" xfId="5222"/>
    <cellStyle name="Accent1 3 2 4" xfId="4212"/>
    <cellStyle name="Accent1 3 3" xfId="2331"/>
    <cellStyle name="Accent1 4" xfId="646"/>
    <cellStyle name="Accent1 4 2" xfId="3273"/>
    <cellStyle name="Accent1 4 3" xfId="2329"/>
    <cellStyle name="Accent1 5" xfId="3063"/>
    <cellStyle name="Accent1 6" xfId="2133"/>
    <cellStyle name="Accent2" xfId="401" builtinId="33" customBuiltin="1"/>
    <cellStyle name="Accent2 2" xfId="36"/>
    <cellStyle name="Accent2 2 2" xfId="149"/>
    <cellStyle name="Accent2 2 2 2" xfId="899"/>
    <cellStyle name="Accent2 2 2 2 2" xfId="3414"/>
    <cellStyle name="Accent2 2 2 2 3" xfId="2469"/>
    <cellStyle name="Accent2 2 2 2 3 2" xfId="5433"/>
    <cellStyle name="Accent2 2 2 2 3 3" xfId="4544"/>
    <cellStyle name="Accent2 2 2 2 4" xfId="4754"/>
    <cellStyle name="Accent2 2 2 2 5" xfId="5099"/>
    <cellStyle name="Accent2 2 2 2 6" xfId="3998"/>
    <cellStyle name="Accent2 2 2 3" xfId="2929"/>
    <cellStyle name="Accent2 2 2 3 2" xfId="4865"/>
    <cellStyle name="Accent2 2 2 3 3" xfId="5224"/>
    <cellStyle name="Accent2 2 2 3 4" xfId="4214"/>
    <cellStyle name="Accent2 2 2 4" xfId="1995"/>
    <cellStyle name="Accent2 2 3" xfId="148"/>
    <cellStyle name="Accent2 2 3 2" xfId="3524"/>
    <cellStyle name="Accent2 2 3 3" xfId="2571"/>
    <cellStyle name="Accent2 2 4" xfId="1646"/>
    <cellStyle name="Accent2 2 4 2" xfId="3674"/>
    <cellStyle name="Accent2 2 4 3" xfId="2676"/>
    <cellStyle name="Accent2 2 5" xfId="650"/>
    <cellStyle name="Accent2 2 5 2" xfId="3277"/>
    <cellStyle name="Accent2 2 5 3" xfId="2333"/>
    <cellStyle name="Accent2 2 6" xfId="2928"/>
    <cellStyle name="Accent2 2 6 2" xfId="4864"/>
    <cellStyle name="Accent2 2 6 3" xfId="5223"/>
    <cellStyle name="Accent2 2 6 4" xfId="4213"/>
    <cellStyle name="Accent2 2 7" xfId="1994"/>
    <cellStyle name="Accent2 3" xfId="651"/>
    <cellStyle name="Accent2 3 2" xfId="3278"/>
    <cellStyle name="Accent2 3 2 2" xfId="4954"/>
    <cellStyle name="Accent2 3 2 3" xfId="5225"/>
    <cellStyle name="Accent2 3 2 4" xfId="4215"/>
    <cellStyle name="Accent2 3 3" xfId="2334"/>
    <cellStyle name="Accent2 4" xfId="649"/>
    <cellStyle name="Accent2 4 2" xfId="3276"/>
    <cellStyle name="Accent2 4 3" xfId="2332"/>
    <cellStyle name="Accent2 5" xfId="3067"/>
    <cellStyle name="Accent2 6" xfId="2137"/>
    <cellStyle name="Accent3" xfId="405" builtinId="37" customBuiltin="1"/>
    <cellStyle name="Accent3 2" xfId="37"/>
    <cellStyle name="Accent3 2 2" xfId="151"/>
    <cellStyle name="Accent3 2 2 2" xfId="900"/>
    <cellStyle name="Accent3 2 2 2 2" xfId="3415"/>
    <cellStyle name="Accent3 2 2 2 3" xfId="2470"/>
    <cellStyle name="Accent3 2 2 2 3 2" xfId="5434"/>
    <cellStyle name="Accent3 2 2 2 3 3" xfId="4545"/>
    <cellStyle name="Accent3 2 2 2 4" xfId="4755"/>
    <cellStyle name="Accent3 2 2 2 5" xfId="5100"/>
    <cellStyle name="Accent3 2 2 2 6" xfId="3999"/>
    <cellStyle name="Accent3 2 2 3" xfId="2931"/>
    <cellStyle name="Accent3 2 2 3 2" xfId="4867"/>
    <cellStyle name="Accent3 2 2 3 3" xfId="5227"/>
    <cellStyle name="Accent3 2 2 3 4" xfId="4217"/>
    <cellStyle name="Accent3 2 2 4" xfId="1997"/>
    <cellStyle name="Accent3 2 3" xfId="150"/>
    <cellStyle name="Accent3 2 3 2" xfId="3525"/>
    <cellStyle name="Accent3 2 3 3" xfId="2572"/>
    <cellStyle name="Accent3 2 4" xfId="1647"/>
    <cellStyle name="Accent3 2 4 2" xfId="3675"/>
    <cellStyle name="Accent3 2 4 3" xfId="2677"/>
    <cellStyle name="Accent3 2 5" xfId="653"/>
    <cellStyle name="Accent3 2 5 2" xfId="3280"/>
    <cellStyle name="Accent3 2 5 3" xfId="2336"/>
    <cellStyle name="Accent3 2 6" xfId="2930"/>
    <cellStyle name="Accent3 2 6 2" xfId="4866"/>
    <cellStyle name="Accent3 2 6 3" xfId="5226"/>
    <cellStyle name="Accent3 2 6 4" xfId="4216"/>
    <cellStyle name="Accent3 2 7" xfId="1996"/>
    <cellStyle name="Accent3 3" xfId="654"/>
    <cellStyle name="Accent3 3 2" xfId="3281"/>
    <cellStyle name="Accent3 3 2 2" xfId="4955"/>
    <cellStyle name="Accent3 3 2 3" xfId="5228"/>
    <cellStyle name="Accent3 3 2 4" xfId="4218"/>
    <cellStyle name="Accent3 3 3" xfId="2337"/>
    <cellStyle name="Accent3 4" xfId="652"/>
    <cellStyle name="Accent3 4 2" xfId="3279"/>
    <cellStyle name="Accent3 4 3" xfId="2335"/>
    <cellStyle name="Accent3 5" xfId="3071"/>
    <cellStyle name="Accent3 6" xfId="2141"/>
    <cellStyle name="Accent4" xfId="409" builtinId="41" customBuiltin="1"/>
    <cellStyle name="Accent4 2" xfId="38"/>
    <cellStyle name="Accent4 2 2" xfId="153"/>
    <cellStyle name="Accent4 2 2 2" xfId="901"/>
    <cellStyle name="Accent4 2 2 2 2" xfId="3416"/>
    <cellStyle name="Accent4 2 2 2 3" xfId="2471"/>
    <cellStyle name="Accent4 2 2 2 3 2" xfId="5435"/>
    <cellStyle name="Accent4 2 2 2 3 3" xfId="4546"/>
    <cellStyle name="Accent4 2 2 2 4" xfId="4756"/>
    <cellStyle name="Accent4 2 2 2 5" xfId="5101"/>
    <cellStyle name="Accent4 2 2 2 6" xfId="4000"/>
    <cellStyle name="Accent4 2 2 3" xfId="2933"/>
    <cellStyle name="Accent4 2 2 3 2" xfId="4869"/>
    <cellStyle name="Accent4 2 2 3 3" xfId="5230"/>
    <cellStyle name="Accent4 2 2 3 4" xfId="4220"/>
    <cellStyle name="Accent4 2 2 4" xfId="1999"/>
    <cellStyle name="Accent4 2 3" xfId="152"/>
    <cellStyle name="Accent4 2 3 2" xfId="3526"/>
    <cellStyle name="Accent4 2 3 3" xfId="2573"/>
    <cellStyle name="Accent4 2 4" xfId="1648"/>
    <cellStyle name="Accent4 2 4 2" xfId="3676"/>
    <cellStyle name="Accent4 2 4 3" xfId="2678"/>
    <cellStyle name="Accent4 2 5" xfId="656"/>
    <cellStyle name="Accent4 2 5 2" xfId="3283"/>
    <cellStyle name="Accent4 2 5 3" xfId="2339"/>
    <cellStyle name="Accent4 2 6" xfId="2932"/>
    <cellStyle name="Accent4 2 6 2" xfId="4868"/>
    <cellStyle name="Accent4 2 6 3" xfId="5229"/>
    <cellStyle name="Accent4 2 6 4" xfId="4219"/>
    <cellStyle name="Accent4 2 7" xfId="1998"/>
    <cellStyle name="Accent4 3" xfId="657"/>
    <cellStyle name="Accent4 3 2" xfId="3284"/>
    <cellStyle name="Accent4 3 2 2" xfId="4956"/>
    <cellStyle name="Accent4 3 2 3" xfId="5231"/>
    <cellStyle name="Accent4 3 2 4" xfId="4221"/>
    <cellStyle name="Accent4 3 3" xfId="2340"/>
    <cellStyle name="Accent4 4" xfId="655"/>
    <cellStyle name="Accent4 4 2" xfId="3282"/>
    <cellStyle name="Accent4 4 3" xfId="2338"/>
    <cellStyle name="Accent4 5" xfId="3075"/>
    <cellStyle name="Accent4 6" xfId="2145"/>
    <cellStyle name="Accent5" xfId="413" builtinId="45" customBuiltin="1"/>
    <cellStyle name="Accent5 2" xfId="39"/>
    <cellStyle name="Accent5 2 2" xfId="155"/>
    <cellStyle name="Accent5 2 2 2" xfId="902"/>
    <cellStyle name="Accent5 2 2 2 2" xfId="3417"/>
    <cellStyle name="Accent5 2 2 2 3" xfId="2472"/>
    <cellStyle name="Accent5 2 2 2 3 2" xfId="5436"/>
    <cellStyle name="Accent5 2 2 2 3 3" xfId="4547"/>
    <cellStyle name="Accent5 2 2 2 4" xfId="4757"/>
    <cellStyle name="Accent5 2 2 2 5" xfId="5102"/>
    <cellStyle name="Accent5 2 2 2 6" xfId="4001"/>
    <cellStyle name="Accent5 2 2 3" xfId="2935"/>
    <cellStyle name="Accent5 2 2 3 2" xfId="4870"/>
    <cellStyle name="Accent5 2 2 3 3" xfId="5232"/>
    <cellStyle name="Accent5 2 2 3 4" xfId="4222"/>
    <cellStyle name="Accent5 2 2 4" xfId="2001"/>
    <cellStyle name="Accent5 2 3" xfId="154"/>
    <cellStyle name="Accent5 2 3 2" xfId="3527"/>
    <cellStyle name="Accent5 2 3 3" xfId="2574"/>
    <cellStyle name="Accent5 2 4" xfId="1649"/>
    <cellStyle name="Accent5 2 4 2" xfId="3677"/>
    <cellStyle name="Accent5 2 4 3" xfId="2679"/>
    <cellStyle name="Accent5 2 5" xfId="659"/>
    <cellStyle name="Accent5 2 5 2" xfId="3286"/>
    <cellStyle name="Accent5 2 5 3" xfId="2342"/>
    <cellStyle name="Accent5 2 6" xfId="2934"/>
    <cellStyle name="Accent5 2 7" xfId="2000"/>
    <cellStyle name="Accent5 3" xfId="658"/>
    <cellStyle name="Accent5 3 2" xfId="3285"/>
    <cellStyle name="Accent5 3 2 2" xfId="4957"/>
    <cellStyle name="Accent5 3 2 3" xfId="5233"/>
    <cellStyle name="Accent5 3 2 4" xfId="4223"/>
    <cellStyle name="Accent5 3 3" xfId="2341"/>
    <cellStyle name="Accent5 4" xfId="3079"/>
    <cellStyle name="Accent5 5" xfId="2149"/>
    <cellStyle name="Accent6" xfId="417" builtinId="49" customBuiltin="1"/>
    <cellStyle name="Accent6 2" xfId="40"/>
    <cellStyle name="Accent6 2 2" xfId="157"/>
    <cellStyle name="Accent6 2 2 2" xfId="903"/>
    <cellStyle name="Accent6 2 2 2 2" xfId="3418"/>
    <cellStyle name="Accent6 2 2 2 3" xfId="2473"/>
    <cellStyle name="Accent6 2 2 2 3 2" xfId="5437"/>
    <cellStyle name="Accent6 2 2 2 3 3" xfId="4548"/>
    <cellStyle name="Accent6 2 2 2 4" xfId="4758"/>
    <cellStyle name="Accent6 2 2 2 5" xfId="5103"/>
    <cellStyle name="Accent6 2 2 2 6" xfId="4002"/>
    <cellStyle name="Accent6 2 2 3" xfId="2937"/>
    <cellStyle name="Accent6 2 2 3 2" xfId="4872"/>
    <cellStyle name="Accent6 2 2 3 3" xfId="5235"/>
    <cellStyle name="Accent6 2 2 3 4" xfId="4225"/>
    <cellStyle name="Accent6 2 2 4" xfId="2003"/>
    <cellStyle name="Accent6 2 3" xfId="156"/>
    <cellStyle name="Accent6 2 3 2" xfId="3528"/>
    <cellStyle name="Accent6 2 3 3" xfId="2575"/>
    <cellStyle name="Accent6 2 4" xfId="1650"/>
    <cellStyle name="Accent6 2 4 2" xfId="3678"/>
    <cellStyle name="Accent6 2 4 3" xfId="2680"/>
    <cellStyle name="Accent6 2 5" xfId="661"/>
    <cellStyle name="Accent6 2 5 2" xfId="3288"/>
    <cellStyle name="Accent6 2 5 3" xfId="2344"/>
    <cellStyle name="Accent6 2 6" xfId="2936"/>
    <cellStyle name="Accent6 2 6 2" xfId="4871"/>
    <cellStyle name="Accent6 2 6 3" xfId="5234"/>
    <cellStyle name="Accent6 2 6 4" xfId="4224"/>
    <cellStyle name="Accent6 2 7" xfId="2002"/>
    <cellStyle name="Accent6 3" xfId="662"/>
    <cellStyle name="Accent6 3 2" xfId="3289"/>
    <cellStyle name="Accent6 3 2 2" xfId="4958"/>
    <cellStyle name="Accent6 3 2 3" xfId="5236"/>
    <cellStyle name="Accent6 3 2 4" xfId="4226"/>
    <cellStyle name="Accent6 3 3" xfId="2345"/>
    <cellStyle name="Accent6 4" xfId="660"/>
    <cellStyle name="Accent6 4 2" xfId="3287"/>
    <cellStyle name="Accent6 4 3" xfId="2343"/>
    <cellStyle name="Accent6 5" xfId="3083"/>
    <cellStyle name="Accent6 6" xfId="2153"/>
    <cellStyle name="Alignment - Nuku" xfId="3633"/>
    <cellStyle name="annee semestre" xfId="158"/>
    <cellStyle name="annee semestre 2" xfId="1053"/>
    <cellStyle name="annee semestre 2 2" xfId="1818"/>
    <cellStyle name="annee semestre 2 2 2" xfId="3793"/>
    <cellStyle name="annee semestre 2 2 2 2" xfId="5042"/>
    <cellStyle name="annee semestre 2 2 3" xfId="2788"/>
    <cellStyle name="annee semestre 2 2 3 2" xfId="5341"/>
    <cellStyle name="annee semestre 2 2 4" xfId="5033"/>
    <cellStyle name="annee semestre 2 3" xfId="3503"/>
    <cellStyle name="annee semestre 2 3 2" xfId="4670"/>
    <cellStyle name="annee semestre 2 4" xfId="2550"/>
    <cellStyle name="annee semestre 2 4 2" xfId="5339"/>
    <cellStyle name="annee semestre 2 5" xfId="4792"/>
    <cellStyle name="annee semestre 3" xfId="1852"/>
    <cellStyle name="annee semestre 3 2" xfId="3827"/>
    <cellStyle name="annee semestre 3 2 2" xfId="5043"/>
    <cellStyle name="annee semestre 3 3" xfId="2822"/>
    <cellStyle name="annee semestre 3 3 2" xfId="5342"/>
    <cellStyle name="annee semestre 3 4" xfId="5034"/>
    <cellStyle name="annee semestre 4" xfId="2938"/>
    <cellStyle name="annee semestre 4 2" xfId="4671"/>
    <cellStyle name="annee semestre 5" xfId="2004"/>
    <cellStyle name="annee semestre 5 2" xfId="5332"/>
    <cellStyle name="annee semestre 6" xfId="4689"/>
    <cellStyle name="Bad" xfId="387" builtinId="27" customBuiltin="1"/>
    <cellStyle name="Bad 2" xfId="41"/>
    <cellStyle name="Bad 2 2" xfId="160"/>
    <cellStyle name="Bad 2 2 2" xfId="904"/>
    <cellStyle name="Bad 2 2 2 2" xfId="3419"/>
    <cellStyle name="Bad 2 2 2 3" xfId="2474"/>
    <cellStyle name="Bad 2 2 2 3 2" xfId="5438"/>
    <cellStyle name="Bad 2 2 2 3 3" xfId="4549"/>
    <cellStyle name="Bad 2 2 2 4" xfId="4759"/>
    <cellStyle name="Bad 2 2 2 5" xfId="5104"/>
    <cellStyle name="Bad 2 2 2 6" xfId="4003"/>
    <cellStyle name="Bad 2 2 3" xfId="2940"/>
    <cellStyle name="Bad 2 2 3 2" xfId="4874"/>
    <cellStyle name="Bad 2 2 3 3" xfId="5238"/>
    <cellStyle name="Bad 2 2 3 4" xfId="4228"/>
    <cellStyle name="Bad 2 2 4" xfId="2006"/>
    <cellStyle name="Bad 2 3" xfId="159"/>
    <cellStyle name="Bad 2 3 2" xfId="3529"/>
    <cellStyle name="Bad 2 3 3" xfId="2576"/>
    <cellStyle name="Bad 2 4" xfId="1651"/>
    <cellStyle name="Bad 2 4 2" xfId="3679"/>
    <cellStyle name="Bad 2 4 3" xfId="2681"/>
    <cellStyle name="Bad 2 5" xfId="664"/>
    <cellStyle name="Bad 2 5 2" xfId="3291"/>
    <cellStyle name="Bad 2 5 3" xfId="2347"/>
    <cellStyle name="Bad 2 6" xfId="2939"/>
    <cellStyle name="Bad 2 6 2" xfId="4873"/>
    <cellStyle name="Bad 2 6 3" xfId="5237"/>
    <cellStyle name="Bad 2 6 4" xfId="4227"/>
    <cellStyle name="Bad 2 7" xfId="2005"/>
    <cellStyle name="Bad 3" xfId="665"/>
    <cellStyle name="Bad 3 2" xfId="3292"/>
    <cellStyle name="Bad 3 2 2" xfId="4959"/>
    <cellStyle name="Bad 3 2 3" xfId="5239"/>
    <cellStyle name="Bad 3 2 4" xfId="4229"/>
    <cellStyle name="Bad 3 3" xfId="2348"/>
    <cellStyle name="Bad 4" xfId="663"/>
    <cellStyle name="Bad 4 2" xfId="3290"/>
    <cellStyle name="Bad 4 3" xfId="2346"/>
    <cellStyle name="Bad 5" xfId="3052"/>
    <cellStyle name="Bad 6" xfId="2122"/>
    <cellStyle name="Blank" xfId="3590"/>
    <cellStyle name="Blue" xfId="4230"/>
    <cellStyle name="Blue 2" xfId="4231"/>
    <cellStyle name="Blue 2 2" xfId="4232"/>
    <cellStyle name="Blue 3" xfId="4233"/>
    <cellStyle name="Blue 3 2" xfId="4234"/>
    <cellStyle name="Bulletin" xfId="161"/>
    <cellStyle name="Calculation" xfId="390" builtinId="22" customBuiltin="1"/>
    <cellStyle name="Calculation 2" xfId="42"/>
    <cellStyle name="Calculation 2 2" xfId="163"/>
    <cellStyle name="Calculation 2 2 2" xfId="1684"/>
    <cellStyle name="Calculation 2 2 2 2" xfId="1858"/>
    <cellStyle name="Calculation 2 2 2 2 2" xfId="3833"/>
    <cellStyle name="Calculation 2 2 2 2 3" xfId="2828"/>
    <cellStyle name="Calculation 2 2 2 3" xfId="1810"/>
    <cellStyle name="Calculation 2 2 2 3 2" xfId="3785"/>
    <cellStyle name="Calculation 2 2 2 3 3" xfId="2780"/>
    <cellStyle name="Calculation 2 2 2 4" xfId="3709"/>
    <cellStyle name="Calculation 2 2 2 5" xfId="2710"/>
    <cellStyle name="Calculation 2 2 3" xfId="1812"/>
    <cellStyle name="Calculation 2 2 3 2" xfId="3787"/>
    <cellStyle name="Calculation 2 2 3 2 2" xfId="4639"/>
    <cellStyle name="Calculation 2 2 3 3" xfId="2782"/>
    <cellStyle name="Calculation 2 2 3 3 2" xfId="5488"/>
    <cellStyle name="Calculation 2 2 3 3 3" xfId="4550"/>
    <cellStyle name="Calculation 2 2 3 4" xfId="4494"/>
    <cellStyle name="Calculation 2 2 3 5" xfId="4813"/>
    <cellStyle name="Calculation 2 2 3 6" xfId="5105"/>
    <cellStyle name="Calculation 2 2 3 7" xfId="4004"/>
    <cellStyle name="Calculation 2 2 4" xfId="1814"/>
    <cellStyle name="Calculation 2 2 4 2" xfId="3789"/>
    <cellStyle name="Calculation 2 2 4 3" xfId="2784"/>
    <cellStyle name="Calculation 2 2 5" xfId="905"/>
    <cellStyle name="Calculation 2 2 5 2" xfId="3420"/>
    <cellStyle name="Calculation 2 2 5 3" xfId="2475"/>
    <cellStyle name="Calculation 2 2 6" xfId="2942"/>
    <cellStyle name="Calculation 2 2 6 2" xfId="4876"/>
    <cellStyle name="Calculation 2 2 6 3" xfId="5241"/>
    <cellStyle name="Calculation 2 2 6 4" xfId="4236"/>
    <cellStyle name="Calculation 2 2 7" xfId="2008"/>
    <cellStyle name="Calculation 2 2 7 2" xfId="5368"/>
    <cellStyle name="Calculation 2 2 7 3" xfId="4477"/>
    <cellStyle name="Calculation 2 2 8" xfId="4484"/>
    <cellStyle name="Calculation 2 2 9" xfId="4680"/>
    <cellStyle name="Calculation 2 3" xfId="162"/>
    <cellStyle name="Calculation 2 3 2" xfId="1689"/>
    <cellStyle name="Calculation 2 3 2 2" xfId="1862"/>
    <cellStyle name="Calculation 2 3 2 2 2" xfId="3837"/>
    <cellStyle name="Calculation 2 3 2 2 3" xfId="2832"/>
    <cellStyle name="Calculation 2 3 2 3" xfId="1849"/>
    <cellStyle name="Calculation 2 3 2 3 2" xfId="3824"/>
    <cellStyle name="Calculation 2 3 2 3 3" xfId="2819"/>
    <cellStyle name="Calculation 2 3 2 4" xfId="3714"/>
    <cellStyle name="Calculation 2 3 2 5" xfId="2715"/>
    <cellStyle name="Calculation 2 3 3" xfId="1822"/>
    <cellStyle name="Calculation 2 3 3 2" xfId="3797"/>
    <cellStyle name="Calculation 2 3 3 3" xfId="2792"/>
    <cellStyle name="Calculation 2 3 4" xfId="1840"/>
    <cellStyle name="Calculation 2 3 4 2" xfId="3815"/>
    <cellStyle name="Calculation 2 3 4 3" xfId="2810"/>
    <cellStyle name="Calculation 2 3 5" xfId="3530"/>
    <cellStyle name="Calculation 2 3 6" xfId="2577"/>
    <cellStyle name="Calculation 2 4" xfId="1071"/>
    <cellStyle name="Calculation 2 4 2" xfId="1694"/>
    <cellStyle name="Calculation 2 4 2 2" xfId="1866"/>
    <cellStyle name="Calculation 2 4 2 2 2" xfId="3841"/>
    <cellStyle name="Calculation 2 4 2 2 3" xfId="2836"/>
    <cellStyle name="Calculation 2 4 2 3" xfId="1785"/>
    <cellStyle name="Calculation 2 4 2 3 2" xfId="3761"/>
    <cellStyle name="Calculation 2 4 2 3 3" xfId="2756"/>
    <cellStyle name="Calculation 2 4 2 4" xfId="3719"/>
    <cellStyle name="Calculation 2 4 2 5" xfId="2720"/>
    <cellStyle name="Calculation 2 4 3" xfId="1828"/>
    <cellStyle name="Calculation 2 4 3 2" xfId="3803"/>
    <cellStyle name="Calculation 2 4 3 3" xfId="2798"/>
    <cellStyle name="Calculation 2 4 4" xfId="1797"/>
    <cellStyle name="Calculation 2 4 4 2" xfId="3773"/>
    <cellStyle name="Calculation 2 4 4 3" xfId="2768"/>
    <cellStyle name="Calculation 2 4 5" xfId="3541"/>
    <cellStyle name="Calculation 2 4 6" xfId="2588"/>
    <cellStyle name="Calculation 2 5" xfId="1652"/>
    <cellStyle name="Calculation 2 5 2" xfId="1851"/>
    <cellStyle name="Calculation 2 5 2 2" xfId="3826"/>
    <cellStyle name="Calculation 2 5 2 3" xfId="2821"/>
    <cellStyle name="Calculation 2 5 3" xfId="1792"/>
    <cellStyle name="Calculation 2 5 3 2" xfId="3768"/>
    <cellStyle name="Calculation 2 5 3 3" xfId="2763"/>
    <cellStyle name="Calculation 2 5 4" xfId="3680"/>
    <cellStyle name="Calculation 2 5 5" xfId="2682"/>
    <cellStyle name="Calculation 2 6" xfId="667"/>
    <cellStyle name="Calculation 2 6 2" xfId="3294"/>
    <cellStyle name="Calculation 2 6 3" xfId="2350"/>
    <cellStyle name="Calculation 2 7" xfId="2941"/>
    <cellStyle name="Calculation 2 7 2" xfId="4644"/>
    <cellStyle name="Calculation 2 7 3" xfId="4875"/>
    <cellStyle name="Calculation 2 7 4" xfId="5240"/>
    <cellStyle name="Calculation 2 7 5" xfId="4235"/>
    <cellStyle name="Calculation 2 8" xfId="2007"/>
    <cellStyle name="Calculation 3" xfId="668"/>
    <cellStyle name="Calculation 3 2" xfId="3295"/>
    <cellStyle name="Calculation 3 2 2" xfId="4960"/>
    <cellStyle name="Calculation 3 2 3" xfId="5242"/>
    <cellStyle name="Calculation 3 2 4" xfId="4237"/>
    <cellStyle name="Calculation 3 3" xfId="2351"/>
    <cellStyle name="Calculation 4" xfId="666"/>
    <cellStyle name="Calculation 4 2" xfId="1117"/>
    <cellStyle name="Calculation 4 2 2" xfId="1833"/>
    <cellStyle name="Calculation 4 2 2 2" xfId="3808"/>
    <cellStyle name="Calculation 4 2 2 3" xfId="2803"/>
    <cellStyle name="Calculation 4 2 3" xfId="1844"/>
    <cellStyle name="Calculation 4 2 3 2" xfId="3819"/>
    <cellStyle name="Calculation 4 2 3 3" xfId="2814"/>
    <cellStyle name="Calculation 4 2 4" xfId="3553"/>
    <cellStyle name="Calculation 4 2 5" xfId="2600"/>
    <cellStyle name="Calculation 4 3" xfId="1793"/>
    <cellStyle name="Calculation 4 3 2" xfId="3769"/>
    <cellStyle name="Calculation 4 3 3" xfId="2764"/>
    <cellStyle name="Calculation 4 4" xfId="1838"/>
    <cellStyle name="Calculation 4 4 2" xfId="3813"/>
    <cellStyle name="Calculation 4 4 3" xfId="2808"/>
    <cellStyle name="Calculation 4 5" xfId="3293"/>
    <cellStyle name="Calculation 4 6" xfId="2349"/>
    <cellStyle name="Calculation 5" xfId="3056"/>
    <cellStyle name="Calculation 6" xfId="2126"/>
    <cellStyle name="cc0 -CalComma" xfId="669"/>
    <cellStyle name="cc0 -CalComma 2" xfId="670"/>
    <cellStyle name="cc1 -CalComma" xfId="671"/>
    <cellStyle name="cc1 -CalComma 2" xfId="672"/>
    <cellStyle name="cc2 -CalComma" xfId="673"/>
    <cellStyle name="cc2 -CalComma 2" xfId="674"/>
    <cellStyle name="cc3 -CalComma" xfId="675"/>
    <cellStyle name="cc3 -CalComma 2" xfId="676"/>
    <cellStyle name="cc4 -CalComma" xfId="677"/>
    <cellStyle name="cc4 -CalComma 2" xfId="678"/>
    <cellStyle name="cdDMMY -CalDate" xfId="679"/>
    <cellStyle name="cdDMMY -CalDate 2" xfId="680"/>
    <cellStyle name="cdDMMYHM -CalDateTime" xfId="681"/>
    <cellStyle name="cdDMMYHM -CalDateTime 2" xfId="682"/>
    <cellStyle name="cdDMY -CalDate" xfId="683"/>
    <cellStyle name="cdDMY -CalDate 2" xfId="684"/>
    <cellStyle name="cdMDY -CalDate" xfId="685"/>
    <cellStyle name="cdMDY -CalDate 2" xfId="686"/>
    <cellStyle name="cdMMY -CalDate" xfId="687"/>
    <cellStyle name="cdMMY -CalDate 2" xfId="688"/>
    <cellStyle name="cdMMYc-CalDateC" xfId="689"/>
    <cellStyle name="cdMMYc-CalDateC 2" xfId="690"/>
    <cellStyle name="cf0 -CalFixed" xfId="691"/>
    <cellStyle name="cf0 -CalFixed 2" xfId="692"/>
    <cellStyle name="Check Cell" xfId="392" builtinId="23" customBuiltin="1"/>
    <cellStyle name="Check Cell 2" xfId="43"/>
    <cellStyle name="Check Cell 2 2" xfId="165"/>
    <cellStyle name="Check Cell 2 2 2" xfId="906"/>
    <cellStyle name="Check Cell 2 2 2 2" xfId="3421"/>
    <cellStyle name="Check Cell 2 2 2 3" xfId="2476"/>
    <cellStyle name="Check Cell 2 2 2 3 2" xfId="5439"/>
    <cellStyle name="Check Cell 2 2 2 3 3" xfId="4551"/>
    <cellStyle name="Check Cell 2 2 2 4" xfId="4760"/>
    <cellStyle name="Check Cell 2 2 2 5" xfId="5106"/>
    <cellStyle name="Check Cell 2 2 2 6" xfId="4005"/>
    <cellStyle name="Check Cell 2 2 3" xfId="2944"/>
    <cellStyle name="Check Cell 2 2 3 2" xfId="4877"/>
    <cellStyle name="Check Cell 2 2 3 3" xfId="5243"/>
    <cellStyle name="Check Cell 2 2 3 4" xfId="4238"/>
    <cellStyle name="Check Cell 2 2 4" xfId="2010"/>
    <cellStyle name="Check Cell 2 3" xfId="164"/>
    <cellStyle name="Check Cell 2 3 2" xfId="3531"/>
    <cellStyle name="Check Cell 2 3 3" xfId="2578"/>
    <cellStyle name="Check Cell 2 4" xfId="1653"/>
    <cellStyle name="Check Cell 2 4 2" xfId="3681"/>
    <cellStyle name="Check Cell 2 4 3" xfId="2683"/>
    <cellStyle name="Check Cell 2 5" xfId="694"/>
    <cellStyle name="Check Cell 2 5 2" xfId="3297"/>
    <cellStyle name="Check Cell 2 5 3" xfId="2353"/>
    <cellStyle name="Check Cell 2 6" xfId="2943"/>
    <cellStyle name="Check Cell 2 7" xfId="2009"/>
    <cellStyle name="Check Cell 3" xfId="693"/>
    <cellStyle name="Check Cell 3 2" xfId="3296"/>
    <cellStyle name="Check Cell 3 2 2" xfId="4961"/>
    <cellStyle name="Check Cell 3 2 3" xfId="5244"/>
    <cellStyle name="Check Cell 3 2 4" xfId="4239"/>
    <cellStyle name="Check Cell 3 3" xfId="2352"/>
    <cellStyle name="Check Cell 4" xfId="3058"/>
    <cellStyle name="Check Cell 5" xfId="2128"/>
    <cellStyle name="cmHM  -CalTime" xfId="695"/>
    <cellStyle name="cmHM  -CalTime 2" xfId="696"/>
    <cellStyle name="cmHM24+ -CalTime" xfId="697"/>
    <cellStyle name="cmHM24+ -CalTime 2" xfId="698"/>
    <cellStyle name="Column Grey" xfId="4240"/>
    <cellStyle name="Column Grey 2" xfId="4241"/>
    <cellStyle name="Column Grey 2 2" xfId="4242"/>
    <cellStyle name="Column Grey 3" xfId="4243"/>
    <cellStyle name="Column Grey 3 2" xfId="4244"/>
    <cellStyle name="ComaNoBrda" xfId="6"/>
    <cellStyle name="Comma" xfId="378" builtinId="3"/>
    <cellStyle name="Comma - ntj" xfId="3635"/>
    <cellStyle name="Comma - ntj 2" xfId="3630"/>
    <cellStyle name="Comma - nuku" xfId="3625"/>
    <cellStyle name="Comma [0] - ntj" xfId="3478"/>
    <cellStyle name="Comma [0] - nuku" xfId="3632"/>
    <cellStyle name="Comma [0] 2" xfId="932"/>
    <cellStyle name="Comma [0] 2 2" xfId="973"/>
    <cellStyle name="Comma [0] 2 2 2" xfId="1105"/>
    <cellStyle name="Comma [0] 2 2 2 2" xfId="1699"/>
    <cellStyle name="Comma [0] 2 2 3" xfId="1114"/>
    <cellStyle name="Comma [0] 2 3" xfId="3093"/>
    <cellStyle name="Comma [0] 3" xfId="3628"/>
    <cellStyle name="Comma [0] 4" xfId="3627"/>
    <cellStyle name="Comma [0] 5" xfId="3586"/>
    <cellStyle name="Comma [0] 6" xfId="3584"/>
    <cellStyle name="Comma [0] 7" xfId="3583"/>
    <cellStyle name="Comma [0] 8" xfId="3581"/>
    <cellStyle name="Comma [0] 9" xfId="3582"/>
    <cellStyle name="Comma [1]" xfId="933"/>
    <cellStyle name="Comma [2]" xfId="934"/>
    <cellStyle name="Comma [3]" xfId="974"/>
    <cellStyle name="Comma [3] 2" xfId="1106"/>
    <cellStyle name="Comma [3] 2 2" xfId="1700"/>
    <cellStyle name="Comma [3] 3" xfId="1107"/>
    <cellStyle name="Comma [4]" xfId="935"/>
    <cellStyle name="Comma 10" xfId="543"/>
    <cellStyle name="Comma 10 10" xfId="1558"/>
    <cellStyle name="Comma 10 11" xfId="1872"/>
    <cellStyle name="Comma 10 12" xfId="700"/>
    <cellStyle name="Comma 10 13" xfId="583"/>
    <cellStyle name="Comma 10 14" xfId="4702"/>
    <cellStyle name="Comma 10 2" xfId="1118"/>
    <cellStyle name="Comma 10 3" xfId="1167"/>
    <cellStyle name="Comma 10 4" xfId="1198"/>
    <cellStyle name="Comma 10 5" xfId="1239"/>
    <cellStyle name="Comma 10 6" xfId="1315"/>
    <cellStyle name="Comma 10 7" xfId="1355"/>
    <cellStyle name="Comma 10 8" xfId="1415"/>
    <cellStyle name="Comma 10 9" xfId="1486"/>
    <cellStyle name="Comma 100" xfId="1544"/>
    <cellStyle name="Comma 101" xfId="1545"/>
    <cellStyle name="Comma 102" xfId="1546"/>
    <cellStyle name="Comma 103" xfId="1547"/>
    <cellStyle name="Comma 104" xfId="1548"/>
    <cellStyle name="Comma 105" xfId="1549"/>
    <cellStyle name="Comma 106" xfId="1550"/>
    <cellStyle name="Comma 107" xfId="1557"/>
    <cellStyle name="Comma 108" xfId="1588"/>
    <cellStyle name="Comma 109" xfId="1597"/>
    <cellStyle name="Comma 11" xfId="589"/>
    <cellStyle name="Comma 11 2" xfId="860"/>
    <cellStyle name="Comma 11 3" xfId="4091"/>
    <cellStyle name="Comma 110" xfId="1602"/>
    <cellStyle name="Comma 111" xfId="1604"/>
    <cellStyle name="Comma 112" xfId="1605"/>
    <cellStyle name="Comma 113" xfId="1607"/>
    <cellStyle name="Comma 114" xfId="1608"/>
    <cellStyle name="Comma 115" xfId="1609"/>
    <cellStyle name="Comma 116" xfId="1610"/>
    <cellStyle name="Comma 117" xfId="1611"/>
    <cellStyle name="Comma 118" xfId="1612"/>
    <cellStyle name="Comma 119" xfId="1556"/>
    <cellStyle name="Comma 12" xfId="861"/>
    <cellStyle name="Comma 12 2" xfId="3585"/>
    <cellStyle name="Comma 120" xfId="1601"/>
    <cellStyle name="Comma 121" xfId="1613"/>
    <cellStyle name="Comma 122" xfId="1614"/>
    <cellStyle name="Comma 123" xfId="1615"/>
    <cellStyle name="Comma 124" xfId="1625"/>
    <cellStyle name="Comma 125" xfId="1673"/>
    <cellStyle name="Comma 126" xfId="1678"/>
    <cellStyle name="Comma 127" xfId="1705"/>
    <cellStyle name="Comma 127 2" xfId="3624"/>
    <cellStyle name="Comma 128" xfId="1710"/>
    <cellStyle name="Comma 128 2" xfId="1778"/>
    <cellStyle name="Comma 128 3" xfId="3911"/>
    <cellStyle name="Comma 128 4" xfId="4103"/>
    <cellStyle name="Comma 128 4 2" xfId="4622"/>
    <cellStyle name="Comma 129" xfId="1708"/>
    <cellStyle name="Comma 129 2" xfId="1776"/>
    <cellStyle name="Comma 129 3" xfId="3909"/>
    <cellStyle name="Comma 129 4" xfId="4101"/>
    <cellStyle name="Comma 129 4 2" xfId="4620"/>
    <cellStyle name="Comma 13" xfId="862"/>
    <cellStyle name="Comma 13 2" xfId="3580"/>
    <cellStyle name="Comma 130" xfId="1709"/>
    <cellStyle name="Comma 130 2" xfId="1777"/>
    <cellStyle name="Comma 130 3" xfId="3910"/>
    <cellStyle name="Comma 130 4" xfId="4102"/>
    <cellStyle name="Comma 130 4 2" xfId="4621"/>
    <cellStyle name="Comma 131" xfId="1720"/>
    <cellStyle name="Comma 132" xfId="1719"/>
    <cellStyle name="Comma 133" xfId="1723"/>
    <cellStyle name="Comma 134" xfId="1721"/>
    <cellStyle name="Comma 135" xfId="1724"/>
    <cellStyle name="Comma 136" xfId="1733"/>
    <cellStyle name="Comma 137" xfId="1730"/>
    <cellStyle name="Comma 138" xfId="1731"/>
    <cellStyle name="Comma 139" xfId="1729"/>
    <cellStyle name="Comma 14" xfId="871"/>
    <cellStyle name="Comma 140" xfId="1732"/>
    <cellStyle name="Comma 141" xfId="1728"/>
    <cellStyle name="Comma 142" xfId="1734"/>
    <cellStyle name="Comma 143" xfId="1727"/>
    <cellStyle name="Comma 144" xfId="1735"/>
    <cellStyle name="Comma 145" xfId="1726"/>
    <cellStyle name="Comma 146" xfId="1736"/>
    <cellStyle name="Comma 147" xfId="1725"/>
    <cellStyle name="Comma 148" xfId="1737"/>
    <cellStyle name="Comma 149" xfId="591"/>
    <cellStyle name="Comma 149 2" xfId="1871"/>
    <cellStyle name="Comma 149 3" xfId="3916"/>
    <cellStyle name="Comma 149 4" xfId="4110"/>
    <cellStyle name="Comma 149 4 2" xfId="4629"/>
    <cellStyle name="Comma 149 5" xfId="4099"/>
    <cellStyle name="Comma 15" xfId="907"/>
    <cellStyle name="Comma 15 2" xfId="1289"/>
    <cellStyle name="Comma 15 3" xfId="1154"/>
    <cellStyle name="Comma 150" xfId="592"/>
    <cellStyle name="Comma 151" xfId="1769"/>
    <cellStyle name="Comma 152" xfId="590"/>
    <cellStyle name="Comma 152 2" xfId="3937"/>
    <cellStyle name="Comma 153" xfId="580"/>
    <cellStyle name="Comma 153 2" xfId="3938"/>
    <cellStyle name="Comma 154" xfId="1913"/>
    <cellStyle name="Comma 154 2" xfId="3936"/>
    <cellStyle name="Comma 154 2 2" xfId="5529"/>
    <cellStyle name="Comma 154 2 3" xfId="4826"/>
    <cellStyle name="Comma 154 3" xfId="3925"/>
    <cellStyle name="Comma 155" xfId="1915"/>
    <cellStyle name="Comma 155 2" xfId="3926"/>
    <cellStyle name="Comma 155 2 2" xfId="5528"/>
    <cellStyle name="Comma 155 2 3" xfId="4827"/>
    <cellStyle name="Comma 155 3" xfId="5051"/>
    <cellStyle name="Comma 156" xfId="429"/>
    <cellStyle name="Comma 157" xfId="3858"/>
    <cellStyle name="Comma 158" xfId="1916"/>
    <cellStyle name="Comma 158 2" xfId="5022"/>
    <cellStyle name="Comma 158 3" xfId="5052"/>
    <cellStyle name="Comma 159" xfId="3871"/>
    <cellStyle name="Comma 159 2" xfId="5025"/>
    <cellStyle name="Comma 159 3" xfId="5053"/>
    <cellStyle name="Comma 16" xfId="1030"/>
    <cellStyle name="Comma 16 2" xfId="1291"/>
    <cellStyle name="Comma 160" xfId="3930"/>
    <cellStyle name="Comma 161" xfId="3931"/>
    <cellStyle name="Comma 162" xfId="3928"/>
    <cellStyle name="Comma 163" xfId="3929"/>
    <cellStyle name="Comma 164" xfId="3932"/>
    <cellStyle name="Comma 165" xfId="3934"/>
    <cellStyle name="Comma 166" xfId="3933"/>
    <cellStyle name="Comma 167" xfId="3935"/>
    <cellStyle name="Comma 168" xfId="3949"/>
    <cellStyle name="Comma 169" xfId="3952"/>
    <cellStyle name="Comma 17" xfId="1040"/>
    <cellStyle name="Comma 17 2" xfId="1166"/>
    <cellStyle name="Comma 17 3" xfId="4082"/>
    <cellStyle name="Comma 17 3 2" xfId="4611"/>
    <cellStyle name="Comma 170" xfId="4006"/>
    <cellStyle name="Comma 171" xfId="4041"/>
    <cellStyle name="Comma 172" xfId="4062"/>
    <cellStyle name="Comma 173" xfId="4059"/>
    <cellStyle name="Comma 174" xfId="4093"/>
    <cellStyle name="Comma 175" xfId="4021"/>
    <cellStyle name="Comma 176" xfId="4066"/>
    <cellStyle name="Comma 177" xfId="4078"/>
    <cellStyle name="Comma 178" xfId="4090"/>
    <cellStyle name="Comma 179" xfId="4064"/>
    <cellStyle name="Comma 18" xfId="1043"/>
    <cellStyle name="Comma 18 2" xfId="1177"/>
    <cellStyle name="Comma 18 3" xfId="4060"/>
    <cellStyle name="Comma 18 3 2" xfId="4602"/>
    <cellStyle name="Comma 180" xfId="4080"/>
    <cellStyle name="Comma 181" xfId="4071"/>
    <cellStyle name="Comma 182" xfId="4065"/>
    <cellStyle name="Comma 183" xfId="4074"/>
    <cellStyle name="Comma 184" xfId="3991"/>
    <cellStyle name="Comma 185" xfId="4077"/>
    <cellStyle name="Comma 186" xfId="4067"/>
    <cellStyle name="Comma 187" xfId="4081"/>
    <cellStyle name="Comma 188" xfId="4088"/>
    <cellStyle name="Comma 189" xfId="4018"/>
    <cellStyle name="Comma 19" xfId="1075"/>
    <cellStyle name="Comma 19 2" xfId="1184"/>
    <cellStyle name="Comma 19 3" xfId="4086"/>
    <cellStyle name="Comma 19 3 2" xfId="4614"/>
    <cellStyle name="Comma 190" xfId="4098"/>
    <cellStyle name="Comma 191" xfId="4097"/>
    <cellStyle name="Comma 192" xfId="4121"/>
    <cellStyle name="Comma 193" xfId="4122"/>
    <cellStyle name="Comma 194" xfId="4120"/>
    <cellStyle name="Comma 195" xfId="4123"/>
    <cellStyle name="Comma 196" xfId="3879"/>
    <cellStyle name="Comma 2" xfId="11"/>
    <cellStyle name="Comma 2 10" xfId="584"/>
    <cellStyle name="Comma 2 10 2" xfId="1031"/>
    <cellStyle name="Comma 2 10 3" xfId="3217"/>
    <cellStyle name="Comma 2 10 4" xfId="2273"/>
    <cellStyle name="Comma 2 11" xfId="1046"/>
    <cellStyle name="Comma 2 11 2" xfId="1316"/>
    <cellStyle name="Comma 2 11 3" xfId="3497"/>
    <cellStyle name="Comma 2 11 4" xfId="2544"/>
    <cellStyle name="Comma 2 12" xfId="1079"/>
    <cellStyle name="Comma 2 12 2" xfId="1356"/>
    <cellStyle name="Comma 2 13" xfId="1092"/>
    <cellStyle name="Comma 2 13 2" xfId="1416"/>
    <cellStyle name="Comma 2 14" xfId="1487"/>
    <cellStyle name="Comma 2 15" xfId="1559"/>
    <cellStyle name="Comma 2 16" xfId="1873"/>
    <cellStyle name="Comma 2 17" xfId="545"/>
    <cellStyle name="Comma 2 18" xfId="2945"/>
    <cellStyle name="Comma 2 19" xfId="3853"/>
    <cellStyle name="Comma 2 2" xfId="167"/>
    <cellStyle name="Comma 2 2 10" xfId="1560"/>
    <cellStyle name="Comma 2 2 11" xfId="1874"/>
    <cellStyle name="Comma 2 2 12" xfId="4245"/>
    <cellStyle name="Comma 2 2 2" xfId="168"/>
    <cellStyle name="Comma 2 2 2 10" xfId="1561"/>
    <cellStyle name="Comma 2 2 2 11" xfId="1875"/>
    <cellStyle name="Comma 2 2 2 2" xfId="169"/>
    <cellStyle name="Comma 2 2 2 2 10" xfId="1876"/>
    <cellStyle name="Comma 2 2 2 2 11" xfId="701"/>
    <cellStyle name="Comma 2 2 2 2 11 2" xfId="4118"/>
    <cellStyle name="Comma 2 2 2 2 11 3" xfId="4552"/>
    <cellStyle name="Comma 2 2 2 2 11 4" xfId="5107"/>
    <cellStyle name="Comma 2 2 2 2 11 5" xfId="4007"/>
    <cellStyle name="Comma 2 2 2 2 2" xfId="1169"/>
    <cellStyle name="Comma 2 2 2 2 3" xfId="1200"/>
    <cellStyle name="Comma 2 2 2 2 4" xfId="1251"/>
    <cellStyle name="Comma 2 2 2 2 5" xfId="1318"/>
    <cellStyle name="Comma 2 2 2 2 6" xfId="1359"/>
    <cellStyle name="Comma 2 2 2 2 7" xfId="1419"/>
    <cellStyle name="Comma 2 2 2 2 8" xfId="1490"/>
    <cellStyle name="Comma 2 2 2 2 9" xfId="1562"/>
    <cellStyle name="Comma 2 2 2 3" xfId="552"/>
    <cellStyle name="Comma 2 2 2 4" xfId="1199"/>
    <cellStyle name="Comma 2 2 2 5" xfId="1250"/>
    <cellStyle name="Comma 2 2 2 6" xfId="1317"/>
    <cellStyle name="Comma 2 2 2 7" xfId="1358"/>
    <cellStyle name="Comma 2 2 2 8" xfId="1418"/>
    <cellStyle name="Comma 2 2 2 9" xfId="1489"/>
    <cellStyle name="Comma 2 2 3" xfId="170"/>
    <cellStyle name="Comma 2 2 4" xfId="553"/>
    <cellStyle name="Comma 2 2 5" xfId="1080"/>
    <cellStyle name="Comma 2 2 6" xfId="1093"/>
    <cellStyle name="Comma 2 2 7" xfId="1357"/>
    <cellStyle name="Comma 2 2 8" xfId="1417"/>
    <cellStyle name="Comma 2 2 9" xfId="1488"/>
    <cellStyle name="Comma 2 2_output data 08 to 10" xfId="171"/>
    <cellStyle name="Comma 2 20" xfId="2011"/>
    <cellStyle name="Comma 2 21" xfId="426"/>
    <cellStyle name="Comma 2 3" xfId="172"/>
    <cellStyle name="Comma 2 3 10" xfId="1877"/>
    <cellStyle name="Comma 2 3 2" xfId="173"/>
    <cellStyle name="Comma 2 3 2 2" xfId="174"/>
    <cellStyle name="Comma 2 3 3" xfId="175"/>
    <cellStyle name="Comma 2 3 4" xfId="551"/>
    <cellStyle name="Comma 2 3 5" xfId="1319"/>
    <cellStyle name="Comma 2 3 6" xfId="1360"/>
    <cellStyle name="Comma 2 3 7" xfId="1420"/>
    <cellStyle name="Comma 2 3 8" xfId="1491"/>
    <cellStyle name="Comma 2 3 9" xfId="1563"/>
    <cellStyle name="Comma 2 4" xfId="176"/>
    <cellStyle name="Comma 2 4 10" xfId="1878"/>
    <cellStyle name="Comma 2 4 11" xfId="3384"/>
    <cellStyle name="Comma 2 4 2" xfId="177"/>
    <cellStyle name="Comma 2 4 3" xfId="550"/>
    <cellStyle name="Comma 2 4 4" xfId="1252"/>
    <cellStyle name="Comma 2 4 5" xfId="1320"/>
    <cellStyle name="Comma 2 4 6" xfId="1361"/>
    <cellStyle name="Comma 2 4 7" xfId="1421"/>
    <cellStyle name="Comma 2 4 8" xfId="1492"/>
    <cellStyle name="Comma 2 4 9" xfId="1564"/>
    <cellStyle name="Comma 2 5" xfId="178"/>
    <cellStyle name="Comma 2 5 10" xfId="1879"/>
    <cellStyle name="Comma 2 5 2" xfId="179"/>
    <cellStyle name="Comma 2 5 3" xfId="549"/>
    <cellStyle name="Comma 2 5 4" xfId="1253"/>
    <cellStyle name="Comma 2 5 5" xfId="1321"/>
    <cellStyle name="Comma 2 5 6" xfId="1362"/>
    <cellStyle name="Comma 2 5 7" xfId="1422"/>
    <cellStyle name="Comma 2 5 8" xfId="1493"/>
    <cellStyle name="Comma 2 5 9" xfId="1565"/>
    <cellStyle name="Comma 2 6" xfId="180"/>
    <cellStyle name="Comma 2 6 10" xfId="1880"/>
    <cellStyle name="Comma 2 6 2" xfId="181"/>
    <cellStyle name="Comma 2 6 3" xfId="554"/>
    <cellStyle name="Comma 2 6 4" xfId="1254"/>
    <cellStyle name="Comma 2 6 5" xfId="1322"/>
    <cellStyle name="Comma 2 6 6" xfId="1363"/>
    <cellStyle name="Comma 2 6 7" xfId="1423"/>
    <cellStyle name="Comma 2 6 8" xfId="1494"/>
    <cellStyle name="Comma 2 6 9" xfId="1566"/>
    <cellStyle name="Comma 2 7" xfId="166"/>
    <cellStyle name="Comma 2 7 2" xfId="702"/>
    <cellStyle name="Comma 2 7 3" xfId="3204"/>
    <cellStyle name="Comma 2 7 4" xfId="2260"/>
    <cellStyle name="Comma 2 8" xfId="586"/>
    <cellStyle name="Comma 2 8 2" xfId="1119"/>
    <cellStyle name="Comma 2 8 3" xfId="865"/>
    <cellStyle name="Comma 2 8 4" xfId="3218"/>
    <cellStyle name="Comma 2 8 5" xfId="2274"/>
    <cellStyle name="Comma 2 9" xfId="587"/>
    <cellStyle name="Comma 2 9 2" xfId="1168"/>
    <cellStyle name="Comma 2 9 3" xfId="3219"/>
    <cellStyle name="Comma 2 9 4" xfId="2275"/>
    <cellStyle name="Comma 2_C03" xfId="182"/>
    <cellStyle name="Comma 20" xfId="1078"/>
    <cellStyle name="Comma 21" xfId="1091"/>
    <cellStyle name="Comma 22" xfId="1187"/>
    <cellStyle name="Comma 23" xfId="1188"/>
    <cellStyle name="Comma 24" xfId="1189"/>
    <cellStyle name="Comma 25" xfId="1190"/>
    <cellStyle name="Comma 26" xfId="1191"/>
    <cellStyle name="Comma 27" xfId="1165"/>
    <cellStyle name="Comma 28" xfId="1197"/>
    <cellStyle name="Comma 28 2" xfId="1293"/>
    <cellStyle name="Comma 29" xfId="1217"/>
    <cellStyle name="Comma 29 2" xfId="1296"/>
    <cellStyle name="Comma 3" xfId="44"/>
    <cellStyle name="Comma 3 10" xfId="1094"/>
    <cellStyle name="Comma 3 10 2" xfId="1323"/>
    <cellStyle name="Comma 3 11" xfId="1364"/>
    <cellStyle name="Comma 3 12" xfId="1424"/>
    <cellStyle name="Comma 3 13" xfId="1495"/>
    <cellStyle name="Comma 3 14" xfId="1567"/>
    <cellStyle name="Comma 3 15" xfId="1654"/>
    <cellStyle name="Comma 3 16" xfId="1881"/>
    <cellStyle name="Comma 3 17" xfId="3645"/>
    <cellStyle name="Comma 3 2" xfId="183"/>
    <cellStyle name="Comma 3 2 10" xfId="1568"/>
    <cellStyle name="Comma 3 2 11" xfId="1882"/>
    <cellStyle name="Comma 3 2 12" xfId="3597"/>
    <cellStyle name="Comma 3 2 12 2" xfId="4983"/>
    <cellStyle name="Comma 3 2 12 3" xfId="5245"/>
    <cellStyle name="Comma 3 2 12 4" xfId="4246"/>
    <cellStyle name="Comma 3 2 2" xfId="184"/>
    <cellStyle name="Comma 3 2 2 2" xfId="185"/>
    <cellStyle name="Comma 3 2 2 2 10" xfId="1883"/>
    <cellStyle name="Comma 3 2 2 2 2" xfId="1171"/>
    <cellStyle name="Comma 3 2 2 2 3" xfId="1202"/>
    <cellStyle name="Comma 3 2 2 2 4" xfId="1255"/>
    <cellStyle name="Comma 3 2 2 2 5" xfId="1325"/>
    <cellStyle name="Comma 3 2 2 2 6" xfId="1366"/>
    <cellStyle name="Comma 3 2 2 2 7" xfId="1426"/>
    <cellStyle name="Comma 3 2 2 2 8" xfId="1497"/>
    <cellStyle name="Comma 3 2 2 2 9" xfId="1569"/>
    <cellStyle name="Comma 3 2 3" xfId="186"/>
    <cellStyle name="Comma 3 2 3 10" xfId="1884"/>
    <cellStyle name="Comma 3 2 3 11" xfId="703"/>
    <cellStyle name="Comma 3 2 3 11 2" xfId="4072"/>
    <cellStyle name="Comma 3 2 3 11 3" xfId="4553"/>
    <cellStyle name="Comma 3 2 3 11 4" xfId="5108"/>
    <cellStyle name="Comma 3 2 3 11 5" xfId="4008"/>
    <cellStyle name="Comma 3 2 3 2" xfId="1172"/>
    <cellStyle name="Comma 3 2 3 3" xfId="1203"/>
    <cellStyle name="Comma 3 2 3 4" xfId="1256"/>
    <cellStyle name="Comma 3 2 3 5" xfId="1326"/>
    <cellStyle name="Comma 3 2 3 6" xfId="1367"/>
    <cellStyle name="Comma 3 2 3 7" xfId="1427"/>
    <cellStyle name="Comma 3 2 3 8" xfId="1498"/>
    <cellStyle name="Comma 3 2 3 9" xfId="1570"/>
    <cellStyle name="Comma 3 2 4" xfId="556"/>
    <cellStyle name="Comma 3 2 4 2" xfId="1170"/>
    <cellStyle name="Comma 3 2 4 3" xfId="864"/>
    <cellStyle name="Comma 3 2 5" xfId="1033"/>
    <cellStyle name="Comma 3 2 6" xfId="1082"/>
    <cellStyle name="Comma 3 2 6 2" xfId="1324"/>
    <cellStyle name="Comma 3 2 7" xfId="1095"/>
    <cellStyle name="Comma 3 2 7 2" xfId="1365"/>
    <cellStyle name="Comma 3 2 8" xfId="1425"/>
    <cellStyle name="Comma 3 2 9" xfId="1496"/>
    <cellStyle name="Comma 3 3" xfId="187"/>
    <cellStyle name="Comma 3 3 10" xfId="1885"/>
    <cellStyle name="Comma 3 3 2" xfId="188"/>
    <cellStyle name="Comma 3 3 2 2" xfId="189"/>
    <cellStyle name="Comma 3 3 3" xfId="190"/>
    <cellStyle name="Comma 3 3 4" xfId="557"/>
    <cellStyle name="Comma 3 3 5" xfId="1327"/>
    <cellStyle name="Comma 3 3 6" xfId="1368"/>
    <cellStyle name="Comma 3 3 7" xfId="1428"/>
    <cellStyle name="Comma 3 3 8" xfId="1499"/>
    <cellStyle name="Comma 3 3 9" xfId="1571"/>
    <cellStyle name="Comma 3 4" xfId="191"/>
    <cellStyle name="Comma 3 4 10" xfId="1886"/>
    <cellStyle name="Comma 3 4 2" xfId="192"/>
    <cellStyle name="Comma 3 4 2 2" xfId="193"/>
    <cellStyle name="Comma 3 4 3" xfId="194"/>
    <cellStyle name="Comma 3 4 4" xfId="558"/>
    <cellStyle name="Comma 3 4 5" xfId="1328"/>
    <cellStyle name="Comma 3 4 6" xfId="1369"/>
    <cellStyle name="Comma 3 4 7" xfId="1429"/>
    <cellStyle name="Comma 3 4 8" xfId="1500"/>
    <cellStyle name="Comma 3 4 9" xfId="1572"/>
    <cellStyle name="Comma 3 5" xfId="195"/>
    <cellStyle name="Comma 3 5 10" xfId="1887"/>
    <cellStyle name="Comma 3 5 2" xfId="196"/>
    <cellStyle name="Comma 3 5 2 2" xfId="197"/>
    <cellStyle name="Comma 3 5 3" xfId="198"/>
    <cellStyle name="Comma 3 5 4" xfId="559"/>
    <cellStyle name="Comma 3 5 5" xfId="1329"/>
    <cellStyle name="Comma 3 5 6" xfId="1370"/>
    <cellStyle name="Comma 3 5 7" xfId="1430"/>
    <cellStyle name="Comma 3 5 8" xfId="1501"/>
    <cellStyle name="Comma 3 5 9" xfId="1573"/>
    <cellStyle name="Comma 3 6" xfId="199"/>
    <cellStyle name="Comma 3 6 2" xfId="200"/>
    <cellStyle name="Comma 3 7" xfId="555"/>
    <cellStyle name="Comma 3 7 2" xfId="1120"/>
    <cellStyle name="Comma 3 8" xfId="1032"/>
    <cellStyle name="Comma 3 9" xfId="1081"/>
    <cellStyle name="Comma 3 9 2" xfId="1201"/>
    <cellStyle name="Comma 3_CPI" xfId="353"/>
    <cellStyle name="Comma 30" xfId="1225"/>
    <cellStyle name="Comma 30 2" xfId="1301"/>
    <cellStyle name="Comma 31" xfId="1216"/>
    <cellStyle name="Comma 31 2" xfId="1295"/>
    <cellStyle name="Comma 32" xfId="1224"/>
    <cellStyle name="Comma 32 2" xfId="1300"/>
    <cellStyle name="Comma 33" xfId="1247"/>
    <cellStyle name="Comma 34" xfId="1215"/>
    <cellStyle name="Comma 35" xfId="1244"/>
    <cellStyle name="Comma 36" xfId="1233"/>
    <cellStyle name="Comma 37" xfId="1192"/>
    <cellStyle name="Comma 38" xfId="1230"/>
    <cellStyle name="Comma 39" xfId="1304"/>
    <cellStyle name="Comma 4" xfId="201"/>
    <cellStyle name="Comma 4 10" xfId="1096"/>
    <cellStyle name="Comma 4 2" xfId="202"/>
    <cellStyle name="Comma 4 2 10" xfId="1888"/>
    <cellStyle name="Comma 4 2 11" xfId="3626"/>
    <cellStyle name="Comma 4 2 2" xfId="560"/>
    <cellStyle name="Comma 4 2 3" xfId="1034"/>
    <cellStyle name="Comma 4 2 4" xfId="1084"/>
    <cellStyle name="Comma 4 2 5" xfId="1097"/>
    <cellStyle name="Comma 4 2 6" xfId="1371"/>
    <cellStyle name="Comma 4 2 7" xfId="1431"/>
    <cellStyle name="Comma 4 2 8" xfId="1502"/>
    <cellStyle name="Comma 4 2 9" xfId="1574"/>
    <cellStyle name="Comma 4 3" xfId="868"/>
    <cellStyle name="Comma 4 4" xfId="203"/>
    <cellStyle name="Comma 4 4 10" xfId="1889"/>
    <cellStyle name="Comma 4 4 2" xfId="561"/>
    <cellStyle name="Comma 4 4 3" xfId="1204"/>
    <cellStyle name="Comma 4 4 4" xfId="1257"/>
    <cellStyle name="Comma 4 4 5" xfId="1330"/>
    <cellStyle name="Comma 4 4 6" xfId="1372"/>
    <cellStyle name="Comma 4 4 7" xfId="1432"/>
    <cellStyle name="Comma 4 4 8" xfId="1503"/>
    <cellStyle name="Comma 4 4 9" xfId="1575"/>
    <cellStyle name="Comma 4 5" xfId="204"/>
    <cellStyle name="Comma 4 5 10" xfId="1890"/>
    <cellStyle name="Comma 4 5 2" xfId="562"/>
    <cellStyle name="Comma 4 5 3" xfId="1205"/>
    <cellStyle name="Comma 4 5 4" xfId="1258"/>
    <cellStyle name="Comma 4 5 5" xfId="1331"/>
    <cellStyle name="Comma 4 5 6" xfId="1373"/>
    <cellStyle name="Comma 4 5 7" xfId="1433"/>
    <cellStyle name="Comma 4 5 8" xfId="1504"/>
    <cellStyle name="Comma 4 5 9" xfId="1576"/>
    <cellStyle name="Comma 4 6" xfId="205"/>
    <cellStyle name="Comma 4 6 10" xfId="1891"/>
    <cellStyle name="Comma 4 6 2" xfId="563"/>
    <cellStyle name="Comma 4 6 3" xfId="1206"/>
    <cellStyle name="Comma 4 6 4" xfId="1259"/>
    <cellStyle name="Comma 4 6 5" xfId="1332"/>
    <cellStyle name="Comma 4 6 6" xfId="1374"/>
    <cellStyle name="Comma 4 6 7" xfId="1434"/>
    <cellStyle name="Comma 4 6 8" xfId="1505"/>
    <cellStyle name="Comma 4 6 9" xfId="1577"/>
    <cellStyle name="Comma 4 7" xfId="206"/>
    <cellStyle name="Comma 4 7 10" xfId="1892"/>
    <cellStyle name="Comma 4 7 2" xfId="564"/>
    <cellStyle name="Comma 4 7 3" xfId="1207"/>
    <cellStyle name="Comma 4 7 4" xfId="1260"/>
    <cellStyle name="Comma 4 7 5" xfId="1333"/>
    <cellStyle name="Comma 4 7 6" xfId="1375"/>
    <cellStyle name="Comma 4 7 7" xfId="1435"/>
    <cellStyle name="Comma 4 7 8" xfId="1506"/>
    <cellStyle name="Comma 4 7 9" xfId="1578"/>
    <cellStyle name="Comma 4 8" xfId="207"/>
    <cellStyle name="Comma 4 8 10" xfId="1893"/>
    <cellStyle name="Comma 4 8 2" xfId="565"/>
    <cellStyle name="Comma 4 8 3" xfId="1208"/>
    <cellStyle name="Comma 4 8 4" xfId="1261"/>
    <cellStyle name="Comma 4 8 5" xfId="1334"/>
    <cellStyle name="Comma 4 8 6" xfId="1376"/>
    <cellStyle name="Comma 4 8 7" xfId="1436"/>
    <cellStyle name="Comma 4 8 8" xfId="1507"/>
    <cellStyle name="Comma 4 8 9" xfId="1579"/>
    <cellStyle name="Comma 4 9" xfId="1083"/>
    <cellStyle name="Comma 4_RB GDP fcast Fig 2.5" xfId="208"/>
    <cellStyle name="Comma 40" xfId="1218"/>
    <cellStyle name="Comma 41" xfId="1194"/>
    <cellStyle name="Comma 42" xfId="1229"/>
    <cellStyle name="Comma 43" xfId="1237"/>
    <cellStyle name="Comma 44" xfId="1308"/>
    <cellStyle name="Comma 45" xfId="1214"/>
    <cellStyle name="Comma 46" xfId="1294"/>
    <cellStyle name="Comma 47" xfId="1305"/>
    <cellStyle name="Comma 48" xfId="1314"/>
    <cellStyle name="Comma 49" xfId="1343"/>
    <cellStyle name="Comma 5" xfId="209"/>
    <cellStyle name="Comma 5 2" xfId="210"/>
    <cellStyle name="Comma 5 2 10" xfId="1894"/>
    <cellStyle name="Comma 5 2 11" xfId="4247"/>
    <cellStyle name="Comma 5 2 2" xfId="211"/>
    <cellStyle name="Comma 5 2 3" xfId="1086"/>
    <cellStyle name="Comma 5 2 4" xfId="1099"/>
    <cellStyle name="Comma 5 2 5" xfId="1335"/>
    <cellStyle name="Comma 5 2 6" xfId="1377"/>
    <cellStyle name="Comma 5 2 7" xfId="1437"/>
    <cellStyle name="Comma 5 2 8" xfId="1508"/>
    <cellStyle name="Comma 5 2 9" xfId="1580"/>
    <cellStyle name="Comma 5 3" xfId="212"/>
    <cellStyle name="Comma 5 3 10" xfId="1895"/>
    <cellStyle name="Comma 5 3 2" xfId="1173"/>
    <cellStyle name="Comma 5 3 3" xfId="1209"/>
    <cellStyle name="Comma 5 3 4" xfId="1263"/>
    <cellStyle name="Comma 5 3 5" xfId="1336"/>
    <cellStyle name="Comma 5 3 6" xfId="1378"/>
    <cellStyle name="Comma 5 3 7" xfId="1438"/>
    <cellStyle name="Comma 5 3 8" xfId="1509"/>
    <cellStyle name="Comma 5 3 9" xfId="1581"/>
    <cellStyle name="Comma 5 4" xfId="566"/>
    <cellStyle name="Comma 5 4 2" xfId="1262"/>
    <cellStyle name="Comma 5 5" xfId="1085"/>
    <cellStyle name="Comma 5 6" xfId="1098"/>
    <cellStyle name="Comma 5 7" xfId="704"/>
    <cellStyle name="Comma 5 8" xfId="3631"/>
    <cellStyle name="Comma 50" xfId="1348"/>
    <cellStyle name="Comma 51" xfId="1349"/>
    <cellStyle name="Comma 52" xfId="1313"/>
    <cellStyle name="Comma 53" xfId="1354"/>
    <cellStyle name="Comma 54" xfId="1386"/>
    <cellStyle name="Comma 55" xfId="1397"/>
    <cellStyle name="Comma 56" xfId="1403"/>
    <cellStyle name="Comma 57" xfId="1404"/>
    <cellStyle name="Comma 58" xfId="1405"/>
    <cellStyle name="Comma 59" xfId="1406"/>
    <cellStyle name="Comma 6" xfId="213"/>
    <cellStyle name="Comma 6 2" xfId="214"/>
    <cellStyle name="Comma 6 2 10" xfId="1896"/>
    <cellStyle name="Comma 6 2 2" xfId="215"/>
    <cellStyle name="Comma 6 2 3" xfId="1088"/>
    <cellStyle name="Comma 6 2 4" xfId="1101"/>
    <cellStyle name="Comma 6 2 5" xfId="1337"/>
    <cellStyle name="Comma 6 2 6" xfId="1379"/>
    <cellStyle name="Comma 6 2 7" xfId="1439"/>
    <cellStyle name="Comma 6 2 8" xfId="1510"/>
    <cellStyle name="Comma 6 2 9" xfId="1582"/>
    <cellStyle name="Comma 6 3" xfId="567"/>
    <cellStyle name="Comma 6 4" xfId="1087"/>
    <cellStyle name="Comma 6 4 2" xfId="1770"/>
    <cellStyle name="Comma 6 4 3" xfId="3907"/>
    <cellStyle name="Comma 6 4 4" xfId="4079"/>
    <cellStyle name="Comma 6 4 4 2" xfId="4609"/>
    <cellStyle name="Comma 6 5" xfId="1100"/>
    <cellStyle name="Comma 6 5 2" xfId="1767"/>
    <cellStyle name="Comma 6 5 3" xfId="3908"/>
    <cellStyle name="Comma 6 5 4" xfId="4073"/>
    <cellStyle name="Comma 6 5 4 2" xfId="4608"/>
    <cellStyle name="Comma 6 6" xfId="3618"/>
    <cellStyle name="Comma 60" xfId="1385"/>
    <cellStyle name="Comma 61" xfId="1395"/>
    <cellStyle name="Comma 62" xfId="1408"/>
    <cellStyle name="Comma 63" xfId="1409"/>
    <cellStyle name="Comma 64" xfId="1410"/>
    <cellStyle name="Comma 65" xfId="1411"/>
    <cellStyle name="Comma 66" xfId="1412"/>
    <cellStyle name="Comma 67" xfId="1353"/>
    <cellStyle name="Comma 68" xfId="1407"/>
    <cellStyle name="Comma 69" xfId="1414"/>
    <cellStyle name="Comma 7" xfId="379"/>
    <cellStyle name="Comma 7 10" xfId="1897"/>
    <cellStyle name="Comma 7 11" xfId="705"/>
    <cellStyle name="Comma 7 12" xfId="4057"/>
    <cellStyle name="Comma 7 2" xfId="866"/>
    <cellStyle name="Comma 7 2 2" xfId="1174"/>
    <cellStyle name="Comma 7 3" xfId="1089"/>
    <cellStyle name="Comma 7 3 2" xfId="1210"/>
    <cellStyle name="Comma 7 4" xfId="1102"/>
    <cellStyle name="Comma 7 4 2" xfId="1264"/>
    <cellStyle name="Comma 7 5" xfId="1338"/>
    <cellStyle name="Comma 7 6" xfId="1380"/>
    <cellStyle name="Comma 7 7" xfId="1440"/>
    <cellStyle name="Comma 7 8" xfId="1511"/>
    <cellStyle name="Comma 7 9" xfId="1583"/>
    <cellStyle name="Comma 70" xfId="1445"/>
    <cellStyle name="Comma 71" xfId="1457"/>
    <cellStyle name="Comma 72" xfId="1466"/>
    <cellStyle name="Comma 73" xfId="1467"/>
    <cellStyle name="Comma 74" xfId="1468"/>
    <cellStyle name="Comma 75" xfId="1469"/>
    <cellStyle name="Comma 76" xfId="1470"/>
    <cellStyle name="Comma 77" xfId="1471"/>
    <cellStyle name="Comma 78" xfId="1472"/>
    <cellStyle name="Comma 79" xfId="1473"/>
    <cellStyle name="Comma 8" xfId="380"/>
    <cellStyle name="Comma 8 2" xfId="699"/>
    <cellStyle name="Comma 8 2 2" xfId="3090"/>
    <cellStyle name="Comma 8 3" xfId="585"/>
    <cellStyle name="Comma 8 4" xfId="4698"/>
    <cellStyle name="Comma 8 5" xfId="445"/>
    <cellStyle name="Comma 80" xfId="1474"/>
    <cellStyle name="Comma 81" xfId="1475"/>
    <cellStyle name="Comma 82" xfId="1476"/>
    <cellStyle name="Comma 83" xfId="1477"/>
    <cellStyle name="Comma 84" xfId="1478"/>
    <cellStyle name="Comma 85" xfId="1479"/>
    <cellStyle name="Comma 86" xfId="1480"/>
    <cellStyle name="Comma 87" xfId="1481"/>
    <cellStyle name="Comma 88" xfId="1485"/>
    <cellStyle name="Comma 89" xfId="1516"/>
    <cellStyle name="Comma 9" xfId="510"/>
    <cellStyle name="Comma 9 2" xfId="1281"/>
    <cellStyle name="Comma 9 3" xfId="859"/>
    <cellStyle name="Comma 9 4" xfId="588"/>
    <cellStyle name="Comma 9 5" xfId="4701"/>
    <cellStyle name="Comma 90" xfId="1528"/>
    <cellStyle name="Comma 91" xfId="1535"/>
    <cellStyle name="Comma 92" xfId="1536"/>
    <cellStyle name="Comma 93" xfId="1537"/>
    <cellStyle name="Comma 94" xfId="1538"/>
    <cellStyle name="Comma 95" xfId="1539"/>
    <cellStyle name="Comma 96" xfId="1540"/>
    <cellStyle name="Comma 97" xfId="1541"/>
    <cellStyle name="Comma 98" xfId="1542"/>
    <cellStyle name="Comma 99" xfId="1543"/>
    <cellStyle name="Comma0" xfId="437"/>
    <cellStyle name="CommaBorda" xfId="7"/>
    <cellStyle name="Comment Box" xfId="936"/>
    <cellStyle name="Comment Box 2" xfId="977"/>
    <cellStyle name="Comment Box 2 2" xfId="3466"/>
    <cellStyle name="Comment Box 2 3" xfId="2521"/>
    <cellStyle name="Comment Box 3" xfId="3446"/>
    <cellStyle name="Comment Box 4" xfId="2501"/>
    <cellStyle name="cp0 -CalPercent" xfId="706"/>
    <cellStyle name="cp0 -CalPercent 2" xfId="707"/>
    <cellStyle name="cp1 -CalPercent" xfId="708"/>
    <cellStyle name="cp2 -CalPercent" xfId="709"/>
    <cellStyle name="cp2 -CalPercent 2" xfId="710"/>
    <cellStyle name="cp3 -CalPercent" xfId="711"/>
    <cellStyle name="cp3 -CalPercent 2" xfId="712"/>
    <cellStyle name="cr0 -CalCurr" xfId="713"/>
    <cellStyle name="cr0 -CalCurr 2" xfId="714"/>
    <cellStyle name="cr1 -CalCurr" xfId="715"/>
    <cellStyle name="cr1 -CalCurr 2" xfId="716"/>
    <cellStyle name="cr2 -CalCurr" xfId="717"/>
    <cellStyle name="cr2 -CalCurr 2" xfId="718"/>
    <cellStyle name="cr3 -CalCurr" xfId="719"/>
    <cellStyle name="cr3 -CalCurr 2" xfId="720"/>
    <cellStyle name="cr4 -CalCurr" xfId="721"/>
    <cellStyle name="cr4 -CalCurr 2" xfId="722"/>
    <cellStyle name="Currency 2" xfId="216"/>
    <cellStyle name="Currency 2 10" xfId="1898"/>
    <cellStyle name="Currency 2 2" xfId="217"/>
    <cellStyle name="Currency 2 3" xfId="568"/>
    <cellStyle name="Currency 2 4" xfId="1265"/>
    <cellStyle name="Currency 2 5" xfId="1339"/>
    <cellStyle name="Currency 2 6" xfId="1381"/>
    <cellStyle name="Currency 2 7" xfId="1441"/>
    <cellStyle name="Currency 2 8" xfId="1512"/>
    <cellStyle name="Currency 2 9" xfId="1584"/>
    <cellStyle name="Currency 3" xfId="218"/>
    <cellStyle name="Currency 3 10" xfId="1899"/>
    <cellStyle name="Currency 3 11" xfId="3602"/>
    <cellStyle name="Currency 3 2" xfId="219"/>
    <cellStyle name="Currency 3 3" xfId="1211"/>
    <cellStyle name="Currency 3 4" xfId="1266"/>
    <cellStyle name="Currency 3 5" xfId="1340"/>
    <cellStyle name="Currency 3 6" xfId="1382"/>
    <cellStyle name="Currency 3 7" xfId="1442"/>
    <cellStyle name="Currency 3 8" xfId="1513"/>
    <cellStyle name="Currency 3 9" xfId="1585"/>
    <cellStyle name="Currency 4" xfId="440"/>
    <cellStyle name="Currency 4 10" xfId="1586"/>
    <cellStyle name="Currency 4 11" xfId="1900"/>
    <cellStyle name="Currency 4 12" xfId="723"/>
    <cellStyle name="Currency 4 13" xfId="4695"/>
    <cellStyle name="Currency 4 2" xfId="724"/>
    <cellStyle name="Currency 4 2 10" xfId="1901"/>
    <cellStyle name="Currency 4 2 2" xfId="1176"/>
    <cellStyle name="Currency 4 2 3" xfId="1213"/>
    <cellStyle name="Currency 4 2 4" xfId="1268"/>
    <cellStyle name="Currency 4 2 5" xfId="1342"/>
    <cellStyle name="Currency 4 2 6" xfId="1384"/>
    <cellStyle name="Currency 4 2 7" xfId="1444"/>
    <cellStyle name="Currency 4 2 8" xfId="1515"/>
    <cellStyle name="Currency 4 2 9" xfId="1587"/>
    <cellStyle name="Currency 4 3" xfId="1175"/>
    <cellStyle name="Currency 4 4" xfId="1212"/>
    <cellStyle name="Currency 4 5" xfId="1267"/>
    <cellStyle name="Currency 4 6" xfId="1341"/>
    <cellStyle name="Currency 4 7" xfId="1383"/>
    <cellStyle name="Currency 4 8" xfId="1443"/>
    <cellStyle name="Currency 4 9" xfId="1514"/>
    <cellStyle name="Currency 5" xfId="1076"/>
    <cellStyle name="Currency 5 2" xfId="1772"/>
    <cellStyle name="Currency 5 3" xfId="3906"/>
    <cellStyle name="Currency 5 4" xfId="4085"/>
    <cellStyle name="Currency 5 4 2" xfId="4613"/>
    <cellStyle name="Currency 6" xfId="430"/>
    <cellStyle name="Currency0" xfId="436"/>
    <cellStyle name="Data Input" xfId="937"/>
    <cellStyle name="Data Input 2" xfId="3447"/>
    <cellStyle name="Data Input 3" xfId="2502"/>
    <cellStyle name="Data Rows" xfId="938"/>
    <cellStyle name="Data Rows 2" xfId="978"/>
    <cellStyle name="Data Rows 2 2" xfId="3467"/>
    <cellStyle name="Data Rows 2 3" xfId="2522"/>
    <cellStyle name="Data Rows 3" xfId="3448"/>
    <cellStyle name="Data Rows 3 2" xfId="3589"/>
    <cellStyle name="Data Rows 4" xfId="2503"/>
    <cellStyle name="Date" xfId="435"/>
    <cellStyle name="Date (short)" xfId="940"/>
    <cellStyle name="Date (short) 2" xfId="3450"/>
    <cellStyle name="Date (short) 3" xfId="2505"/>
    <cellStyle name="Date 10" xfId="3098"/>
    <cellStyle name="Date 11" xfId="2113"/>
    <cellStyle name="Date 12" xfId="2633"/>
    <cellStyle name="Date 12 2" xfId="5467"/>
    <cellStyle name="Date 12 3" xfId="5048"/>
    <cellStyle name="Date 13" xfId="4916"/>
    <cellStyle name="Date 14" xfId="4785"/>
    <cellStyle name="Date 2" xfId="939"/>
    <cellStyle name="Date 2 2" xfId="3449"/>
    <cellStyle name="Date 2 3" xfId="2504"/>
    <cellStyle name="Date 3" xfId="1103"/>
    <cellStyle name="Date 3 2" xfId="3547"/>
    <cellStyle name="Date 3 3" xfId="2594"/>
    <cellStyle name="Date 4" xfId="1113"/>
    <cellStyle name="Date 4 2" xfId="3550"/>
    <cellStyle name="Date 4 3" xfId="2597"/>
    <cellStyle name="Date 5" xfId="1618"/>
    <cellStyle name="Date 5 2" xfId="3649"/>
    <cellStyle name="Date 5 3" xfId="2651"/>
    <cellStyle name="Date 6" xfId="1620"/>
    <cellStyle name="Date 6 2" xfId="3650"/>
    <cellStyle name="Date 6 3" xfId="2652"/>
    <cellStyle name="Date 7" xfId="1622"/>
    <cellStyle name="Date 7 2" xfId="3651"/>
    <cellStyle name="Date 7 3" xfId="2653"/>
    <cellStyle name="Date 8" xfId="1624"/>
    <cellStyle name="Date 8 2" xfId="3653"/>
    <cellStyle name="Date 8 3" xfId="2655"/>
    <cellStyle name="Date 9" xfId="1623"/>
    <cellStyle name="Date 9 2" xfId="3652"/>
    <cellStyle name="Date 9 3" xfId="2654"/>
    <cellStyle name="Date and Time" xfId="941"/>
    <cellStyle name="Date and Time 2" xfId="982"/>
    <cellStyle name="Date Released" xfId="220"/>
    <cellStyle name="données" xfId="221"/>
    <cellStyle name="donnéesbord" xfId="222"/>
    <cellStyle name="Entry 1A" xfId="942"/>
    <cellStyle name="Entry 1A 2" xfId="984"/>
    <cellStyle name="Entry 1A 2 2" xfId="1108"/>
    <cellStyle name="Entry 1A 2 2 2" xfId="1701"/>
    <cellStyle name="Entry 1A 2 2 2 2" xfId="3724"/>
    <cellStyle name="Entry 1A 2 2 2 3" xfId="2725"/>
    <cellStyle name="Entry 1A 2 2 3" xfId="3548"/>
    <cellStyle name="Entry 1A 2 2 4" xfId="3629"/>
    <cellStyle name="Entry 1A 2 2 5" xfId="2595"/>
    <cellStyle name="Entry 1A 2 3" xfId="1116"/>
    <cellStyle name="Entry 1A 2 3 2" xfId="3552"/>
    <cellStyle name="Entry 1A 2 3 3" xfId="2599"/>
    <cellStyle name="Entry 1A 2 4" xfId="3469"/>
    <cellStyle name="Entry 1A 2 5" xfId="2523"/>
    <cellStyle name="Entry 1A 3" xfId="3451"/>
    <cellStyle name="Entry 1A 3 2" xfId="3639"/>
    <cellStyle name="Entry 1A 4" xfId="2506"/>
    <cellStyle name="Entry 1B" xfId="943"/>
    <cellStyle name="Entry 1B 2" xfId="985"/>
    <cellStyle name="Entry 1B 2 2" xfId="1109"/>
    <cellStyle name="Entry 1B 2 2 2" xfId="1702"/>
    <cellStyle name="Entry 1B 2 2 2 2" xfId="3725"/>
    <cellStyle name="Entry 1B 2 2 2 3" xfId="2726"/>
    <cellStyle name="Entry 1B 2 2 3" xfId="3549"/>
    <cellStyle name="Entry 1B 2 2 4" xfId="3092"/>
    <cellStyle name="Entry 1B 2 2 5" xfId="2596"/>
    <cellStyle name="Entry 1B 2 3" xfId="1115"/>
    <cellStyle name="Entry 1B 2 3 2" xfId="3551"/>
    <cellStyle name="Entry 1B 2 3 3" xfId="2598"/>
    <cellStyle name="Entry 1B 2 4" xfId="3470"/>
    <cellStyle name="Entry 1B 2 5" xfId="2524"/>
    <cellStyle name="Entry 1B 3" xfId="3452"/>
    <cellStyle name="Entry 1B 4" xfId="2507"/>
    <cellStyle name="Euro" xfId="223"/>
    <cellStyle name="Euro 2" xfId="2946"/>
    <cellStyle name="Euro 2 2" xfId="4250"/>
    <cellStyle name="Euro 2 3" xfId="4878"/>
    <cellStyle name="Euro 2 4" xfId="5246"/>
    <cellStyle name="Euro 2 5" xfId="4249"/>
    <cellStyle name="Euro 3" xfId="2012"/>
    <cellStyle name="Euro 3 2" xfId="4252"/>
    <cellStyle name="Euro 3 3" xfId="5369"/>
    <cellStyle name="Euro 3 4" xfId="4251"/>
    <cellStyle name="Euro 4" xfId="4248"/>
    <cellStyle name="Euro 5" xfId="4681"/>
    <cellStyle name="Explanatory Text" xfId="395" builtinId="53" customBuiltin="1"/>
    <cellStyle name="Explanatory Text 10" xfId="1158"/>
    <cellStyle name="Explanatory Text 10 2" xfId="3579"/>
    <cellStyle name="Explanatory Text 10 3" xfId="2625"/>
    <cellStyle name="Explanatory Text 11" xfId="1677"/>
    <cellStyle name="Explanatory Text 11 2" xfId="3703"/>
    <cellStyle name="Explanatory Text 11 3" xfId="2704"/>
    <cellStyle name="Explanatory Text 12" xfId="3061"/>
    <cellStyle name="Explanatory Text 13" xfId="2131"/>
    <cellStyle name="Explanatory Text 2" xfId="45"/>
    <cellStyle name="Explanatory text 2 10" xfId="1621"/>
    <cellStyle name="Explanatory Text 2 11" xfId="1655"/>
    <cellStyle name="Explanatory Text 2 11 2" xfId="3682"/>
    <cellStyle name="Explanatory Text 2 11 3" xfId="2684"/>
    <cellStyle name="Explanatory Text 2 12" xfId="1679"/>
    <cellStyle name="Explanatory Text 2 12 2" xfId="3704"/>
    <cellStyle name="Explanatory Text 2 12 3" xfId="2705"/>
    <cellStyle name="Explanatory Text 2 13" xfId="726"/>
    <cellStyle name="Explanatory Text 2 13 2" xfId="3299"/>
    <cellStyle name="Explanatory Text 2 13 3" xfId="2355"/>
    <cellStyle name="Explanatory Text 2 13 3 2" xfId="5405"/>
    <cellStyle name="Explanatory Text 2 13 3 3" xfId="4554"/>
    <cellStyle name="Explanatory Text 2 13 4" xfId="4725"/>
    <cellStyle name="Explanatory Text 2 13 5" xfId="5109"/>
    <cellStyle name="Explanatory Text 2 13 6" xfId="4009"/>
    <cellStyle name="Explanatory Text 2 14" xfId="2947"/>
    <cellStyle name="Explanatory Text 2 15" xfId="3088"/>
    <cellStyle name="Explanatory Text 2 16" xfId="3089"/>
    <cellStyle name="Explanatory Text 2 17" xfId="3087"/>
    <cellStyle name="Explanatory Text 2 18" xfId="3596"/>
    <cellStyle name="Explanatory Text 2 19" xfId="3852"/>
    <cellStyle name="Explanatory Text 2 2" xfId="225"/>
    <cellStyle name="Explanatory Text 2 2 2" xfId="987"/>
    <cellStyle name="Explanatory Text 2 2 3" xfId="908"/>
    <cellStyle name="Explanatory Text 2 2 3 2" xfId="3422"/>
    <cellStyle name="Explanatory Text 2 2 3 3" xfId="2477"/>
    <cellStyle name="Explanatory Text 2 2 3 3 2" xfId="5440"/>
    <cellStyle name="Explanatory Text 2 2 3 3 3" xfId="4555"/>
    <cellStyle name="Explanatory Text 2 2 3 4" xfId="4761"/>
    <cellStyle name="Explanatory Text 2 2 3 5" xfId="5110"/>
    <cellStyle name="Explanatory Text 2 2 3 6" xfId="4010"/>
    <cellStyle name="Explanatory Text 2 2 4" xfId="2948"/>
    <cellStyle name="Explanatory Text 2 2 4 2" xfId="4879"/>
    <cellStyle name="Explanatory Text 2 2 4 3" xfId="5247"/>
    <cellStyle name="Explanatory Text 2 2 4 4" xfId="4253"/>
    <cellStyle name="Explanatory Text 2 2 5" xfId="2014"/>
    <cellStyle name="Explanatory Text 2 20" xfId="3601"/>
    <cellStyle name="Explanatory Text 2 21" xfId="2013"/>
    <cellStyle name="Explanatory Text 2 21 2" xfId="5027"/>
    <cellStyle name="Explanatory Text 2 21 3" xfId="5311"/>
    <cellStyle name="Explanatory Text 2 21 4" xfId="5370"/>
    <cellStyle name="Explanatory Text 2 21 5" xfId="4499"/>
    <cellStyle name="Explanatory Text 2 22" xfId="2649"/>
    <cellStyle name="Explanatory Text 2 22 2" xfId="5469"/>
    <cellStyle name="Explanatory Text 2 22 3" xfId="4483"/>
    <cellStyle name="Explanatory Text 2 23" xfId="3900"/>
    <cellStyle name="Explanatory Text 2 23 2" xfId="5521"/>
    <cellStyle name="Explanatory Text 2 23 3" xfId="4489"/>
    <cellStyle name="Explanatory Text 2 24" xfId="3901"/>
    <cellStyle name="Explanatory Text 2 24 2" xfId="5522"/>
    <cellStyle name="Explanatory Text 2 24 3" xfId="4649"/>
    <cellStyle name="Explanatory Text 2 25" xfId="4682"/>
    <cellStyle name="Explanatory Text 2 26" xfId="5047"/>
    <cellStyle name="Explanatory Text 2 27" xfId="4688"/>
    <cellStyle name="Explanatory Text 2 28" xfId="5045"/>
    <cellStyle name="Explanatory Text 2 29" xfId="5348"/>
    <cellStyle name="Explanatory Text 2 3" xfId="224"/>
    <cellStyle name="Explanatory Text 2 3 2" xfId="1121"/>
    <cellStyle name="Explanatory Text 2 3 2 2" xfId="3554"/>
    <cellStyle name="Explanatory Text 2 3 2 3" xfId="2601"/>
    <cellStyle name="Explanatory text 2 3 3" xfId="944"/>
    <cellStyle name="Explanatory Text 2 30" xfId="5353"/>
    <cellStyle name="Explanatory Text 2 31" xfId="5507"/>
    <cellStyle name="Explanatory Text 2 32" xfId="5349"/>
    <cellStyle name="Explanatory Text 2 33" xfId="5355"/>
    <cellStyle name="Explanatory Text 2 34" xfId="3939"/>
    <cellStyle name="Explanatory Text 2 35" xfId="4912"/>
    <cellStyle name="Explanatory Text 2 4" xfId="1067"/>
    <cellStyle name="Explanatory text 2 4 2" xfId="1234"/>
    <cellStyle name="Explanatory Text 2 4 3" xfId="3532"/>
    <cellStyle name="Explanatory Text 2 4 4" xfId="2579"/>
    <cellStyle name="Explanatory Text 2 4 5" xfId="3860"/>
    <cellStyle name="Explanatory Text 2 4 5 2" xfId="5509"/>
    <cellStyle name="Explanatory Text 2 4 5 3" xfId="5049"/>
    <cellStyle name="Explanatory Text 2 4 6" xfId="4974"/>
    <cellStyle name="Explanatory Text 2 4 7" xfId="5344"/>
    <cellStyle name="Explanatory Text 2 5" xfId="1072"/>
    <cellStyle name="Explanatory Text 2 5 2" xfId="3542"/>
    <cellStyle name="Explanatory Text 2 5 3" xfId="2589"/>
    <cellStyle name="Explanatory Text 2 6" xfId="1070"/>
    <cellStyle name="Explanatory Text 2 6 2" xfId="3540"/>
    <cellStyle name="Explanatory Text 2 6 3" xfId="2587"/>
    <cellStyle name="Explanatory text 2 7" xfId="1104"/>
    <cellStyle name="Explanatory text 2 8" xfId="1110"/>
    <cellStyle name="Explanatory text 2 9" xfId="1619"/>
    <cellStyle name="Explanatory Text 3" xfId="725"/>
    <cellStyle name="Explanatory Text 3 2" xfId="3298"/>
    <cellStyle name="Explanatory Text 3 2 2" xfId="4962"/>
    <cellStyle name="Explanatory Text 3 2 3" xfId="5248"/>
    <cellStyle name="Explanatory Text 3 2 4" xfId="4254"/>
    <cellStyle name="Explanatory Text 3 3" xfId="2354"/>
    <cellStyle name="Explanatory Text 4" xfId="1035"/>
    <cellStyle name="Explanatory Text 4 2" xfId="3492"/>
    <cellStyle name="Explanatory Text 4 3" xfId="2540"/>
    <cellStyle name="Explanatory Text 5" xfId="1041"/>
    <cellStyle name="Explanatory Text 5 2" xfId="3494"/>
    <cellStyle name="Explanatory Text 5 3" xfId="2541"/>
    <cellStyle name="Explanatory Text 6" xfId="1042"/>
    <cellStyle name="Explanatory Text 6 2" xfId="3495"/>
    <cellStyle name="Explanatory Text 6 3" xfId="2542"/>
    <cellStyle name="Explanatory Text 7" xfId="1155"/>
    <cellStyle name="Explanatory Text 7 2" xfId="3576"/>
    <cellStyle name="Explanatory Text 7 3" xfId="2622"/>
    <cellStyle name="Explanatory Text 8" xfId="1157"/>
    <cellStyle name="Explanatory Text 8 2" xfId="3578"/>
    <cellStyle name="Explanatory Text 8 3" xfId="2624"/>
    <cellStyle name="Explanatory Text 9" xfId="1156"/>
    <cellStyle name="Explanatory Text 9 2" xfId="3577"/>
    <cellStyle name="Explanatory Text 9 3" xfId="2623"/>
    <cellStyle name="Fixed" xfId="434"/>
    <cellStyle name="Followed Hyperlink 2" xfId="945"/>
    <cellStyle name="Followed Hyperlink 2 2" xfId="3453"/>
    <cellStyle name="Followed Hyperlink 2 3" xfId="2508"/>
    <cellStyle name="Followed Hyperlink 3" xfId="1242"/>
    <cellStyle name="Followed Hyperlink 3 2" xfId="3598"/>
    <cellStyle name="Followed Hyperlink 3 3" xfId="2630"/>
    <cellStyle name="Followed Hyperlink 4" xfId="3471"/>
    <cellStyle name="Followed Hyperlink 5" xfId="2525"/>
    <cellStyle name="Followed Hyperlink 6" xfId="988"/>
    <cellStyle name="Good" xfId="386" builtinId="26" customBuiltin="1"/>
    <cellStyle name="Good 2" xfId="46"/>
    <cellStyle name="Good 2 2" xfId="227"/>
    <cellStyle name="Good 2 2 2" xfId="909"/>
    <cellStyle name="Good 2 2 2 2" xfId="3423"/>
    <cellStyle name="Good 2 2 2 3" xfId="2478"/>
    <cellStyle name="Good 2 2 2 3 2" xfId="5441"/>
    <cellStyle name="Good 2 2 2 3 3" xfId="4556"/>
    <cellStyle name="Good 2 2 2 4" xfId="4762"/>
    <cellStyle name="Good 2 2 2 5" xfId="5111"/>
    <cellStyle name="Good 2 2 2 6" xfId="4011"/>
    <cellStyle name="Good 2 2 3" xfId="2950"/>
    <cellStyle name="Good 2 2 3 2" xfId="4881"/>
    <cellStyle name="Good 2 2 3 3" xfId="5250"/>
    <cellStyle name="Good 2 2 3 4" xfId="4256"/>
    <cellStyle name="Good 2 2 4" xfId="2016"/>
    <cellStyle name="Good 2 3" xfId="226"/>
    <cellStyle name="Good 2 3 2" xfId="3533"/>
    <cellStyle name="Good 2 3 3" xfId="2580"/>
    <cellStyle name="Good 2 4" xfId="1656"/>
    <cellStyle name="Good 2 4 2" xfId="3683"/>
    <cellStyle name="Good 2 4 3" xfId="2685"/>
    <cellStyle name="Good 2 5" xfId="728"/>
    <cellStyle name="Good 2 5 2" xfId="3301"/>
    <cellStyle name="Good 2 5 3" xfId="2357"/>
    <cellStyle name="Good 2 6" xfId="2949"/>
    <cellStyle name="Good 2 6 2" xfId="4880"/>
    <cellStyle name="Good 2 6 3" xfId="5249"/>
    <cellStyle name="Good 2 6 4" xfId="4255"/>
    <cellStyle name="Good 2 7" xfId="2015"/>
    <cellStyle name="Good 3" xfId="729"/>
    <cellStyle name="Good 3 2" xfId="3302"/>
    <cellStyle name="Good 3 2 2" xfId="4963"/>
    <cellStyle name="Good 3 2 3" xfId="5251"/>
    <cellStyle name="Good 3 2 4" xfId="4257"/>
    <cellStyle name="Good 3 3" xfId="2358"/>
    <cellStyle name="Good 4" xfId="727"/>
    <cellStyle name="Good 4 2" xfId="3300"/>
    <cellStyle name="Good 4 3" xfId="2356"/>
    <cellStyle name="Good 5" xfId="3051"/>
    <cellStyle name="Good 6" xfId="2121"/>
    <cellStyle name="Grey" xfId="4258"/>
    <cellStyle name="Grey 2" xfId="4259"/>
    <cellStyle name="Grey 2 2" xfId="4260"/>
    <cellStyle name="Grey 3" xfId="4261"/>
    <cellStyle name="Grey 3 2" xfId="4262"/>
    <cellStyle name="h0 -Heading" xfId="730"/>
    <cellStyle name="h0 -Heading 2" xfId="731"/>
    <cellStyle name="h0 -Heading 2 2" xfId="3304"/>
    <cellStyle name="h0 -Heading 2 3" xfId="2360"/>
    <cellStyle name="h0 -Heading 3" xfId="3303"/>
    <cellStyle name="h0 -Heading 4" xfId="2359"/>
    <cellStyle name="h1 -Heading" xfId="732"/>
    <cellStyle name="h1 -Heading 2" xfId="733"/>
    <cellStyle name="h1 -Heading 2 2" xfId="3306"/>
    <cellStyle name="h1 -Heading 2 3" xfId="2362"/>
    <cellStyle name="h1 -Heading 3" xfId="3305"/>
    <cellStyle name="h1 -Heading 4" xfId="2361"/>
    <cellStyle name="h2 -Heading" xfId="734"/>
    <cellStyle name="h2 -Heading 2" xfId="735"/>
    <cellStyle name="h2 -Heading 2 2" xfId="3308"/>
    <cellStyle name="h2 -Heading 2 3" xfId="2364"/>
    <cellStyle name="h2 -Heading 3" xfId="3307"/>
    <cellStyle name="h2 -Heading 4" xfId="2363"/>
    <cellStyle name="h3 -Heading" xfId="736"/>
    <cellStyle name="h3 -Heading 2" xfId="737"/>
    <cellStyle name="h3 -Heading 2 2" xfId="3310"/>
    <cellStyle name="h3 -Heading 2 3" xfId="2366"/>
    <cellStyle name="h3 -Heading 3" xfId="3309"/>
    <cellStyle name="h3 -Heading 4" xfId="2365"/>
    <cellStyle name="Heading 1" xfId="2" builtinId="16" customBuiltin="1"/>
    <cellStyle name="Heading 1 2" xfId="14"/>
    <cellStyle name="Heading 1 2 2" xfId="229"/>
    <cellStyle name="Heading 1 2 2 2" xfId="381"/>
    <cellStyle name="Heading 1 2 2 2 2" xfId="3472"/>
    <cellStyle name="Heading 1 2 2 2 3" xfId="2526"/>
    <cellStyle name="Heading 1 2 2 2 4" xfId="989"/>
    <cellStyle name="Heading 1 2 2 3" xfId="910"/>
    <cellStyle name="Heading 1 2 2 3 2" xfId="3424"/>
    <cellStyle name="Heading 1 2 2 3 3" xfId="2479"/>
    <cellStyle name="Heading 1 2 2 3 3 2" xfId="5442"/>
    <cellStyle name="Heading 1 2 2 3 3 3" xfId="4557"/>
    <cellStyle name="Heading 1 2 2 3 4" xfId="4763"/>
    <cellStyle name="Heading 1 2 2 3 5" xfId="5112"/>
    <cellStyle name="Heading 1 2 2 3 6" xfId="4012"/>
    <cellStyle name="Heading 1 2 2 4" xfId="2952"/>
    <cellStyle name="Heading 1 2 2 4 2" xfId="4883"/>
    <cellStyle name="Heading 1 2 2 4 3" xfId="5253"/>
    <cellStyle name="Heading 1 2 2 4 4" xfId="4264"/>
    <cellStyle name="Heading 1 2 2 5" xfId="2018"/>
    <cellStyle name="Heading 1 2 3" xfId="228"/>
    <cellStyle name="Heading 1 2 3 2" xfId="382"/>
    <cellStyle name="Heading 1 2 3 2 2" xfId="3555"/>
    <cellStyle name="Heading 1 2 3 2 3" xfId="2602"/>
    <cellStyle name="Heading 1 2 3 3" xfId="3454"/>
    <cellStyle name="Heading 1 2 3 4" xfId="2509"/>
    <cellStyle name="Heading 1 2 3 5" xfId="946"/>
    <cellStyle name="Heading 1 2 4" xfId="1235"/>
    <cellStyle name="Heading 1 2 4 2" xfId="3594"/>
    <cellStyle name="Heading 1 2 4 3" xfId="2628"/>
    <cellStyle name="Heading 1 2 5" xfId="1657"/>
    <cellStyle name="Heading 1 2 5 2" xfId="3684"/>
    <cellStyle name="Heading 1 2 5 3" xfId="2686"/>
    <cellStyle name="Heading 1 2 6" xfId="2951"/>
    <cellStyle name="Heading 1 2 6 2" xfId="4882"/>
    <cellStyle name="Heading 1 2 6 3" xfId="5252"/>
    <cellStyle name="Heading 1 2 6 4" xfId="4263"/>
    <cellStyle name="Heading 1 2 7" xfId="2017"/>
    <cellStyle name="Heading 1 2_CPI" xfId="354"/>
    <cellStyle name="Heading 1 3" xfId="433"/>
    <cellStyle name="Heading 1 3 2" xfId="739"/>
    <cellStyle name="Heading 1 3 2 2" xfId="3312"/>
    <cellStyle name="Heading 1 3 2 3" xfId="2368"/>
    <cellStyle name="Heading 1 3 2 4" xfId="5254"/>
    <cellStyle name="Heading 1 3 2 5" xfId="4265"/>
    <cellStyle name="Heading 1 3 3" xfId="3097"/>
    <cellStyle name="Heading 1 3 4" xfId="2112"/>
    <cellStyle name="Heading 1 4" xfId="738"/>
    <cellStyle name="Heading 1 4 2" xfId="3311"/>
    <cellStyle name="Heading 1 4 3" xfId="2367"/>
    <cellStyle name="Heading 1 5" xfId="875"/>
    <cellStyle name="Heading 1 5 2" xfId="3390"/>
    <cellStyle name="Heading 1 5 3" xfId="3621"/>
    <cellStyle name="Heading 1 5 4" xfId="2445"/>
    <cellStyle name="Heading 1 6" xfId="3047"/>
    <cellStyle name="Heading 1 7" xfId="2117"/>
    <cellStyle name="Heading 1 8" xfId="422"/>
    <cellStyle name="Heading 1-noindex" xfId="947"/>
    <cellStyle name="Heading 1-noindex 2" xfId="990"/>
    <cellStyle name="Heading 1-noindex 2 2" xfId="3473"/>
    <cellStyle name="Heading 1-noindex 2 3" xfId="2527"/>
    <cellStyle name="Heading 1-noindex 3" xfId="3455"/>
    <cellStyle name="Heading 1-noindex 3 2" xfId="3565"/>
    <cellStyle name="Heading 1-noindex 4" xfId="2510"/>
    <cellStyle name="Heading 2" xfId="3" builtinId="17" customBuiltin="1"/>
    <cellStyle name="Heading 2 2" xfId="12"/>
    <cellStyle name="Heading 2 2 2" xfId="231"/>
    <cellStyle name="Heading 2 2 2 2" xfId="383"/>
    <cellStyle name="Heading 2 2 2 2 2" xfId="3556"/>
    <cellStyle name="Heading 2 2 2 2 3" xfId="2603"/>
    <cellStyle name="Heading 2 2 2 2 4" xfId="1122"/>
    <cellStyle name="Heading 2 2 2 3" xfId="911"/>
    <cellStyle name="Heading 2 2 2 3 2" xfId="3425"/>
    <cellStyle name="Heading 2 2 2 3 3" xfId="2480"/>
    <cellStyle name="Heading 2 2 2 3 3 2" xfId="5443"/>
    <cellStyle name="Heading 2 2 2 3 3 3" xfId="4558"/>
    <cellStyle name="Heading 2 2 2 3 4" xfId="4764"/>
    <cellStyle name="Heading 2 2 2 3 5" xfId="5113"/>
    <cellStyle name="Heading 2 2 2 3 6" xfId="4013"/>
    <cellStyle name="Heading 2 2 2 4" xfId="2954"/>
    <cellStyle name="Heading 2 2 2 4 2" xfId="4885"/>
    <cellStyle name="Heading 2 2 2 4 3" xfId="5256"/>
    <cellStyle name="Heading 2 2 2 4 4" xfId="4267"/>
    <cellStyle name="Heading 2 2 2 5" xfId="2020"/>
    <cellStyle name="Heading 2 2 3" xfId="230"/>
    <cellStyle name="Heading 2 2 3 2" xfId="384"/>
    <cellStyle name="Heading 2 2 3 2 2" xfId="3456"/>
    <cellStyle name="Heading 2 2 3 3" xfId="2511"/>
    <cellStyle name="Heading 2 2 3 4" xfId="948"/>
    <cellStyle name="Heading 2 2 4" xfId="1658"/>
    <cellStyle name="Heading 2 2 4 2" xfId="3685"/>
    <cellStyle name="Heading 2 2 4 3" xfId="2687"/>
    <cellStyle name="Heading 2 2 5" xfId="2953"/>
    <cellStyle name="Heading 2 2 5 2" xfId="4884"/>
    <cellStyle name="Heading 2 2 5 3" xfId="5255"/>
    <cellStyle name="Heading 2 2 5 4" xfId="4266"/>
    <cellStyle name="Heading 2 2 6" xfId="2019"/>
    <cellStyle name="Heading 2 2_CPI" xfId="355"/>
    <cellStyle name="Heading 2 3" xfId="432"/>
    <cellStyle name="Heading 2 3 2" xfId="741"/>
    <cellStyle name="Heading 2 3 2 2" xfId="3314"/>
    <cellStyle name="Heading 2 3 2 3" xfId="2370"/>
    <cellStyle name="Heading 2 3 2 4" xfId="5257"/>
    <cellStyle name="Heading 2 3 2 5" xfId="4268"/>
    <cellStyle name="Heading 2 3 3" xfId="3096"/>
    <cellStyle name="Heading 2 3 4" xfId="2111"/>
    <cellStyle name="Heading 2 4" xfId="740"/>
    <cellStyle name="Heading 2 4 2" xfId="3313"/>
    <cellStyle name="Heading 2 4 3" xfId="2369"/>
    <cellStyle name="Heading 2 5" xfId="876"/>
    <cellStyle name="Heading 2 5 2" xfId="3391"/>
    <cellStyle name="Heading 2 5 3" xfId="2446"/>
    <cellStyle name="Heading 2 6" xfId="3048"/>
    <cellStyle name="Heading 2 7" xfId="2118"/>
    <cellStyle name="Heading 2 8" xfId="423"/>
    <cellStyle name="Heading 3" xfId="4" builtinId="18" customBuiltin="1"/>
    <cellStyle name="Heading 3 2" xfId="47"/>
    <cellStyle name="Heading 3 2 10" xfId="5506"/>
    <cellStyle name="Heading 3 2 11" xfId="3941"/>
    <cellStyle name="Heading 3 2 12" xfId="3868"/>
    <cellStyle name="Heading 3 2 2" xfId="233"/>
    <cellStyle name="Heading 3 2 2 10" xfId="3943"/>
    <cellStyle name="Heading 3 2 2 11" xfId="3866"/>
    <cellStyle name="Heading 3 2 2 2" xfId="1123"/>
    <cellStyle name="Heading 3 2 2 2 2" xfId="3557"/>
    <cellStyle name="Heading 3 2 2 2 2 2" xfId="3897"/>
    <cellStyle name="Heading 3 2 2 2 2 2 2" xfId="5518"/>
    <cellStyle name="Heading 3 2 2 2 2 2 3" xfId="5546"/>
    <cellStyle name="Heading 3 2 2 2 2 3" xfId="4979"/>
    <cellStyle name="Heading 3 2 2 2 2 4" xfId="3875"/>
    <cellStyle name="Heading 3 2 2 2 3" xfId="2604"/>
    <cellStyle name="Heading 3 2 2 2 3 2" xfId="3891"/>
    <cellStyle name="Heading 3 2 2 2 3 2 2" xfId="5514"/>
    <cellStyle name="Heading 3 2 2 2 3 2 3" xfId="5542"/>
    <cellStyle name="Heading 3 2 2 2 3 3" xfId="4786"/>
    <cellStyle name="Heading 3 2 2 2 3 4" xfId="3867"/>
    <cellStyle name="Heading 3 2 2 2 4" xfId="3885"/>
    <cellStyle name="Heading 3 2 2 2 4 2" xfId="5365"/>
    <cellStyle name="Heading 3 2 2 2 5" xfId="3902"/>
    <cellStyle name="Heading 3 2 2 2 5 2" xfId="5523"/>
    <cellStyle name="Heading 3 2 2 2 5 3" xfId="5549"/>
    <cellStyle name="Heading 3 2 2 2 6" xfId="5352"/>
    <cellStyle name="Heading 3 2 2 2 7" xfId="5501"/>
    <cellStyle name="Heading 3 2 2 2 8" xfId="3945"/>
    <cellStyle name="Heading 3 2 2 2 9" xfId="3863"/>
    <cellStyle name="Heading 3 2 2 3" xfId="912"/>
    <cellStyle name="Heading 3 2 2 3 2" xfId="3426"/>
    <cellStyle name="Heading 3 2 2 3 2 2" xfId="3896"/>
    <cellStyle name="Heading 3 2 2 3 2 2 2" xfId="5517"/>
    <cellStyle name="Heading 3 2 2 3 2 2 3" xfId="5545"/>
    <cellStyle name="Heading 3 2 2 3 2 3" xfId="4076"/>
    <cellStyle name="Heading 3 2 2 3 2 4" xfId="3877"/>
    <cellStyle name="Heading 3 2 2 3 3" xfId="2481"/>
    <cellStyle name="Heading 3 2 2 3 3 2" xfId="3890"/>
    <cellStyle name="Heading 3 2 2 3 3 2 2" xfId="5513"/>
    <cellStyle name="Heading 3 2 2 3 3 2 3" xfId="5541"/>
    <cellStyle name="Heading 3 2 2 3 3 3" xfId="5444"/>
    <cellStyle name="Heading 3 2 2 3 3 3 2" xfId="5537"/>
    <cellStyle name="Heading 3 2 2 3 3 4" xfId="4559"/>
    <cellStyle name="Heading 3 2 2 3 3 5" xfId="3946"/>
    <cellStyle name="Heading 3 2 2 3 3 6" xfId="3870"/>
    <cellStyle name="Heading 3 2 2 3 4" xfId="3884"/>
    <cellStyle name="Heading 3 2 2 3 4 2" xfId="5364"/>
    <cellStyle name="Heading 3 2 2 3 4 2 2" xfId="5536"/>
    <cellStyle name="Heading 3 2 2 3 4 3" xfId="4765"/>
    <cellStyle name="Heading 3 2 2 3 4 4" xfId="3942"/>
    <cellStyle name="Heading 3 2 2 3 5" xfId="5114"/>
    <cellStyle name="Heading 3 2 2 3 5 2" xfId="5535"/>
    <cellStyle name="Heading 3 2 2 3 6" xfId="4014"/>
    <cellStyle name="Heading 3 2 2 3 7" xfId="3944"/>
    <cellStyle name="Heading 3 2 2 3 8" xfId="3872"/>
    <cellStyle name="Heading 3 2 2 4" xfId="2956"/>
    <cellStyle name="Heading 3 2 2 4 2" xfId="3894"/>
    <cellStyle name="Heading 3 2 2 4 2 2" xfId="4887"/>
    <cellStyle name="Heading 3 2 2 4 2 3" xfId="5534"/>
    <cellStyle name="Heading 3 2 2 4 3" xfId="5259"/>
    <cellStyle name="Heading 3 2 2 4 4" xfId="4270"/>
    <cellStyle name="Heading 3 2 2 4 5" xfId="3873"/>
    <cellStyle name="Heading 3 2 2 5" xfId="2022"/>
    <cellStyle name="Heading 3 2 2 5 2" xfId="3888"/>
    <cellStyle name="Heading 3 2 2 5 2 2" xfId="5511"/>
    <cellStyle name="Heading 3 2 2 5 2 3" xfId="5539"/>
    <cellStyle name="Heading 3 2 2 5 3" xfId="4684"/>
    <cellStyle name="Heading 3 2 2 5 4" xfId="3880"/>
    <cellStyle name="Heading 3 2 2 6" xfId="3882"/>
    <cellStyle name="Heading 3 2 2 6 2" xfId="5362"/>
    <cellStyle name="Heading 3 2 2 7" xfId="3905"/>
    <cellStyle name="Heading 3 2 2 7 2" xfId="5525"/>
    <cellStyle name="Heading 3 2 2 7 3" xfId="5551"/>
    <cellStyle name="Heading 3 2 2 8" xfId="5359"/>
    <cellStyle name="Heading 3 2 2 9" xfId="5503"/>
    <cellStyle name="Heading 3 2 3" xfId="232"/>
    <cellStyle name="Heading 3 2 3 2" xfId="4271"/>
    <cellStyle name="Heading 3 2 3 3" xfId="949"/>
    <cellStyle name="Heading 3 2 4" xfId="1659"/>
    <cellStyle name="Heading 3 2 4 2" xfId="3686"/>
    <cellStyle name="Heading 3 2 4 2 2" xfId="3898"/>
    <cellStyle name="Heading 3 2 4 2 2 2" xfId="5519"/>
    <cellStyle name="Heading 3 2 4 2 2 3" xfId="5547"/>
    <cellStyle name="Heading 3 2 4 2 3" xfId="4984"/>
    <cellStyle name="Heading 3 2 4 2 4" xfId="3876"/>
    <cellStyle name="Heading 3 2 4 3" xfId="2688"/>
    <cellStyle name="Heading 3 2 4 3 2" xfId="3892"/>
    <cellStyle name="Heading 3 2 4 3 2 2" xfId="5515"/>
    <cellStyle name="Heading 3 2 4 3 2 3" xfId="5543"/>
    <cellStyle name="Heading 3 2 4 3 3" xfId="4807"/>
    <cellStyle name="Heading 3 2 4 3 4" xfId="3861"/>
    <cellStyle name="Heading 3 2 4 4" xfId="3886"/>
    <cellStyle name="Heading 3 2 4 4 2" xfId="5366"/>
    <cellStyle name="Heading 3 2 4 5" xfId="3899"/>
    <cellStyle name="Heading 3 2 4 5 2" xfId="5520"/>
    <cellStyle name="Heading 3 2 4 5 3" xfId="5548"/>
    <cellStyle name="Heading 3 2 4 6" xfId="5350"/>
    <cellStyle name="Heading 3 2 4 7" xfId="5504"/>
    <cellStyle name="Heading 3 2 4 8" xfId="3947"/>
    <cellStyle name="Heading 3 2 4 9" xfId="3865"/>
    <cellStyle name="Heading 3 2 5" xfId="2955"/>
    <cellStyle name="Heading 3 2 5 2" xfId="3893"/>
    <cellStyle name="Heading 3 2 5 2 2" xfId="4886"/>
    <cellStyle name="Heading 3 2 5 2 3" xfId="5533"/>
    <cellStyle name="Heading 3 2 5 3" xfId="5258"/>
    <cellStyle name="Heading 3 2 5 4" xfId="4269"/>
    <cellStyle name="Heading 3 2 5 5" xfId="3864"/>
    <cellStyle name="Heading 3 2 6" xfId="2021"/>
    <cellStyle name="Heading 3 2 6 2" xfId="3887"/>
    <cellStyle name="Heading 3 2 6 2 2" xfId="5510"/>
    <cellStyle name="Heading 3 2 6 2 3" xfId="5538"/>
    <cellStyle name="Heading 3 2 6 3" xfId="4683"/>
    <cellStyle name="Heading 3 2 6 4" xfId="3874"/>
    <cellStyle name="Heading 3 2 7" xfId="3881"/>
    <cellStyle name="Heading 3 2 7 2" xfId="5361"/>
    <cellStyle name="Heading 3 2 8" xfId="3903"/>
    <cellStyle name="Heading 3 2 8 2" xfId="5524"/>
    <cellStyle name="Heading 3 2 8 3" xfId="5550"/>
    <cellStyle name="Heading 3 2 9" xfId="5452"/>
    <cellStyle name="Heading 3 3" xfId="743"/>
    <cellStyle name="Heading 3 3 2" xfId="3316"/>
    <cellStyle name="Heading 3 3 2 2" xfId="4965"/>
    <cellStyle name="Heading 3 3 2 3" xfId="5260"/>
    <cellStyle name="Heading 3 3 2 4" xfId="4272"/>
    <cellStyle name="Heading 3 3 3" xfId="2372"/>
    <cellStyle name="Heading 3 4" xfId="742"/>
    <cellStyle name="Heading 3 4 2" xfId="3315"/>
    <cellStyle name="Heading 3 4 2 2" xfId="3895"/>
    <cellStyle name="Heading 3 4 2 2 2" xfId="5516"/>
    <cellStyle name="Heading 3 4 2 2 3" xfId="5544"/>
    <cellStyle name="Heading 3 4 2 3" xfId="4964"/>
    <cellStyle name="Heading 3 4 2 4" xfId="3878"/>
    <cellStyle name="Heading 3 4 3" xfId="2371"/>
    <cellStyle name="Heading 3 4 3 2" xfId="3889"/>
    <cellStyle name="Heading 3 4 3 2 2" xfId="5512"/>
    <cellStyle name="Heading 3 4 3 2 3" xfId="5540"/>
    <cellStyle name="Heading 3 4 3 3" xfId="4726"/>
    <cellStyle name="Heading 3 4 3 4" xfId="3869"/>
    <cellStyle name="Heading 3 4 4" xfId="3883"/>
    <cellStyle name="Heading 3 4 4 2" xfId="5363"/>
    <cellStyle name="Heading 3 4 5" xfId="3924"/>
    <cellStyle name="Heading 3 4 5 2" xfId="5527"/>
    <cellStyle name="Heading 3 4 5 3" xfId="5552"/>
    <cellStyle name="Heading 3 4 6" xfId="5505"/>
    <cellStyle name="Heading 3 4 7" xfId="5532"/>
    <cellStyle name="Heading 3 4 8" xfId="3940"/>
    <cellStyle name="Heading 3 4 9" xfId="3862"/>
    <cellStyle name="Heading 3 5" xfId="3049"/>
    <cellStyle name="Heading 3 6" xfId="2119"/>
    <cellStyle name="Heading 3 7" xfId="424"/>
    <cellStyle name="Heading 4" xfId="385" builtinId="19" customBuiltin="1"/>
    <cellStyle name="Heading 4 2" xfId="48"/>
    <cellStyle name="Heading 4 2 2" xfId="235"/>
    <cellStyle name="Heading 4 2 2 2" xfId="1124"/>
    <cellStyle name="Heading 4 2 2 2 2" xfId="3558"/>
    <cellStyle name="Heading 4 2 2 2 3" xfId="2605"/>
    <cellStyle name="Heading 4 2 2 3" xfId="913"/>
    <cellStyle name="Heading 4 2 2 3 2" xfId="3427"/>
    <cellStyle name="Heading 4 2 2 3 3" xfId="2482"/>
    <cellStyle name="Heading 4 2 2 3 3 2" xfId="5445"/>
    <cellStyle name="Heading 4 2 2 3 3 3" xfId="4560"/>
    <cellStyle name="Heading 4 2 2 3 4" xfId="4766"/>
    <cellStyle name="Heading 4 2 2 3 5" xfId="5115"/>
    <cellStyle name="Heading 4 2 2 3 6" xfId="4015"/>
    <cellStyle name="Heading 4 2 2 4" xfId="2958"/>
    <cellStyle name="Heading 4 2 2 4 2" xfId="4889"/>
    <cellStyle name="Heading 4 2 2 4 3" xfId="5262"/>
    <cellStyle name="Heading 4 2 2 4 4" xfId="4274"/>
    <cellStyle name="Heading 4 2 2 5" xfId="2024"/>
    <cellStyle name="Heading 4 2 3" xfId="234"/>
    <cellStyle name="Heading 4 2 3 2" xfId="3457"/>
    <cellStyle name="Heading 4 2 3 3" xfId="2512"/>
    <cellStyle name="Heading 4 2 3 4" xfId="950"/>
    <cellStyle name="Heading 4 2 4" xfId="1660"/>
    <cellStyle name="Heading 4 2 4 2" xfId="3687"/>
    <cellStyle name="Heading 4 2 4 3" xfId="2689"/>
    <cellStyle name="Heading 4 2 5" xfId="2957"/>
    <cellStyle name="Heading 4 2 5 2" xfId="4888"/>
    <cellStyle name="Heading 4 2 5 3" xfId="5261"/>
    <cellStyle name="Heading 4 2 5 4" xfId="4273"/>
    <cellStyle name="Heading 4 2 6" xfId="2023"/>
    <cellStyle name="Heading 4 3" xfId="745"/>
    <cellStyle name="Heading 4 3 2" xfId="991"/>
    <cellStyle name="Heading 4 3 2 2" xfId="1125"/>
    <cellStyle name="Heading 4 3 2 2 2" xfId="3559"/>
    <cellStyle name="Heading 4 3 2 2 3" xfId="2606"/>
    <cellStyle name="Heading 4 3 2 3" xfId="3474"/>
    <cellStyle name="Heading 4 3 2 4" xfId="2528"/>
    <cellStyle name="Heading 4 3 3" xfId="1243"/>
    <cellStyle name="Heading 4 3 3 2" xfId="3599"/>
    <cellStyle name="Heading 4 3 3 3" xfId="2631"/>
    <cellStyle name="Heading 4 3 4" xfId="3318"/>
    <cellStyle name="Heading 4 3 4 2" xfId="4966"/>
    <cellStyle name="Heading 4 3 4 3" xfId="5263"/>
    <cellStyle name="Heading 4 3 4 4" xfId="4275"/>
    <cellStyle name="Heading 4 3 5" xfId="2374"/>
    <cellStyle name="Heading 4 4" xfId="744"/>
    <cellStyle name="Heading 4 4 2" xfId="3317"/>
    <cellStyle name="Heading 4 4 3" xfId="2373"/>
    <cellStyle name="Heading 4 5" xfId="3050"/>
    <cellStyle name="Heading 4 6" xfId="2120"/>
    <cellStyle name="Heavy Box" xfId="951"/>
    <cellStyle name="Heavy Box 2" xfId="993"/>
    <cellStyle name="Heavy Box 2 2" xfId="3475"/>
    <cellStyle name="Heavy Box 2 3" xfId="2529"/>
    <cellStyle name="Heavy Box 3" xfId="992"/>
    <cellStyle name="Heavy Box 4" xfId="3458"/>
    <cellStyle name="Heavy Box 5" xfId="2513"/>
    <cellStyle name="hp0 -Hyperlink" xfId="746"/>
    <cellStyle name="hp0 -Hyperlink 2" xfId="3319"/>
    <cellStyle name="hp0 -Hyperlink 3" xfId="2375"/>
    <cellStyle name="hp1 -Hyperlink" xfId="747"/>
    <cellStyle name="hp1 -Hyperlink 2" xfId="3320"/>
    <cellStyle name="hp1 -Hyperlink 3" xfId="2376"/>
    <cellStyle name="hp2 -Hyperlink" xfId="748"/>
    <cellStyle name="hp2 -Hyperlink 2" xfId="3321"/>
    <cellStyle name="hp2 -Hyperlink 3" xfId="2377"/>
    <cellStyle name="hp3 -Hyperlink" xfId="749"/>
    <cellStyle name="hp3 -Hyperlink 2" xfId="3322"/>
    <cellStyle name="hp3 -Hyperlink 3" xfId="2378"/>
    <cellStyle name="Hyperlink 2" xfId="236"/>
    <cellStyle name="Hyperlink 2 2" xfId="751"/>
    <cellStyle name="Hyperlink 2 2 2" xfId="869"/>
    <cellStyle name="Hyperlink 2 2 2 2" xfId="1128"/>
    <cellStyle name="Hyperlink 2 2 2 3" xfId="3386"/>
    <cellStyle name="Hyperlink 2 2 2 4" xfId="2441"/>
    <cellStyle name="Hyperlink 2 2 3" xfId="995"/>
    <cellStyle name="Hyperlink 2 2 3 2" xfId="3477"/>
    <cellStyle name="Hyperlink 2 2 3 3" xfId="2531"/>
    <cellStyle name="Hyperlink 2 3" xfId="867"/>
    <cellStyle name="Hyperlink 2 3 2" xfId="1127"/>
    <cellStyle name="Hyperlink 2 3 3" xfId="3385"/>
    <cellStyle name="Hyperlink 2 3 4" xfId="2440"/>
    <cellStyle name="Hyperlink 2 4" xfId="870"/>
    <cellStyle name="Hyperlink 2 4 2" xfId="1236"/>
    <cellStyle name="Hyperlink 2 4 2 2" xfId="3595"/>
    <cellStyle name="Hyperlink 2 4 2 3" xfId="2629"/>
    <cellStyle name="Hyperlink 2 4 3" xfId="3387"/>
    <cellStyle name="Hyperlink 2 4 4" xfId="2442"/>
    <cellStyle name="Hyperlink 2 5" xfId="952"/>
    <cellStyle name="Hyperlink 2 5 2" xfId="3459"/>
    <cellStyle name="Hyperlink 2 5 3" xfId="2514"/>
    <cellStyle name="Hyperlink 2 6" xfId="1052"/>
    <cellStyle name="Hyperlink 2 7" xfId="1661"/>
    <cellStyle name="Hyperlink 2 7 2" xfId="3688"/>
    <cellStyle name="Hyperlink 2 7 3" xfId="2690"/>
    <cellStyle name="Hyperlink 2 8" xfId="750"/>
    <cellStyle name="Hyperlink 3" xfId="237"/>
    <cellStyle name="Hyperlink 3 2" xfId="1054"/>
    <cellStyle name="Hyperlink 3 2 2" xfId="3504"/>
    <cellStyle name="Hyperlink 3 2 3" xfId="2551"/>
    <cellStyle name="Hyperlink 3 3" xfId="1126"/>
    <cellStyle name="Hyperlink 3 4" xfId="914"/>
    <cellStyle name="Hyperlink 3 4 2" xfId="3428"/>
    <cellStyle name="Hyperlink 3 4 3" xfId="2483"/>
    <cellStyle name="Hyperlink 3 5" xfId="2960"/>
    <cellStyle name="Hyperlink 3 6" xfId="2025"/>
    <cellStyle name="Hyperlink 4" xfId="377"/>
    <cellStyle name="Hyperlink 4 2" xfId="994"/>
    <cellStyle name="Hyperlink 4 2 2" xfId="3476"/>
    <cellStyle name="Hyperlink 4 2 3" xfId="2530"/>
    <cellStyle name="Hyperlink 4 3" xfId="3205"/>
    <cellStyle name="Hyperlink 4 4" xfId="2261"/>
    <cellStyle name="Hyperlink 4 5" xfId="569"/>
    <cellStyle name="Hyperlink 5" xfId="1036"/>
    <cellStyle name="Hyperlink 6" xfId="2959"/>
    <cellStyle name="Hyperlink 7" xfId="5023"/>
    <cellStyle name="Hyperlink 8" xfId="4694"/>
    <cellStyle name="ic0 -InpComma" xfId="752"/>
    <cellStyle name="ic1 -InpComma" xfId="753"/>
    <cellStyle name="ic2 -InpComma" xfId="754"/>
    <cellStyle name="ic3 -InpComma" xfId="755"/>
    <cellStyle name="ic4 -InpComma" xfId="756"/>
    <cellStyle name="idDMMY -InpDate" xfId="757"/>
    <cellStyle name="idDMMYHM -InpDateTime" xfId="758"/>
    <cellStyle name="idDMY -InpDate" xfId="759"/>
    <cellStyle name="idMDY -InpDate" xfId="760"/>
    <cellStyle name="idMMY -InpDate" xfId="761"/>
    <cellStyle name="if0 -InpFixed" xfId="762"/>
    <cellStyle name="if0b-InpFixedB" xfId="763"/>
    <cellStyle name="if0-InpFixed" xfId="764"/>
    <cellStyle name="iln -InpTableTextNoWrap" xfId="765"/>
    <cellStyle name="ilnb-InpTableTextNoWrapB" xfId="766"/>
    <cellStyle name="ilw -InpTableTextWrap" xfId="767"/>
    <cellStyle name="ilw -InpTableTextWrap 2" xfId="3323"/>
    <cellStyle name="ilw -InpTableTextWrap 3" xfId="2379"/>
    <cellStyle name="imHM  -InpTime" xfId="768"/>
    <cellStyle name="imHM24+ -InpTime" xfId="769"/>
    <cellStyle name="Input" xfId="5" builtinId="20" customBuiltin="1"/>
    <cellStyle name="Input 2" xfId="13"/>
    <cellStyle name="Input 2 2" xfId="239"/>
    <cellStyle name="Input 2 2 2" xfId="1685"/>
    <cellStyle name="Input 2 2 2 2" xfId="1859"/>
    <cellStyle name="Input 2 2 2 2 2" xfId="3834"/>
    <cellStyle name="Input 2 2 2 2 3" xfId="2829"/>
    <cellStyle name="Input 2 2 2 3" xfId="1790"/>
    <cellStyle name="Input 2 2 2 3 2" xfId="3766"/>
    <cellStyle name="Input 2 2 2 3 3" xfId="2761"/>
    <cellStyle name="Input 2 2 2 4" xfId="3710"/>
    <cellStyle name="Input 2 2 2 5" xfId="2711"/>
    <cellStyle name="Input 2 2 3" xfId="1813"/>
    <cellStyle name="Input 2 2 3 2" xfId="3788"/>
    <cellStyle name="Input 2 2 3 2 2" xfId="4640"/>
    <cellStyle name="Input 2 2 3 3" xfId="2783"/>
    <cellStyle name="Input 2 2 3 3 2" xfId="5489"/>
    <cellStyle name="Input 2 2 3 3 3" xfId="4561"/>
    <cellStyle name="Input 2 2 3 4" xfId="4495"/>
    <cellStyle name="Input 2 2 3 5" xfId="4814"/>
    <cellStyle name="Input 2 2 3 6" xfId="5116"/>
    <cellStyle name="Input 2 2 3 7" xfId="4016"/>
    <cellStyle name="Input 2 2 4" xfId="1839"/>
    <cellStyle name="Input 2 2 4 2" xfId="3814"/>
    <cellStyle name="Input 2 2 4 3" xfId="2809"/>
    <cellStyle name="Input 2 2 5" xfId="915"/>
    <cellStyle name="Input 2 2 5 2" xfId="3429"/>
    <cellStyle name="Input 2 2 5 3" xfId="2484"/>
    <cellStyle name="Input 2 2 6" xfId="2962"/>
    <cellStyle name="Input 2 2 6 2" xfId="4891"/>
    <cellStyle name="Input 2 2 6 3" xfId="5265"/>
    <cellStyle name="Input 2 2 6 4" xfId="4277"/>
    <cellStyle name="Input 2 2 7" xfId="2027"/>
    <cellStyle name="Input 2 2 7 2" xfId="5371"/>
    <cellStyle name="Input 2 2 7 3" xfId="4482"/>
    <cellStyle name="Input 2 2 8" xfId="4485"/>
    <cellStyle name="Input 2 2 9" xfId="4685"/>
    <cellStyle name="Input 2 3" xfId="238"/>
    <cellStyle name="Input 2 3 2" xfId="1690"/>
    <cellStyle name="Input 2 3 2 2" xfId="1863"/>
    <cellStyle name="Input 2 3 2 2 2" xfId="3838"/>
    <cellStyle name="Input 2 3 2 2 3" xfId="2833"/>
    <cellStyle name="Input 2 3 2 3" xfId="1820"/>
    <cellStyle name="Input 2 3 2 3 2" xfId="3795"/>
    <cellStyle name="Input 2 3 2 3 3" xfId="2790"/>
    <cellStyle name="Input 2 3 2 4" xfId="3715"/>
    <cellStyle name="Input 2 3 2 5" xfId="2716"/>
    <cellStyle name="Input 2 3 3" xfId="1823"/>
    <cellStyle name="Input 2 3 3 2" xfId="3798"/>
    <cellStyle name="Input 2 3 3 3" xfId="2793"/>
    <cellStyle name="Input 2 3 4" xfId="1798"/>
    <cellStyle name="Input 2 3 4 2" xfId="3774"/>
    <cellStyle name="Input 2 3 4 3" xfId="2769"/>
    <cellStyle name="Input 2 3 5" xfId="3534"/>
    <cellStyle name="Input 2 3 6" xfId="2581"/>
    <cellStyle name="Input 2 4" xfId="1073"/>
    <cellStyle name="Input 2 4 2" xfId="1695"/>
    <cellStyle name="Input 2 4 2 2" xfId="1867"/>
    <cellStyle name="Input 2 4 2 2 2" xfId="3842"/>
    <cellStyle name="Input 2 4 2 2 3" xfId="2837"/>
    <cellStyle name="Input 2 4 2 3" xfId="1786"/>
    <cellStyle name="Input 2 4 2 3 2" xfId="3762"/>
    <cellStyle name="Input 2 4 2 3 3" xfId="2757"/>
    <cellStyle name="Input 2 4 2 4" xfId="3720"/>
    <cellStyle name="Input 2 4 2 5" xfId="2721"/>
    <cellStyle name="Input 2 4 3" xfId="1829"/>
    <cellStyle name="Input 2 4 3 2" xfId="3804"/>
    <cellStyle name="Input 2 4 3 3" xfId="2799"/>
    <cellStyle name="Input 2 4 4" xfId="1796"/>
    <cellStyle name="Input 2 4 4 2" xfId="3772"/>
    <cellStyle name="Input 2 4 4 3" xfId="2767"/>
    <cellStyle name="Input 2 4 5" xfId="3543"/>
    <cellStyle name="Input 2 4 6" xfId="2590"/>
    <cellStyle name="Input 2 5" xfId="1662"/>
    <cellStyle name="Input 2 5 2" xfId="1853"/>
    <cellStyle name="Input 2 5 2 2" xfId="3828"/>
    <cellStyle name="Input 2 5 2 3" xfId="2823"/>
    <cellStyle name="Input 2 5 3" xfId="1850"/>
    <cellStyle name="Input 2 5 3 2" xfId="3825"/>
    <cellStyle name="Input 2 5 3 3" xfId="2820"/>
    <cellStyle name="Input 2 5 4" xfId="3689"/>
    <cellStyle name="Input 2 5 5" xfId="2691"/>
    <cellStyle name="Input 2 6" xfId="771"/>
    <cellStyle name="Input 2 6 2" xfId="3325"/>
    <cellStyle name="Input 2 6 3" xfId="2381"/>
    <cellStyle name="Input 2 7" xfId="2961"/>
    <cellStyle name="Input 2 7 2" xfId="4645"/>
    <cellStyle name="Input 2 7 3" xfId="4890"/>
    <cellStyle name="Input 2 7 4" xfId="5264"/>
    <cellStyle name="Input 2 7 5" xfId="4276"/>
    <cellStyle name="Input 2 8" xfId="2026"/>
    <cellStyle name="Input 2_CPI" xfId="356"/>
    <cellStyle name="Input 3" xfId="772"/>
    <cellStyle name="Input 3 2" xfId="3326"/>
    <cellStyle name="Input 3 2 2" xfId="4967"/>
    <cellStyle name="Input 3 2 3" xfId="5266"/>
    <cellStyle name="Input 3 2 4" xfId="4278"/>
    <cellStyle name="Input 3 3" xfId="2382"/>
    <cellStyle name="Input 4" xfId="770"/>
    <cellStyle name="Input 4 2" xfId="1129"/>
    <cellStyle name="Input 4 2 2" xfId="1834"/>
    <cellStyle name="Input 4 2 2 2" xfId="3809"/>
    <cellStyle name="Input 4 2 2 3" xfId="2804"/>
    <cellStyle name="Input 4 2 3" xfId="1842"/>
    <cellStyle name="Input 4 2 3 2" xfId="3817"/>
    <cellStyle name="Input 4 2 3 3" xfId="2812"/>
    <cellStyle name="Input 4 2 4" xfId="3560"/>
    <cellStyle name="Input 4 2 5" xfId="2607"/>
    <cellStyle name="Input 4 3" xfId="1799"/>
    <cellStyle name="Input 4 3 2" xfId="3775"/>
    <cellStyle name="Input 4 3 3" xfId="2770"/>
    <cellStyle name="Input 4 4" xfId="1845"/>
    <cellStyle name="Input 4 4 2" xfId="3820"/>
    <cellStyle name="Input 4 4 3" xfId="2815"/>
    <cellStyle name="Input 4 5" xfId="3324"/>
    <cellStyle name="Input 4 6" xfId="2380"/>
    <cellStyle name="Input 5" xfId="3054"/>
    <cellStyle name="Input 6" xfId="2124"/>
    <cellStyle name="Input 7" xfId="425"/>
    <cellStyle name="ip0 -InpPercent" xfId="773"/>
    <cellStyle name="ip1 -InpPercent" xfId="774"/>
    <cellStyle name="ip2 -InpPercent" xfId="775"/>
    <cellStyle name="ip3 -InpPercent" xfId="776"/>
    <cellStyle name="ir0 -InpCurr" xfId="777"/>
    <cellStyle name="ir1 -InpCurr" xfId="778"/>
    <cellStyle name="ir2 -InpCurr" xfId="779"/>
    <cellStyle name="ir3 -InpCurr" xfId="780"/>
    <cellStyle name="ir4 -InpCurr" xfId="781"/>
    <cellStyle name="is0 -InpSideText" xfId="782"/>
    <cellStyle name="is1 -InpSideText" xfId="783"/>
    <cellStyle name="is2 -InpSideText" xfId="784"/>
    <cellStyle name="is3 -InpSideText" xfId="785"/>
    <cellStyle name="is4 -InpSideText" xfId="786"/>
    <cellStyle name="itn -InpTopTextNoWrap" xfId="787"/>
    <cellStyle name="itw -InpTopTextWrap" xfId="788"/>
    <cellStyle name="Label 1" xfId="953"/>
    <cellStyle name="Label 1 2" xfId="997"/>
    <cellStyle name="Label 2a" xfId="954"/>
    <cellStyle name="Label 2a 2" xfId="999"/>
    <cellStyle name="Label 2a centre" xfId="955"/>
    <cellStyle name="Label 2a centre 2" xfId="1001"/>
    <cellStyle name="Label 2a centre 2 2" xfId="3479"/>
    <cellStyle name="Label 2a centre 2 3" xfId="2533"/>
    <cellStyle name="Label 2a centre 3" xfId="3460"/>
    <cellStyle name="Label 2a centre 4" xfId="2515"/>
    <cellStyle name="Label 2a merge" xfId="956"/>
    <cellStyle name="Label 2a merge 2" xfId="3461"/>
    <cellStyle name="Label 2a merge 3" xfId="2516"/>
    <cellStyle name="Label 2b" xfId="957"/>
    <cellStyle name="Label 2b merged" xfId="958"/>
    <cellStyle name="Line rows" xfId="4279"/>
    <cellStyle name="Line rows 2" xfId="4280"/>
    <cellStyle name="Line rows 2 2" xfId="4281"/>
    <cellStyle name="Line rows 3" xfId="4282"/>
    <cellStyle name="Line rows 3 2" xfId="4283"/>
    <cellStyle name="Link" xfId="959"/>
    <cellStyle name="Link 2" xfId="1003"/>
    <cellStyle name="Link 2 2" xfId="3480"/>
    <cellStyle name="Link 2 3" xfId="2534"/>
    <cellStyle name="Link 3" xfId="1002"/>
    <cellStyle name="Link 4" xfId="3462"/>
    <cellStyle name="Link 5" xfId="2517"/>
    <cellStyle name="Linked Cell" xfId="391" builtinId="24" customBuiltin="1"/>
    <cellStyle name="Linked Cell 2" xfId="49"/>
    <cellStyle name="Linked Cell 2 2" xfId="241"/>
    <cellStyle name="Linked Cell 2 2 2" xfId="1270"/>
    <cellStyle name="Linked Cell 2 2 2 2" xfId="3603"/>
    <cellStyle name="Linked Cell 2 2 2 3" xfId="2634"/>
    <cellStyle name="Linked Cell 2 2 3" xfId="916"/>
    <cellStyle name="Linked Cell 2 2 3 2" xfId="3430"/>
    <cellStyle name="Linked Cell 2 2 3 3" xfId="2485"/>
    <cellStyle name="Linked Cell 2 2 3 3 2" xfId="5446"/>
    <cellStyle name="Linked Cell 2 2 3 3 3" xfId="4562"/>
    <cellStyle name="Linked Cell 2 2 3 4" xfId="4767"/>
    <cellStyle name="Linked Cell 2 2 3 5" xfId="5117"/>
    <cellStyle name="Linked Cell 2 2 3 6" xfId="4017"/>
    <cellStyle name="Linked Cell 2 2 4" xfId="2964"/>
    <cellStyle name="Linked Cell 2 2 4 2" xfId="4893"/>
    <cellStyle name="Linked Cell 2 2 4 3" xfId="5268"/>
    <cellStyle name="Linked Cell 2 2 4 4" xfId="4285"/>
    <cellStyle name="Linked Cell 2 2 5" xfId="2029"/>
    <cellStyle name="Linked Cell 2 3" xfId="240"/>
    <cellStyle name="Linked Cell 2 3 2" xfId="3690"/>
    <cellStyle name="Linked Cell 2 3 3" xfId="2692"/>
    <cellStyle name="Linked Cell 2 3 4" xfId="1663"/>
    <cellStyle name="Linked Cell 2 4" xfId="2963"/>
    <cellStyle name="Linked Cell 2 4 2" xfId="4892"/>
    <cellStyle name="Linked Cell 2 4 3" xfId="5267"/>
    <cellStyle name="Linked Cell 2 4 4" xfId="4284"/>
    <cellStyle name="Linked Cell 2 5" xfId="2028"/>
    <cellStyle name="Linked Cell 3" xfId="790"/>
    <cellStyle name="Linked Cell 3 2" xfId="3328"/>
    <cellStyle name="Linked Cell 3 2 2" xfId="4968"/>
    <cellStyle name="Linked Cell 3 2 3" xfId="5269"/>
    <cellStyle name="Linked Cell 3 2 4" xfId="4286"/>
    <cellStyle name="Linked Cell 3 3" xfId="2384"/>
    <cellStyle name="Linked Cell 4" xfId="789"/>
    <cellStyle name="Linked Cell 4 2" xfId="3327"/>
    <cellStyle name="Linked Cell 4 3" xfId="2383"/>
    <cellStyle name="Linked Cell 5" xfId="3057"/>
    <cellStyle name="Linked Cell 6" xfId="2127"/>
    <cellStyle name="ltn -TableTextNoWrap" xfId="791"/>
    <cellStyle name="ltn -TableTextNoWrap 2" xfId="792"/>
    <cellStyle name="ltw -TableTextWrap" xfId="793"/>
    <cellStyle name="ltw -TableTextWrap 2" xfId="794"/>
    <cellStyle name="ltw -TableTextWrap 2 2" xfId="3330"/>
    <cellStyle name="ltw -TableTextWrap 2 3" xfId="2386"/>
    <cellStyle name="ltw -TableTextWrap 3" xfId="3329"/>
    <cellStyle name="ltw -TableTextWrap 4" xfId="2385"/>
    <cellStyle name="mmm" xfId="242"/>
    <cellStyle name="Neutral" xfId="388" builtinId="28" customBuiltin="1"/>
    <cellStyle name="Neutral 2" xfId="50"/>
    <cellStyle name="Neutral 2 2" xfId="244"/>
    <cellStyle name="Neutral 2 2 2" xfId="917"/>
    <cellStyle name="Neutral 2 2 2 2" xfId="3431"/>
    <cellStyle name="Neutral 2 2 2 3" xfId="2486"/>
    <cellStyle name="Neutral 2 2 2 3 2" xfId="5447"/>
    <cellStyle name="Neutral 2 2 2 3 3" xfId="4563"/>
    <cellStyle name="Neutral 2 2 2 4" xfId="4768"/>
    <cellStyle name="Neutral 2 2 2 5" xfId="5118"/>
    <cellStyle name="Neutral 2 2 2 6" xfId="4019"/>
    <cellStyle name="Neutral 2 2 3" xfId="2966"/>
    <cellStyle name="Neutral 2 2 3 2" xfId="4895"/>
    <cellStyle name="Neutral 2 2 3 3" xfId="5271"/>
    <cellStyle name="Neutral 2 2 3 4" xfId="4288"/>
    <cellStyle name="Neutral 2 2 4" xfId="2031"/>
    <cellStyle name="Neutral 2 3" xfId="243"/>
    <cellStyle name="Neutral 2 3 2" xfId="3535"/>
    <cellStyle name="Neutral 2 3 3" xfId="2582"/>
    <cellStyle name="Neutral 2 4" xfId="1664"/>
    <cellStyle name="Neutral 2 4 2" xfId="3691"/>
    <cellStyle name="Neutral 2 4 3" xfId="2693"/>
    <cellStyle name="Neutral 2 5" xfId="796"/>
    <cellStyle name="Neutral 2 5 2" xfId="3332"/>
    <cellStyle name="Neutral 2 5 3" xfId="2388"/>
    <cellStyle name="Neutral 2 6" xfId="2965"/>
    <cellStyle name="Neutral 2 6 2" xfId="4894"/>
    <cellStyle name="Neutral 2 6 3" xfId="5270"/>
    <cellStyle name="Neutral 2 6 4" xfId="4287"/>
    <cellStyle name="Neutral 2 7" xfId="2030"/>
    <cellStyle name="Neutral 3" xfId="797"/>
    <cellStyle name="Neutral 3 2" xfId="3333"/>
    <cellStyle name="Neutral 3 2 2" xfId="4969"/>
    <cellStyle name="Neutral 3 2 3" xfId="5272"/>
    <cellStyle name="Neutral 3 2 4" xfId="4289"/>
    <cellStyle name="Neutral 3 3" xfId="2389"/>
    <cellStyle name="Neutral 4" xfId="795"/>
    <cellStyle name="Neutral 4 2" xfId="3331"/>
    <cellStyle name="Neutral 4 3" xfId="2387"/>
    <cellStyle name="Neutral 5" xfId="3053"/>
    <cellStyle name="Neutral 6" xfId="2123"/>
    <cellStyle name="Normal" xfId="0" builtinId="0"/>
    <cellStyle name="Normal - Style1" xfId="245"/>
    <cellStyle name="Normal - Style1 2" xfId="2967"/>
    <cellStyle name="Normal - Style1 3" xfId="2032"/>
    <cellStyle name="Normal 10" xfId="51"/>
    <cellStyle name="Normal 10 2" xfId="246"/>
    <cellStyle name="Normal 10 2 2" xfId="247"/>
    <cellStyle name="Normal 10 2 2 2" xfId="1282"/>
    <cellStyle name="Normal 10 2 2 2 2" xfId="3612"/>
    <cellStyle name="Normal 10 2 2 2 3" xfId="2643"/>
    <cellStyle name="Normal 10 2 2 3" xfId="2970"/>
    <cellStyle name="Normal 10 2 2 4" xfId="2035"/>
    <cellStyle name="Normal 10 2 3" xfId="446"/>
    <cellStyle name="Normal 10 2 3 2" xfId="1147"/>
    <cellStyle name="Normal 10 2 3 2 2" xfId="3570"/>
    <cellStyle name="Normal 10 2 3 2 3" xfId="2616"/>
    <cellStyle name="Normal 10 2 3 3" xfId="3105"/>
    <cellStyle name="Normal 10 2 3 4" xfId="2161"/>
    <cellStyle name="Normal 10 2 4" xfId="918"/>
    <cellStyle name="Normal 10 2 4 2" xfId="3432"/>
    <cellStyle name="Normal 10 2 4 3" xfId="2487"/>
    <cellStyle name="Normal 10 2 5" xfId="2969"/>
    <cellStyle name="Normal 10 2 5 2" xfId="4896"/>
    <cellStyle name="Normal 10 2 5 3" xfId="5274"/>
    <cellStyle name="Normal 10 2 5 4" xfId="4291"/>
    <cellStyle name="Normal 10 2 6" xfId="2034"/>
    <cellStyle name="Normal 10 3" xfId="248"/>
    <cellStyle name="Normal 10 3 2" xfId="249"/>
    <cellStyle name="Normal 10 3 2 2" xfId="2972"/>
    <cellStyle name="Normal 10 3 2 3" xfId="2037"/>
    <cellStyle name="Normal 10 3 3" xfId="447"/>
    <cellStyle name="Normal 10 3 3 2" xfId="1271"/>
    <cellStyle name="Normal 10 3 3 2 2" xfId="3604"/>
    <cellStyle name="Normal 10 3 3 2 3" xfId="2635"/>
    <cellStyle name="Normal 10 3 3 3" xfId="3106"/>
    <cellStyle name="Normal 10 3 3 3 2" xfId="4913"/>
    <cellStyle name="Normal 10 3 3 3 3" xfId="5313"/>
    <cellStyle name="Normal 10 3 3 3 4" xfId="4564"/>
    <cellStyle name="Normal 10 3 3 4" xfId="2162"/>
    <cellStyle name="Normal 10 3 3 5" xfId="5119"/>
    <cellStyle name="Normal 10 3 3 6" xfId="4020"/>
    <cellStyle name="Normal 10 3 4" xfId="2971"/>
    <cellStyle name="Normal 10 3 5" xfId="2036"/>
    <cellStyle name="Normal 10 4" xfId="448"/>
    <cellStyle name="Normal 10 4 2" xfId="1902"/>
    <cellStyle name="Normal 10 4 2 2" xfId="3846"/>
    <cellStyle name="Normal 10 4 2 3" xfId="2841"/>
    <cellStyle name="Normal 10 4 3" xfId="570"/>
    <cellStyle name="Normal 10 4 3 2" xfId="3206"/>
    <cellStyle name="Normal 10 4 3 3" xfId="2262"/>
    <cellStyle name="Normal 10 4 3 4" xfId="3917"/>
    <cellStyle name="Normal 10 4 4" xfId="3107"/>
    <cellStyle name="Normal 10 4 4 2" xfId="4630"/>
    <cellStyle name="Normal 10 4 4 3" xfId="4914"/>
    <cellStyle name="Normal 10 4 4 4" xfId="5156"/>
    <cellStyle name="Normal 10 4 4 5" xfId="4111"/>
    <cellStyle name="Normal 10 4 5" xfId="2163"/>
    <cellStyle name="Normal 10 4 5 2" xfId="5380"/>
    <cellStyle name="Normal 10 4 5 3" xfId="4068"/>
    <cellStyle name="Normal 10 4 6" xfId="4699"/>
    <cellStyle name="Normal 10 5" xfId="449"/>
    <cellStyle name="Normal 10 5 2" xfId="798"/>
    <cellStyle name="Normal 10 5 2 2" xfId="3334"/>
    <cellStyle name="Normal 10 5 2 3" xfId="2390"/>
    <cellStyle name="Normal 10 5 3" xfId="3108"/>
    <cellStyle name="Normal 10 5 4" xfId="2164"/>
    <cellStyle name="Normal 10 6" xfId="450"/>
    <cellStyle name="Normal 10 6 2" xfId="3109"/>
    <cellStyle name="Normal 10 6 3" xfId="2165"/>
    <cellStyle name="Normal 10 6 4" xfId="5273"/>
    <cellStyle name="Normal 10 6 5" xfId="4290"/>
    <cellStyle name="Normal 10 7" xfId="451"/>
    <cellStyle name="Normal 10 7 2" xfId="3110"/>
    <cellStyle name="Normal 10 7 3" xfId="2166"/>
    <cellStyle name="Normal 10 8" xfId="2968"/>
    <cellStyle name="Normal 10 9" xfId="2033"/>
    <cellStyle name="Normal 10_CPI 2009" xfId="365"/>
    <cellStyle name="Normal 101" xfId="3623"/>
    <cellStyle name="Normal 11" xfId="52"/>
    <cellStyle name="Normal 11 2" xfId="250"/>
    <cellStyle name="Normal 11 2 2" xfId="452"/>
    <cellStyle name="Normal 11 2 2 2" xfId="1283"/>
    <cellStyle name="Normal 11 2 2 2 2" xfId="3613"/>
    <cellStyle name="Normal 11 2 2 2 3" xfId="2644"/>
    <cellStyle name="Normal 11 2 2 3" xfId="3111"/>
    <cellStyle name="Normal 11 2 2 4" xfId="2167"/>
    <cellStyle name="Normal 11 2 3" xfId="1148"/>
    <cellStyle name="Normal 11 2 3 2" xfId="3571"/>
    <cellStyle name="Normal 11 2 3 3" xfId="2617"/>
    <cellStyle name="Normal 11 2 4" xfId="2974"/>
    <cellStyle name="Normal 11 2 5" xfId="2039"/>
    <cellStyle name="Normal 11 3" xfId="453"/>
    <cellStyle name="Normal 11 3 2" xfId="1272"/>
    <cellStyle name="Normal 11 3 2 2" xfId="3605"/>
    <cellStyle name="Normal 11 3 2 3" xfId="2636"/>
    <cellStyle name="Normal 11 3 3" xfId="3112"/>
    <cellStyle name="Normal 11 3 4" xfId="2168"/>
    <cellStyle name="Normal 11 4" xfId="454"/>
    <cellStyle name="Normal 11 4 2" xfId="1903"/>
    <cellStyle name="Normal 11 4 2 2" xfId="3847"/>
    <cellStyle name="Normal 11 4 2 3" xfId="2842"/>
    <cellStyle name="Normal 11 4 3" xfId="3113"/>
    <cellStyle name="Normal 11 4 3 2" xfId="3918"/>
    <cellStyle name="Normal 11 4 3 2 2" xfId="5526"/>
    <cellStyle name="Normal 11 4 3 2 3" xfId="4915"/>
    <cellStyle name="Normal 11 4 3 3" xfId="5050"/>
    <cellStyle name="Normal 11 4 4" xfId="2169"/>
    <cellStyle name="Normal 11 4 4 2" xfId="4631"/>
    <cellStyle name="Normal 11 4 4 3" xfId="5381"/>
    <cellStyle name="Normal 11 4 4 4" xfId="4112"/>
    <cellStyle name="Normal 11 4 5" xfId="4700"/>
    <cellStyle name="Normal 11 5" xfId="799"/>
    <cellStyle name="Normal 11 5 2" xfId="3335"/>
    <cellStyle name="Normal 11 5 3" xfId="2391"/>
    <cellStyle name="Normal 11 6" xfId="2973"/>
    <cellStyle name="Normal 11 6 2" xfId="4897"/>
    <cellStyle name="Normal 11 6 3" xfId="5275"/>
    <cellStyle name="Normal 11 6 4" xfId="4292"/>
    <cellStyle name="Normal 11 7" xfId="2038"/>
    <cellStyle name="Normal 11_CPI 2009" xfId="366"/>
    <cellStyle name="Normal 12" xfId="16"/>
    <cellStyle name="Normal 12 2" xfId="251"/>
    <cellStyle name="Normal 12 2 2" xfId="1284"/>
    <cellStyle name="Normal 12 2 2 2" xfId="3614"/>
    <cellStyle name="Normal 12 2 2 3" xfId="2645"/>
    <cellStyle name="Normal 12 2 3" xfId="1149"/>
    <cellStyle name="Normal 12 2 3 2" xfId="3572"/>
    <cellStyle name="Normal 12 2 3 3" xfId="2618"/>
    <cellStyle name="Normal 12 2 4" xfId="2976"/>
    <cellStyle name="Normal 12 2 5" xfId="2041"/>
    <cellStyle name="Normal 12 3" xfId="1273"/>
    <cellStyle name="Normal 12 3 2" xfId="3606"/>
    <cellStyle name="Normal 12 3 3" xfId="2637"/>
    <cellStyle name="Normal 12 4" xfId="1904"/>
    <cellStyle name="Normal 12 4 2" xfId="3848"/>
    <cellStyle name="Normal 12 4 3" xfId="2843"/>
    <cellStyle name="Normal 12 4 3 2" xfId="3919"/>
    <cellStyle name="Normal 12 4 3 3" xfId="5497"/>
    <cellStyle name="Normal 12 4 4" xfId="4113"/>
    <cellStyle name="Normal 12 4 4 2" xfId="4632"/>
    <cellStyle name="Normal 12 4 5" xfId="4822"/>
    <cellStyle name="Normal 12 5" xfId="800"/>
    <cellStyle name="Normal 12 5 2" xfId="3336"/>
    <cellStyle name="Normal 12 5 3" xfId="2392"/>
    <cellStyle name="Normal 12 6" xfId="2975"/>
    <cellStyle name="Normal 12 6 2" xfId="4898"/>
    <cellStyle name="Normal 12 6 3" xfId="5276"/>
    <cellStyle name="Normal 12 6 4" xfId="4293"/>
    <cellStyle name="Normal 12 7" xfId="2040"/>
    <cellStyle name="Normal 12_CPI 2009" xfId="367"/>
    <cellStyle name="Normal 13" xfId="252"/>
    <cellStyle name="Normal 13 2" xfId="253"/>
    <cellStyle name="Normal 13 2 2" xfId="1285"/>
    <cellStyle name="Normal 13 2 2 2" xfId="3615"/>
    <cellStyle name="Normal 13 2 2 3" xfId="2646"/>
    <cellStyle name="Normal 13 2 3" xfId="1150"/>
    <cellStyle name="Normal 13 2 3 2" xfId="3573"/>
    <cellStyle name="Normal 13 2 3 3" xfId="2619"/>
    <cellStyle name="Normal 13 2 4" xfId="2978"/>
    <cellStyle name="Normal 13 2 5" xfId="2043"/>
    <cellStyle name="Normal 13 3" xfId="1274"/>
    <cellStyle name="Normal 13 3 2" xfId="3607"/>
    <cellStyle name="Normal 13 3 3" xfId="2638"/>
    <cellStyle name="Normal 13 4" xfId="1905"/>
    <cellStyle name="Normal 13 4 2" xfId="3849"/>
    <cellStyle name="Normal 13 4 3" xfId="2844"/>
    <cellStyle name="Normal 13 4 3 2" xfId="3920"/>
    <cellStyle name="Normal 13 4 3 3" xfId="5498"/>
    <cellStyle name="Normal 13 4 4" xfId="4114"/>
    <cellStyle name="Normal 13 4 4 2" xfId="4633"/>
    <cellStyle name="Normal 13 4 5" xfId="4823"/>
    <cellStyle name="Normal 13 5" xfId="801"/>
    <cellStyle name="Normal 13 5 2" xfId="3337"/>
    <cellStyle name="Normal 13 5 3" xfId="2393"/>
    <cellStyle name="Normal 13 6" xfId="2977"/>
    <cellStyle name="Normal 13 7" xfId="2042"/>
    <cellStyle name="Normal 13_CPI 2009" xfId="368"/>
    <cellStyle name="Normal 14" xfId="254"/>
    <cellStyle name="Normal 14 2" xfId="255"/>
    <cellStyle name="Normal 14 2 2" xfId="1286"/>
    <cellStyle name="Normal 14 2 2 2" xfId="3616"/>
    <cellStyle name="Normal 14 2 2 3" xfId="2647"/>
    <cellStyle name="Normal 14 2 3" xfId="1151"/>
    <cellStyle name="Normal 14 2 3 2" xfId="3574"/>
    <cellStyle name="Normal 14 2 3 3" xfId="2620"/>
    <cellStyle name="Normal 14 2 3 3 2" xfId="5466"/>
    <cellStyle name="Normal 14 2 3 3 3" xfId="4566"/>
    <cellStyle name="Normal 14 2 3 4" xfId="4788"/>
    <cellStyle name="Normal 14 2 3 5" xfId="5121"/>
    <cellStyle name="Normal 14 2 3 6" xfId="4023"/>
    <cellStyle name="Normal 14 2 4" xfId="2980"/>
    <cellStyle name="Normal 14 2 5" xfId="2045"/>
    <cellStyle name="Normal 14 3" xfId="1275"/>
    <cellStyle name="Normal 14 3 2" xfId="3608"/>
    <cellStyle name="Normal 14 3 3" xfId="2639"/>
    <cellStyle name="Normal 14 4" xfId="1906"/>
    <cellStyle name="Normal 14 4 2" xfId="3850"/>
    <cellStyle name="Normal 14 4 3" xfId="2845"/>
    <cellStyle name="Normal 14 4 3 2" xfId="3921"/>
    <cellStyle name="Normal 14 4 3 3" xfId="5499"/>
    <cellStyle name="Normal 14 4 4" xfId="4115"/>
    <cellStyle name="Normal 14 4 4 2" xfId="4634"/>
    <cellStyle name="Normal 14 4 5" xfId="4824"/>
    <cellStyle name="Normal 14 5" xfId="802"/>
    <cellStyle name="Normal 14 5 2" xfId="3338"/>
    <cellStyle name="Normal 14 5 3" xfId="2394"/>
    <cellStyle name="Normal 14 5 3 2" xfId="5406"/>
    <cellStyle name="Normal 14 5 3 3" xfId="4565"/>
    <cellStyle name="Normal 14 5 4" xfId="4727"/>
    <cellStyle name="Normal 14 5 5" xfId="5120"/>
    <cellStyle name="Normal 14 5 6" xfId="4022"/>
    <cellStyle name="Normal 14 6" xfId="2979"/>
    <cellStyle name="Normal 14 7" xfId="2044"/>
    <cellStyle name="Normal 14_CPI 2009" xfId="369"/>
    <cellStyle name="Normal 15" xfId="256"/>
    <cellStyle name="Normal 15 2" xfId="1047"/>
    <cellStyle name="Normal 15 2 2" xfId="1279"/>
    <cellStyle name="Normal 15 2 2 2" xfId="3611"/>
    <cellStyle name="Normal 15 2 2 3" xfId="2642"/>
    <cellStyle name="Normal 15 2 3" xfId="3498"/>
    <cellStyle name="Normal 15 2 4" xfId="2545"/>
    <cellStyle name="Normal 15 3" xfId="593"/>
    <cellStyle name="Normal 15 3 2" xfId="3220"/>
    <cellStyle name="Normal 15 3 3" xfId="2276"/>
    <cellStyle name="Normal 15 4" xfId="2981"/>
    <cellStyle name="Normal 15 5" xfId="2046"/>
    <cellStyle name="Normal 16" xfId="439"/>
    <cellStyle name="Normal 16 2" xfId="1146"/>
    <cellStyle name="Normal 16 2 2" xfId="3569"/>
    <cellStyle name="Normal 16 2 3" xfId="2615"/>
    <cellStyle name="Normal 16 3" xfId="3100"/>
    <cellStyle name="Normal 16 3 2" xfId="4599"/>
    <cellStyle name="Normal 16 4" xfId="3482"/>
    <cellStyle name="Normal 16 5" xfId="2115"/>
    <cellStyle name="Normal 17" xfId="441"/>
    <cellStyle name="Normal 17 2" xfId="1231"/>
    <cellStyle name="Normal 17 2 2" xfId="3592"/>
    <cellStyle name="Normal 17 2 3" xfId="2626"/>
    <cellStyle name="Normal 17 3" xfId="1768"/>
    <cellStyle name="Normal 17 3 2" xfId="3754"/>
    <cellStyle name="Normal 17 3 3" xfId="2749"/>
    <cellStyle name="Normal 17 4" xfId="3101"/>
    <cellStyle name="Normal 17 5" xfId="2157"/>
    <cellStyle name="Normal 17 5 2" xfId="4603"/>
    <cellStyle name="Normal 17 5 3" xfId="5378"/>
    <cellStyle name="Normal 17 5 4" xfId="4061"/>
    <cellStyle name="Normal 17 6" xfId="4696"/>
    <cellStyle name="Normal 18" xfId="442"/>
    <cellStyle name="Normal 18 2" xfId="1616"/>
    <cellStyle name="Normal 18 2 2" xfId="3648"/>
    <cellStyle name="Normal 18 2 3" xfId="2650"/>
    <cellStyle name="Normal 18 3" xfId="3102"/>
    <cellStyle name="Normal 18 3 2" xfId="4605"/>
    <cellStyle name="Normal 18 4" xfId="3091"/>
    <cellStyle name="Normal 18 5" xfId="2158"/>
    <cellStyle name="Normal 19" xfId="443"/>
    <cellStyle name="Normal 19 2" xfId="1763"/>
    <cellStyle name="Normal 19 2 2" xfId="3752"/>
    <cellStyle name="Normal 19 2 3" xfId="2747"/>
    <cellStyle name="Normal 19 3" xfId="3103"/>
    <cellStyle name="Normal 19 4" xfId="2159"/>
    <cellStyle name="Normal 19 4 2" xfId="4617"/>
    <cellStyle name="Normal 19 4 3" xfId="5379"/>
    <cellStyle name="Normal 19 4 4" xfId="4095"/>
    <cellStyle name="Normal 19 5" xfId="4697"/>
    <cellStyle name="Normal 2" xfId="53"/>
    <cellStyle name="Normal 2 10" xfId="455"/>
    <cellStyle name="Normal 2 10 2" xfId="1232"/>
    <cellStyle name="Normal 2 10 2 2" xfId="3593"/>
    <cellStyle name="Normal 2 10 2 3" xfId="2627"/>
    <cellStyle name="Normal 2 10 3" xfId="878"/>
    <cellStyle name="Normal 2 10 3 2" xfId="3393"/>
    <cellStyle name="Normal 2 10 3 3" xfId="2448"/>
    <cellStyle name="Normal 2 10 4" xfId="3114"/>
    <cellStyle name="Normal 2 10 5" xfId="2170"/>
    <cellStyle name="Normal 2 11" xfId="456"/>
    <cellStyle name="Normal 2 11 2" xfId="919"/>
    <cellStyle name="Normal 2 11 2 2" xfId="3433"/>
    <cellStyle name="Normal 2 11 2 3" xfId="2488"/>
    <cellStyle name="Normal 2 11 3" xfId="3115"/>
    <cellStyle name="Normal 2 11 4" xfId="3490"/>
    <cellStyle name="Normal 2 11 5" xfId="2171"/>
    <cellStyle name="Normal 2 12" xfId="931"/>
    <cellStyle name="Normal 2 12 2" xfId="3445"/>
    <cellStyle name="Normal 2 12 3" xfId="2500"/>
    <cellStyle name="Normal 2 13" xfId="2982"/>
    <cellStyle name="Normal 2 14" xfId="2047"/>
    <cellStyle name="Normal 2 2" xfId="54"/>
    <cellStyle name="Normal 2 2 10" xfId="3634"/>
    <cellStyle name="Normal 2 2 11" xfId="2048"/>
    <cellStyle name="Normal 2 2 2" xfId="257"/>
    <cellStyle name="Normal 2 2 2 2" xfId="258"/>
    <cellStyle name="Normal 2 2 2 2 2" xfId="259"/>
    <cellStyle name="Normal 2 2 2 2 2 2" xfId="459"/>
    <cellStyle name="Normal 2 2 2 2 2 2 2" xfId="3118"/>
    <cellStyle name="Normal 2 2 2 2 2 2 3" xfId="2174"/>
    <cellStyle name="Normal 2 2 2 2 3" xfId="460"/>
    <cellStyle name="Normal 2 2 2 2 3 2" xfId="3119"/>
    <cellStyle name="Normal 2 2 2 2 3 3" xfId="2175"/>
    <cellStyle name="Normal 2 2 2 2 4" xfId="461"/>
    <cellStyle name="Normal 2 2 2 2 4 2" xfId="3120"/>
    <cellStyle name="Normal 2 2 2 2 4 3" xfId="2176"/>
    <cellStyle name="Normal 2 2 2 2 5" xfId="458"/>
    <cellStyle name="Normal 2 2 2 2 5 2" xfId="3117"/>
    <cellStyle name="Normal 2 2 2 2 5 3" xfId="2173"/>
    <cellStyle name="Normal 2 2 2 3" xfId="260"/>
    <cellStyle name="Normal 2 2 2 3 2" xfId="462"/>
    <cellStyle name="Normal 2 2 2 3 2 2" xfId="3121"/>
    <cellStyle name="Normal 2 2 2 3 2 3" xfId="2177"/>
    <cellStyle name="Normal 2 2 2 4" xfId="463"/>
    <cellStyle name="Normal 2 2 2 4 2" xfId="3122"/>
    <cellStyle name="Normal 2 2 2 4 3" xfId="2178"/>
    <cellStyle name="Normal 2 2 2 4 4" xfId="5278"/>
    <cellStyle name="Normal 2 2 2 4 5" xfId="4295"/>
    <cellStyle name="Normal 2 2 2 5" xfId="457"/>
    <cellStyle name="Normal 2 2 2 5 2" xfId="3116"/>
    <cellStyle name="Normal 2 2 2 5 3" xfId="2172"/>
    <cellStyle name="Normal 2 2 3" xfId="261"/>
    <cellStyle name="Normal 2 2 3 2" xfId="262"/>
    <cellStyle name="Normal 2 2 3 2 2" xfId="263"/>
    <cellStyle name="Normal 2 2 3 3" xfId="264"/>
    <cellStyle name="Normal 2 2 3 4" xfId="464"/>
    <cellStyle name="Normal 2 2 3 4 2" xfId="3123"/>
    <cellStyle name="Normal 2 2 3 4 3" xfId="2179"/>
    <cellStyle name="Normal 2 2 4" xfId="265"/>
    <cellStyle name="Normal 2 2 4 2" xfId="266"/>
    <cellStyle name="Normal 2 2 4 2 2" xfId="267"/>
    <cellStyle name="Normal 2 2 4 3" xfId="268"/>
    <cellStyle name="Normal 2 2 4 4" xfId="465"/>
    <cellStyle name="Normal 2 2 4 4 2" xfId="3124"/>
    <cellStyle name="Normal 2 2 4 4 3" xfId="2180"/>
    <cellStyle name="Normal 2 2 5" xfId="466"/>
    <cellStyle name="Normal 2 2 5 2" xfId="803"/>
    <cellStyle name="Normal 2 2 5 3" xfId="3125"/>
    <cellStyle name="Normal 2 2 5 4" xfId="3747"/>
    <cellStyle name="Normal 2 2 5 5" xfId="2181"/>
    <cellStyle name="Normal 2 2 6" xfId="467"/>
    <cellStyle name="Normal 2 2 6 2" xfId="804"/>
    <cellStyle name="Normal 2 2 6 2 2" xfId="3339"/>
    <cellStyle name="Normal 2 2 6 2 3" xfId="2395"/>
    <cellStyle name="Normal 2 2 6 3" xfId="3126"/>
    <cellStyle name="Normal 2 2 6 4" xfId="3489"/>
    <cellStyle name="Normal 2 2 6 5" xfId="2182"/>
    <cellStyle name="Normal 2 2 7" xfId="468"/>
    <cellStyle name="Normal 2 2 7 2" xfId="1131"/>
    <cellStyle name="Normal 2 2 7 2 2" xfId="3561"/>
    <cellStyle name="Normal 2 2 7 2 3" xfId="2608"/>
    <cellStyle name="Normal 2 2 7 3" xfId="3127"/>
    <cellStyle name="Normal 2 2 7 4" xfId="2183"/>
    <cellStyle name="Normal 2 2 8" xfId="546"/>
    <cellStyle name="Normal 2 2 8 2" xfId="3202"/>
    <cellStyle name="Normal 2 2 8 3" xfId="2258"/>
    <cellStyle name="Normal 2 2 8 4" xfId="5277"/>
    <cellStyle name="Normal 2 2 8 5" xfId="4294"/>
    <cellStyle name="Normal 2 2 9" xfId="2983"/>
    <cellStyle name="Normal 2 2_C03" xfId="269"/>
    <cellStyle name="Normal 2 3" xfId="270"/>
    <cellStyle name="Normal 2 3 2" xfId="271"/>
    <cellStyle name="Normal 2 3 2 2" xfId="272"/>
    <cellStyle name="Normal 2 3 2 3" xfId="805"/>
    <cellStyle name="Normal 2 3 2 3 2" xfId="3340"/>
    <cellStyle name="Normal 2 3 2 3 3" xfId="2396"/>
    <cellStyle name="Normal 2 3 2 3 3 2" xfId="5407"/>
    <cellStyle name="Normal 2 3 2 3 3 3" xfId="4567"/>
    <cellStyle name="Normal 2 3 2 3 4" xfId="4728"/>
    <cellStyle name="Normal 2 3 2 3 5" xfId="5122"/>
    <cellStyle name="Normal 2 3 2 3 6" xfId="4024"/>
    <cellStyle name="Normal 2 3 3" xfId="273"/>
    <cellStyle name="Normal 2 3 3 2" xfId="1665"/>
    <cellStyle name="Normal 2 3 3 2 2" xfId="3692"/>
    <cellStyle name="Normal 2 3 3 2 3" xfId="2694"/>
    <cellStyle name="Normal 2 3 3 2 3 2" xfId="5482"/>
    <cellStyle name="Normal 2 3 3 2 3 3" xfId="4568"/>
    <cellStyle name="Normal 2 3 3 2 4" xfId="4808"/>
    <cellStyle name="Normal 2 3 3 2 5" xfId="5123"/>
    <cellStyle name="Normal 2 3 3 2 6" xfId="4025"/>
    <cellStyle name="Normal 2 3 3 3" xfId="3488"/>
    <cellStyle name="Normal 2 3 4" xfId="469"/>
    <cellStyle name="Normal 2 3 4 2" xfId="3128"/>
    <cellStyle name="Normal 2 3 4 3" xfId="2184"/>
    <cellStyle name="Normal 2 3 5" xfId="3637"/>
    <cellStyle name="Normal 2 4" xfId="274"/>
    <cellStyle name="Normal 2 4 2" xfId="2984"/>
    <cellStyle name="Normal 2 4 2 2" xfId="4899"/>
    <cellStyle name="Normal 2 4 2 3" xfId="5279"/>
    <cellStyle name="Normal 2 4 2 4" xfId="4296"/>
    <cellStyle name="Normal 2 4 3" xfId="3468"/>
    <cellStyle name="Normal 2 4 4" xfId="2049"/>
    <cellStyle name="Normal 2 5" xfId="275"/>
    <cellStyle name="Normal 2 5 2" xfId="2985"/>
    <cellStyle name="Normal 2 5 3" xfId="2050"/>
    <cellStyle name="Normal 2 6" xfId="276"/>
    <cellStyle name="Normal 2 6 2" xfId="2986"/>
    <cellStyle name="Normal 2 6 3" xfId="2051"/>
    <cellStyle name="Normal 2 7" xfId="277"/>
    <cellStyle name="Normal 2 7 2" xfId="471"/>
    <cellStyle name="Normal 2 7 2 2" xfId="472"/>
    <cellStyle name="Normal 2 7 2 2 2" xfId="3131"/>
    <cellStyle name="Normal 2 7 2 2 3" xfId="2187"/>
    <cellStyle name="Normal 2 7 2 2 4" xfId="5153"/>
    <cellStyle name="Normal 2 7 2 2 5" xfId="4096"/>
    <cellStyle name="Normal 2 7 2 3" xfId="473"/>
    <cellStyle name="Normal 2 7 2 3 2" xfId="3132"/>
    <cellStyle name="Normal 2 7 2 3 3" xfId="2188"/>
    <cellStyle name="Normal 2 7 2 3 4" xfId="5314"/>
    <cellStyle name="Normal 2 7 2 3 5" xfId="4569"/>
    <cellStyle name="Normal 2 7 2 4" xfId="474"/>
    <cellStyle name="Normal 2 7 2 4 2" xfId="3133"/>
    <cellStyle name="Normal 2 7 2 4 3" xfId="2189"/>
    <cellStyle name="Normal 2 7 2 5" xfId="806"/>
    <cellStyle name="Normal 2 7 2 6" xfId="3130"/>
    <cellStyle name="Normal 2 7 2 7" xfId="2186"/>
    <cellStyle name="Normal 2 7 2 8" xfId="5124"/>
    <cellStyle name="Normal 2 7 2 9" xfId="4026"/>
    <cellStyle name="Normal 2 7 3" xfId="475"/>
    <cellStyle name="Normal 2 7 3 2" xfId="3134"/>
    <cellStyle name="Normal 2 7 3 3" xfId="2190"/>
    <cellStyle name="Normal 2 7 4" xfId="476"/>
    <cellStyle name="Normal 2 7 4 2" xfId="3135"/>
    <cellStyle name="Normal 2 7 4 3" xfId="2191"/>
    <cellStyle name="Normal 2 7 5" xfId="470"/>
    <cellStyle name="Normal 2 7 5 2" xfId="3129"/>
    <cellStyle name="Normal 2 7 5 3" xfId="2185"/>
    <cellStyle name="Normal 2 7 6" xfId="2987"/>
    <cellStyle name="Normal 2 7 7" xfId="3740"/>
    <cellStyle name="Normal 2 7 8" xfId="2052"/>
    <cellStyle name="Normal 2 8" xfId="278"/>
    <cellStyle name="Normal 2 8 2" xfId="477"/>
    <cellStyle name="Normal 2 8 2 2" xfId="807"/>
    <cellStyle name="Normal 2 8 2 3" xfId="3136"/>
    <cellStyle name="Normal 2 8 2 3 2" xfId="4917"/>
    <cellStyle name="Normal 2 8 2 3 3" xfId="5315"/>
    <cellStyle name="Normal 2 8 2 3 4" xfId="4570"/>
    <cellStyle name="Normal 2 8 2 4" xfId="2192"/>
    <cellStyle name="Normal 2 8 2 5" xfId="5125"/>
    <cellStyle name="Normal 2 8 2 6" xfId="4027"/>
    <cellStyle name="Normal 2 8 3" xfId="2988"/>
    <cellStyle name="Normal 2 8 4" xfId="2053"/>
    <cellStyle name="Normal 2 9" xfId="279"/>
    <cellStyle name="Normal 2 9 2" xfId="478"/>
    <cellStyle name="Normal 2 9 2 2" xfId="1130"/>
    <cellStyle name="Normal 2 9 2 3" xfId="3137"/>
    <cellStyle name="Normal 2 9 2 4" xfId="2193"/>
    <cellStyle name="Normal 2 9 3" xfId="873"/>
    <cellStyle name="Normal 2 9 3 2" xfId="3388"/>
    <cellStyle name="Normal 2 9 3 3" xfId="2443"/>
    <cellStyle name="Normal 2 9 3 3 2" xfId="5412"/>
    <cellStyle name="Normal 2 9 3 3 3" xfId="4571"/>
    <cellStyle name="Normal 2 9 3 4" xfId="4733"/>
    <cellStyle name="Normal 2 9 3 5" xfId="5126"/>
    <cellStyle name="Normal 2 9 3 6" xfId="4028"/>
    <cellStyle name="Normal 2 9 4" xfId="2989"/>
    <cellStyle name="Normal 2 9 5" xfId="2054"/>
    <cellStyle name="Normal 2_C03" xfId="280"/>
    <cellStyle name="Normal 2_CPI 2009" xfId="364"/>
    <cellStyle name="Normal 20" xfId="444"/>
    <cellStyle name="Normal 20 2" xfId="1682"/>
    <cellStyle name="Normal 20 2 2" xfId="3707"/>
    <cellStyle name="Normal 20 2 3" xfId="2708"/>
    <cellStyle name="Normal 20 3" xfId="3104"/>
    <cellStyle name="Normal 20 4" xfId="2160"/>
    <cellStyle name="Normal 21" xfId="511"/>
    <cellStyle name="Normal 21 2" xfId="1775"/>
    <cellStyle name="Normal 21 2 2" xfId="3757"/>
    <cellStyle name="Normal 21 2 3" xfId="2752"/>
    <cellStyle name="Normal 21 3" xfId="1706"/>
    <cellStyle name="Normal 21 3 2" xfId="3727"/>
    <cellStyle name="Normal 21 3 3" xfId="2727"/>
    <cellStyle name="Normal 21 4" xfId="3169"/>
    <cellStyle name="Normal 21 4 2" xfId="4619"/>
    <cellStyle name="Normal 21 4 3" xfId="4919"/>
    <cellStyle name="Normal 21 4 4" xfId="5154"/>
    <cellStyle name="Normal 21 4 5" xfId="4100"/>
    <cellStyle name="Normal 21 5" xfId="2225"/>
    <cellStyle name="Normal 22" xfId="544"/>
    <cellStyle name="Normal 22 2" xfId="1780"/>
    <cellStyle name="Normal 22 2 2" xfId="3758"/>
    <cellStyle name="Normal 22 2 3" xfId="2753"/>
    <cellStyle name="Normal 22 3" xfId="1715"/>
    <cellStyle name="Normal 22 3 2" xfId="3732"/>
    <cellStyle name="Normal 22 3 3" xfId="2732"/>
    <cellStyle name="Normal 22 4" xfId="3201"/>
    <cellStyle name="Normal 22 4 2" xfId="4624"/>
    <cellStyle name="Normal 22 4 3" xfId="4924"/>
    <cellStyle name="Normal 22 4 4" xfId="5155"/>
    <cellStyle name="Normal 22 4 5" xfId="4105"/>
    <cellStyle name="Normal 22 5" xfId="2257"/>
    <cellStyle name="Normal 23" xfId="1717"/>
    <cellStyle name="Normal 23 2" xfId="1782"/>
    <cellStyle name="Normal 23 2 2" xfId="3759"/>
    <cellStyle name="Normal 23 2 3" xfId="2754"/>
    <cellStyle name="Normal 23 3" xfId="3734"/>
    <cellStyle name="Normal 23 4" xfId="2733"/>
    <cellStyle name="Normal 23 4 2" xfId="4626"/>
    <cellStyle name="Normal 23 4 3" xfId="5485"/>
    <cellStyle name="Normal 23 4 4" xfId="4107"/>
    <cellStyle name="Normal 23 5" xfId="4810"/>
    <cellStyle name="Normal 24" xfId="1722"/>
    <cellStyle name="Normal 24 2" xfId="3736"/>
    <cellStyle name="Normal 24 3" xfId="2734"/>
    <cellStyle name="Normal 25" xfId="1740"/>
    <cellStyle name="Normal 25 2" xfId="3738"/>
    <cellStyle name="Normal 25 3" xfId="2735"/>
    <cellStyle name="Normal 26" xfId="1743"/>
    <cellStyle name="Normal 26 2" xfId="3739"/>
    <cellStyle name="Normal 26 3" xfId="2736"/>
    <cellStyle name="Normal 27" xfId="1745"/>
    <cellStyle name="Normal 27 2" xfId="3741"/>
    <cellStyle name="Normal 27 3" xfId="2737"/>
    <cellStyle name="Normal 28" xfId="1747"/>
    <cellStyle name="Normal 28 2" xfId="3742"/>
    <cellStyle name="Normal 28 3" xfId="2738"/>
    <cellStyle name="Normal 29" xfId="1749"/>
    <cellStyle name="Normal 29 2" xfId="3743"/>
    <cellStyle name="Normal 29 3" xfId="2739"/>
    <cellStyle name="Normal 3" xfId="55"/>
    <cellStyle name="Normal 3 10" xfId="1711"/>
    <cellStyle name="Normal 3 10 2" xfId="3729"/>
    <cellStyle name="Normal 3 10 3" xfId="2729"/>
    <cellStyle name="Normal 3 11" xfId="547"/>
    <cellStyle name="Normal 3 11 2" xfId="3203"/>
    <cellStyle name="Normal 3 11 3" xfId="2259"/>
    <cellStyle name="Normal 3 12" xfId="2990"/>
    <cellStyle name="Normal 3 13" xfId="2055"/>
    <cellStyle name="Normal 3 2" xfId="56"/>
    <cellStyle name="Normal 3 2 2" xfId="282"/>
    <cellStyle name="Normal 3 2 2 2" xfId="283"/>
    <cellStyle name="Normal 3 2 2 2 2" xfId="2993"/>
    <cellStyle name="Normal 3 2 2 2 3" xfId="2058"/>
    <cellStyle name="Normal 3 2 2 3" xfId="808"/>
    <cellStyle name="Normal 3 2 2 3 2" xfId="3341"/>
    <cellStyle name="Normal 3 2 2 3 3" xfId="2397"/>
    <cellStyle name="Normal 3 2 2 3 3 2" xfId="5408"/>
    <cellStyle name="Normal 3 2 2 3 3 3" xfId="4572"/>
    <cellStyle name="Normal 3 2 2 3 4" xfId="4729"/>
    <cellStyle name="Normal 3 2 2 3 5" xfId="5127"/>
    <cellStyle name="Normal 3 2 2 3 6" xfId="4029"/>
    <cellStyle name="Normal 3 2 2 4" xfId="2992"/>
    <cellStyle name="Normal 3 2 2 5" xfId="2057"/>
    <cellStyle name="Normal 3 2 2_CPI" xfId="357"/>
    <cellStyle name="Normal 3 2 3" xfId="281"/>
    <cellStyle name="Normal 3 2 3 2" xfId="809"/>
    <cellStyle name="Normal 3 2 3 2 2" xfId="3342"/>
    <cellStyle name="Normal 3 2 3 2 3" xfId="2398"/>
    <cellStyle name="Normal 3 2 3 3" xfId="572"/>
    <cellStyle name="Normal 3 2 3 3 2" xfId="3208"/>
    <cellStyle name="Normal 3 2 3 3 3" xfId="2264"/>
    <cellStyle name="Normal 3 2 3 4" xfId="3138"/>
    <cellStyle name="Normal 3 2 3 5" xfId="3737"/>
    <cellStyle name="Normal 3 2 3 6" xfId="2194"/>
    <cellStyle name="Normal 3 2 3 7" xfId="479"/>
    <cellStyle name="Normal 3 2 4" xfId="1045"/>
    <cellStyle name="Normal 3 2 4 2" xfId="3496"/>
    <cellStyle name="Normal 3 2 4 3" xfId="2543"/>
    <cellStyle name="Normal 3 2 5" xfId="2991"/>
    <cellStyle name="Normal 3 2 6" xfId="2056"/>
    <cellStyle name="Normal 3 2 7" xfId="427"/>
    <cellStyle name="Normal 3 3" xfId="284"/>
    <cellStyle name="Normal 3 3 2" xfId="285"/>
    <cellStyle name="Normal 3 3 2 2" xfId="2995"/>
    <cellStyle name="Normal 3 3 2 3" xfId="3487"/>
    <cellStyle name="Normal 3 3 2 4" xfId="2060"/>
    <cellStyle name="Normal 3 3 3" xfId="286"/>
    <cellStyle name="Normal 3 3 3 2" xfId="1049"/>
    <cellStyle name="Normal 3 3 3 2 2" xfId="3500"/>
    <cellStyle name="Normal 3 3 3 2 3" xfId="2547"/>
    <cellStyle name="Normal 3 3 3 2 3 2" xfId="5453"/>
    <cellStyle name="Normal 3 3 3 2 3 3" xfId="4573"/>
    <cellStyle name="Normal 3 3 3 2 4" xfId="4772"/>
    <cellStyle name="Normal 3 3 3 2 5" xfId="5128"/>
    <cellStyle name="Normal 3 3 3 2 6" xfId="4030"/>
    <cellStyle name="Normal 3 3 3 3" xfId="2996"/>
    <cellStyle name="Normal 3 3 3 4" xfId="2061"/>
    <cellStyle name="Normal 3 3 4" xfId="573"/>
    <cellStyle name="Normal 3 3 4 2" xfId="3209"/>
    <cellStyle name="Normal 3 3 4 3" xfId="2265"/>
    <cellStyle name="Normal 3 3 5" xfId="2994"/>
    <cellStyle name="Normal 3 3 5 2" xfId="4900"/>
    <cellStyle name="Normal 3 3 5 3" xfId="5280"/>
    <cellStyle name="Normal 3 3 5 4" xfId="4297"/>
    <cellStyle name="Normal 3 3 6" xfId="3735"/>
    <cellStyle name="Normal 3 3 7" xfId="2059"/>
    <cellStyle name="Normal 3 3_CPI" xfId="358"/>
    <cellStyle name="Normal 3 4" xfId="287"/>
    <cellStyle name="Normal 3 4 2" xfId="2997"/>
    <cellStyle name="Normal 3 4 2 2" xfId="4901"/>
    <cellStyle name="Normal 3 4 2 3" xfId="5281"/>
    <cellStyle name="Normal 3 4 2 4" xfId="4298"/>
    <cellStyle name="Normal 3 4 3" xfId="2062"/>
    <cellStyle name="Normal 3 5" xfId="288"/>
    <cellStyle name="Normal 3 5 2" xfId="289"/>
    <cellStyle name="Normal 3 5 2 2" xfId="2999"/>
    <cellStyle name="Normal 3 5 2 3" xfId="2064"/>
    <cellStyle name="Normal 3 5 3" xfId="810"/>
    <cellStyle name="Normal 3 5 3 2" xfId="3343"/>
    <cellStyle name="Normal 3 5 3 3" xfId="2399"/>
    <cellStyle name="Normal 3 5 3 3 2" xfId="5409"/>
    <cellStyle name="Normal 3 5 3 3 3" xfId="4574"/>
    <cellStyle name="Normal 3 5 3 4" xfId="4730"/>
    <cellStyle name="Normal 3 5 3 5" xfId="5129"/>
    <cellStyle name="Normal 3 5 3 6" xfId="4031"/>
    <cellStyle name="Normal 3 5 4" xfId="2998"/>
    <cellStyle name="Normal 3 5 5" xfId="3733"/>
    <cellStyle name="Normal 3 5 6" xfId="2063"/>
    <cellStyle name="Normal 3 6" xfId="290"/>
    <cellStyle name="Normal 3 6 2" xfId="291"/>
    <cellStyle name="Normal 3 6 2 2" xfId="3001"/>
    <cellStyle name="Normal 3 6 2 3" xfId="2066"/>
    <cellStyle name="Normal 3 6 3" xfId="480"/>
    <cellStyle name="Normal 3 6 3 2" xfId="920"/>
    <cellStyle name="Normal 3 6 3 2 2" xfId="3434"/>
    <cellStyle name="Normal 3 6 3 2 3" xfId="2489"/>
    <cellStyle name="Normal 3 6 3 3" xfId="3139"/>
    <cellStyle name="Normal 3 6 3 4" xfId="2195"/>
    <cellStyle name="Normal 3 6 4" xfId="3000"/>
    <cellStyle name="Normal 3 6 5" xfId="2065"/>
    <cellStyle name="Normal 3 7" xfId="481"/>
    <cellStyle name="Normal 3 7 2" xfId="1666"/>
    <cellStyle name="Normal 3 7 2 2" xfId="3693"/>
    <cellStyle name="Normal 3 7 2 3" xfId="2695"/>
    <cellStyle name="Normal 3 7 3" xfId="571"/>
    <cellStyle name="Normal 3 7 3 2" xfId="3207"/>
    <cellStyle name="Normal 3 7 3 3" xfId="2263"/>
    <cellStyle name="Normal 3 7 4" xfId="3140"/>
    <cellStyle name="Normal 3 7 5" xfId="2196"/>
    <cellStyle name="Normal 3 8" xfId="1680"/>
    <cellStyle name="Normal 3 8 2" xfId="3705"/>
    <cellStyle name="Normal 3 8 3" xfId="2706"/>
    <cellStyle name="Normal 3 9" xfId="1676"/>
    <cellStyle name="Normal 3 9 2" xfId="3702"/>
    <cellStyle name="Normal 3 9 3" xfId="2703"/>
    <cellStyle name="Normal 3_CPI 2009" xfId="370"/>
    <cellStyle name="Normal 30" xfId="292"/>
    <cellStyle name="Normal 30 2" xfId="3002"/>
    <cellStyle name="Normal 30 3" xfId="2067"/>
    <cellStyle name="Normal 31" xfId="293"/>
    <cellStyle name="Normal 31 2" xfId="3003"/>
    <cellStyle name="Normal 31 3" xfId="2068"/>
    <cellStyle name="Normal 32" xfId="1751"/>
    <cellStyle name="Normal 32 2" xfId="3744"/>
    <cellStyle name="Normal 32 3" xfId="2740"/>
    <cellStyle name="Normal 33" xfId="1753"/>
    <cellStyle name="Normal 33 2" xfId="3745"/>
    <cellStyle name="Normal 33 3" xfId="2741"/>
    <cellStyle name="Normal 34" xfId="1755"/>
    <cellStyle name="Normal 34 2" xfId="3746"/>
    <cellStyle name="Normal 34 3" xfId="2742"/>
    <cellStyle name="Normal 35" xfId="1757"/>
    <cellStyle name="Normal 35 2" xfId="3748"/>
    <cellStyle name="Normal 35 3" xfId="2743"/>
    <cellStyle name="Normal 36" xfId="1759"/>
    <cellStyle name="Normal 36 2" xfId="3749"/>
    <cellStyle name="Normal 36 3" xfId="2744"/>
    <cellStyle name="Normal 37" xfId="1761"/>
    <cellStyle name="Normal 37 2" xfId="3750"/>
    <cellStyle name="Normal 37 3" xfId="2745"/>
    <cellStyle name="Normal 38" xfId="1762"/>
    <cellStyle name="Normal 38 2" xfId="3751"/>
    <cellStyle name="Normal 38 3" xfId="2746"/>
    <cellStyle name="Normal 39" xfId="1870"/>
    <cellStyle name="Normal 39 2" xfId="3845"/>
    <cellStyle name="Normal 39 3" xfId="2840"/>
    <cellStyle name="Normal 39 3 2" xfId="3915"/>
    <cellStyle name="Normal 39 3 3" xfId="5496"/>
    <cellStyle name="Normal 39 4" xfId="4109"/>
    <cellStyle name="Normal 39 4 2" xfId="4628"/>
    <cellStyle name="Normal 39 5" xfId="4821"/>
    <cellStyle name="Normal 4" xfId="57"/>
    <cellStyle name="Normal 4 10" xfId="482"/>
    <cellStyle name="Normal 4 10 2" xfId="1713"/>
    <cellStyle name="Normal 4 10 2 2" xfId="3731"/>
    <cellStyle name="Normal 4 10 2 3" xfId="2731"/>
    <cellStyle name="Normal 4 10 3" xfId="3141"/>
    <cellStyle name="Normal 4 10 4" xfId="2197"/>
    <cellStyle name="Normal 4 11" xfId="483"/>
    <cellStyle name="Normal 4 11 2" xfId="3142"/>
    <cellStyle name="Normal 4 11 3" xfId="2198"/>
    <cellStyle name="Normal 4 11 4" xfId="5282"/>
    <cellStyle name="Normal 4 11 5" xfId="4299"/>
    <cellStyle name="Normal 4 12" xfId="548"/>
    <cellStyle name="Normal 4 13" xfId="3004"/>
    <cellStyle name="Normal 4 14" xfId="3636"/>
    <cellStyle name="Normal 4 15" xfId="2069"/>
    <cellStyle name="Normal 4 2" xfId="58"/>
    <cellStyle name="Normal 4 2 10" xfId="2070"/>
    <cellStyle name="Normal 4 2 2" xfId="294"/>
    <cellStyle name="Normal 4 2 2 2" xfId="486"/>
    <cellStyle name="Normal 4 2 2 2 2" xfId="487"/>
    <cellStyle name="Normal 4 2 2 2 2 2" xfId="3146"/>
    <cellStyle name="Normal 4 2 2 2 2 3" xfId="2202"/>
    <cellStyle name="Normal 4 2 2 2 3" xfId="488"/>
    <cellStyle name="Normal 4 2 2 2 3 2" xfId="3147"/>
    <cellStyle name="Normal 4 2 2 2 3 3" xfId="2203"/>
    <cellStyle name="Normal 4 2 2 2 4" xfId="489"/>
    <cellStyle name="Normal 4 2 2 2 4 2" xfId="3148"/>
    <cellStyle name="Normal 4 2 2 2 4 3" xfId="2204"/>
    <cellStyle name="Normal 4 2 2 2 5" xfId="3145"/>
    <cellStyle name="Normal 4 2 2 2 6" xfId="2201"/>
    <cellStyle name="Normal 4 2 2 3" xfId="490"/>
    <cellStyle name="Normal 4 2 2 3 2" xfId="3149"/>
    <cellStyle name="Normal 4 2 2 3 3" xfId="2205"/>
    <cellStyle name="Normal 4 2 2 4" xfId="491"/>
    <cellStyle name="Normal 4 2 2 4 2" xfId="3150"/>
    <cellStyle name="Normal 4 2 2 4 3" xfId="2206"/>
    <cellStyle name="Normal 4 2 2 5" xfId="485"/>
    <cellStyle name="Normal 4 2 2 5 2" xfId="3144"/>
    <cellStyle name="Normal 4 2 2 5 3" xfId="2200"/>
    <cellStyle name="Normal 4 2 2 6" xfId="3006"/>
    <cellStyle name="Normal 4 2 2 7" xfId="2071"/>
    <cellStyle name="Normal 4 2 3" xfId="295"/>
    <cellStyle name="Normal 4 2 3 2" xfId="492"/>
    <cellStyle name="Normal 4 2 3 2 2" xfId="811"/>
    <cellStyle name="Normal 4 2 3 2 3" xfId="3151"/>
    <cellStyle name="Normal 4 2 3 2 3 2" xfId="4918"/>
    <cellStyle name="Normal 4 2 3 2 3 3" xfId="5316"/>
    <cellStyle name="Normal 4 2 3 2 3 4" xfId="4575"/>
    <cellStyle name="Normal 4 2 3 2 4" xfId="2207"/>
    <cellStyle name="Normal 4 2 3 2 5" xfId="5130"/>
    <cellStyle name="Normal 4 2 3 2 6" xfId="4032"/>
    <cellStyle name="Normal 4 2 3 3" xfId="3007"/>
    <cellStyle name="Normal 4 2 3 4" xfId="2072"/>
    <cellStyle name="Normal 4 2 4" xfId="493"/>
    <cellStyle name="Normal 4 2 4 2" xfId="812"/>
    <cellStyle name="Normal 4 2 4 2 2" xfId="3344"/>
    <cellStyle name="Normal 4 2 4 2 3" xfId="2400"/>
    <cellStyle name="Normal 4 2 4 3" xfId="3152"/>
    <cellStyle name="Normal 4 2 4 4" xfId="2208"/>
    <cellStyle name="Normal 4 2 5" xfId="494"/>
    <cellStyle name="Normal 4 2 5 2" xfId="3153"/>
    <cellStyle name="Normal 4 2 5 3" xfId="2209"/>
    <cellStyle name="Normal 4 2 6" xfId="495"/>
    <cellStyle name="Normal 4 2 6 2" xfId="3154"/>
    <cellStyle name="Normal 4 2 6 3" xfId="2210"/>
    <cellStyle name="Normal 4 2 6 4" xfId="5283"/>
    <cellStyle name="Normal 4 2 6 5" xfId="4300"/>
    <cellStyle name="Normal 4 2 7" xfId="496"/>
    <cellStyle name="Normal 4 2 7 2" xfId="3155"/>
    <cellStyle name="Normal 4 2 7 3" xfId="2211"/>
    <cellStyle name="Normal 4 2 8" xfId="484"/>
    <cellStyle name="Normal 4 2 8 2" xfId="3143"/>
    <cellStyle name="Normal 4 2 8 3" xfId="2199"/>
    <cellStyle name="Normal 4 2 9" xfId="3005"/>
    <cellStyle name="Normal 4 2_output data 08 to 10" xfId="296"/>
    <cellStyle name="Normal 4 3" xfId="297"/>
    <cellStyle name="Normal 4 3 2" xfId="497"/>
    <cellStyle name="Normal 4 3 2 2" xfId="1050"/>
    <cellStyle name="Normal 4 3 2 2 2" xfId="3501"/>
    <cellStyle name="Normal 4 3 2 2 3" xfId="2548"/>
    <cellStyle name="Normal 4 3 2 3" xfId="3156"/>
    <cellStyle name="Normal 4 3 2 4" xfId="2212"/>
    <cellStyle name="Normal 4 3 3" xfId="813"/>
    <cellStyle name="Normal 4 3 4" xfId="3008"/>
    <cellStyle name="Normal 4 3 5" xfId="3700"/>
    <cellStyle name="Normal 4 3 6" xfId="2073"/>
    <cellStyle name="Normal 4 4" xfId="298"/>
    <cellStyle name="Normal 4 4 2" xfId="299"/>
    <cellStyle name="Normal 4 4 3" xfId="498"/>
    <cellStyle name="Normal 4 4 3 2" xfId="3157"/>
    <cellStyle name="Normal 4 4 3 3" xfId="2213"/>
    <cellStyle name="Normal 4 5" xfId="499"/>
    <cellStyle name="Normal 4 5 2" xfId="1667"/>
    <cellStyle name="Normal 4 5 2 2" xfId="3694"/>
    <cellStyle name="Normal 4 5 2 3" xfId="2696"/>
    <cellStyle name="Normal 4 5 3" xfId="3158"/>
    <cellStyle name="Normal 4 5 4" xfId="2214"/>
    <cellStyle name="Normal 4 6" xfId="500"/>
    <cellStyle name="Normal 4 6 2" xfId="1681"/>
    <cellStyle name="Normal 4 6 2 2" xfId="3706"/>
    <cellStyle name="Normal 4 6 2 3" xfId="2707"/>
    <cellStyle name="Normal 4 6 3" xfId="3159"/>
    <cellStyle name="Normal 4 6 4" xfId="2215"/>
    <cellStyle name="Normal 4 7" xfId="501"/>
    <cellStyle name="Normal 4 7 2" xfId="502"/>
    <cellStyle name="Normal 4 7 2 2" xfId="503"/>
    <cellStyle name="Normal 4 7 2 2 2" xfId="3162"/>
    <cellStyle name="Normal 4 7 2 2 3" xfId="2218"/>
    <cellStyle name="Normal 4 7 2 3" xfId="504"/>
    <cellStyle name="Normal 4 7 2 3 2" xfId="3163"/>
    <cellStyle name="Normal 4 7 2 3 3" xfId="2219"/>
    <cellStyle name="Normal 4 7 2 4" xfId="505"/>
    <cellStyle name="Normal 4 7 2 4 2" xfId="3164"/>
    <cellStyle name="Normal 4 7 2 4 3" xfId="2220"/>
    <cellStyle name="Normal 4 7 2 5" xfId="3161"/>
    <cellStyle name="Normal 4 7 2 6" xfId="2217"/>
    <cellStyle name="Normal 4 7 3" xfId="506"/>
    <cellStyle name="Normal 4 7 3 2" xfId="3165"/>
    <cellStyle name="Normal 4 7 3 3" xfId="2221"/>
    <cellStyle name="Normal 4 7 4" xfId="507"/>
    <cellStyle name="Normal 4 7 4 2" xfId="3166"/>
    <cellStyle name="Normal 4 7 4 3" xfId="2222"/>
    <cellStyle name="Normal 4 7 5" xfId="1675"/>
    <cellStyle name="Normal 4 7 5 2" xfId="3701"/>
    <cellStyle name="Normal 4 7 5 3" xfId="2702"/>
    <cellStyle name="Normal 4 7 6" xfId="3160"/>
    <cellStyle name="Normal 4 7 7" xfId="2216"/>
    <cellStyle name="Normal 4 8" xfId="508"/>
    <cellStyle name="Normal 4 8 2" xfId="1712"/>
    <cellStyle name="Normal 4 8 2 2" xfId="3730"/>
    <cellStyle name="Normal 4 8 2 3" xfId="2730"/>
    <cellStyle name="Normal 4 8 3" xfId="3167"/>
    <cellStyle name="Normal 4 8 4" xfId="2223"/>
    <cellStyle name="Normal 4 9" xfId="509"/>
    <cellStyle name="Normal 4 9 2" xfId="1707"/>
    <cellStyle name="Normal 4 9 2 2" xfId="3728"/>
    <cellStyle name="Normal 4 9 2 3" xfId="2728"/>
    <cellStyle name="Normal 4 9 3" xfId="3168"/>
    <cellStyle name="Normal 4 9 4" xfId="2224"/>
    <cellStyle name="Normal 4_CPI 2009" xfId="371"/>
    <cellStyle name="Normal 40" xfId="1910"/>
    <cellStyle name="Normal 40 2" xfId="3854"/>
    <cellStyle name="Normal 40 3" xfId="2847"/>
    <cellStyle name="Normal 40 4" xfId="5054"/>
    <cellStyle name="Normal 40 5" xfId="3948"/>
    <cellStyle name="Normal 41" xfId="1911"/>
    <cellStyle name="Normal 41 2" xfId="3855"/>
    <cellStyle name="Normal 41 3" xfId="2848"/>
    <cellStyle name="Normal 41 4" xfId="5055"/>
    <cellStyle name="Normal 41 5" xfId="3951"/>
    <cellStyle name="Normal 42" xfId="1912"/>
    <cellStyle name="Normal 42 2" xfId="3856"/>
    <cellStyle name="Normal 42 3" xfId="2849"/>
    <cellStyle name="Normal 42 4" xfId="5152"/>
    <cellStyle name="Normal 42 5" xfId="4084"/>
    <cellStyle name="Normal 43" xfId="1914"/>
    <cellStyle name="Normal 43 2" xfId="3857"/>
    <cellStyle name="Normal 43 3" xfId="2850"/>
    <cellStyle name="Normal 44" xfId="2851"/>
    <cellStyle name="Normal 45" xfId="3045"/>
    <cellStyle name="Normal 46" xfId="3726"/>
    <cellStyle name="Normal 47" xfId="3638"/>
    <cellStyle name="Normal 48" xfId="3643"/>
    <cellStyle name="Normal 49" xfId="3859"/>
    <cellStyle name="Normal 5" xfId="59"/>
    <cellStyle name="Normal 5 2" xfId="60"/>
    <cellStyle name="Normal 5 2 2" xfId="922"/>
    <cellStyle name="Normal 5 2 2 2" xfId="3436"/>
    <cellStyle name="Normal 5 2 2 3" xfId="2491"/>
    <cellStyle name="Normal 5 2 3" xfId="814"/>
    <cellStyle name="Normal 5 2 4" xfId="3010"/>
    <cellStyle name="Normal 5 2 5" xfId="2075"/>
    <cellStyle name="Normal 5 3" xfId="300"/>
    <cellStyle name="Normal 5 3 2" xfId="512"/>
    <cellStyle name="Normal 5 3 2 2" xfId="1048"/>
    <cellStyle name="Normal 5 3 2 2 2" xfId="3499"/>
    <cellStyle name="Normal 5 3 2 2 3" xfId="2546"/>
    <cellStyle name="Normal 5 3 2 3" xfId="3170"/>
    <cellStyle name="Normal 5 3 2 4" xfId="2226"/>
    <cellStyle name="Normal 5 3 3" xfId="1132"/>
    <cellStyle name="Normal 5 3 4" xfId="921"/>
    <cellStyle name="Normal 5 3 4 2" xfId="3435"/>
    <cellStyle name="Normal 5 3 4 3" xfId="2490"/>
    <cellStyle name="Normal 5 3 5" xfId="3011"/>
    <cellStyle name="Normal 5 3 6" xfId="3642"/>
    <cellStyle name="Normal 5 3 7" xfId="2076"/>
    <cellStyle name="Normal 5 4" xfId="301"/>
    <cellStyle name="Normal 5 4 2" xfId="302"/>
    <cellStyle name="Normal 5 4 3" xfId="513"/>
    <cellStyle name="Normal 5 4 3 2" xfId="1668"/>
    <cellStyle name="Normal 5 4 3 2 2" xfId="3695"/>
    <cellStyle name="Normal 5 4 3 2 3" xfId="2697"/>
    <cellStyle name="Normal 5 4 3 3" xfId="3171"/>
    <cellStyle name="Normal 5 4 3 3 2" xfId="4920"/>
    <cellStyle name="Normal 5 4 3 3 3" xfId="5317"/>
    <cellStyle name="Normal 5 4 3 3 4" xfId="4577"/>
    <cellStyle name="Normal 5 4 3 4" xfId="2227"/>
    <cellStyle name="Normal 5 4 3 5" xfId="5131"/>
    <cellStyle name="Normal 5 4 3 6" xfId="4033"/>
    <cellStyle name="Normal 5 5" xfId="514"/>
    <cellStyle name="Normal 5 5 2" xfId="3172"/>
    <cellStyle name="Normal 5 5 3" xfId="2228"/>
    <cellStyle name="Normal 5 6" xfId="515"/>
    <cellStyle name="Normal 5 6 2" xfId="3173"/>
    <cellStyle name="Normal 5 6 3" xfId="2229"/>
    <cellStyle name="Normal 5 6 4" xfId="5284"/>
    <cellStyle name="Normal 5 6 5" xfId="4301"/>
    <cellStyle name="Normal 5 7" xfId="516"/>
    <cellStyle name="Normal 5 7 2" xfId="3174"/>
    <cellStyle name="Normal 5 7 3" xfId="2230"/>
    <cellStyle name="Normal 5 8" xfId="3009"/>
    <cellStyle name="Normal 5 9" xfId="2074"/>
    <cellStyle name="Normal 5_CPI 2009" xfId="372"/>
    <cellStyle name="Normal 50" xfId="3491"/>
    <cellStyle name="Normal 51" xfId="1917"/>
    <cellStyle name="Normal 51 2" xfId="5367"/>
    <cellStyle name="Normal 51 3" xfId="5021"/>
    <cellStyle name="Normal 52" xfId="2532"/>
    <cellStyle name="Normal 52 2" xfId="5451"/>
    <cellStyle name="Normal 52 3" xfId="5024"/>
    <cellStyle name="Normal 53" xfId="5026"/>
    <cellStyle name="Normal 54" xfId="5028"/>
    <cellStyle name="Normal 55" xfId="517"/>
    <cellStyle name="Normal 55 2" xfId="3175"/>
    <cellStyle name="Normal 55 3" xfId="2231"/>
    <cellStyle name="Normal 56" xfId="518"/>
    <cellStyle name="Normal 56 2" xfId="3176"/>
    <cellStyle name="Normal 56 3" xfId="2232"/>
    <cellStyle name="Normal 57" xfId="4679"/>
    <cellStyle name="Normal 58" xfId="5046"/>
    <cellStyle name="Normal 59" xfId="4787"/>
    <cellStyle name="Normal 6" xfId="61"/>
    <cellStyle name="Normal 6 2" xfId="62"/>
    <cellStyle name="Normal 6 2 2" xfId="303"/>
    <cellStyle name="Normal 6 2 2 2" xfId="924"/>
    <cellStyle name="Normal 6 2 2 2 2" xfId="3438"/>
    <cellStyle name="Normal 6 2 2 2 3" xfId="2493"/>
    <cellStyle name="Normal 6 2 2 2 3 2" xfId="5448"/>
    <cellStyle name="Normal 6 2 2 2 3 3" xfId="4578"/>
    <cellStyle name="Normal 6 2 2 2 4" xfId="4769"/>
    <cellStyle name="Normal 6 2 2 2 5" xfId="5132"/>
    <cellStyle name="Normal 6 2 2 2 6" xfId="4034"/>
    <cellStyle name="Normal 6 2 2 3" xfId="3014"/>
    <cellStyle name="Normal 6 2 2 4" xfId="2079"/>
    <cellStyle name="Normal 6 2 3" xfId="519"/>
    <cellStyle name="Normal 6 2 3 2" xfId="575"/>
    <cellStyle name="Normal 6 2 3 2 2" xfId="3211"/>
    <cellStyle name="Normal 6 2 3 2 3" xfId="2267"/>
    <cellStyle name="Normal 6 2 3 3" xfId="3177"/>
    <cellStyle name="Normal 6 2 3 4" xfId="2233"/>
    <cellStyle name="Normal 6 2 4" xfId="3013"/>
    <cellStyle name="Normal 6 2 4 2" xfId="4902"/>
    <cellStyle name="Normal 6 2 4 3" xfId="5286"/>
    <cellStyle name="Normal 6 2 4 4" xfId="4303"/>
    <cellStyle name="Normal 6 2 5" xfId="3619"/>
    <cellStyle name="Normal 6 2 6" xfId="2078"/>
    <cellStyle name="Normal 6 3" xfId="304"/>
    <cellStyle name="Normal 6 3 2" xfId="520"/>
    <cellStyle name="Normal 6 3 2 2" xfId="923"/>
    <cellStyle name="Normal 6 3 2 2 2" xfId="3437"/>
    <cellStyle name="Normal 6 3 2 2 3" xfId="2492"/>
    <cellStyle name="Normal 6 3 2 3" xfId="3178"/>
    <cellStyle name="Normal 6 3 2 3 2" xfId="4921"/>
    <cellStyle name="Normal 6 3 2 3 3" xfId="5318"/>
    <cellStyle name="Normal 6 3 2 3 4" xfId="4579"/>
    <cellStyle name="Normal 6 3 2 4" xfId="2234"/>
    <cellStyle name="Normal 6 3 2 5" xfId="5133"/>
    <cellStyle name="Normal 6 3 2 6" xfId="4035"/>
    <cellStyle name="Normal 6 3 3" xfId="3015"/>
    <cellStyle name="Normal 6 3 4" xfId="2080"/>
    <cellStyle name="Normal 6 4" xfId="521"/>
    <cellStyle name="Normal 6 4 2" xfId="1626"/>
    <cellStyle name="Normal 6 4 2 2" xfId="3654"/>
    <cellStyle name="Normal 6 4 2 3" xfId="2656"/>
    <cellStyle name="Normal 6 4 3" xfId="574"/>
    <cellStyle name="Normal 6 4 3 2" xfId="3210"/>
    <cellStyle name="Normal 6 4 3 3" xfId="2266"/>
    <cellStyle name="Normal 6 4 4" xfId="3179"/>
    <cellStyle name="Normal 6 4 5" xfId="2235"/>
    <cellStyle name="Normal 6 5" xfId="522"/>
    <cellStyle name="Normal 6 5 2" xfId="3180"/>
    <cellStyle name="Normal 6 5 3" xfId="2236"/>
    <cellStyle name="Normal 6 5 4" xfId="5285"/>
    <cellStyle name="Normal 6 5 5" xfId="4302"/>
    <cellStyle name="Normal 6 6" xfId="523"/>
    <cellStyle name="Normal 6 6 2" xfId="3181"/>
    <cellStyle name="Normal 6 6 3" xfId="2237"/>
    <cellStyle name="Normal 6 7" xfId="524"/>
    <cellStyle name="Normal 6 7 2" xfId="3182"/>
    <cellStyle name="Normal 6 7 3" xfId="2238"/>
    <cellStyle name="Normal 6 8" xfId="3012"/>
    <cellStyle name="Normal 6 9" xfId="2077"/>
    <cellStyle name="Normal 6_CPI 2009" xfId="373"/>
    <cellStyle name="Normal 60" xfId="4790"/>
    <cellStyle name="Normal 7" xfId="63"/>
    <cellStyle name="Normal 7 2" xfId="64"/>
    <cellStyle name="Normal 7 2 2" xfId="305"/>
    <cellStyle name="Normal 7 2 2 2" xfId="815"/>
    <cellStyle name="Normal 7 2 2 2 2" xfId="3345"/>
    <cellStyle name="Normal 7 2 2 2 3" xfId="2401"/>
    <cellStyle name="Normal 7 2 2 2 3 2" xfId="5410"/>
    <cellStyle name="Normal 7 2 2 2 3 3" xfId="4580"/>
    <cellStyle name="Normal 7 2 2 2 4" xfId="4731"/>
    <cellStyle name="Normal 7 2 2 2 5" xfId="5134"/>
    <cellStyle name="Normal 7 2 2 2 6" xfId="4036"/>
    <cellStyle name="Normal 7 2 2 3" xfId="3018"/>
    <cellStyle name="Normal 7 2 2 4" xfId="2083"/>
    <cellStyle name="Normal 7 2 3" xfId="525"/>
    <cellStyle name="Normal 7 2 3 2" xfId="577"/>
    <cellStyle name="Normal 7 2 3 2 2" xfId="3213"/>
    <cellStyle name="Normal 7 2 3 2 3" xfId="2269"/>
    <cellStyle name="Normal 7 2 3 3" xfId="3183"/>
    <cellStyle name="Normal 7 2 3 4" xfId="2239"/>
    <cellStyle name="Normal 7 2 4" xfId="3017"/>
    <cellStyle name="Normal 7 2 4 2" xfId="4903"/>
    <cellStyle name="Normal 7 2 4 3" xfId="5287"/>
    <cellStyle name="Normal 7 2 4 4" xfId="4304"/>
    <cellStyle name="Normal 7 2 5" xfId="2082"/>
    <cellStyle name="Normal 7 3" xfId="65"/>
    <cellStyle name="Normal 7 3 2" xfId="306"/>
    <cellStyle name="Normal 7 3 2 2" xfId="925"/>
    <cellStyle name="Normal 7 3 2 2 2" xfId="3439"/>
    <cellStyle name="Normal 7 3 2 2 3" xfId="2494"/>
    <cellStyle name="Normal 7 3 2 2 3 2" xfId="5449"/>
    <cellStyle name="Normal 7 3 2 2 3 3" xfId="4581"/>
    <cellStyle name="Normal 7 3 2 2 4" xfId="4770"/>
    <cellStyle name="Normal 7 3 2 2 5" xfId="5135"/>
    <cellStyle name="Normal 7 3 2 2 6" xfId="4037"/>
    <cellStyle name="Normal 7 3 2 3" xfId="3020"/>
    <cellStyle name="Normal 7 3 2 4" xfId="2085"/>
    <cellStyle name="Normal 7 3 3" xfId="526"/>
    <cellStyle name="Normal 7 3 3 2" xfId="578"/>
    <cellStyle name="Normal 7 3 3 2 2" xfId="3214"/>
    <cellStyle name="Normal 7 3 3 2 3" xfId="2270"/>
    <cellStyle name="Normal 7 3 3 3" xfId="3184"/>
    <cellStyle name="Normal 7 3 3 4" xfId="2240"/>
    <cellStyle name="Normal 7 3 4" xfId="3019"/>
    <cellStyle name="Normal 7 3 5" xfId="2084"/>
    <cellStyle name="Normal 7 4" xfId="307"/>
    <cellStyle name="Normal 7 4 2" xfId="527"/>
    <cellStyle name="Normal 7 4 2 2" xfId="3185"/>
    <cellStyle name="Normal 7 4 2 3" xfId="2241"/>
    <cellStyle name="Normal 7 4 3" xfId="3021"/>
    <cellStyle name="Normal 7 4 4" xfId="2086"/>
    <cellStyle name="Normal 7 5" xfId="308"/>
    <cellStyle name="Normal 7 5 2" xfId="528"/>
    <cellStyle name="Normal 7 5 2 2" xfId="816"/>
    <cellStyle name="Normal 7 5 2 2 2" xfId="3346"/>
    <cellStyle name="Normal 7 5 2 2 3" xfId="2402"/>
    <cellStyle name="Normal 7 5 2 3" xfId="3186"/>
    <cellStyle name="Normal 7 5 2 3 2" xfId="4922"/>
    <cellStyle name="Normal 7 5 2 3 3" xfId="5319"/>
    <cellStyle name="Normal 7 5 2 3 4" xfId="4582"/>
    <cellStyle name="Normal 7 5 2 4" xfId="2242"/>
    <cellStyle name="Normal 7 5 2 5" xfId="5136"/>
    <cellStyle name="Normal 7 5 2 6" xfId="4038"/>
    <cellStyle name="Normal 7 5 3" xfId="3022"/>
    <cellStyle name="Normal 7 5 4" xfId="2087"/>
    <cellStyle name="Normal 7 6" xfId="529"/>
    <cellStyle name="Normal 7 6 2" xfId="576"/>
    <cellStyle name="Normal 7 6 2 2" xfId="3212"/>
    <cellStyle name="Normal 7 6 2 3" xfId="2268"/>
    <cellStyle name="Normal 7 6 3" xfId="3187"/>
    <cellStyle name="Normal 7 6 4" xfId="3646"/>
    <cellStyle name="Normal 7 6 5" xfId="2243"/>
    <cellStyle name="Normal 7 7" xfId="530"/>
    <cellStyle name="Normal 7 7 2" xfId="3188"/>
    <cellStyle name="Normal 7 7 3" xfId="2244"/>
    <cellStyle name="Normal 7 8" xfId="3016"/>
    <cellStyle name="Normal 7 9" xfId="2081"/>
    <cellStyle name="Normal 7_CPI 2009" xfId="374"/>
    <cellStyle name="Normal 8" xfId="66"/>
    <cellStyle name="Normal 8 2" xfId="309"/>
    <cellStyle name="Normal 8 2 2" xfId="531"/>
    <cellStyle name="Normal 8 2 2 2" xfId="817"/>
    <cellStyle name="Normal 8 2 2 2 2" xfId="3347"/>
    <cellStyle name="Normal 8 2 2 2 3" xfId="2403"/>
    <cellStyle name="Normal 8 2 2 3" xfId="3189"/>
    <cellStyle name="Normal 8 2 2 3 2" xfId="4923"/>
    <cellStyle name="Normal 8 2 2 3 3" xfId="5320"/>
    <cellStyle name="Normal 8 2 2 3 4" xfId="4584"/>
    <cellStyle name="Normal 8 2 2 4" xfId="2245"/>
    <cellStyle name="Normal 8 2 2 5" xfId="5137"/>
    <cellStyle name="Normal 8 2 2 6" xfId="4040"/>
    <cellStyle name="Normal 8 2 3" xfId="3024"/>
    <cellStyle name="Normal 8 2 4" xfId="2089"/>
    <cellStyle name="Normal 8 3" xfId="532"/>
    <cellStyle name="Normal 8 3 2" xfId="1152"/>
    <cellStyle name="Normal 8 3 2 2" xfId="1287"/>
    <cellStyle name="Normal 8 3 2 2 2" xfId="3617"/>
    <cellStyle name="Normal 8 3 2 2 3" xfId="2648"/>
    <cellStyle name="Normal 8 3 2 3" xfId="3575"/>
    <cellStyle name="Normal 8 3 2 4" xfId="2621"/>
    <cellStyle name="Normal 8 3 3" xfId="1276"/>
    <cellStyle name="Normal 8 3 3 2" xfId="3609"/>
    <cellStyle name="Normal 8 3 3 3" xfId="2640"/>
    <cellStyle name="Normal 8 3 4" xfId="1907"/>
    <cellStyle name="Normal 8 3 4 2" xfId="3851"/>
    <cellStyle name="Normal 8 3 4 3" xfId="2846"/>
    <cellStyle name="Normal 8 3 4 3 2" xfId="3922"/>
    <cellStyle name="Normal 8 3 4 3 3" xfId="5500"/>
    <cellStyle name="Normal 8 3 4 4" xfId="4116"/>
    <cellStyle name="Normal 8 3 4 4 2" xfId="4635"/>
    <cellStyle name="Normal 8 3 4 5" xfId="4825"/>
    <cellStyle name="Normal 8 3 5" xfId="818"/>
    <cellStyle name="Normal 8 3 5 2" xfId="3348"/>
    <cellStyle name="Normal 8 3 5 3" xfId="2404"/>
    <cellStyle name="Normal 8 3 6" xfId="579"/>
    <cellStyle name="Normal 8 3 6 2" xfId="3215"/>
    <cellStyle name="Normal 8 3 6 3" xfId="2271"/>
    <cellStyle name="Normal 8 3 7" xfId="3190"/>
    <cellStyle name="Normal 8 3 8" xfId="2246"/>
    <cellStyle name="Normal 8 4" xfId="533"/>
    <cellStyle name="Normal 8 4 2" xfId="1133"/>
    <cellStyle name="Normal 8 4 2 2" xfId="3562"/>
    <cellStyle name="Normal 8 4 2 3" xfId="2609"/>
    <cellStyle name="Normal 8 4 3" xfId="926"/>
    <cellStyle name="Normal 8 4 3 2" xfId="3440"/>
    <cellStyle name="Normal 8 4 3 3" xfId="2495"/>
    <cellStyle name="Normal 8 4 4" xfId="3191"/>
    <cellStyle name="Normal 8 4 5" xfId="2247"/>
    <cellStyle name="Normal 8 5" xfId="534"/>
    <cellStyle name="Normal 8 5 2" xfId="1004"/>
    <cellStyle name="Normal 8 5 2 2" xfId="3481"/>
    <cellStyle name="Normal 8 5 2 3" xfId="2535"/>
    <cellStyle name="Normal 8 5 3" xfId="3192"/>
    <cellStyle name="Normal 8 5 4" xfId="2248"/>
    <cellStyle name="Normal 8 6" xfId="535"/>
    <cellStyle name="Normal 8 6 2" xfId="3193"/>
    <cellStyle name="Normal 8 6 3" xfId="2249"/>
    <cellStyle name="Normal 8 6 4" xfId="5288"/>
    <cellStyle name="Normal 8 6 5" xfId="4305"/>
    <cellStyle name="Normal 8 7" xfId="536"/>
    <cellStyle name="Normal 8 7 2" xfId="3194"/>
    <cellStyle name="Normal 8 7 3" xfId="2250"/>
    <cellStyle name="Normal 8 8" xfId="3023"/>
    <cellStyle name="Normal 8 9" xfId="2088"/>
    <cellStyle name="Normal 8_CPI 2009" xfId="375"/>
    <cellStyle name="Normal 9" xfId="15"/>
    <cellStyle name="Normal 9 10" xfId="2090"/>
    <cellStyle name="Normal 9 2" xfId="310"/>
    <cellStyle name="Normal 9 2 2" xfId="3195"/>
    <cellStyle name="Normal 9 2 3" xfId="3587"/>
    <cellStyle name="Normal 9 2 4" xfId="2251"/>
    <cellStyle name="Normal 9 2 5" xfId="5290"/>
    <cellStyle name="Normal 9 2 6" xfId="4307"/>
    <cellStyle name="Normal 9 2 7" xfId="537"/>
    <cellStyle name="Normal 9 3" xfId="360"/>
    <cellStyle name="Normal 9 3 2" xfId="3196"/>
    <cellStyle name="Normal 9 3 3" xfId="3647"/>
    <cellStyle name="Normal 9 3 4" xfId="2252"/>
    <cellStyle name="Normal 9 3 5" xfId="5289"/>
    <cellStyle name="Normal 9 3 6" xfId="4306"/>
    <cellStyle name="Normal 9 3 7" xfId="538"/>
    <cellStyle name="Normal 9 4" xfId="361"/>
    <cellStyle name="Normal 9 4 2" xfId="3197"/>
    <cellStyle name="Normal 9 4 3" xfId="2253"/>
    <cellStyle name="Normal 9 4 4" xfId="539"/>
    <cellStyle name="Normal 9 5" xfId="362"/>
    <cellStyle name="Normal 9 5 2" xfId="3198"/>
    <cellStyle name="Normal 9 5 3" xfId="2254"/>
    <cellStyle name="Normal 9 5 4" xfId="540"/>
    <cellStyle name="Normal 9 6" xfId="541"/>
    <cellStyle name="Normal 9 6 2" xfId="3199"/>
    <cellStyle name="Normal 9 6 3" xfId="2255"/>
    <cellStyle name="Normal 9 7" xfId="542"/>
    <cellStyle name="Normal 9 7 2" xfId="3200"/>
    <cellStyle name="Normal 9 7 3" xfId="2256"/>
    <cellStyle name="Normal 9 8" xfId="3025"/>
    <cellStyle name="Normal 9 9" xfId="3493"/>
    <cellStyle name="Normal 9_CPI" xfId="359"/>
    <cellStyle name="Normal_Chapter 4_data 2" xfId="352"/>
    <cellStyle name="Normal_CPI 2009" xfId="363"/>
    <cellStyle name="Normal_March08mpsgraweb1" xfId="376"/>
    <cellStyle name="Note" xfId="394" builtinId="10" customBuiltin="1"/>
    <cellStyle name="Note 2" xfId="67"/>
    <cellStyle name="Note 2 2" xfId="312"/>
    <cellStyle name="Note 2 2 2" xfId="313"/>
    <cellStyle name="Note 2 2 2 2" xfId="1860"/>
    <cellStyle name="Note 2 2 2 2 2" xfId="3835"/>
    <cellStyle name="Note 2 2 2 2 2 2" xfId="4666"/>
    <cellStyle name="Note 2 2 2 2 3" xfId="2830"/>
    <cellStyle name="Note 2 2 2 2 3 2" xfId="4657"/>
    <cellStyle name="Note 2 2 2 2 3 3" xfId="5495"/>
    <cellStyle name="Note 2 2 2 2 3 4" xfId="4586"/>
    <cellStyle name="Note 2 2 2 2 4" xfId="4655"/>
    <cellStyle name="Note 2 2 2 2 5" xfId="4820"/>
    <cellStyle name="Note 2 2 2 2 6" xfId="5139"/>
    <cellStyle name="Note 2 2 2 2 7" xfId="4043"/>
    <cellStyle name="Note 2 2 2 3" xfId="1686"/>
    <cellStyle name="Note 2 2 2 3 2" xfId="3711"/>
    <cellStyle name="Note 2 2 2 3 3" xfId="2712"/>
    <cellStyle name="Note 2 2 2 4" xfId="3028"/>
    <cellStyle name="Note 2 2 2 5" xfId="2093"/>
    <cellStyle name="Note 2 2 3" xfId="1815"/>
    <cellStyle name="Note 2 2 3 2" xfId="3790"/>
    <cellStyle name="Note 2 2 3 2 2" xfId="4664"/>
    <cellStyle name="Note 2 2 3 3" xfId="2785"/>
    <cellStyle name="Note 2 2 3 3 2" xfId="4656"/>
    <cellStyle name="Note 2 2 3 3 3" xfId="5490"/>
    <cellStyle name="Note 2 2 3 3 4" xfId="4585"/>
    <cellStyle name="Note 2 2 3 4" xfId="4653"/>
    <cellStyle name="Note 2 2 3 5" xfId="4815"/>
    <cellStyle name="Note 2 2 3 6" xfId="5138"/>
    <cellStyle name="Note 2 2 3 7" xfId="4042"/>
    <cellStyle name="Note 2 2 4" xfId="927"/>
    <cellStyle name="Note 2 2 4 2" xfId="3441"/>
    <cellStyle name="Note 2 2 4 3" xfId="2496"/>
    <cellStyle name="Note 2 2 5" xfId="3027"/>
    <cellStyle name="Note 2 2 6" xfId="2092"/>
    <cellStyle name="Note 2 3" xfId="314"/>
    <cellStyle name="Note 2 3 2" xfId="1691"/>
    <cellStyle name="Note 2 3 2 2" xfId="1864"/>
    <cellStyle name="Note 2 3 2 2 2" xfId="3839"/>
    <cellStyle name="Note 2 3 2 2 3" xfId="2834"/>
    <cellStyle name="Note 2 3 2 3" xfId="3716"/>
    <cellStyle name="Note 2 3 2 4" xfId="2717"/>
    <cellStyle name="Note 2 3 3" xfId="1824"/>
    <cellStyle name="Note 2 3 3 2" xfId="3799"/>
    <cellStyle name="Note 2 3 3 2 2" xfId="4665"/>
    <cellStyle name="Note 2 3 3 3" xfId="2794"/>
    <cellStyle name="Note 2 3 3 3 2" xfId="4658"/>
    <cellStyle name="Note 2 3 3 3 3" xfId="5493"/>
    <cellStyle name="Note 2 3 3 3 4" xfId="4587"/>
    <cellStyle name="Note 2 3 3 4" xfId="4654"/>
    <cellStyle name="Note 2 3 3 5" xfId="4818"/>
    <cellStyle name="Note 2 3 3 6" xfId="5140"/>
    <cellStyle name="Note 2 3 3 7" xfId="4044"/>
    <cellStyle name="Note 2 3 4" xfId="1068"/>
    <cellStyle name="Note 2 3 4 2" xfId="3536"/>
    <cellStyle name="Note 2 3 4 3" xfId="2583"/>
    <cellStyle name="Note 2 3 5" xfId="3029"/>
    <cellStyle name="Note 2 3 5 2" xfId="4904"/>
    <cellStyle name="Note 2 3 5 3" xfId="5291"/>
    <cellStyle name="Note 2 3 5 4" xfId="4308"/>
    <cellStyle name="Note 2 3 6" xfId="2094"/>
    <cellStyle name="Note 2 3 6 2" xfId="5372"/>
    <cellStyle name="Note 2 3 6 3" xfId="4650"/>
    <cellStyle name="Note 2 3 7" xfId="4686"/>
    <cellStyle name="Note 2 4" xfId="311"/>
    <cellStyle name="Note 2 4 2" xfId="1696"/>
    <cellStyle name="Note 2 4 2 2" xfId="1868"/>
    <cellStyle name="Note 2 4 2 2 2" xfId="3843"/>
    <cellStyle name="Note 2 4 2 2 3" xfId="2838"/>
    <cellStyle name="Note 2 4 2 3" xfId="3721"/>
    <cellStyle name="Note 2 4 2 4" xfId="2722"/>
    <cellStyle name="Note 2 4 3" xfId="1830"/>
    <cellStyle name="Note 2 4 3 2" xfId="3805"/>
    <cellStyle name="Note 2 4 3 3" xfId="2800"/>
    <cellStyle name="Note 2 4 4" xfId="3544"/>
    <cellStyle name="Note 2 4 5" xfId="2591"/>
    <cellStyle name="Note 2 5" xfId="1669"/>
    <cellStyle name="Note 2 5 2" xfId="1854"/>
    <cellStyle name="Note 2 5 2 2" xfId="3829"/>
    <cellStyle name="Note 2 5 2 3" xfId="2824"/>
    <cellStyle name="Note 2 5 3" xfId="3696"/>
    <cellStyle name="Note 2 5 4" xfId="2698"/>
    <cellStyle name="Note 2 6" xfId="820"/>
    <cellStyle name="Note 2 6 2" xfId="3350"/>
    <cellStyle name="Note 2 6 3" xfId="2406"/>
    <cellStyle name="Note 2 7" xfId="3026"/>
    <cellStyle name="Note 2 8" xfId="2091"/>
    <cellStyle name="Note 3" xfId="315"/>
    <cellStyle name="Note 3 2" xfId="316"/>
    <cellStyle name="Note 3 2 2" xfId="1277"/>
    <cellStyle name="Note 3 2 2 2" xfId="3610"/>
    <cellStyle name="Note 3 2 2 3" xfId="2641"/>
    <cellStyle name="Note 3 2 2 3 2" xfId="4660"/>
    <cellStyle name="Note 3 2 2 3 3" xfId="5468"/>
    <cellStyle name="Note 3 2 2 3 4" xfId="4589"/>
    <cellStyle name="Note 3 2 2 4" xfId="4789"/>
    <cellStyle name="Note 3 2 2 5" xfId="5142"/>
    <cellStyle name="Note 3 2 2 6" xfId="4046"/>
    <cellStyle name="Note 3 2 3" xfId="3031"/>
    <cellStyle name="Note 3 2 4" xfId="2096"/>
    <cellStyle name="Note 3 3" xfId="821"/>
    <cellStyle name="Note 3 3 2" xfId="3351"/>
    <cellStyle name="Note 3 3 3" xfId="2407"/>
    <cellStyle name="Note 3 3 3 2" xfId="4659"/>
    <cellStyle name="Note 3 3 3 3" xfId="5411"/>
    <cellStyle name="Note 3 3 3 4" xfId="4588"/>
    <cellStyle name="Note 3 3 4" xfId="4732"/>
    <cellStyle name="Note 3 3 5" xfId="5141"/>
    <cellStyle name="Note 3 3 6" xfId="4045"/>
    <cellStyle name="Note 3 4" xfId="3030"/>
    <cellStyle name="Note 3 5" xfId="2095"/>
    <cellStyle name="Note 4" xfId="819"/>
    <cellStyle name="Note 4 2" xfId="1135"/>
    <cellStyle name="Note 4 2 2" xfId="1835"/>
    <cellStyle name="Note 4 2 2 2" xfId="3810"/>
    <cellStyle name="Note 4 2 2 3" xfId="2805"/>
    <cellStyle name="Note 4 2 3" xfId="3563"/>
    <cellStyle name="Note 4 2 4" xfId="2610"/>
    <cellStyle name="Note 4 3" xfId="1803"/>
    <cellStyle name="Note 4 3 2" xfId="3779"/>
    <cellStyle name="Note 4 3 3" xfId="2774"/>
    <cellStyle name="Note 4 4" xfId="3349"/>
    <cellStyle name="Note 4 5" xfId="2405"/>
    <cellStyle name="Note 5" xfId="879"/>
    <cellStyle name="Note 5 2" xfId="1683"/>
    <cellStyle name="Note 5 2 2" xfId="1774"/>
    <cellStyle name="Note 5 2 2 2" xfId="3756"/>
    <cellStyle name="Note 5 2 2 3" xfId="2751"/>
    <cellStyle name="Note 5 2 3" xfId="1857"/>
    <cellStyle name="Note 5 2 3 2" xfId="3832"/>
    <cellStyle name="Note 5 2 3 3" xfId="2827"/>
    <cellStyle name="Note 5 2 4" xfId="3708"/>
    <cellStyle name="Note 5 2 4 2" xfId="4618"/>
    <cellStyle name="Note 5 2 4 2 2" xfId="5325"/>
    <cellStyle name="Note 5 2 4 3" xfId="4663"/>
    <cellStyle name="Note 5 2 5" xfId="2709"/>
    <cellStyle name="Note 5 2 5 2" xfId="5484"/>
    <cellStyle name="Note 5 2 5 3" xfId="4310"/>
    <cellStyle name="Note 5 2 6" xfId="4652"/>
    <cellStyle name="Note 5 2 7" xfId="4809"/>
    <cellStyle name="Note 5 3" xfId="1765"/>
    <cellStyle name="Note 5 3 2" xfId="3753"/>
    <cellStyle name="Note 5 3 3" xfId="2748"/>
    <cellStyle name="Note 5 4" xfId="1808"/>
    <cellStyle name="Note 5 4 2" xfId="3783"/>
    <cellStyle name="Note 5 4 3" xfId="2778"/>
    <cellStyle name="Note 5 5" xfId="3394"/>
    <cellStyle name="Note 5 5 2" xfId="4606"/>
    <cellStyle name="Note 5 5 2 2" xfId="5324"/>
    <cellStyle name="Note 5 5 3" xfId="4662"/>
    <cellStyle name="Note 5 6" xfId="2449"/>
    <cellStyle name="Note 5 6 2" xfId="5413"/>
    <cellStyle name="Note 5 6 3" xfId="4309"/>
    <cellStyle name="Note 5 7" xfId="4651"/>
    <cellStyle name="Note 5 8" xfId="4734"/>
    <cellStyle name="Note 6" xfId="3060"/>
    <cellStyle name="Note 6 2" xfId="4311"/>
    <cellStyle name="Note 7" xfId="2130"/>
    <cellStyle name="notes" xfId="317"/>
    <cellStyle name="notes 2" xfId="3032"/>
    <cellStyle name="notes 3" xfId="2097"/>
    <cellStyle name="Output" xfId="389" builtinId="21" customBuiltin="1"/>
    <cellStyle name="Output 2" xfId="68"/>
    <cellStyle name="Output 2 2" xfId="319"/>
    <cellStyle name="Output 2 2 2" xfId="1687"/>
    <cellStyle name="Output 2 2 2 2" xfId="1787"/>
    <cellStyle name="Output 2 2 2 2 2" xfId="3763"/>
    <cellStyle name="Output 2 2 2 2 2 2" xfId="4990"/>
    <cellStyle name="Output 2 2 2 2 3" xfId="2758"/>
    <cellStyle name="Output 2 2 2 3" xfId="3712"/>
    <cellStyle name="Output 2 2 2 3 2" xfId="4677"/>
    <cellStyle name="Output 2 2 2 4" xfId="2713"/>
    <cellStyle name="Output 2 2 3" xfId="1816"/>
    <cellStyle name="Output 2 2 3 2" xfId="3791"/>
    <cellStyle name="Output 2 2 3 2 2" xfId="4641"/>
    <cellStyle name="Output 2 2 3 2 2 2" xfId="5326"/>
    <cellStyle name="Output 2 2 3 3" xfId="2786"/>
    <cellStyle name="Output 2 2 3 3 2" xfId="4661"/>
    <cellStyle name="Output 2 2 3 3 3" xfId="5491"/>
    <cellStyle name="Output 2 2 3 3 4" xfId="4590"/>
    <cellStyle name="Output 2 2 3 4" xfId="4496"/>
    <cellStyle name="Output 2 2 3 4 2" xfId="5308"/>
    <cellStyle name="Output 2 2 3 5" xfId="4816"/>
    <cellStyle name="Output 2 2 3 6" xfId="5143"/>
    <cellStyle name="Output 2 2 3 7" xfId="4047"/>
    <cellStyle name="Output 2 2 4" xfId="1801"/>
    <cellStyle name="Output 2 2 4 2" xfId="3777"/>
    <cellStyle name="Output 2 2 4 2 2" xfId="4996"/>
    <cellStyle name="Output 2 2 4 3" xfId="2772"/>
    <cellStyle name="Output 2 2 5" xfId="928"/>
    <cellStyle name="Output 2 2 5 2" xfId="3442"/>
    <cellStyle name="Output 2 2 5 2 2" xfId="4975"/>
    <cellStyle name="Output 2 2 5 3" xfId="2497"/>
    <cellStyle name="Output 2 2 6" xfId="3034"/>
    <cellStyle name="Output 2 2 6 2" xfId="4906"/>
    <cellStyle name="Output 2 2 6 3" xfId="5293"/>
    <cellStyle name="Output 2 2 6 4" xfId="4313"/>
    <cellStyle name="Output 2 2 7" xfId="2099"/>
    <cellStyle name="Output 2 2 7 2" xfId="4675"/>
    <cellStyle name="Output 2 2 7 3" xfId="5373"/>
    <cellStyle name="Output 2 2 7 4" xfId="4480"/>
    <cellStyle name="Output 2 2 8" xfId="4486"/>
    <cellStyle name="Output 2 2 8 2" xfId="5305"/>
    <cellStyle name="Output 2 2 9" xfId="4687"/>
    <cellStyle name="Output 2 3" xfId="318"/>
    <cellStyle name="Output 2 3 2" xfId="1692"/>
    <cellStyle name="Output 2 3 2 2" xfId="1788"/>
    <cellStyle name="Output 2 3 2 2 2" xfId="3764"/>
    <cellStyle name="Output 2 3 2 2 2 2" xfId="4991"/>
    <cellStyle name="Output 2 3 2 2 3" xfId="2759"/>
    <cellStyle name="Output 2 3 2 3" xfId="3717"/>
    <cellStyle name="Output 2 3 2 3 2" xfId="4668"/>
    <cellStyle name="Output 2 3 2 4" xfId="2718"/>
    <cellStyle name="Output 2 3 3" xfId="1825"/>
    <cellStyle name="Output 2 3 3 2" xfId="3800"/>
    <cellStyle name="Output 2 3 3 2 2" xfId="5005"/>
    <cellStyle name="Output 2 3 3 3" xfId="2795"/>
    <cellStyle name="Output 2 3 4" xfId="1848"/>
    <cellStyle name="Output 2 3 4 2" xfId="3823"/>
    <cellStyle name="Output 2 3 4 2 2" xfId="5015"/>
    <cellStyle name="Output 2 3 4 3" xfId="2818"/>
    <cellStyle name="Output 2 3 5" xfId="3537"/>
    <cellStyle name="Output 2 3 5 2" xfId="4674"/>
    <cellStyle name="Output 2 3 6" xfId="2584"/>
    <cellStyle name="Output 2 4" xfId="1074"/>
    <cellStyle name="Output 2 4 2" xfId="1697"/>
    <cellStyle name="Output 2 4 2 2" xfId="1819"/>
    <cellStyle name="Output 2 4 2 2 2" xfId="3794"/>
    <cellStyle name="Output 2 4 2 2 2 2" xfId="5003"/>
    <cellStyle name="Output 2 4 2 2 3" xfId="2789"/>
    <cellStyle name="Output 2 4 2 3" xfId="3722"/>
    <cellStyle name="Output 2 4 2 3 2" xfId="4672"/>
    <cellStyle name="Output 2 4 2 4" xfId="2723"/>
    <cellStyle name="Output 2 4 3" xfId="1831"/>
    <cellStyle name="Output 2 4 3 2" xfId="3806"/>
    <cellStyle name="Output 2 4 3 2 2" xfId="5007"/>
    <cellStyle name="Output 2 4 3 3" xfId="2801"/>
    <cellStyle name="Output 2 4 4" xfId="1795"/>
    <cellStyle name="Output 2 4 4 2" xfId="3771"/>
    <cellStyle name="Output 2 4 4 2 2" xfId="4994"/>
    <cellStyle name="Output 2 4 4 3" xfId="2766"/>
    <cellStyle name="Output 2 4 5" xfId="3545"/>
    <cellStyle name="Output 2 4 5 2" xfId="4673"/>
    <cellStyle name="Output 2 4 6" xfId="2592"/>
    <cellStyle name="Output 2 5" xfId="1670"/>
    <cellStyle name="Output 2 5 2" xfId="1821"/>
    <cellStyle name="Output 2 5 2 2" xfId="3796"/>
    <cellStyle name="Output 2 5 2 2 2" xfId="5004"/>
    <cellStyle name="Output 2 5 2 3" xfId="2791"/>
    <cellStyle name="Output 2 5 3" xfId="3697"/>
    <cellStyle name="Output 2 5 3 2" xfId="4669"/>
    <cellStyle name="Output 2 5 4" xfId="2699"/>
    <cellStyle name="Output 2 6" xfId="823"/>
    <cellStyle name="Output 2 6 2" xfId="3353"/>
    <cellStyle name="Output 2 6 3" xfId="2409"/>
    <cellStyle name="Output 2 7" xfId="3033"/>
    <cellStyle name="Output 2 7 2" xfId="4646"/>
    <cellStyle name="Output 2 7 2 2" xfId="5329"/>
    <cellStyle name="Output 2 7 3" xfId="4905"/>
    <cellStyle name="Output 2 7 4" xfId="5292"/>
    <cellStyle name="Output 2 7 5" xfId="4312"/>
    <cellStyle name="Output 2 8" xfId="2098"/>
    <cellStyle name="Output 3" xfId="824"/>
    <cellStyle name="Output 3 2" xfId="3354"/>
    <cellStyle name="Output 3 2 2" xfId="4970"/>
    <cellStyle name="Output 3 2 3" xfId="5294"/>
    <cellStyle name="Output 3 2 4" xfId="4314"/>
    <cellStyle name="Output 3 3" xfId="2410"/>
    <cellStyle name="Output 4" xfId="822"/>
    <cellStyle name="Output 4 2" xfId="1136"/>
    <cellStyle name="Output 4 2 2" xfId="1841"/>
    <cellStyle name="Output 4 2 2 2" xfId="3816"/>
    <cellStyle name="Output 4 2 2 2 2" xfId="5011"/>
    <cellStyle name="Output 4 2 2 3" xfId="2811"/>
    <cellStyle name="Output 4 2 3" xfId="3564"/>
    <cellStyle name="Output 4 2 3 2" xfId="4676"/>
    <cellStyle name="Output 4 2 4" xfId="2611"/>
    <cellStyle name="Output 4 3" xfId="1804"/>
    <cellStyle name="Output 4 3 2" xfId="3780"/>
    <cellStyle name="Output 4 3 2 2" xfId="4998"/>
    <cellStyle name="Output 4 3 3" xfId="2775"/>
    <cellStyle name="Output 4 4" xfId="1802"/>
    <cellStyle name="Output 4 4 2" xfId="3778"/>
    <cellStyle name="Output 4 4 2 2" xfId="4997"/>
    <cellStyle name="Output 4 4 3" xfId="2773"/>
    <cellStyle name="Output 4 5" xfId="3352"/>
    <cellStyle name="Output 4 5 2" xfId="4678"/>
    <cellStyle name="Output 4 6" xfId="2408"/>
    <cellStyle name="Output 5" xfId="3055"/>
    <cellStyle name="Output 6" xfId="2125"/>
    <cellStyle name="Page Number" xfId="960"/>
    <cellStyle name="Page Number 2" xfId="1005"/>
    <cellStyle name="Page Number 2 2" xfId="1766"/>
    <cellStyle name="Page Number 2 2 2" xfId="4600"/>
    <cellStyle name="Page Number 2 2 2 2" xfId="5335"/>
    <cellStyle name="Page Number 2 2 3" xfId="4490"/>
    <cellStyle name="Page Number 2 2 3 2" xfId="5032"/>
    <cellStyle name="Page Number 2 2 4" xfId="5036"/>
    <cellStyle name="Page Number 2 2 5" xfId="5360"/>
    <cellStyle name="Page Number 2 3" xfId="1807"/>
    <cellStyle name="Page Number 2 3 2" xfId="4119"/>
    <cellStyle name="Page Number 2 3 2 2" xfId="4638"/>
    <cellStyle name="Page Number 2 3 2 2 2" xfId="5331"/>
    <cellStyle name="Page Number 2 3 2 3" xfId="5157"/>
    <cellStyle name="Page Number 2 3 3" xfId="4610"/>
    <cellStyle name="Page Number 2 3 3 2" xfId="5336"/>
    <cellStyle name="Page Number 2 3 4" xfId="4493"/>
    <cellStyle name="Page Number 2 3 4 2" xfId="5035"/>
    <cellStyle name="Page Number 2 3 5" xfId="5029"/>
    <cellStyle name="Page Number 2 3 6" xfId="5354"/>
    <cellStyle name="Page Number 2 4" xfId="4083"/>
    <cellStyle name="Page Number 2 4 2" xfId="4612"/>
    <cellStyle name="Page Number 2 4 2 2" xfId="4791"/>
    <cellStyle name="Page Number 2 5" xfId="4475"/>
    <cellStyle name="Page Number 2 5 2" xfId="4648"/>
    <cellStyle name="Page Number 2 5 2 2" xfId="5040"/>
    <cellStyle name="Page Number 2 5 3" xfId="4793"/>
    <cellStyle name="Page Number 2 6" xfId="4474"/>
    <cellStyle name="Page Number 2 6 2" xfId="5038"/>
    <cellStyle name="Page Number 2 7" xfId="5508"/>
    <cellStyle name="Page Number 3" xfId="1006"/>
    <cellStyle name="Percent" xfId="10" builtinId="5"/>
    <cellStyle name="Percent [0]" xfId="962"/>
    <cellStyle name="Percent [1]" xfId="963"/>
    <cellStyle name="Percent [2]" xfId="964"/>
    <cellStyle name="Percent 10" xfId="980"/>
    <cellStyle name="Percent 100" xfId="1450"/>
    <cellStyle name="Percent 101" xfId="1461"/>
    <cellStyle name="Percent 102" xfId="1451"/>
    <cellStyle name="Percent 103" xfId="1462"/>
    <cellStyle name="Percent 104" xfId="1452"/>
    <cellStyle name="Percent 105" xfId="1463"/>
    <cellStyle name="Percent 106" xfId="1453"/>
    <cellStyle name="Percent 107" xfId="1464"/>
    <cellStyle name="Percent 108" xfId="1454"/>
    <cellStyle name="Percent 109" xfId="1465"/>
    <cellStyle name="Percent 11" xfId="1000"/>
    <cellStyle name="Percent 110" xfId="1455"/>
    <cellStyle name="Percent 111" xfId="1518"/>
    <cellStyle name="Percent 112" xfId="1484"/>
    <cellStyle name="Percent 113" xfId="1517"/>
    <cellStyle name="Percent 114" xfId="1483"/>
    <cellStyle name="Percent 115" xfId="1519"/>
    <cellStyle name="Percent 116" xfId="1482"/>
    <cellStyle name="Percent 117" xfId="1520"/>
    <cellStyle name="Percent 118" xfId="1529"/>
    <cellStyle name="Percent 119" xfId="1521"/>
    <cellStyle name="Percent 12" xfId="979"/>
    <cellStyle name="Percent 120" xfId="1530"/>
    <cellStyle name="Percent 121" xfId="1522"/>
    <cellStyle name="Percent 122" xfId="1531"/>
    <cellStyle name="Percent 123" xfId="1523"/>
    <cellStyle name="Percent 124" xfId="1532"/>
    <cellStyle name="Percent 125" xfId="1524"/>
    <cellStyle name="Percent 126" xfId="1533"/>
    <cellStyle name="Percent 127" xfId="1525"/>
    <cellStyle name="Percent 128" xfId="1534"/>
    <cellStyle name="Percent 129" xfId="1526"/>
    <cellStyle name="Percent 13" xfId="1015"/>
    <cellStyle name="Percent 130" xfId="1590"/>
    <cellStyle name="Percent 131" xfId="1553"/>
    <cellStyle name="Percent 132" xfId="1589"/>
    <cellStyle name="Percent 133" xfId="1552"/>
    <cellStyle name="Percent 134" xfId="1591"/>
    <cellStyle name="Percent 135" xfId="1551"/>
    <cellStyle name="Percent 136" xfId="1592"/>
    <cellStyle name="Percent 137" xfId="1598"/>
    <cellStyle name="Percent 138" xfId="1593"/>
    <cellStyle name="Percent 139" xfId="1599"/>
    <cellStyle name="Percent 14" xfId="1016"/>
    <cellStyle name="Percent 140" xfId="1594"/>
    <cellStyle name="Percent 141" xfId="1600"/>
    <cellStyle name="Percent 142" xfId="1596"/>
    <cellStyle name="Percent 143" xfId="1555"/>
    <cellStyle name="Percent 144" xfId="1603"/>
    <cellStyle name="Percent 145" xfId="1554"/>
    <cellStyle name="Percent 146" xfId="1606"/>
    <cellStyle name="Percent 147" xfId="1674"/>
    <cellStyle name="Percent 148" xfId="1714"/>
    <cellStyle name="Percent 148 2" xfId="1779"/>
    <cellStyle name="Percent 148 3" xfId="3912"/>
    <cellStyle name="Percent 148 4" xfId="4104"/>
    <cellStyle name="Percent 148 4 2" xfId="4623"/>
    <cellStyle name="Percent 149" xfId="1716"/>
    <cellStyle name="Percent 149 2" xfId="1781"/>
    <cellStyle name="Percent 149 3" xfId="3913"/>
    <cellStyle name="Percent 149 4" xfId="4106"/>
    <cellStyle name="Percent 149 4 2" xfId="4625"/>
    <cellStyle name="Percent 15" xfId="1017"/>
    <cellStyle name="Percent 150" xfId="1718"/>
    <cellStyle name="Percent 150 2" xfId="1783"/>
    <cellStyle name="Percent 150 3" xfId="3914"/>
    <cellStyle name="Percent 150 4" xfId="4108"/>
    <cellStyle name="Percent 150 4 2" xfId="4627"/>
    <cellStyle name="Percent 151" xfId="1738"/>
    <cellStyle name="Percent 152" xfId="1741"/>
    <cellStyle name="Percent 153" xfId="1739"/>
    <cellStyle name="Percent 154" xfId="1742"/>
    <cellStyle name="Percent 155" xfId="1744"/>
    <cellStyle name="Percent 156" xfId="1746"/>
    <cellStyle name="Percent 157" xfId="1748"/>
    <cellStyle name="Percent 158" xfId="1750"/>
    <cellStyle name="Percent 159" xfId="1752"/>
    <cellStyle name="Percent 16" xfId="1018"/>
    <cellStyle name="Percent 160" xfId="1754"/>
    <cellStyle name="Percent 161" xfId="1756"/>
    <cellStyle name="Percent 162" xfId="1758"/>
    <cellStyle name="Percent 163" xfId="1760"/>
    <cellStyle name="Percent 164" xfId="1908"/>
    <cellStyle name="Percent 164 2" xfId="3927"/>
    <cellStyle name="Percent 164 3" xfId="3923"/>
    <cellStyle name="Percent 164 4" xfId="4117"/>
    <cellStyle name="Percent 164 4 2" xfId="4636"/>
    <cellStyle name="Percent 165" xfId="3950"/>
    <cellStyle name="Percent 166" xfId="3953"/>
    <cellStyle name="Percent 167" xfId="4070"/>
    <cellStyle name="Percent 17" xfId="1019"/>
    <cellStyle name="Percent 18" xfId="1020"/>
    <cellStyle name="Percent 19" xfId="1021"/>
    <cellStyle name="Percent 2" xfId="320"/>
    <cellStyle name="Percent 2 2" xfId="321"/>
    <cellStyle name="Percent 2 2 2" xfId="322"/>
    <cellStyle name="Percent 2 2 2 2" xfId="323"/>
    <cellStyle name="Percent 2 2 3" xfId="324"/>
    <cellStyle name="Percent 2 2 3 2" xfId="826"/>
    <cellStyle name="Percent 2 2 3 2 2" xfId="4087"/>
    <cellStyle name="Percent 2 2 3 2 3" xfId="4591"/>
    <cellStyle name="Percent 2 2 3 2 4" xfId="5144"/>
    <cellStyle name="Percent 2 2 3 2 5" xfId="4048"/>
    <cellStyle name="Percent 2 3" xfId="325"/>
    <cellStyle name="Percent 2 3 2" xfId="326"/>
    <cellStyle name="Percent 2 3 2 2" xfId="327"/>
    <cellStyle name="Percent 2 3 3" xfId="328"/>
    <cellStyle name="Percent 2 3 4" xfId="4315"/>
    <cellStyle name="Percent 2 4" xfId="329"/>
    <cellStyle name="Percent 2 4 2" xfId="827"/>
    <cellStyle name="Percent 2 4 2 2" xfId="1278"/>
    <cellStyle name="Percent 2 4 2 3" xfId="3640"/>
    <cellStyle name="Percent 2 5" xfId="330"/>
    <cellStyle name="Percent 2 5 2" xfId="3644"/>
    <cellStyle name="Percent 2 5 3" xfId="3591"/>
    <cellStyle name="Percent 2 6" xfId="331"/>
    <cellStyle name="Percent 2 6 2" xfId="3641"/>
    <cellStyle name="Percent 2 6 3" xfId="3620"/>
    <cellStyle name="Percent 2 7" xfId="332"/>
    <cellStyle name="Percent 2 7 2" xfId="333"/>
    <cellStyle name="Percent 2 7 3" xfId="961"/>
    <cellStyle name="Percent 2 7 3 2" xfId="4056"/>
    <cellStyle name="Percent 2 7 3 3" xfId="4592"/>
    <cellStyle name="Percent 2 7 3 4" xfId="5145"/>
    <cellStyle name="Percent 2 7 3 5" xfId="4049"/>
    <cellStyle name="Percent 2 8" xfId="334"/>
    <cellStyle name="Percent 2 8 2" xfId="335"/>
    <cellStyle name="Percent 20" xfId="1022"/>
    <cellStyle name="Percent 21" xfId="1023"/>
    <cellStyle name="Percent 22" xfId="1024"/>
    <cellStyle name="Percent 23" xfId="1025"/>
    <cellStyle name="Percent 24" xfId="1026"/>
    <cellStyle name="Percent 25" xfId="1027"/>
    <cellStyle name="Percent 26" xfId="1028"/>
    <cellStyle name="Percent 27" xfId="1029"/>
    <cellStyle name="Percent 28" xfId="976"/>
    <cellStyle name="Percent 29" xfId="986"/>
    <cellStyle name="Percent 3" xfId="336"/>
    <cellStyle name="Percent 3 2" xfId="872"/>
    <cellStyle name="Percent 3 2 2" xfId="4317"/>
    <cellStyle name="Percent 3 3" xfId="971"/>
    <cellStyle name="Percent 3 4" xfId="4316"/>
    <cellStyle name="Percent 30" xfId="975"/>
    <cellStyle name="Percent 31" xfId="1014"/>
    <cellStyle name="Percent 32" xfId="1037"/>
    <cellStyle name="Percent 33" xfId="1044"/>
    <cellStyle name="Percent 33 2" xfId="1288"/>
    <cellStyle name="Percent 33 3" xfId="1153"/>
    <cellStyle name="Percent 33 4" xfId="4039"/>
    <cellStyle name="Percent 33 4 2" xfId="4583"/>
    <cellStyle name="Percent 34" xfId="1039"/>
    <cellStyle name="Percent 34 2" xfId="1161"/>
    <cellStyle name="Percent 34 3" xfId="4089"/>
    <cellStyle name="Percent 34 3 2" xfId="4615"/>
    <cellStyle name="Percent 35" xfId="1077"/>
    <cellStyle name="Percent 35 2" xfId="1144"/>
    <cellStyle name="Percent 35 3" xfId="4094"/>
    <cellStyle name="Percent 35 3 2" xfId="4616"/>
    <cellStyle name="Percent 36" xfId="1159"/>
    <cellStyle name="Percent 37" xfId="1145"/>
    <cellStyle name="Percent 38" xfId="1160"/>
    <cellStyle name="Percent 38 2" xfId="1290"/>
    <cellStyle name="Percent 39" xfId="1143"/>
    <cellStyle name="Percent 39 2" xfId="1280"/>
    <cellStyle name="Percent 4" xfId="337"/>
    <cellStyle name="Percent 4 2" xfId="338"/>
    <cellStyle name="Percent 4 2 2" xfId="339"/>
    <cellStyle name="Percent 4 3" xfId="428"/>
    <cellStyle name="Percent 4 3 2" xfId="1137"/>
    <cellStyle name="Percent 4 3 3" xfId="972"/>
    <cellStyle name="Percent 4 3 3 2" xfId="4063"/>
    <cellStyle name="Percent 4 3 3 3" xfId="4593"/>
    <cellStyle name="Percent 4 3 3 4" xfId="5146"/>
    <cellStyle name="Percent 4 3 3 5" xfId="4050"/>
    <cellStyle name="Percent 4 4" xfId="581"/>
    <cellStyle name="Percent 4 4 2" xfId="1238"/>
    <cellStyle name="Percent 4 4 3" xfId="1764"/>
    <cellStyle name="Percent 4 4 4" xfId="1090"/>
    <cellStyle name="Percent 4 4 4 2" xfId="4500"/>
    <cellStyle name="Percent 4 4 5" xfId="4069"/>
    <cellStyle name="Percent 4 4 5 2" xfId="4607"/>
    <cellStyle name="Percent 4 5" xfId="828"/>
    <cellStyle name="Percent 4 6" xfId="3588"/>
    <cellStyle name="Percent 4 6 2" xfId="4982"/>
    <cellStyle name="Percent 4 6 3" xfId="5295"/>
    <cellStyle name="Percent 4 6 4" xfId="4318"/>
    <cellStyle name="Percent 40" xfId="1179"/>
    <cellStyle name="Percent 41" xfId="1164"/>
    <cellStyle name="Percent 42" xfId="1178"/>
    <cellStyle name="Percent 43" xfId="1163"/>
    <cellStyle name="Percent 44" xfId="1180"/>
    <cellStyle name="Percent 45" xfId="1162"/>
    <cellStyle name="Percent 46" xfId="1181"/>
    <cellStyle name="Percent 47" xfId="1185"/>
    <cellStyle name="Percent 48" xfId="1182"/>
    <cellStyle name="Percent 49" xfId="1186"/>
    <cellStyle name="Percent 5" xfId="340"/>
    <cellStyle name="Percent 5 2" xfId="341"/>
    <cellStyle name="Percent 5 2 2" xfId="1138"/>
    <cellStyle name="Percent 5 2 3" xfId="1007"/>
    <cellStyle name="Percent 5 2 3 2" xfId="4075"/>
    <cellStyle name="Percent 5 2 3 3" xfId="4595"/>
    <cellStyle name="Percent 5 2 3 4" xfId="5148"/>
    <cellStyle name="Percent 5 2 3 5" xfId="4052"/>
    <cellStyle name="Percent 5 3" xfId="1245"/>
    <cellStyle name="Percent 5 4" xfId="829"/>
    <cellStyle name="Percent 5 4 2" xfId="4092"/>
    <cellStyle name="Percent 5 4 3" xfId="4594"/>
    <cellStyle name="Percent 5 4 4" xfId="5147"/>
    <cellStyle name="Percent 5 4 5" xfId="4051"/>
    <cellStyle name="Percent 5 5" xfId="4319"/>
    <cellStyle name="Percent 50" xfId="1183"/>
    <cellStyle name="Percent 51" xfId="1221"/>
    <cellStyle name="Percent 51 2" xfId="1299"/>
    <cellStyle name="Percent 52" xfId="1226"/>
    <cellStyle name="Percent 52 2" xfId="1302"/>
    <cellStyle name="Percent 53" xfId="1220"/>
    <cellStyle name="Percent 53 2" xfId="1298"/>
    <cellStyle name="Percent 54" xfId="1227"/>
    <cellStyle name="Percent 54 2" xfId="1303"/>
    <cellStyle name="Percent 55" xfId="1219"/>
    <cellStyle name="Percent 55 2" xfId="1297"/>
    <cellStyle name="Percent 56" xfId="1248"/>
    <cellStyle name="Percent 57" xfId="1228"/>
    <cellStyle name="Percent 58" xfId="1241"/>
    <cellStyle name="Percent 59" xfId="1193"/>
    <cellStyle name="Percent 6" xfId="825"/>
    <cellStyle name="Percent 6 2" xfId="983"/>
    <cellStyle name="Percent 60" xfId="1269"/>
    <cellStyle name="Percent 61" xfId="1306"/>
    <cellStyle name="Percent 62" xfId="1307"/>
    <cellStyle name="Percent 63" xfId="1249"/>
    <cellStyle name="Percent 64" xfId="1292"/>
    <cellStyle name="Percent 65" xfId="1309"/>
    <cellStyle name="Percent 66" xfId="1222"/>
    <cellStyle name="Percent 67" xfId="1310"/>
    <cellStyle name="Percent 68" xfId="1196"/>
    <cellStyle name="Percent 69" xfId="1240"/>
    <cellStyle name="Percent 7" xfId="863"/>
    <cellStyle name="Percent 7 2" xfId="996"/>
    <cellStyle name="Percent 7 3" xfId="1773"/>
    <cellStyle name="Percent 7 4" xfId="3904"/>
    <cellStyle name="Percent 7 5" xfId="4058"/>
    <cellStyle name="Percent 7 5 2" xfId="4601"/>
    <cellStyle name="Percent 70" xfId="1195"/>
    <cellStyle name="Percent 71" xfId="1345"/>
    <cellStyle name="Percent 72" xfId="1312"/>
    <cellStyle name="Percent 73" xfId="1344"/>
    <cellStyle name="Percent 74" xfId="1311"/>
    <cellStyle name="Percent 75" xfId="1346"/>
    <cellStyle name="Percent 76" xfId="1392"/>
    <cellStyle name="Percent 77" xfId="1352"/>
    <cellStyle name="Percent 78" xfId="1391"/>
    <cellStyle name="Percent 79" xfId="1351"/>
    <cellStyle name="Percent 8" xfId="981"/>
    <cellStyle name="Percent 80" xfId="1393"/>
    <cellStyle name="Percent 81" xfId="1350"/>
    <cellStyle name="Percent 82" xfId="1394"/>
    <cellStyle name="Percent 83" xfId="1399"/>
    <cellStyle name="Percent 84" xfId="1387"/>
    <cellStyle name="Percent 85" xfId="1400"/>
    <cellStyle name="Percent 86" xfId="1388"/>
    <cellStyle name="Percent 87" xfId="1401"/>
    <cellStyle name="Percent 88" xfId="1389"/>
    <cellStyle name="Percent 89" xfId="1402"/>
    <cellStyle name="Percent 9" xfId="998"/>
    <cellStyle name="Percent 90" xfId="1390"/>
    <cellStyle name="Percent 91" xfId="1398"/>
    <cellStyle name="Percent 92" xfId="1449"/>
    <cellStyle name="Percent 93" xfId="1413"/>
    <cellStyle name="Percent 94" xfId="1446"/>
    <cellStyle name="Percent 95" xfId="1458"/>
    <cellStyle name="Percent 96" xfId="1447"/>
    <cellStyle name="Percent 97" xfId="1459"/>
    <cellStyle name="Percent 98" xfId="1448"/>
    <cellStyle name="Percent 99" xfId="1460"/>
    <cellStyle name="PercentBrda" xfId="8"/>
    <cellStyle name="PercntNoBrda" xfId="9"/>
    <cellStyle name="PSChar" xfId="4320"/>
    <cellStyle name="PSChar 10" xfId="4321"/>
    <cellStyle name="PSChar 10 2" xfId="4322"/>
    <cellStyle name="PSChar 11" xfId="4323"/>
    <cellStyle name="PSChar 12" xfId="4324"/>
    <cellStyle name="PSChar 2" xfId="4325"/>
    <cellStyle name="PSChar 2 2" xfId="4326"/>
    <cellStyle name="PSChar 3" xfId="4327"/>
    <cellStyle name="PSChar 3 2" xfId="4328"/>
    <cellStyle name="PSChar 4" xfId="4329"/>
    <cellStyle name="PSChar 4 2" xfId="4330"/>
    <cellStyle name="PSChar 5" xfId="4331"/>
    <cellStyle name="PSChar 5 2" xfId="4332"/>
    <cellStyle name="PSChar 6" xfId="4333"/>
    <cellStyle name="PSChar 6 2" xfId="4334"/>
    <cellStyle name="PSChar 7" xfId="4335"/>
    <cellStyle name="PSChar 7 2" xfId="4336"/>
    <cellStyle name="PSChar 8" xfId="4337"/>
    <cellStyle name="PSChar 8 2" xfId="4338"/>
    <cellStyle name="PSChar 9" xfId="4339"/>
    <cellStyle name="PSChar 9 2" xfId="4340"/>
    <cellStyle name="PSDate" xfId="4341"/>
    <cellStyle name="PSDate 10" xfId="4342"/>
    <cellStyle name="PSDate 10 2" xfId="4343"/>
    <cellStyle name="PSDate 11" xfId="4344"/>
    <cellStyle name="PSDate 12" xfId="4345"/>
    <cellStyle name="PSDate 2" xfId="4346"/>
    <cellStyle name="PSDate 2 2" xfId="4347"/>
    <cellStyle name="PSDate 3" xfId="4348"/>
    <cellStyle name="PSDate 3 2" xfId="4349"/>
    <cellStyle name="PSDate 4" xfId="4350"/>
    <cellStyle name="PSDate 4 2" xfId="4351"/>
    <cellStyle name="PSDate 5" xfId="4352"/>
    <cellStyle name="PSDate 5 2" xfId="4353"/>
    <cellStyle name="PSDate 6" xfId="4354"/>
    <cellStyle name="PSDate 6 2" xfId="4355"/>
    <cellStyle name="PSDate 7" xfId="4356"/>
    <cellStyle name="PSDate 7 2" xfId="4357"/>
    <cellStyle name="PSDate 8" xfId="4358"/>
    <cellStyle name="PSDate 8 2" xfId="4359"/>
    <cellStyle name="PSDate 9" xfId="4360"/>
    <cellStyle name="PSDate 9 2" xfId="4361"/>
    <cellStyle name="PSDec" xfId="4362"/>
    <cellStyle name="PSDec 10" xfId="4363"/>
    <cellStyle name="PSDec 10 2" xfId="4364"/>
    <cellStyle name="PSDec 11" xfId="4365"/>
    <cellStyle name="PSDec 12" xfId="4366"/>
    <cellStyle name="PSDec 2" xfId="4367"/>
    <cellStyle name="PSDec 2 2" xfId="4368"/>
    <cellStyle name="PSDec 3" xfId="4369"/>
    <cellStyle name="PSDec 3 2" xfId="4370"/>
    <cellStyle name="PSDec 4" xfId="4371"/>
    <cellStyle name="PSDec 4 2" xfId="4372"/>
    <cellStyle name="PSDec 5" xfId="4373"/>
    <cellStyle name="PSDec 5 2" xfId="4374"/>
    <cellStyle name="PSDec 6" xfId="4375"/>
    <cellStyle name="PSDec 6 2" xfId="4376"/>
    <cellStyle name="PSDec 7" xfId="4377"/>
    <cellStyle name="PSDec 7 2" xfId="4378"/>
    <cellStyle name="PSDec 8" xfId="4379"/>
    <cellStyle name="PSDec 8 2" xfId="4380"/>
    <cellStyle name="PSDec 9" xfId="4381"/>
    <cellStyle name="PSDec 9 2" xfId="4382"/>
    <cellStyle name="PSHeading" xfId="4383"/>
    <cellStyle name="PSHeading 10" xfId="4384"/>
    <cellStyle name="PSHeading 10 2" xfId="4385"/>
    <cellStyle name="PSHeading 10 2 2" xfId="4386"/>
    <cellStyle name="PSHeading 10 3" xfId="4387"/>
    <cellStyle name="PSHeading 11" xfId="4388"/>
    <cellStyle name="PSHeading 11 2" xfId="4389"/>
    <cellStyle name="PSHeading 12" xfId="4390"/>
    <cellStyle name="PSHeading 12 2" xfId="4391"/>
    <cellStyle name="PSHeading 13" xfId="4392"/>
    <cellStyle name="PSHeading 2" xfId="4393"/>
    <cellStyle name="PSHeading 2 2" xfId="4394"/>
    <cellStyle name="PSHeading 2 2 2" xfId="4395"/>
    <cellStyle name="PSHeading 2 3" xfId="4396"/>
    <cellStyle name="PSHeading 3" xfId="4397"/>
    <cellStyle name="PSHeading 3 2" xfId="4398"/>
    <cellStyle name="PSHeading 3 2 2" xfId="4399"/>
    <cellStyle name="PSHeading 3 3" xfId="4400"/>
    <cellStyle name="PSHeading 4" xfId="4401"/>
    <cellStyle name="PSHeading 4 2" xfId="4402"/>
    <cellStyle name="PSHeading 4 2 2" xfId="4403"/>
    <cellStyle name="PSHeading 4 3" xfId="4404"/>
    <cellStyle name="PSHeading 5" xfId="4405"/>
    <cellStyle name="PSHeading 5 2" xfId="4406"/>
    <cellStyle name="PSHeading 5 2 2" xfId="4407"/>
    <cellStyle name="PSHeading 5 3" xfId="4408"/>
    <cellStyle name="PSHeading 6" xfId="4409"/>
    <cellStyle name="PSHeading 6 2" xfId="4410"/>
    <cellStyle name="PSHeading 6 2 2" xfId="4411"/>
    <cellStyle name="PSHeading 6 3" xfId="4412"/>
    <cellStyle name="PSHeading 7" xfId="4413"/>
    <cellStyle name="PSHeading 7 2" xfId="4414"/>
    <cellStyle name="PSHeading 7 2 2" xfId="4415"/>
    <cellStyle name="PSHeading 7 3" xfId="4416"/>
    <cellStyle name="PSHeading 8" xfId="4417"/>
    <cellStyle name="PSHeading 8 2" xfId="4418"/>
    <cellStyle name="PSHeading 8 2 2" xfId="4419"/>
    <cellStyle name="PSHeading 8 3" xfId="4420"/>
    <cellStyle name="PSHeading 9" xfId="4421"/>
    <cellStyle name="PSHeading 9 2" xfId="4422"/>
    <cellStyle name="PSHeading 9 2 2" xfId="4423"/>
    <cellStyle name="PSHeading 9 3" xfId="4424"/>
    <cellStyle name="PSInt" xfId="4425"/>
    <cellStyle name="PSInt 10" xfId="4426"/>
    <cellStyle name="PSInt 10 2" xfId="4427"/>
    <cellStyle name="PSInt 11" xfId="4428"/>
    <cellStyle name="PSInt 12" xfId="4429"/>
    <cellStyle name="PSInt 2" xfId="4430"/>
    <cellStyle name="PSInt 2 2" xfId="4431"/>
    <cellStyle name="PSInt 3" xfId="4432"/>
    <cellStyle name="PSInt 3 2" xfId="4433"/>
    <cellStyle name="PSInt 4" xfId="4434"/>
    <cellStyle name="PSInt 4 2" xfId="4435"/>
    <cellStyle name="PSInt 5" xfId="4436"/>
    <cellStyle name="PSInt 5 2" xfId="4437"/>
    <cellStyle name="PSInt 6" xfId="4438"/>
    <cellStyle name="PSInt 6 2" xfId="4439"/>
    <cellStyle name="PSInt 7" xfId="4440"/>
    <cellStyle name="PSInt 7 2" xfId="4441"/>
    <cellStyle name="PSInt 8" xfId="4442"/>
    <cellStyle name="PSInt 8 2" xfId="4443"/>
    <cellStyle name="PSInt 9" xfId="4444"/>
    <cellStyle name="PSInt 9 2" xfId="4445"/>
    <cellStyle name="PSSpacer" xfId="4446"/>
    <cellStyle name="PSSpacer 10" xfId="4447"/>
    <cellStyle name="PSSpacer 10 2" xfId="4448"/>
    <cellStyle name="PSSpacer 11" xfId="4449"/>
    <cellStyle name="PSSpacer 12" xfId="4450"/>
    <cellStyle name="PSSpacer 2" xfId="4451"/>
    <cellStyle name="PSSpacer 2 2" xfId="4452"/>
    <cellStyle name="PSSpacer 3" xfId="4453"/>
    <cellStyle name="PSSpacer 3 2" xfId="4454"/>
    <cellStyle name="PSSpacer 4" xfId="4455"/>
    <cellStyle name="PSSpacer 4 2" xfId="4456"/>
    <cellStyle name="PSSpacer 5" xfId="4457"/>
    <cellStyle name="PSSpacer 5 2" xfId="4458"/>
    <cellStyle name="PSSpacer 6" xfId="4459"/>
    <cellStyle name="PSSpacer 6 2" xfId="4460"/>
    <cellStyle name="PSSpacer 7" xfId="4461"/>
    <cellStyle name="PSSpacer 7 2" xfId="4462"/>
    <cellStyle name="PSSpacer 8" xfId="4463"/>
    <cellStyle name="PSSpacer 8 2" xfId="4464"/>
    <cellStyle name="PSSpacer 9" xfId="4465"/>
    <cellStyle name="PSSpacer 9 2" xfId="4466"/>
    <cellStyle name="semestre" xfId="342"/>
    <cellStyle name="semestre 2" xfId="1771"/>
    <cellStyle name="semestre 2 2" xfId="3755"/>
    <cellStyle name="semestre 2 2 2" xfId="5323"/>
    <cellStyle name="semestre 2 2 2 2" xfId="5333"/>
    <cellStyle name="semestre 2 2 3" xfId="5031"/>
    <cellStyle name="semestre 2 2 4" xfId="5530"/>
    <cellStyle name="semestre 2 3" xfId="2750"/>
    <cellStyle name="semestre 2 3 2" xfId="5343"/>
    <cellStyle name="semestre 2 3 3" xfId="5486"/>
    <cellStyle name="semestre 2 3 4" xfId="5358"/>
    <cellStyle name="semestre 2 3 5" xfId="4491"/>
    <cellStyle name="semestre 2 4" xfId="4811"/>
    <cellStyle name="semestre 2 4 2" xfId="5346"/>
    <cellStyle name="semestre 2 5" xfId="5334"/>
    <cellStyle name="semestre 2 6" xfId="5351"/>
    <cellStyle name="semestre 3" xfId="1791"/>
    <cellStyle name="semestre 3 2" xfId="3767"/>
    <cellStyle name="semestre 3 2 2" xfId="4637"/>
    <cellStyle name="semestre 3 2 2 2" xfId="4794"/>
    <cellStyle name="semestre 3 2 3" xfId="5030"/>
    <cellStyle name="semestre 3 2 4" xfId="5531"/>
    <cellStyle name="semestre 3 3" xfId="2762"/>
    <cellStyle name="semestre 3 3 2" xfId="5037"/>
    <cellStyle name="semestre 3 3 3" xfId="5487"/>
    <cellStyle name="semestre 3 3 4" xfId="5357"/>
    <cellStyle name="semestre 3 3 5" xfId="4576"/>
    <cellStyle name="semestre 3 4" xfId="4492"/>
    <cellStyle name="semestre 3 4 2" xfId="5044"/>
    <cellStyle name="semestre 3 5" xfId="4812"/>
    <cellStyle name="semestre 3 5 2" xfId="5347"/>
    <cellStyle name="semestre 3 6" xfId="5039"/>
    <cellStyle name="semestre 3 7" xfId="5502"/>
    <cellStyle name="semestre 4" xfId="3035"/>
    <cellStyle name="semestre 4 2" xfId="4604"/>
    <cellStyle name="semestre 4 2 2" xfId="5345"/>
    <cellStyle name="semestre 4 3" xfId="5404"/>
    <cellStyle name="semestre 5" xfId="2100"/>
    <cellStyle name="semestre 5 2" xfId="4647"/>
    <cellStyle name="semestre 5 2 2" xfId="5340"/>
    <cellStyle name="semestre 5 3" xfId="5338"/>
    <cellStyle name="semestre 5 4" xfId="5374"/>
    <cellStyle name="semestre 5 5" xfId="5483"/>
    <cellStyle name="semestre 5 6" xfId="4473"/>
    <cellStyle name="semestre 6" xfId="4481"/>
    <cellStyle name="semestre 6 2" xfId="5312"/>
    <cellStyle name="semestre 7" xfId="4690"/>
    <cellStyle name="semestre 7 2" xfId="5041"/>
    <cellStyle name="semestre 8" xfId="5337"/>
    <cellStyle name="semestre 9" xfId="5356"/>
    <cellStyle name="sh0 -SideHeading" xfId="830"/>
    <cellStyle name="sh0 -SideHeading 2" xfId="831"/>
    <cellStyle name="sh0 -SideHeading 2 2" xfId="3356"/>
    <cellStyle name="sh0 -SideHeading 2 3" xfId="2412"/>
    <cellStyle name="sh0 -SideHeading 3" xfId="3355"/>
    <cellStyle name="sh0 -SideHeading 4" xfId="2411"/>
    <cellStyle name="sh1 -SideHeading" xfId="832"/>
    <cellStyle name="sh1 -SideHeading 2" xfId="833"/>
    <cellStyle name="sh1 -SideHeading 2 2" xfId="3358"/>
    <cellStyle name="sh1 -SideHeading 2 3" xfId="2414"/>
    <cellStyle name="sh1 -SideHeading 3" xfId="3357"/>
    <cellStyle name="sh1 -SideHeading 4" xfId="2413"/>
    <cellStyle name="sh2 -SideHeading" xfId="834"/>
    <cellStyle name="sh2 -SideHeading 2" xfId="835"/>
    <cellStyle name="sh2 -SideHeading 2 2" xfId="3360"/>
    <cellStyle name="sh2 -SideHeading 2 3" xfId="2416"/>
    <cellStyle name="sh2 -SideHeading 3" xfId="3359"/>
    <cellStyle name="sh2 -SideHeading 4" xfId="2415"/>
    <cellStyle name="sh3 -SideHeading" xfId="836"/>
    <cellStyle name="sh3 -SideHeading 2" xfId="837"/>
    <cellStyle name="sh3 -SideHeading 2 2" xfId="3362"/>
    <cellStyle name="sh3 -SideHeading 2 3" xfId="2418"/>
    <cellStyle name="sh3 -SideHeading 3" xfId="3361"/>
    <cellStyle name="sh3 -SideHeading 4" xfId="2417"/>
    <cellStyle name="st0 -SideText" xfId="838"/>
    <cellStyle name="st0 -SideText 2" xfId="839"/>
    <cellStyle name="st0 -SideText 2 2" xfId="3364"/>
    <cellStyle name="st0 -SideText 2 3" xfId="2420"/>
    <cellStyle name="st0 -SideText 3" xfId="3363"/>
    <cellStyle name="st0 -SideText 4" xfId="2419"/>
    <cellStyle name="st1 -SideText" xfId="840"/>
    <cellStyle name="st1 -SideText 2" xfId="841"/>
    <cellStyle name="st1 -SideText 2 2" xfId="3366"/>
    <cellStyle name="st1 -SideText 2 3" xfId="2422"/>
    <cellStyle name="st1 -SideText 3" xfId="3365"/>
    <cellStyle name="st1 -SideText 4" xfId="2421"/>
    <cellStyle name="st2 -SideText" xfId="842"/>
    <cellStyle name="st2 -SideText 2" xfId="843"/>
    <cellStyle name="st2 -SideText 2 2" xfId="3368"/>
    <cellStyle name="st2 -SideText 2 3" xfId="2424"/>
    <cellStyle name="st2 -SideText 3" xfId="3367"/>
    <cellStyle name="st2 -SideText 4" xfId="2423"/>
    <cellStyle name="st3 -SideText" xfId="844"/>
    <cellStyle name="st3 -SideText 2" xfId="845"/>
    <cellStyle name="st3 -SideText 2 2" xfId="3370"/>
    <cellStyle name="st3 -SideText 2 3" xfId="2426"/>
    <cellStyle name="st3 -SideText 3" xfId="3369"/>
    <cellStyle name="st3 -SideText 4" xfId="2425"/>
    <cellStyle name="st4 -SideText" xfId="846"/>
    <cellStyle name="st4 -SideText 2" xfId="847"/>
    <cellStyle name="st4 -SideText 2 2" xfId="3372"/>
    <cellStyle name="st4 -SideText 2 3" xfId="2428"/>
    <cellStyle name="st4 -SideText 3" xfId="3371"/>
    <cellStyle name="st4 -SideText 4" xfId="2427"/>
    <cellStyle name="Style 1" xfId="343"/>
    <cellStyle name="Style 1 10" xfId="1595"/>
    <cellStyle name="Style 1 11" xfId="1909"/>
    <cellStyle name="Style 1 12" xfId="3036"/>
    <cellStyle name="Style 1 13" xfId="2101"/>
    <cellStyle name="Style 1 2" xfId="344"/>
    <cellStyle name="Style 1 3" xfId="438"/>
    <cellStyle name="Style 1 3 2" xfId="1139"/>
    <cellStyle name="Style 1 3 3" xfId="874"/>
    <cellStyle name="Style 1 3 3 2" xfId="3389"/>
    <cellStyle name="Style 1 3 3 3" xfId="2444"/>
    <cellStyle name="Style 1 3 4" xfId="582"/>
    <cellStyle name="Style 1 3 4 2" xfId="3216"/>
    <cellStyle name="Style 1 3 4 3" xfId="2272"/>
    <cellStyle name="Style 1 3 5" xfId="3099"/>
    <cellStyle name="Style 1 3 6" xfId="2114"/>
    <cellStyle name="Style 1 4" xfId="1038"/>
    <cellStyle name="Style 1 5" xfId="1051"/>
    <cellStyle name="Style 1 5 2" xfId="1223"/>
    <cellStyle name="Style 1 5 3" xfId="3502"/>
    <cellStyle name="Style 1 5 4" xfId="2549"/>
    <cellStyle name="Style 1 6" xfId="1347"/>
    <cellStyle name="Style 1 7" xfId="1396"/>
    <cellStyle name="Style 1 8" xfId="1456"/>
    <cellStyle name="Style 1 9" xfId="1527"/>
    <cellStyle name="Sum" xfId="965"/>
    <cellStyle name="Sum 2" xfId="1008"/>
    <cellStyle name="Sum 2 2" xfId="3483"/>
    <cellStyle name="Sum 2 3" xfId="2536"/>
    <cellStyle name="Sum 3" xfId="3463"/>
    <cellStyle name="Sum 4" xfId="2518"/>
    <cellStyle name="tête chapitre" xfId="345"/>
    <cellStyle name="tête chapitre 2" xfId="3037"/>
    <cellStyle name="tête chapitre 3" xfId="2102"/>
    <cellStyle name="Text" xfId="966"/>
    <cellStyle name="Text 2" xfId="1009"/>
    <cellStyle name="Text 2 2" xfId="1111"/>
    <cellStyle name="Text 2 2 2" xfId="1703"/>
    <cellStyle name="Text 2 3" xfId="1617"/>
    <cellStyle name="Text rjustify" xfId="967"/>
    <cellStyle name="Text rjustify 2" xfId="1010"/>
    <cellStyle name="Text rjustify 2 2" xfId="1112"/>
    <cellStyle name="Text rjustify 2 2 2" xfId="1704"/>
    <cellStyle name="Text rjustify 2 3" xfId="1134"/>
    <cellStyle name="Text Wrap" xfId="3622"/>
    <cellStyle name="Time" xfId="968"/>
    <cellStyle name="Time 2" xfId="1011"/>
    <cellStyle name="Time 2 2" xfId="3484"/>
    <cellStyle name="Time 2 3" xfId="2537"/>
    <cellStyle name="Time 3" xfId="3464"/>
    <cellStyle name="Time 4" xfId="2519"/>
    <cellStyle name="Title" xfId="1" builtinId="15" customBuiltin="1"/>
    <cellStyle name="Title 2" xfId="69"/>
    <cellStyle name="Title 2 2" xfId="1012"/>
    <cellStyle name="Title 2 2 2" xfId="1140"/>
    <cellStyle name="Title 2 2 2 2" xfId="3566"/>
    <cellStyle name="Title 2 2 2 3" xfId="2612"/>
    <cellStyle name="Title 2 2 3" xfId="3485"/>
    <cellStyle name="Title 2 2 4" xfId="2538"/>
    <cellStyle name="Title 2 3" xfId="1246"/>
    <cellStyle name="Title 2 3 2" xfId="3600"/>
    <cellStyle name="Title 2 3 3" xfId="2632"/>
    <cellStyle name="Title 2 4" xfId="3038"/>
    <cellStyle name="Title 2 4 2" xfId="4907"/>
    <cellStyle name="Title 2 4 3" xfId="5296"/>
    <cellStyle name="Title 2 4 4" xfId="4467"/>
    <cellStyle name="Title 2 5" xfId="2103"/>
    <cellStyle name="Title 3" xfId="849"/>
    <cellStyle name="Title 3 2" xfId="3374"/>
    <cellStyle name="Title 3 3" xfId="2430"/>
    <cellStyle name="Title 4" xfId="848"/>
    <cellStyle name="Title 4 2" xfId="3373"/>
    <cellStyle name="Title 4 3" xfId="2429"/>
    <cellStyle name="Title 5" xfId="3046"/>
    <cellStyle name="Title 6" xfId="2116"/>
    <cellStyle name="Title 7" xfId="421"/>
    <cellStyle name="titre" xfId="346"/>
    <cellStyle name="titre 2" xfId="3039"/>
    <cellStyle name="titre 3" xfId="2104"/>
    <cellStyle name="Top rows" xfId="969"/>
    <cellStyle name="Top rows 2" xfId="1013"/>
    <cellStyle name="Top rows 2 2" xfId="3486"/>
    <cellStyle name="Top rows 2 3" xfId="2539"/>
    <cellStyle name="Top rows 3" xfId="3465"/>
    <cellStyle name="Top rows 3 2" xfId="3094"/>
    <cellStyle name="Top rows 4" xfId="2520"/>
    <cellStyle name="Total" xfId="396" builtinId="25" customBuiltin="1"/>
    <cellStyle name="Total 2" xfId="70"/>
    <cellStyle name="Total 2 10" xfId="3040"/>
    <cellStyle name="Total 2 10 2" xfId="4667"/>
    <cellStyle name="Total 2 10 2 2" xfId="5330"/>
    <cellStyle name="Total 2 10 3" xfId="4908"/>
    <cellStyle name="Total 2 10 4" xfId="5297"/>
    <cellStyle name="Total 2 10 5" xfId="4468"/>
    <cellStyle name="Total 2 11" xfId="2105"/>
    <cellStyle name="Total 2 11 2" xfId="5304"/>
    <cellStyle name="Total 2 11 3" xfId="5375"/>
    <cellStyle name="Total 2 11 4" xfId="4479"/>
    <cellStyle name="Total 2 12" xfId="4691"/>
    <cellStyle name="Total 2 2" xfId="348"/>
    <cellStyle name="Total 2 2 2" xfId="1688"/>
    <cellStyle name="Total 2 2 2 2" xfId="1861"/>
    <cellStyle name="Total 2 2 2 2 2" xfId="3836"/>
    <cellStyle name="Total 2 2 2 2 2 2" xfId="5018"/>
    <cellStyle name="Total 2 2 2 2 3" xfId="2831"/>
    <cellStyle name="Total 2 2 2 3" xfId="1789"/>
    <cellStyle name="Total 2 2 2 3 2" xfId="3765"/>
    <cellStyle name="Total 2 2 2 3 2 2" xfId="4992"/>
    <cellStyle name="Total 2 2 2 3 3" xfId="2760"/>
    <cellStyle name="Total 2 2 2 4" xfId="3713"/>
    <cellStyle name="Total 2 2 2 4 2" xfId="4986"/>
    <cellStyle name="Total 2 2 2 5" xfId="2714"/>
    <cellStyle name="Total 2 2 3" xfId="1817"/>
    <cellStyle name="Total 2 2 3 2" xfId="3792"/>
    <cellStyle name="Total 2 2 3 2 2" xfId="4642"/>
    <cellStyle name="Total 2 2 3 2 2 2" xfId="5327"/>
    <cellStyle name="Total 2 2 3 3" xfId="2787"/>
    <cellStyle name="Total 2 2 3 3 2" xfId="5321"/>
    <cellStyle name="Total 2 2 3 3 3" xfId="5492"/>
    <cellStyle name="Total 2 2 3 3 4" xfId="4596"/>
    <cellStyle name="Total 2 2 3 4" xfId="4497"/>
    <cellStyle name="Total 2 2 3 4 2" xfId="5309"/>
    <cellStyle name="Total 2 2 3 5" xfId="4817"/>
    <cellStyle name="Total 2 2 3 6" xfId="5149"/>
    <cellStyle name="Total 2 2 3 7" xfId="4053"/>
    <cellStyle name="Total 2 2 4" xfId="1800"/>
    <cellStyle name="Total 2 2 4 2" xfId="3776"/>
    <cellStyle name="Total 2 2 4 2 2" xfId="4995"/>
    <cellStyle name="Total 2 2 4 3" xfId="2771"/>
    <cellStyle name="Total 2 2 5" xfId="929"/>
    <cellStyle name="Total 2 2 5 2" xfId="3443"/>
    <cellStyle name="Total 2 2 5 2 2" xfId="4976"/>
    <cellStyle name="Total 2 2 5 3" xfId="2498"/>
    <cellStyle name="Total 2 2 6" xfId="3041"/>
    <cellStyle name="Total 2 2 6 2" xfId="4909"/>
    <cellStyle name="Total 2 2 6 3" xfId="5298"/>
    <cellStyle name="Total 2 2 6 4" xfId="4469"/>
    <cellStyle name="Total 2 2 7" xfId="2106"/>
    <cellStyle name="Total 2 2 7 2" xfId="5302"/>
    <cellStyle name="Total 2 2 7 3" xfId="5376"/>
    <cellStyle name="Total 2 2 7 4" xfId="4476"/>
    <cellStyle name="Total 2 2 8" xfId="4487"/>
    <cellStyle name="Total 2 2 8 2" xfId="5306"/>
    <cellStyle name="Total 2 2 9" xfId="4692"/>
    <cellStyle name="Total 2 3" xfId="349"/>
    <cellStyle name="Total 2 3 2" xfId="1693"/>
    <cellStyle name="Total 2 3 2 2" xfId="1865"/>
    <cellStyle name="Total 2 3 2 2 2" xfId="3840"/>
    <cellStyle name="Total 2 3 2 2 2 2" xfId="5019"/>
    <cellStyle name="Total 2 3 2 2 3" xfId="2835"/>
    <cellStyle name="Total 2 3 2 3" xfId="1784"/>
    <cellStyle name="Total 2 3 2 3 2" xfId="3760"/>
    <cellStyle name="Total 2 3 2 3 2 2" xfId="4989"/>
    <cellStyle name="Total 2 3 2 3 3" xfId="2755"/>
    <cellStyle name="Total 2 3 2 4" xfId="3718"/>
    <cellStyle name="Total 2 3 2 4 2" xfId="4987"/>
    <cellStyle name="Total 2 3 2 5" xfId="2719"/>
    <cellStyle name="Total 2 3 3" xfId="1826"/>
    <cellStyle name="Total 2 3 3 2" xfId="3801"/>
    <cellStyle name="Total 2 3 3 2 2" xfId="4643"/>
    <cellStyle name="Total 2 3 3 2 2 2" xfId="5328"/>
    <cellStyle name="Total 2 3 3 3" xfId="2796"/>
    <cellStyle name="Total 2 3 3 3 2" xfId="5322"/>
    <cellStyle name="Total 2 3 3 3 3" xfId="5494"/>
    <cellStyle name="Total 2 3 3 3 4" xfId="4597"/>
    <cellStyle name="Total 2 3 3 4" xfId="4498"/>
    <cellStyle name="Total 2 3 3 4 2" xfId="5310"/>
    <cellStyle name="Total 2 3 3 5" xfId="4819"/>
    <cellStyle name="Total 2 3 3 6" xfId="5150"/>
    <cellStyle name="Total 2 3 3 7" xfId="4054"/>
    <cellStyle name="Total 2 3 4" xfId="1847"/>
    <cellStyle name="Total 2 3 4 2" xfId="3822"/>
    <cellStyle name="Total 2 3 4 2 2" xfId="5014"/>
    <cellStyle name="Total 2 3 4 3" xfId="2817"/>
    <cellStyle name="Total 2 3 5" xfId="1069"/>
    <cellStyle name="Total 2 3 5 2" xfId="3538"/>
    <cellStyle name="Total 2 3 5 2 2" xfId="4977"/>
    <cellStyle name="Total 2 3 5 3" xfId="2585"/>
    <cellStyle name="Total 2 3 6" xfId="3042"/>
    <cellStyle name="Total 2 3 6 2" xfId="4910"/>
    <cellStyle name="Total 2 3 6 3" xfId="5303"/>
    <cellStyle name="Total 2 3 6 4" xfId="4478"/>
    <cellStyle name="Total 2 3 7" xfId="2107"/>
    <cellStyle name="Total 2 3 7 2" xfId="5307"/>
    <cellStyle name="Total 2 3 7 3" xfId="5377"/>
    <cellStyle name="Total 2 3 7 4" xfId="4488"/>
    <cellStyle name="Total 2 3 8" xfId="4693"/>
    <cellStyle name="Total 2 4" xfId="347"/>
    <cellStyle name="Total 2 4 2" xfId="1698"/>
    <cellStyle name="Total 2 4 2 2" xfId="1869"/>
    <cellStyle name="Total 2 4 2 2 2" xfId="3844"/>
    <cellStyle name="Total 2 4 2 2 2 2" xfId="5020"/>
    <cellStyle name="Total 2 4 2 2 3" xfId="2839"/>
    <cellStyle name="Total 2 4 2 3" xfId="1809"/>
    <cellStyle name="Total 2 4 2 3 2" xfId="3784"/>
    <cellStyle name="Total 2 4 2 3 2 2" xfId="5001"/>
    <cellStyle name="Total 2 4 2 3 3" xfId="2779"/>
    <cellStyle name="Total 2 4 2 4" xfId="3723"/>
    <cellStyle name="Total 2 4 2 4 2" xfId="4988"/>
    <cellStyle name="Total 2 4 2 5" xfId="2724"/>
    <cellStyle name="Total 2 4 3" xfId="1832"/>
    <cellStyle name="Total 2 4 3 2" xfId="3807"/>
    <cellStyle name="Total 2 4 3 2 2" xfId="5008"/>
    <cellStyle name="Total 2 4 3 3" xfId="2802"/>
    <cellStyle name="Total 2 4 4" xfId="1794"/>
    <cellStyle name="Total 2 4 4 2" xfId="3770"/>
    <cellStyle name="Total 2 4 4 2 2" xfId="4993"/>
    <cellStyle name="Total 2 4 4 3" xfId="2765"/>
    <cellStyle name="Total 2 4 5" xfId="3546"/>
    <cellStyle name="Total 2 4 5 2" xfId="4978"/>
    <cellStyle name="Total 2 4 6" xfId="2593"/>
    <cellStyle name="Total 2 5" xfId="1142"/>
    <cellStyle name="Total 2 5 2" xfId="1837"/>
    <cellStyle name="Total 2 5 2 2" xfId="3812"/>
    <cellStyle name="Total 2 5 2 2 2" xfId="5010"/>
    <cellStyle name="Total 2 5 2 3" xfId="2807"/>
    <cellStyle name="Total 2 5 3" xfId="1843"/>
    <cellStyle name="Total 2 5 3 2" xfId="3818"/>
    <cellStyle name="Total 2 5 3 2 2" xfId="5012"/>
    <cellStyle name="Total 2 5 3 3" xfId="2813"/>
    <cellStyle name="Total 2 5 4" xfId="3568"/>
    <cellStyle name="Total 2 5 4 2" xfId="4981"/>
    <cellStyle name="Total 2 5 5" xfId="2614"/>
    <cellStyle name="Total 2 6" xfId="1671"/>
    <cellStyle name="Total 2 6 2" xfId="1855"/>
    <cellStyle name="Total 2 6 2 2" xfId="3830"/>
    <cellStyle name="Total 2 6 2 2 2" xfId="5016"/>
    <cellStyle name="Total 2 6 2 3" xfId="2825"/>
    <cellStyle name="Total 2 6 3" xfId="1811"/>
    <cellStyle name="Total 2 6 3 2" xfId="3786"/>
    <cellStyle name="Total 2 6 3 2 2" xfId="5002"/>
    <cellStyle name="Total 2 6 3 3" xfId="2781"/>
    <cellStyle name="Total 2 6 4" xfId="3698"/>
    <cellStyle name="Total 2 6 4 2" xfId="4985"/>
    <cellStyle name="Total 2 6 5" xfId="2700"/>
    <cellStyle name="Total 2 7" xfId="1806"/>
    <cellStyle name="Total 2 7 2" xfId="3782"/>
    <cellStyle name="Total 2 7 2 2" xfId="5000"/>
    <cellStyle name="Total 2 7 3" xfId="2777"/>
    <cellStyle name="Total 2 8" xfId="1827"/>
    <cellStyle name="Total 2 8 2" xfId="3802"/>
    <cellStyle name="Total 2 8 2 2" xfId="5006"/>
    <cellStyle name="Total 2 8 3" xfId="2797"/>
    <cellStyle name="Total 2 9" xfId="851"/>
    <cellStyle name="Total 2 9 2" xfId="3376"/>
    <cellStyle name="Total 2 9 2 2" xfId="4972"/>
    <cellStyle name="Total 2 9 3" xfId="2432"/>
    <cellStyle name="Total 3" xfId="431"/>
    <cellStyle name="Total 3 2" xfId="852"/>
    <cellStyle name="Total 3 2 2" xfId="3377"/>
    <cellStyle name="Total 3 2 3" xfId="2433"/>
    <cellStyle name="Total 3 2 4" xfId="5299"/>
    <cellStyle name="Total 3 2 5" xfId="4470"/>
    <cellStyle name="Total 3 3" xfId="3095"/>
    <cellStyle name="Total 3 4" xfId="2110"/>
    <cellStyle name="Total 4" xfId="850"/>
    <cellStyle name="Total 4 2" xfId="1141"/>
    <cellStyle name="Total 4 2 2" xfId="1836"/>
    <cellStyle name="Total 4 2 2 2" xfId="3811"/>
    <cellStyle name="Total 4 2 2 2 2" xfId="5009"/>
    <cellStyle name="Total 4 2 2 3" xfId="2806"/>
    <cellStyle name="Total 4 2 3" xfId="1846"/>
    <cellStyle name="Total 4 2 3 2" xfId="3821"/>
    <cellStyle name="Total 4 2 3 2 2" xfId="5013"/>
    <cellStyle name="Total 4 2 3 3" xfId="2816"/>
    <cellStyle name="Total 4 2 4" xfId="3567"/>
    <cellStyle name="Total 4 2 4 2" xfId="4980"/>
    <cellStyle name="Total 4 2 5" xfId="2613"/>
    <cellStyle name="Total 4 3" xfId="1805"/>
    <cellStyle name="Total 4 3 2" xfId="3781"/>
    <cellStyle name="Total 4 3 2 2" xfId="4999"/>
    <cellStyle name="Total 4 3 3" xfId="2776"/>
    <cellStyle name="Total 4 4" xfId="1856"/>
    <cellStyle name="Total 4 4 2" xfId="3831"/>
    <cellStyle name="Total 4 4 2 2" xfId="5017"/>
    <cellStyle name="Total 4 4 3" xfId="2826"/>
    <cellStyle name="Total 4 5" xfId="3375"/>
    <cellStyle name="Total 4 5 2" xfId="4971"/>
    <cellStyle name="Total 4 6" xfId="2431"/>
    <cellStyle name="Total 5" xfId="877"/>
    <cellStyle name="Total 5 2" xfId="3392"/>
    <cellStyle name="Total 5 3" xfId="2447"/>
    <cellStyle name="Total 6" xfId="3062"/>
    <cellStyle name="Total 7" xfId="2132"/>
    <cellStyle name="ttn -TopTextNoWrap" xfId="853"/>
    <cellStyle name="ttn -TopTextNoWrap 2" xfId="854"/>
    <cellStyle name="ttn -TopTextNoWrap 2 2" xfId="3379"/>
    <cellStyle name="ttn -TopTextNoWrap 2 3" xfId="2435"/>
    <cellStyle name="ttn -TopTextNoWrap 3" xfId="3378"/>
    <cellStyle name="ttn -TopTextNoWrap 4" xfId="2434"/>
    <cellStyle name="ttw -TopTextWrap" xfId="855"/>
    <cellStyle name="ttw -TopTextWrap 2" xfId="856"/>
    <cellStyle name="ttw -TopTextWrap 2 2" xfId="3381"/>
    <cellStyle name="ttw -TopTextWrap 2 3" xfId="2437"/>
    <cellStyle name="ttw -TopTextWrap 3" xfId="3380"/>
    <cellStyle name="ttw -TopTextWrap 4" xfId="2436"/>
    <cellStyle name="Warning Text" xfId="393" builtinId="11" customBuiltin="1"/>
    <cellStyle name="Warning Text 2" xfId="71"/>
    <cellStyle name="Warning Text 2 2" xfId="351"/>
    <cellStyle name="Warning Text 2 2 2" xfId="930"/>
    <cellStyle name="Warning Text 2 2 2 2" xfId="3444"/>
    <cellStyle name="Warning Text 2 2 2 3" xfId="2499"/>
    <cellStyle name="Warning Text 2 2 2 3 2" xfId="5450"/>
    <cellStyle name="Warning Text 2 2 2 3 3" xfId="4598"/>
    <cellStyle name="Warning Text 2 2 2 4" xfId="4771"/>
    <cellStyle name="Warning Text 2 2 2 5" xfId="5151"/>
    <cellStyle name="Warning Text 2 2 2 6" xfId="4055"/>
    <cellStyle name="Warning Text 2 2 3" xfId="3044"/>
    <cellStyle name="Warning Text 2 2 3 2" xfId="4911"/>
    <cellStyle name="Warning Text 2 2 3 3" xfId="5300"/>
    <cellStyle name="Warning Text 2 2 3 4" xfId="4471"/>
    <cellStyle name="Warning Text 2 2 4" xfId="2109"/>
    <cellStyle name="Warning Text 2 3" xfId="350"/>
    <cellStyle name="Warning Text 2 3 2" xfId="3539"/>
    <cellStyle name="Warning Text 2 3 3" xfId="2586"/>
    <cellStyle name="Warning Text 2 4" xfId="1672"/>
    <cellStyle name="Warning Text 2 4 2" xfId="3699"/>
    <cellStyle name="Warning Text 2 4 3" xfId="2701"/>
    <cellStyle name="Warning Text 2 5" xfId="858"/>
    <cellStyle name="Warning Text 2 5 2" xfId="3383"/>
    <cellStyle name="Warning Text 2 5 3" xfId="2439"/>
    <cellStyle name="Warning Text 2 6" xfId="3043"/>
    <cellStyle name="Warning Text 2 7" xfId="2108"/>
    <cellStyle name="Warning Text 3" xfId="857"/>
    <cellStyle name="Warning Text 3 2" xfId="3382"/>
    <cellStyle name="Warning Text 3 2 2" xfId="4973"/>
    <cellStyle name="Warning Text 3 2 3" xfId="5301"/>
    <cellStyle name="Warning Text 3 2 4" xfId="4472"/>
    <cellStyle name="Warning Text 3 3" xfId="2438"/>
    <cellStyle name="Warning Text 4" xfId="3059"/>
    <cellStyle name="Warning Text 5" xfId="2129"/>
    <cellStyle name="Year" xfId="970"/>
  </cellStyles>
  <dxfs count="1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FFFF99"/>
      <color rgb="FFFFFFCC"/>
      <color rgb="FFFFFFFF"/>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chartsheet" Target="chartsheets/sheet3.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worksheet" Target="worksheets/sheet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externalLink" Target="externalLinks/externalLink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US" sz="1600"/>
              <a:t>Expected revenue 2013/14 and allowable rate of change in price on</a:t>
            </a:r>
            <a:r>
              <a:rPr lang="en-US" sz="1600" baseline="0"/>
              <a:t> 1 April 2014</a:t>
            </a:r>
            <a:endParaRPr lang="en-US" sz="1600"/>
          </a:p>
        </c:rich>
      </c:tx>
      <c:overlay val="1"/>
    </c:title>
    <c:plotArea>
      <c:layout>
        <c:manualLayout>
          <c:layoutTarget val="inner"/>
          <c:xMode val="edge"/>
          <c:yMode val="edge"/>
          <c:x val="1.2855348264408281E-2"/>
          <c:y val="0.10013139263199114"/>
          <c:w val="0.97085873417210611"/>
          <c:h val="0.8574517830004037"/>
        </c:manualLayout>
      </c:layout>
      <c:barChart>
        <c:barDir val="bar"/>
        <c:grouping val="clustered"/>
        <c:ser>
          <c:idx val="0"/>
          <c:order val="0"/>
          <c:spPr>
            <a:solidFill>
              <a:schemeClr val="accent1">
                <a:lumMod val="20000"/>
                <a:lumOff val="80000"/>
              </a:schemeClr>
            </a:solidFill>
            <a:ln>
              <a:solidFill>
                <a:schemeClr val="accent1">
                  <a:lumMod val="75000"/>
                </a:schemeClr>
              </a:solidFill>
            </a:ln>
          </c:spPr>
          <c:dLbls>
            <c:dLbl>
              <c:idx val="0"/>
              <c:layout>
                <c:manualLayout>
                  <c:x val="0.59310822096628157"/>
                  <c:y val="1.9288921620045717E-7"/>
                </c:manualLayout>
              </c:layout>
              <c:tx>
                <c:strRef>
                  <c:f>'Chart Calculations'!$B$22</c:f>
                  <c:strCache>
                    <c:ptCount val="1"/>
                    <c:pt idx="0">
                      <c:v>$30m, CPI+15%</c:v>
                    </c:pt>
                  </c:strCache>
                </c:strRef>
              </c:tx>
              <c:spPr>
                <a:solidFill>
                  <a:schemeClr val="bg1">
                    <a:lumMod val="95000"/>
                  </a:schemeClr>
                </a:solidFill>
              </c:spPr>
              <c:txPr>
                <a:bodyPr/>
                <a:lstStyle/>
                <a:p>
                  <a:pPr>
                    <a:defRPr sz="1100" b="0"/>
                  </a:pPr>
                  <a:endParaRPr lang="en-US"/>
                </a:p>
              </c:txPr>
              <c:dLblPos val="outEnd"/>
              <c:showVal val="1"/>
            </c:dLbl>
            <c:dLbl>
              <c:idx val="1"/>
              <c:layout>
                <c:manualLayout>
                  <c:x val="0.56583887747358086"/>
                  <c:y val="0"/>
                </c:manualLayout>
              </c:layout>
              <c:tx>
                <c:strRef>
                  <c:f>'Chart Calculations'!$C$22</c:f>
                  <c:strCache>
                    <c:ptCount val="1"/>
                    <c:pt idx="0">
                      <c:v>$60m, CPI-0%</c:v>
                    </c:pt>
                  </c:strCache>
                </c:strRef>
              </c:tx>
              <c:spPr>
                <a:solidFill>
                  <a:schemeClr val="bg1">
                    <a:lumMod val="95000"/>
                  </a:schemeClr>
                </a:solidFill>
              </c:spPr>
              <c:txPr>
                <a:bodyPr/>
                <a:lstStyle/>
                <a:p>
                  <a:pPr>
                    <a:defRPr sz="1100" b="0"/>
                  </a:pPr>
                  <a:endParaRPr lang="en-US"/>
                </a:p>
              </c:txPr>
              <c:dLblPos val="outEnd"/>
              <c:showVal val="1"/>
            </c:dLbl>
            <c:dLbl>
              <c:idx val="2"/>
              <c:layout>
                <c:manualLayout>
                  <c:x val="0.62719490033216063"/>
                  <c:y val="5.7866764860137192E-7"/>
                </c:manualLayout>
              </c:layout>
              <c:tx>
                <c:strRef>
                  <c:f>'Chart Calculations'!$D$22</c:f>
                  <c:strCache>
                    <c:ptCount val="1"/>
                    <c:pt idx="0">
                      <c:v>$8m, CPI+15%</c:v>
                    </c:pt>
                  </c:strCache>
                </c:strRef>
              </c:tx>
              <c:spPr>
                <a:solidFill>
                  <a:schemeClr val="bg1">
                    <a:lumMod val="95000"/>
                  </a:schemeClr>
                </a:solidFill>
              </c:spPr>
              <c:txPr>
                <a:bodyPr/>
                <a:lstStyle/>
                <a:p>
                  <a:pPr>
                    <a:defRPr sz="1100" b="0"/>
                  </a:pPr>
                  <a:endParaRPr lang="en-US"/>
                </a:p>
              </c:txPr>
              <c:dLblPos val="outEnd"/>
              <c:showVal val="1"/>
            </c:dLbl>
            <c:dLbl>
              <c:idx val="3"/>
              <c:layout>
                <c:manualLayout>
                  <c:x val="0.61356022858580861"/>
                  <c:y val="3.8577843240091407E-7"/>
                </c:manualLayout>
              </c:layout>
              <c:tx>
                <c:strRef>
                  <c:f>'Chart Calculations'!$E$22</c:f>
                  <c:strCache>
                    <c:ptCount val="1"/>
                    <c:pt idx="0">
                      <c:v>$21m, CPI-0%</c:v>
                    </c:pt>
                  </c:strCache>
                </c:strRef>
              </c:tx>
              <c:spPr>
                <a:solidFill>
                  <a:schemeClr val="bg1">
                    <a:lumMod val="95000"/>
                  </a:schemeClr>
                </a:solidFill>
              </c:spPr>
              <c:txPr>
                <a:bodyPr/>
                <a:lstStyle/>
                <a:p>
                  <a:pPr>
                    <a:defRPr sz="1100" b="0"/>
                  </a:pPr>
                  <a:endParaRPr lang="en-US"/>
                </a:p>
              </c:txPr>
              <c:dLblPos val="outEnd"/>
              <c:showVal val="1"/>
            </c:dLbl>
            <c:dLbl>
              <c:idx val="4"/>
              <c:layout>
                <c:manualLayout>
                  <c:x val="0.60401595836336275"/>
                  <c:y val="1.9288921620045717E-7"/>
                </c:manualLayout>
              </c:layout>
              <c:tx>
                <c:strRef>
                  <c:f>'Chart Calculations'!$F$22</c:f>
                  <c:strCache>
                    <c:ptCount val="1"/>
                    <c:pt idx="0">
                      <c:v>$30m, CPI-0%</c:v>
                    </c:pt>
                  </c:strCache>
                </c:strRef>
              </c:tx>
              <c:spPr>
                <a:solidFill>
                  <a:schemeClr val="bg1">
                    <a:lumMod val="95000"/>
                  </a:schemeClr>
                </a:solidFill>
              </c:spPr>
              <c:txPr>
                <a:bodyPr/>
                <a:lstStyle/>
                <a:p>
                  <a:pPr>
                    <a:defRPr sz="1100" b="0"/>
                  </a:pPr>
                  <a:endParaRPr lang="en-US"/>
                </a:p>
              </c:txPr>
              <c:dLblPos val="outEnd"/>
              <c:showVal val="1"/>
            </c:dLbl>
            <c:dLbl>
              <c:idx val="5"/>
              <c:layout>
                <c:manualLayout>
                  <c:x val="0.62446796598288956"/>
                  <c:y val="2.4502717133944455E-3"/>
                </c:manualLayout>
              </c:layout>
              <c:tx>
                <c:strRef>
                  <c:f>'Chart Calculations'!$G$22</c:f>
                  <c:strCache>
                    <c:ptCount val="1"/>
                    <c:pt idx="0">
                      <c:v>$13m, CPI-0%</c:v>
                    </c:pt>
                  </c:strCache>
                </c:strRef>
              </c:tx>
              <c:spPr>
                <a:solidFill>
                  <a:schemeClr val="bg1">
                    <a:lumMod val="95000"/>
                  </a:schemeClr>
                </a:solidFill>
              </c:spPr>
              <c:txPr>
                <a:bodyPr/>
                <a:lstStyle/>
                <a:p>
                  <a:pPr>
                    <a:defRPr sz="1100" b="0"/>
                  </a:pPr>
                  <a:endParaRPr lang="en-US"/>
                </a:p>
              </c:txPr>
              <c:dLblPos val="outEnd"/>
              <c:showVal val="1"/>
            </c:dLbl>
            <c:dLbl>
              <c:idx val="6"/>
              <c:layout>
                <c:manualLayout>
                  <c:x val="0.61356022858580861"/>
                  <c:y val="1.9288921620045717E-7"/>
                </c:manualLayout>
              </c:layout>
              <c:tx>
                <c:strRef>
                  <c:f>'Chart Calculations'!$H$22</c:f>
                  <c:strCache>
                    <c:ptCount val="1"/>
                    <c:pt idx="0">
                      <c:v>$21m, CPI-0%</c:v>
                    </c:pt>
                  </c:strCache>
                </c:strRef>
              </c:tx>
              <c:spPr>
                <a:solidFill>
                  <a:schemeClr val="bg1">
                    <a:lumMod val="95000"/>
                  </a:schemeClr>
                </a:solidFill>
              </c:spPr>
              <c:txPr>
                <a:bodyPr/>
                <a:lstStyle/>
                <a:p>
                  <a:pPr>
                    <a:defRPr sz="1100" b="0"/>
                  </a:pPr>
                  <a:endParaRPr lang="en-US"/>
                </a:p>
              </c:txPr>
              <c:dLblPos val="outEnd"/>
              <c:showVal val="1"/>
            </c:dLbl>
            <c:dLbl>
              <c:idx val="7"/>
              <c:layout>
                <c:manualLayout>
                  <c:x val="0.63810263772924092"/>
                  <c:y val="5.7866764860137192E-7"/>
                </c:manualLayout>
              </c:layout>
              <c:tx>
                <c:strRef>
                  <c:f>'Chart Calculations'!$I$22</c:f>
                  <c:strCache>
                    <c:ptCount val="1"/>
                    <c:pt idx="0">
                      <c:v>$7m, CPI-0%</c:v>
                    </c:pt>
                  </c:strCache>
                </c:strRef>
              </c:tx>
              <c:spPr>
                <a:solidFill>
                  <a:schemeClr val="bg1">
                    <a:lumMod val="95000"/>
                  </a:schemeClr>
                </a:solidFill>
              </c:spPr>
              <c:txPr>
                <a:bodyPr/>
                <a:lstStyle/>
                <a:p>
                  <a:pPr>
                    <a:defRPr sz="1100" b="0"/>
                  </a:pPr>
                  <a:endParaRPr lang="en-US"/>
                </a:p>
              </c:txPr>
              <c:dLblPos val="outEnd"/>
              <c:showVal val="1"/>
            </c:dLbl>
            <c:dLbl>
              <c:idx val="8"/>
              <c:layout>
                <c:manualLayout>
                  <c:x val="0.60401595836336275"/>
                  <c:y val="1.9288921620045717E-7"/>
                </c:manualLayout>
              </c:layout>
              <c:tx>
                <c:strRef>
                  <c:f>'Chart Calculations'!$J$22</c:f>
                  <c:strCache>
                    <c:ptCount val="1"/>
                    <c:pt idx="0">
                      <c:v>$29m, CPI-0%</c:v>
                    </c:pt>
                  </c:strCache>
                </c:strRef>
              </c:tx>
              <c:spPr>
                <a:solidFill>
                  <a:schemeClr val="bg1">
                    <a:lumMod val="95000"/>
                  </a:schemeClr>
                </a:solidFill>
              </c:spPr>
              <c:txPr>
                <a:bodyPr/>
                <a:lstStyle/>
                <a:p>
                  <a:pPr>
                    <a:defRPr sz="1100" b="0"/>
                  </a:pPr>
                  <a:endParaRPr lang="en-US"/>
                </a:p>
              </c:txPr>
              <c:dLblPos val="outEnd"/>
              <c:showVal val="1"/>
            </c:dLbl>
            <c:dLbl>
              <c:idx val="9"/>
              <c:layout>
                <c:manualLayout>
                  <c:x val="0.5999255568394577"/>
                  <c:y val="1.9288921620045717E-7"/>
                </c:manualLayout>
              </c:layout>
              <c:tx>
                <c:strRef>
                  <c:f>'Chart Calculations'!$K$22</c:f>
                  <c:strCache>
                    <c:ptCount val="1"/>
                    <c:pt idx="0">
                      <c:v>$24m, CPI+11%</c:v>
                    </c:pt>
                  </c:strCache>
                </c:strRef>
              </c:tx>
              <c:spPr>
                <a:solidFill>
                  <a:schemeClr val="bg1">
                    <a:lumMod val="95000"/>
                  </a:schemeClr>
                </a:solidFill>
              </c:spPr>
              <c:txPr>
                <a:bodyPr/>
                <a:lstStyle/>
                <a:p>
                  <a:pPr>
                    <a:defRPr sz="1100" b="0"/>
                  </a:pPr>
                  <a:endParaRPr lang="en-US"/>
                </a:p>
              </c:txPr>
              <c:dLblPos val="outEnd"/>
              <c:showVal val="1"/>
            </c:dLbl>
            <c:dLbl>
              <c:idx val="10"/>
              <c:layout>
                <c:manualLayout>
                  <c:x val="0.31496080998109577"/>
                  <c:y val="1.9288921620045717E-7"/>
                </c:manualLayout>
              </c:layout>
              <c:tx>
                <c:strRef>
                  <c:f>'Chart Calculations'!$L$22</c:f>
                  <c:strCache>
                    <c:ptCount val="1"/>
                    <c:pt idx="0">
                      <c:v>$255m, CPI-0%</c:v>
                    </c:pt>
                  </c:strCache>
                </c:strRef>
              </c:tx>
              <c:spPr>
                <a:solidFill>
                  <a:schemeClr val="bg1">
                    <a:lumMod val="95000"/>
                  </a:schemeClr>
                </a:solidFill>
              </c:spPr>
              <c:txPr>
                <a:bodyPr/>
                <a:lstStyle/>
                <a:p>
                  <a:pPr>
                    <a:defRPr sz="1100" b="0"/>
                  </a:pPr>
                  <a:endParaRPr lang="en-US"/>
                </a:p>
              </c:txPr>
              <c:dLblPos val="outEnd"/>
              <c:showVal val="1"/>
            </c:dLbl>
            <c:dLbl>
              <c:idx val="11"/>
              <c:layout>
                <c:manualLayout>
                  <c:x val="0.59719862249018818"/>
                  <c:y val="1.9288921620045717E-7"/>
                </c:manualLayout>
              </c:layout>
              <c:tx>
                <c:strRef>
                  <c:f>'Chart Calculations'!$M$22</c:f>
                  <c:strCache>
                    <c:ptCount val="1"/>
                    <c:pt idx="0">
                      <c:v>$30m, CPI+15%</c:v>
                    </c:pt>
                  </c:strCache>
                </c:strRef>
              </c:tx>
              <c:spPr>
                <a:solidFill>
                  <a:schemeClr val="bg1">
                    <a:lumMod val="95000"/>
                  </a:schemeClr>
                </a:solidFill>
              </c:spPr>
              <c:txPr>
                <a:bodyPr/>
                <a:lstStyle/>
                <a:p>
                  <a:pPr>
                    <a:defRPr sz="1050" b="0"/>
                  </a:pPr>
                  <a:endParaRPr lang="en-US"/>
                </a:p>
              </c:txPr>
              <c:dLblPos val="outEnd"/>
              <c:showVal val="1"/>
            </c:dLbl>
            <c:dLbl>
              <c:idx val="12"/>
              <c:layout>
                <c:manualLayout>
                  <c:x val="0.59447168814091611"/>
                  <c:y val="0"/>
                </c:manualLayout>
              </c:layout>
              <c:tx>
                <c:strRef>
                  <c:f>'Chart Calculations'!$N$22</c:f>
                  <c:strCache>
                    <c:ptCount val="1"/>
                    <c:pt idx="0">
                      <c:v>$28m, CPI+15%</c:v>
                    </c:pt>
                  </c:strCache>
                </c:strRef>
              </c:tx>
              <c:spPr>
                <a:solidFill>
                  <a:schemeClr val="bg1">
                    <a:lumMod val="95000"/>
                  </a:schemeClr>
                </a:solidFill>
              </c:spPr>
              <c:txPr>
                <a:bodyPr/>
                <a:lstStyle/>
                <a:p>
                  <a:pPr>
                    <a:defRPr sz="1100" b="0"/>
                  </a:pPr>
                  <a:endParaRPr lang="en-US"/>
                </a:p>
              </c:txPr>
              <c:dLblPos val="outEnd"/>
              <c:showVal val="1"/>
            </c:dLbl>
            <c:dLbl>
              <c:idx val="13"/>
              <c:layout>
                <c:manualLayout>
                  <c:x val="0.52084446071061952"/>
                  <c:y val="-8.98210407236861E-17"/>
                </c:manualLayout>
              </c:layout>
              <c:tx>
                <c:strRef>
                  <c:f>'Chart Calculations'!$O$22</c:f>
                  <c:strCache>
                    <c:ptCount val="1"/>
                    <c:pt idx="0">
                      <c:v>$95m, CPI-0%</c:v>
                    </c:pt>
                  </c:strCache>
                </c:strRef>
              </c:tx>
              <c:spPr>
                <a:solidFill>
                  <a:schemeClr val="bg1">
                    <a:lumMod val="95000"/>
                  </a:schemeClr>
                </a:solidFill>
              </c:spPr>
              <c:txPr>
                <a:bodyPr/>
                <a:lstStyle/>
                <a:p>
                  <a:pPr>
                    <a:defRPr sz="1100" b="0"/>
                  </a:pPr>
                  <a:endParaRPr lang="en-US"/>
                </a:p>
              </c:txPr>
              <c:dLblPos val="outEnd"/>
              <c:showVal val="1"/>
            </c:dLbl>
            <c:dLbl>
              <c:idx val="14"/>
              <c:layout>
                <c:manualLayout>
                  <c:x val="0.11453124266935102"/>
                  <c:y val="1.9288921620045717E-7"/>
                </c:manualLayout>
              </c:layout>
              <c:tx>
                <c:strRef>
                  <c:f>'Chart Calculations'!$P$22</c:f>
                  <c:strCache>
                    <c:ptCount val="1"/>
                    <c:pt idx="0">
                      <c:v>$414m, CPI-0%</c:v>
                    </c:pt>
                  </c:strCache>
                </c:strRef>
              </c:tx>
              <c:spPr>
                <a:solidFill>
                  <a:schemeClr val="bg1">
                    <a:lumMod val="95000"/>
                  </a:schemeClr>
                </a:solidFill>
              </c:spPr>
              <c:txPr>
                <a:bodyPr/>
                <a:lstStyle/>
                <a:p>
                  <a:pPr>
                    <a:defRPr sz="1100" b="0"/>
                  </a:pPr>
                  <a:endParaRPr lang="en-US"/>
                </a:p>
              </c:txPr>
              <c:dLblPos val="outEnd"/>
              <c:showVal val="1"/>
            </c:dLbl>
            <c:dLbl>
              <c:idx val="15"/>
              <c:layout>
                <c:manualLayout>
                  <c:x val="0.49493858439255312"/>
                  <c:y val="0"/>
                </c:manualLayout>
              </c:layout>
              <c:tx>
                <c:strRef>
                  <c:f>'Chart Calculations'!$Q$22</c:f>
                  <c:strCache>
                    <c:ptCount val="1"/>
                    <c:pt idx="0">
                      <c:v>$109m, CPI-0%</c:v>
                    </c:pt>
                  </c:strCache>
                </c:strRef>
              </c:tx>
              <c:spPr>
                <a:solidFill>
                  <a:schemeClr val="bg1">
                    <a:lumMod val="95000"/>
                  </a:schemeClr>
                </a:solidFill>
              </c:spPr>
              <c:txPr>
                <a:bodyPr/>
                <a:lstStyle/>
                <a:p>
                  <a:pPr>
                    <a:defRPr sz="1100" b="0"/>
                  </a:pPr>
                  <a:endParaRPr lang="en-US"/>
                </a:p>
              </c:txPr>
              <c:dLblPos val="outEnd"/>
              <c:showVal val="1"/>
            </c:dLbl>
            <c:spPr>
              <a:solidFill>
                <a:schemeClr val="bg1">
                  <a:lumMod val="95000"/>
                </a:schemeClr>
              </a:solidFill>
            </c:spPr>
            <c:txPr>
              <a:bodyPr/>
              <a:lstStyle/>
              <a:p>
                <a:pPr>
                  <a:defRPr sz="1200" b="0"/>
                </a:pPr>
                <a:endParaRPr lang="en-US"/>
              </a:p>
            </c:txPr>
            <c:dLblPos val="outEnd"/>
            <c:showVal val="1"/>
          </c:dLbls>
          <c:cat>
            <c:strRef>
              <c:f>'Chart Calculations'!$B$6:$Q$6</c:f>
              <c:strCache>
                <c:ptCount val="16"/>
                <c:pt idx="0">
                  <c:v>Alpine Energy </c:v>
                </c:pt>
                <c:pt idx="1">
                  <c:v>Aurora Energy</c:v>
                </c:pt>
                <c:pt idx="2">
                  <c:v>Centralines </c:v>
                </c:pt>
                <c:pt idx="3">
                  <c:v>Eastland </c:v>
                </c:pt>
                <c:pt idx="4">
                  <c:v>Electricity Ashburton</c:v>
                </c:pt>
                <c:pt idx="5">
                  <c:v>Electricity Invercargill</c:v>
                </c:pt>
                <c:pt idx="6">
                  <c:v>Horizon Energy </c:v>
                </c:pt>
                <c:pt idx="7">
                  <c:v>Nelson Electricity </c:v>
                </c:pt>
                <c:pt idx="8">
                  <c:v>Network Tasman </c:v>
                </c:pt>
                <c:pt idx="9">
                  <c:v>OtagoNet </c:v>
                </c:pt>
                <c:pt idx="10">
                  <c:v>Powerco </c:v>
                </c:pt>
                <c:pt idx="11">
                  <c:v>The Lines Company</c:v>
                </c:pt>
                <c:pt idx="12">
                  <c:v>Top Energy </c:v>
                </c:pt>
                <c:pt idx="13">
                  <c:v>Unison </c:v>
                </c:pt>
                <c:pt idx="14">
                  <c:v>Vector </c:v>
                </c:pt>
                <c:pt idx="15">
                  <c:v>Wellington Electricity </c:v>
                </c:pt>
              </c:strCache>
            </c:strRef>
          </c:cat>
          <c:val>
            <c:numRef>
              <c:f>'Chart Calculations'!$B$8:$Q$8</c:f>
              <c:numCache>
                <c:formatCode>_-* #,##0_-;\-* #,##0_-;_-* "-"??_-;_-@_-</c:formatCode>
                <c:ptCount val="16"/>
                <c:pt idx="0">
                  <c:v>30401.380446671406</c:v>
                </c:pt>
                <c:pt idx="1">
                  <c:v>60159.426796715801</c:v>
                </c:pt>
                <c:pt idx="2">
                  <c:v>8047.6664623147717</c:v>
                </c:pt>
                <c:pt idx="3">
                  <c:v>21090.716608415671</c:v>
                </c:pt>
                <c:pt idx="4">
                  <c:v>29649.619357316566</c:v>
                </c:pt>
                <c:pt idx="5">
                  <c:v>12779.256171038702</c:v>
                </c:pt>
                <c:pt idx="6">
                  <c:v>20741.442849786225</c:v>
                </c:pt>
                <c:pt idx="7">
                  <c:v>7171.6506337391929</c:v>
                </c:pt>
                <c:pt idx="8">
                  <c:v>28582.25728305717</c:v>
                </c:pt>
                <c:pt idx="9">
                  <c:v>23616.670364890215</c:v>
                </c:pt>
                <c:pt idx="10">
                  <c:v>254563.96347066225</c:v>
                </c:pt>
                <c:pt idx="11">
                  <c:v>30364.174107063354</c:v>
                </c:pt>
                <c:pt idx="12">
                  <c:v>27831.658809696128</c:v>
                </c:pt>
                <c:pt idx="13">
                  <c:v>94811.521907534669</c:v>
                </c:pt>
                <c:pt idx="14">
                  <c:v>413914.77559448488</c:v>
                </c:pt>
                <c:pt idx="15">
                  <c:v>109435.22102701032</c:v>
                </c:pt>
              </c:numCache>
            </c:numRef>
          </c:val>
        </c:ser>
        <c:gapWidth val="60"/>
        <c:overlap val="21"/>
        <c:axId val="109522304"/>
        <c:axId val="109548672"/>
      </c:barChart>
      <c:dateAx>
        <c:axId val="109522304"/>
        <c:scaling>
          <c:orientation val="maxMin"/>
        </c:scaling>
        <c:axPos val="l"/>
        <c:majorGridlines/>
        <c:numFmt formatCode="#,##0.00" sourceLinked="0"/>
        <c:majorTickMark val="none"/>
        <c:tickLblPos val="nextTo"/>
        <c:spPr>
          <a:ln>
            <a:noFill/>
          </a:ln>
        </c:spPr>
        <c:txPr>
          <a:bodyPr/>
          <a:lstStyle/>
          <a:p>
            <a:pPr>
              <a:defRPr sz="1100"/>
            </a:pPr>
            <a:endParaRPr lang="en-US"/>
          </a:p>
        </c:txPr>
        <c:crossAx val="109548672"/>
        <c:crosses val="autoZero"/>
        <c:lblOffset val="100"/>
        <c:baseTimeUnit val="days"/>
      </c:dateAx>
      <c:valAx>
        <c:axId val="109548672"/>
        <c:scaling>
          <c:orientation val="minMax"/>
          <c:max val="600000"/>
          <c:min val="-180000"/>
        </c:scaling>
        <c:axPos val="t"/>
        <c:numFmt formatCode="_-* #,##0_-;\-* #,##0_-;_-* &quot;-&quot;??_-;_-@_-" sourceLinked="1"/>
        <c:tickLblPos val="none"/>
        <c:spPr>
          <a:ln>
            <a:noFill/>
          </a:ln>
        </c:spPr>
        <c:crossAx val="109522304"/>
        <c:crosses val="autoZero"/>
        <c:crossBetween val="between"/>
        <c:majorUnit val="200000"/>
      </c:valAx>
      <c:spPr>
        <a:noFill/>
      </c:spPr>
    </c:plotArea>
    <c:plotVisOnly val="1"/>
    <c:dispBlanksAs val="gap"/>
  </c:chart>
  <c:spPr>
    <a:solidFill>
      <a:schemeClr val="bg1">
        <a:lumMod val="95000"/>
      </a:schemeClr>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1.7976755869557808E-2"/>
          <c:y val="0.16218028256339087"/>
          <c:w val="0.96266366088630306"/>
          <c:h val="0.6651824303713697"/>
        </c:manualLayout>
      </c:layout>
      <c:barChart>
        <c:barDir val="col"/>
        <c:grouping val="clustered"/>
        <c:ser>
          <c:idx val="0"/>
          <c:order val="0"/>
          <c:spPr>
            <a:solidFill>
              <a:schemeClr val="accent1">
                <a:lumMod val="20000"/>
                <a:lumOff val="80000"/>
              </a:schemeClr>
            </a:solidFill>
            <a:ln>
              <a:solidFill>
                <a:schemeClr val="accent1">
                  <a:lumMod val="75000"/>
                </a:schemeClr>
              </a:solidFill>
            </a:ln>
          </c:spPr>
          <c:dLbls>
            <c:numFmt formatCode="0%" sourceLinked="0"/>
            <c:spPr>
              <a:noFill/>
            </c:spPr>
            <c:txPr>
              <a:bodyPr/>
              <a:lstStyle/>
              <a:p>
                <a:pPr>
                  <a:defRPr sz="1000" b="1"/>
                </a:pPr>
                <a:endParaRPr lang="en-US"/>
              </a:p>
            </c:txPr>
            <c:showVal val="1"/>
            <c:showCatName val="1"/>
            <c:separator>
</c:separator>
          </c:dLbls>
          <c:cat>
            <c:strRef>
              <c:f>'Chart Calculations'!$B$27:$Q$27</c:f>
              <c:strCache>
                <c:ptCount val="16"/>
                <c:pt idx="0">
                  <c:v>Alpine
Energy </c:v>
                </c:pt>
                <c:pt idx="1">
                  <c:v>Aurora
Energy</c:v>
                </c:pt>
                <c:pt idx="2">
                  <c:v>Centralines </c:v>
                </c:pt>
                <c:pt idx="3">
                  <c:v>Eastland </c:v>
                </c:pt>
                <c:pt idx="4">
                  <c:v>Electricity
Ashburton</c:v>
                </c:pt>
                <c:pt idx="5">
                  <c:v>Electricity
Invercargill</c:v>
                </c:pt>
                <c:pt idx="6">
                  <c:v>Horizon
Energy </c:v>
                </c:pt>
                <c:pt idx="7">
                  <c:v>Nelson
Electricity </c:v>
                </c:pt>
                <c:pt idx="8">
                  <c:v>Network
Tasman </c:v>
                </c:pt>
                <c:pt idx="9">
                  <c:v>OtagoNet </c:v>
                </c:pt>
                <c:pt idx="10">
                  <c:v>Powerco </c:v>
                </c:pt>
                <c:pt idx="11">
                  <c:v>The Lines
Company</c:v>
                </c:pt>
                <c:pt idx="12">
                  <c:v>Top
Energy </c:v>
                </c:pt>
                <c:pt idx="13">
                  <c:v>Unison </c:v>
                </c:pt>
                <c:pt idx="14">
                  <c:v>Vector </c:v>
                </c:pt>
                <c:pt idx="15">
                  <c:v>Wellington
Electricity </c:v>
                </c:pt>
              </c:strCache>
            </c:strRef>
          </c:cat>
          <c:val>
            <c:numRef>
              <c:f>'Chart Calculations'!$B$29:$Q$29</c:f>
              <c:numCache>
                <c:formatCode>0%</c:formatCode>
                <c:ptCount val="16"/>
                <c:pt idx="0">
                  <c:v>0.15000000000000005</c:v>
                </c:pt>
                <c:pt idx="1">
                  <c:v>6.144596344089065E-2</c:v>
                </c:pt>
                <c:pt idx="2">
                  <c:v>0.14999999999999986</c:v>
                </c:pt>
                <c:pt idx="3">
                  <c:v>1.0880518260526479E-2</c:v>
                </c:pt>
                <c:pt idx="4">
                  <c:v>0.11354491824003195</c:v>
                </c:pt>
                <c:pt idx="5">
                  <c:v>2.5096822973802203E-2</c:v>
                </c:pt>
                <c:pt idx="6">
                  <c:v>-4.0952831238331815E-2</c:v>
                </c:pt>
                <c:pt idx="7">
                  <c:v>8.4352930555444294E-2</c:v>
                </c:pt>
                <c:pt idx="8">
                  <c:v>8.7662286168391196E-2</c:v>
                </c:pt>
                <c:pt idx="9">
                  <c:v>0.11277465363283697</c:v>
                </c:pt>
                <c:pt idx="10">
                  <c:v>2.0921243414241422E-2</c:v>
                </c:pt>
                <c:pt idx="11">
                  <c:v>0.15</c:v>
                </c:pt>
                <c:pt idx="12">
                  <c:v>0.14999999999999991</c:v>
                </c:pt>
                <c:pt idx="13">
                  <c:v>9.9805363737127215E-2</c:v>
                </c:pt>
                <c:pt idx="14">
                  <c:v>-8.4299391546850275E-2</c:v>
                </c:pt>
                <c:pt idx="15">
                  <c:v>-5.2886547033812743E-2</c:v>
                </c:pt>
              </c:numCache>
            </c:numRef>
          </c:val>
        </c:ser>
        <c:gapWidth val="62"/>
        <c:overlap val="-35"/>
        <c:axId val="110400640"/>
        <c:axId val="110402176"/>
      </c:barChart>
      <c:catAx>
        <c:axId val="110400640"/>
        <c:scaling>
          <c:orientation val="minMax"/>
        </c:scaling>
        <c:delete val="1"/>
        <c:axPos val="b"/>
        <c:majorTickMark val="none"/>
        <c:tickLblPos val="none"/>
        <c:crossAx val="110402176"/>
        <c:crosses val="autoZero"/>
        <c:auto val="1"/>
        <c:lblAlgn val="ctr"/>
        <c:lblOffset val="100"/>
      </c:catAx>
      <c:valAx>
        <c:axId val="110402176"/>
        <c:scaling>
          <c:orientation val="minMax"/>
        </c:scaling>
        <c:delete val="1"/>
        <c:axPos val="l"/>
        <c:numFmt formatCode="0%" sourceLinked="1"/>
        <c:tickLblPos val="none"/>
        <c:crossAx val="110400640"/>
        <c:crosses val="autoZero"/>
        <c:crossBetween val="between"/>
      </c:valAx>
      <c:spPr>
        <a:solidFill>
          <a:schemeClr val="bg1">
            <a:lumMod val="95000"/>
          </a:schemeClr>
        </a:solidFill>
        <a:ln>
          <a:noFill/>
        </a:ln>
      </c:spPr>
    </c:plotArea>
    <c:plotVisOnly val="1"/>
  </c:chart>
  <c:spPr>
    <a:solidFill>
      <a:schemeClr val="bg1">
        <a:lumMod val="95000"/>
      </a:schemeClr>
    </a:solidFill>
    <a:ln>
      <a:noFill/>
    </a:ln>
  </c:spPr>
  <c:txPr>
    <a:bodyPr/>
    <a:lstStyle/>
    <a:p>
      <a:pPr>
        <a:defRPr sz="900"/>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US"/>
              <a:t>Forecast revenues minus forecast costs - 1</a:t>
            </a:r>
            <a:r>
              <a:rPr lang="en-US" baseline="0"/>
              <a:t> April 2012 to 31 March 2015</a:t>
            </a:r>
          </a:p>
          <a:p>
            <a:pPr>
              <a:defRPr/>
            </a:pPr>
            <a:r>
              <a:rPr lang="en-US" baseline="0"/>
              <a:t>(</a:t>
            </a:r>
            <a:r>
              <a:rPr lang="en-US"/>
              <a:t>no reset)</a:t>
            </a:r>
          </a:p>
        </c:rich>
      </c:tx>
      <c:overlay val="1"/>
    </c:title>
    <c:plotArea>
      <c:layout>
        <c:manualLayout>
          <c:layoutTarget val="inner"/>
          <c:xMode val="edge"/>
          <c:yMode val="edge"/>
          <c:x val="2.0462849240683277E-2"/>
          <c:y val="0.15217663627005187"/>
          <c:w val="0.95498173167049771"/>
          <c:h val="0.8352105966321538"/>
        </c:manualLayout>
      </c:layout>
      <c:barChart>
        <c:barDir val="bar"/>
        <c:grouping val="clustered"/>
        <c:ser>
          <c:idx val="0"/>
          <c:order val="0"/>
          <c:spPr>
            <a:solidFill>
              <a:schemeClr val="accent1">
                <a:lumMod val="20000"/>
                <a:lumOff val="80000"/>
              </a:schemeClr>
            </a:solidFill>
            <a:ln>
              <a:solidFill>
                <a:schemeClr val="accent1">
                  <a:lumMod val="75000"/>
                </a:schemeClr>
              </a:solidFill>
            </a:ln>
          </c:spPr>
          <c:dLbls>
            <c:dLbl>
              <c:idx val="0"/>
              <c:layout>
                <c:manualLayout>
                  <c:x val="-0.29514152879933875"/>
                  <c:y val="1.2990799358929285E-6"/>
                </c:manualLayout>
              </c:layout>
              <c:tx>
                <c:strRef>
                  <c:f>'Chart Calculations'!$B$43</c:f>
                  <c:strCache>
                    <c:ptCount val="1"/>
                    <c:pt idx="0">
                      <c:v>Alpine Energy : -$28.7m</c:v>
                    </c:pt>
                  </c:strCache>
                </c:strRef>
              </c:tx>
              <c:dLblPos val="outEnd"/>
              <c:showVal val="1"/>
            </c:dLbl>
            <c:dLbl>
              <c:idx val="1"/>
              <c:layout>
                <c:manualLayout>
                  <c:x val="-0.20298501947569147"/>
                  <c:y val="1.1134970879267438E-6"/>
                </c:manualLayout>
              </c:layout>
              <c:tx>
                <c:strRef>
                  <c:f>'Chart Calculations'!$C$43</c:f>
                  <c:strCache>
                    <c:ptCount val="1"/>
                    <c:pt idx="0">
                      <c:v>Aurora Energy: -$9.1m</c:v>
                    </c:pt>
                  </c:strCache>
                </c:strRef>
              </c:tx>
              <c:dLblPos val="outEnd"/>
              <c:showVal val="1"/>
            </c:dLbl>
            <c:dLbl>
              <c:idx val="2"/>
              <c:layout>
                <c:manualLayout>
                  <c:x val="-0.18385499455720469"/>
                  <c:y val="1.1134970879267438E-6"/>
                </c:manualLayout>
              </c:layout>
              <c:tx>
                <c:strRef>
                  <c:f>'Chart Calculations'!$D$43</c:f>
                  <c:strCache>
                    <c:ptCount val="1"/>
                    <c:pt idx="0">
                      <c:v>Centralines : -$8.2m</c:v>
                    </c:pt>
                  </c:strCache>
                </c:strRef>
              </c:tx>
              <c:dLblPos val="outEnd"/>
              <c:showVal val="1"/>
            </c:dLbl>
            <c:dLbl>
              <c:idx val="3"/>
              <c:layout>
                <c:manualLayout>
                  <c:x val="-0.12326347749849256"/>
                  <c:y val="1.6813806027689485E-4"/>
                </c:manualLayout>
              </c:layout>
              <c:tx>
                <c:strRef>
                  <c:f>'Chart Calculations'!$E$43</c:f>
                  <c:strCache>
                    <c:ptCount val="1"/>
                    <c:pt idx="0">
                      <c:v>Eastland : -$0.6m</c:v>
                    </c:pt>
                  </c:strCache>
                </c:strRef>
              </c:tx>
              <c:dLblPos val="outEnd"/>
              <c:showVal val="1"/>
            </c:dLbl>
            <c:dLbl>
              <c:idx val="4"/>
              <c:layout>
                <c:manualLayout>
                  <c:x val="-0.23766981747997809"/>
                  <c:y val="1.2990799359145336E-6"/>
                </c:manualLayout>
              </c:layout>
              <c:tx>
                <c:strRef>
                  <c:f>'Chart Calculations'!$F$43</c:f>
                  <c:strCache>
                    <c:ptCount val="1"/>
                    <c:pt idx="0">
                      <c:v>Electricity Ashburton: -$7.9m</c:v>
                    </c:pt>
                  </c:strCache>
                </c:strRef>
              </c:tx>
              <c:dLblPos val="outEnd"/>
              <c:showVal val="1"/>
            </c:dLbl>
            <c:dLbl>
              <c:idx val="5"/>
              <c:layout>
                <c:manualLayout>
                  <c:x val="-0.2001904709935621"/>
                  <c:y val="1.6702456318901162E-6"/>
                </c:manualLayout>
              </c:layout>
              <c:tx>
                <c:strRef>
                  <c:f>'Chart Calculations'!$G$43</c:f>
                  <c:strCache>
                    <c:ptCount val="1"/>
                    <c:pt idx="0">
                      <c:v>Electricity Invercargill: -$0.8m</c:v>
                    </c:pt>
                  </c:strCache>
                </c:strRef>
              </c:tx>
              <c:dLblPos val="outEnd"/>
              <c:showVal val="1"/>
            </c:dLbl>
            <c:dLbl>
              <c:idx val="6"/>
              <c:layout>
                <c:manualLayout>
                  <c:x val="-0.17618083530102521"/>
                  <c:y val="2.5237411497859635E-3"/>
                </c:manualLayout>
              </c:layout>
              <c:tx>
                <c:strRef>
                  <c:f>'Chart Calculations'!$H$43</c:f>
                  <c:strCache>
                    <c:ptCount val="1"/>
                    <c:pt idx="0">
                      <c:v>Horizon Energy : +$2.3m</c:v>
                    </c:pt>
                  </c:strCache>
                </c:strRef>
              </c:tx>
              <c:dLblPos val="outEnd"/>
              <c:showVal val="1"/>
            </c:dLbl>
            <c:dLbl>
              <c:idx val="7"/>
              <c:layout>
                <c:manualLayout>
                  <c:x val="-0.18061681580019856"/>
                  <c:y val="2.2269941758534871E-6"/>
                </c:manualLayout>
              </c:layout>
              <c:tx>
                <c:strRef>
                  <c:f>'Chart Calculations'!$I$43</c:f>
                  <c:strCache>
                    <c:ptCount val="1"/>
                    <c:pt idx="0">
                      <c:v>Nelson Electricity : -$1.5m</c:v>
                    </c:pt>
                  </c:strCache>
                </c:strRef>
              </c:tx>
              <c:dLblPos val="outEnd"/>
              <c:showVal val="1"/>
            </c:dLbl>
            <c:dLbl>
              <c:idx val="8"/>
              <c:layout>
                <c:manualLayout>
                  <c:x val="-0.20528104783537451"/>
                  <c:y val="2.0414113278656975E-6"/>
                </c:manualLayout>
              </c:layout>
              <c:tx>
                <c:strRef>
                  <c:f>'Chart Calculations'!$J$43</c:f>
                  <c:strCache>
                    <c:ptCount val="1"/>
                    <c:pt idx="0">
                      <c:v>Network Tasman : -$6.1m</c:v>
                    </c:pt>
                  </c:strCache>
                </c:strRef>
              </c:tx>
              <c:dLblPos val="outEnd"/>
              <c:showVal val="1"/>
            </c:dLbl>
            <c:dLbl>
              <c:idx val="9"/>
              <c:layout>
                <c:manualLayout>
                  <c:x val="-0.18038092909714043"/>
                  <c:y val="1.1134970879267438E-6"/>
                </c:manualLayout>
              </c:layout>
              <c:tx>
                <c:strRef>
                  <c:f>'Chart Calculations'!$K$43</c:f>
                  <c:strCache>
                    <c:ptCount val="1"/>
                    <c:pt idx="0">
                      <c:v>OtagoNet : -$9.6m</c:v>
                    </c:pt>
                  </c:strCache>
                </c:strRef>
              </c:tx>
              <c:dLblPos val="outEnd"/>
              <c:showVal val="1"/>
            </c:dLbl>
            <c:dLbl>
              <c:idx val="10"/>
              <c:layout>
                <c:manualLayout>
                  <c:x val="-0.20522153907695256"/>
                  <c:y val="1.299079935828115E-6"/>
                </c:manualLayout>
              </c:layout>
              <c:tx>
                <c:strRef>
                  <c:f>'Chart Calculations'!$L$43</c:f>
                  <c:strCache>
                    <c:ptCount val="1"/>
                    <c:pt idx="0">
                      <c:v>Powerco : -$13.7m</c:v>
                    </c:pt>
                  </c:strCache>
                </c:strRef>
              </c:tx>
              <c:dLblPos val="outEnd"/>
              <c:showVal val="1"/>
            </c:dLbl>
            <c:dLbl>
              <c:idx val="11"/>
              <c:layout>
                <c:manualLayout>
                  <c:x val="-0.2834943542945238"/>
                  <c:y val="1.484662783902323E-6"/>
                </c:manualLayout>
              </c:layout>
              <c:tx>
                <c:strRef>
                  <c:f>'Chart Calculations'!$M$43</c:f>
                  <c:strCache>
                    <c:ptCount val="1"/>
                    <c:pt idx="0">
                      <c:v>The Lines Company: -$16.7m</c:v>
                    </c:pt>
                  </c:strCache>
                </c:strRef>
              </c:tx>
              <c:dLblPos val="outEnd"/>
              <c:showVal val="1"/>
            </c:dLbl>
            <c:dLbl>
              <c:idx val="12"/>
              <c:layout>
                <c:manualLayout>
                  <c:x val="-0.29444622159128142"/>
                  <c:y val="1.1134970879267438E-6"/>
                </c:manualLayout>
              </c:layout>
              <c:tx>
                <c:strRef>
                  <c:f>'Chart Calculations'!$N$43</c:f>
                  <c:strCache>
                    <c:ptCount val="1"/>
                    <c:pt idx="0">
                      <c:v>Top Energy : -$27.9m</c:v>
                    </c:pt>
                  </c:strCache>
                </c:strRef>
              </c:tx>
              <c:dLblPos val="outEnd"/>
              <c:showVal val="1"/>
            </c:dLbl>
            <c:dLbl>
              <c:idx val="13"/>
              <c:layout>
                <c:manualLayout>
                  <c:x val="-0.24472106827029524"/>
                  <c:y val="1.6702456318901162E-6"/>
                </c:manualLayout>
              </c:layout>
              <c:tx>
                <c:strRef>
                  <c:f>'Chart Calculations'!$O$43</c:f>
                  <c:strCache>
                    <c:ptCount val="1"/>
                    <c:pt idx="0">
                      <c:v>Unison : -$22.6m</c:v>
                    </c:pt>
                  </c:strCache>
                </c:strRef>
              </c:tx>
              <c:dLblPos val="outEnd"/>
              <c:showVal val="1"/>
            </c:dLbl>
            <c:dLbl>
              <c:idx val="14"/>
              <c:layout>
                <c:manualLayout>
                  <c:x val="-0.6963644015599455"/>
                  <c:y val="2.3583868322288371E-3"/>
                </c:manualLayout>
              </c:layout>
              <c:tx>
                <c:strRef>
                  <c:f>'Chart Calculations'!$P$43</c:f>
                  <c:strCache>
                    <c:ptCount val="1"/>
                    <c:pt idx="0">
                      <c:v>Vector : +$100.1m</c:v>
                    </c:pt>
                  </c:strCache>
                </c:strRef>
              </c:tx>
              <c:dLblPos val="outEnd"/>
              <c:showVal val="1"/>
            </c:dLbl>
            <c:dLbl>
              <c:idx val="15"/>
              <c:layout>
                <c:manualLayout>
                  <c:x val="-0.28901513434478182"/>
                  <c:y val="2.3583868322288371E-3"/>
                </c:manualLayout>
              </c:layout>
              <c:tx>
                <c:strRef>
                  <c:f>'Chart Calculations'!$Q$43</c:f>
                  <c:strCache>
                    <c:ptCount val="1"/>
                    <c:pt idx="0">
                      <c:v>Wellington Electricity : +$16m</c:v>
                    </c:pt>
                  </c:strCache>
                </c:strRef>
              </c:tx>
              <c:dLblPos val="outEnd"/>
              <c:showVal val="1"/>
            </c:dLbl>
            <c:txPr>
              <a:bodyPr anchor="t" anchorCtr="0"/>
              <a:lstStyle/>
              <a:p>
                <a:pPr>
                  <a:defRPr sz="1100"/>
                </a:pPr>
                <a:endParaRPr lang="en-US"/>
              </a:p>
            </c:txPr>
            <c:dLblPos val="inEnd"/>
            <c:showVal val="1"/>
          </c:dLbls>
          <c:cat>
            <c:strRef>
              <c:f>'Chart Calculations'!$B$34:$Q$34</c:f>
              <c:strCache>
                <c:ptCount val="16"/>
                <c:pt idx="0">
                  <c:v>Alpine Energy </c:v>
                </c:pt>
                <c:pt idx="1">
                  <c:v>Aurora Energy</c:v>
                </c:pt>
                <c:pt idx="2">
                  <c:v>Centralines </c:v>
                </c:pt>
                <c:pt idx="3">
                  <c:v>Eastland </c:v>
                </c:pt>
                <c:pt idx="4">
                  <c:v>Electricity Ashburton</c:v>
                </c:pt>
                <c:pt idx="5">
                  <c:v>Electricity Invercargill</c:v>
                </c:pt>
                <c:pt idx="6">
                  <c:v>Horizon Energy </c:v>
                </c:pt>
                <c:pt idx="7">
                  <c:v>Nelson Electricity </c:v>
                </c:pt>
                <c:pt idx="8">
                  <c:v>Network Tasman </c:v>
                </c:pt>
                <c:pt idx="9">
                  <c:v>OtagoNet </c:v>
                </c:pt>
                <c:pt idx="10">
                  <c:v>Powerco </c:v>
                </c:pt>
                <c:pt idx="11">
                  <c:v>The Lines Company</c:v>
                </c:pt>
                <c:pt idx="12">
                  <c:v>Top Energy </c:v>
                </c:pt>
                <c:pt idx="13">
                  <c:v>Unison </c:v>
                </c:pt>
                <c:pt idx="14">
                  <c:v>Vector </c:v>
                </c:pt>
                <c:pt idx="15">
                  <c:v>Wellington Electricity </c:v>
                </c:pt>
              </c:strCache>
            </c:strRef>
          </c:cat>
          <c:val>
            <c:numRef>
              <c:f>'Chart Calculations'!$B$36:$Q$36</c:f>
              <c:numCache>
                <c:formatCode>#,##0</c:formatCode>
                <c:ptCount val="16"/>
                <c:pt idx="0">
                  <c:v>-28662.204116055218</c:v>
                </c:pt>
                <c:pt idx="1">
                  <c:v>-9147.3593520131253</c:v>
                </c:pt>
                <c:pt idx="2">
                  <c:v>-8199.4597890656441</c:v>
                </c:pt>
                <c:pt idx="3">
                  <c:v>-596.35821787463647</c:v>
                </c:pt>
                <c:pt idx="4">
                  <c:v>-7938.950597184652</c:v>
                </c:pt>
                <c:pt idx="5">
                  <c:v>-821.84403667081642</c:v>
                </c:pt>
                <c:pt idx="6">
                  <c:v>2326.5755140264155</c:v>
                </c:pt>
                <c:pt idx="7">
                  <c:v>-1465.4234886240956</c:v>
                </c:pt>
                <c:pt idx="8">
                  <c:v>-6050.8285282364814</c:v>
                </c:pt>
                <c:pt idx="9">
                  <c:v>-9596.1439002734624</c:v>
                </c:pt>
                <c:pt idx="10">
                  <c:v>-13700.761432928964</c:v>
                </c:pt>
                <c:pt idx="11">
                  <c:v>-16737.372170438364</c:v>
                </c:pt>
                <c:pt idx="12">
                  <c:v>-27918.052009603918</c:v>
                </c:pt>
                <c:pt idx="13">
                  <c:v>-22600.538785365206</c:v>
                </c:pt>
                <c:pt idx="14">
                  <c:v>100050.53708586842</c:v>
                </c:pt>
                <c:pt idx="15">
                  <c:v>16048.170468327415</c:v>
                </c:pt>
              </c:numCache>
            </c:numRef>
          </c:val>
        </c:ser>
        <c:gapWidth val="75"/>
        <c:overlap val="-6"/>
        <c:axId val="110566016"/>
        <c:axId val="110543232"/>
      </c:barChart>
      <c:catAx>
        <c:axId val="110566016"/>
        <c:scaling>
          <c:orientation val="maxMin"/>
        </c:scaling>
        <c:delete val="1"/>
        <c:axPos val="l"/>
        <c:majorGridlines/>
        <c:tickLblPos val="none"/>
        <c:crossAx val="110543232"/>
        <c:crosses val="autoZero"/>
        <c:auto val="1"/>
        <c:lblAlgn val="ctr"/>
        <c:lblOffset val="100"/>
      </c:catAx>
      <c:valAx>
        <c:axId val="110543232"/>
        <c:scaling>
          <c:orientation val="minMax"/>
          <c:max val="120000"/>
          <c:min val="-48000"/>
        </c:scaling>
        <c:delete val="1"/>
        <c:axPos val="t"/>
        <c:numFmt formatCode="#,##0" sourceLinked="1"/>
        <c:tickLblPos val="none"/>
        <c:crossAx val="110566016"/>
        <c:crosses val="autoZero"/>
        <c:crossBetween val="between"/>
      </c:valAx>
      <c:spPr>
        <a:solidFill>
          <a:sysClr val="window" lastClr="FFFFFF">
            <a:lumMod val="95000"/>
          </a:sysClr>
        </a:solidFill>
      </c:spPr>
    </c:plotArea>
    <c:plotVisOnly val="1"/>
  </c:chart>
  <c:spPr>
    <a:solidFill>
      <a:schemeClr val="bg1">
        <a:lumMod val="95000"/>
      </a:schemeClr>
    </a:solidFill>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4"/>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5"/>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6"/>
  <sheetViews>
    <sheetView zoomScale="85" workbookViewId="0"/>
  </sheetViews>
  <pageMargins left="0.7" right="0.7" top="0.75" bottom="0.75" header="0.3" footer="0.3"/>
  <drawing r:id="rId1"/>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20810" y="217713"/>
    <xdr:ext cx="9314489" cy="51843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40761" y="1222489"/>
    <xdr:ext cx="9184082" cy="363526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0.01618</cdr:x>
      <cdr:y>0.61912</cdr:y>
    </cdr:from>
    <cdr:to>
      <cdr:x>0.38584</cdr:x>
      <cdr:y>0.89453</cdr:y>
    </cdr:to>
    <cdr:sp macro="" textlink="">
      <cdr:nvSpPr>
        <cdr:cNvPr id="2" name="TextBox 1"/>
        <cdr:cNvSpPr txBox="1"/>
      </cdr:nvSpPr>
      <cdr:spPr>
        <a:xfrm xmlns:a="http://schemas.openxmlformats.org/drawingml/2006/main">
          <a:off x="148639" y="2250676"/>
          <a:ext cx="3394987" cy="100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aseline="0"/>
            <a:t>This chart provides an indication of the price changes that we propose to permit in 2013/14.</a:t>
          </a:r>
          <a:endParaRPr lang="en-NZ" sz="1800"/>
        </a:p>
      </cdr:txBody>
    </cdr:sp>
  </cdr:relSizeAnchor>
  <cdr:relSizeAnchor xmlns:cdr="http://schemas.openxmlformats.org/drawingml/2006/chartDrawing">
    <cdr:from>
      <cdr:x>0.4383</cdr:x>
      <cdr:y>0.62731</cdr:y>
    </cdr:from>
    <cdr:to>
      <cdr:x>0.88304</cdr:x>
      <cdr:y>0.83128</cdr:y>
    </cdr:to>
    <cdr:sp macro="" textlink="">
      <cdr:nvSpPr>
        <cdr:cNvPr id="3" name="TextBox 1"/>
        <cdr:cNvSpPr txBox="1"/>
      </cdr:nvSpPr>
      <cdr:spPr>
        <a:xfrm xmlns:a="http://schemas.openxmlformats.org/drawingml/2006/main">
          <a:off x="4025383" y="2280435"/>
          <a:ext cx="4084529" cy="741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200"/>
            <a:t>These figures may</a:t>
          </a:r>
          <a:r>
            <a:rPr lang="en-NZ" sz="1200" baseline="0"/>
            <a:t> change following </a:t>
          </a:r>
          <a:r>
            <a:rPr lang="en-NZ" sz="1200"/>
            <a:t>consultation</a:t>
          </a:r>
          <a:r>
            <a:rPr lang="en-NZ" sz="1200" baseline="0"/>
            <a:t>.</a:t>
          </a:r>
          <a:endParaRPr lang="en-NZ" sz="1200"/>
        </a:p>
      </cdr:txBody>
    </cdr:sp>
  </cdr:relSizeAnchor>
</c:userShapes>
</file>

<file path=xl/drawings/drawing4.xml><?xml version="1.0" encoding="utf-8"?>
<xdr:wsDr xmlns:xdr="http://schemas.openxmlformats.org/drawingml/2006/spreadsheetDrawing" xmlns:a="http://schemas.openxmlformats.org/drawingml/2006/main">
  <xdr:absoluteAnchor>
    <xdr:pos x="0" y="381000"/>
    <xdr:ext cx="9309554" cy="53884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xdr:colOff>
      <xdr:row>4</xdr:row>
      <xdr:rowOff>1</xdr:rowOff>
    </xdr:from>
    <xdr:to>
      <xdr:col>11</xdr:col>
      <xdr:colOff>0</xdr:colOff>
      <xdr:row>5</xdr:row>
      <xdr:rowOff>0</xdr:rowOff>
    </xdr:to>
    <xdr:sp macro="" textlink="">
      <xdr:nvSpPr>
        <xdr:cNvPr id="2" name="Left Brace 1"/>
        <xdr:cNvSpPr/>
      </xdr:nvSpPr>
      <xdr:spPr>
        <a:xfrm rot="5400000">
          <a:off x="7243763" y="-1643061"/>
          <a:ext cx="190499" cy="5419724"/>
        </a:xfrm>
        <a:prstGeom prst="leftBrace">
          <a:avLst>
            <a:gd name="adj1" fmla="val 8333"/>
            <a:gd name="adj2" fmla="val 49777"/>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nks%20-%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A%20Information%20-%20EDB%20reset%20Aug%202012/S53-1%20-%20March%202011/Consolidated%20SPA%20Data%20Values%20March%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B%20DPP%20projections%20model%20v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IM SPA - Inputs"/>
      <sheetName val="CP rev - Input"/>
      <sheetName val="Opex - Input"/>
      <sheetName val="Capex - Input"/>
      <sheetName val="Amendments to disclosed Info"/>
    </sheetNames>
    <sheetDataSet>
      <sheetData sheetId="0">
        <row r="4">
          <cell r="C4">
            <v>8.77E-2</v>
          </cell>
        </row>
        <row r="5">
          <cell r="C5">
            <v>7.9299999999999995E-2</v>
          </cell>
        </row>
        <row r="6">
          <cell r="C6">
            <v>0.44</v>
          </cell>
        </row>
        <row r="7">
          <cell r="C7">
            <v>45</v>
          </cell>
        </row>
        <row r="9">
          <cell r="C9">
            <v>0</v>
          </cell>
        </row>
        <row r="13">
          <cell r="D13">
            <v>0.3</v>
          </cell>
          <cell r="E13">
            <v>0.3</v>
          </cell>
          <cell r="F13">
            <v>0.28000000000000003</v>
          </cell>
          <cell r="G13">
            <v>0.28000000000000003</v>
          </cell>
          <cell r="H13">
            <v>0.28000000000000003</v>
          </cell>
          <cell r="I13">
            <v>0.28000000000000003</v>
          </cell>
        </row>
        <row r="29">
          <cell r="D29">
            <v>33162.997000000003</v>
          </cell>
          <cell r="E29">
            <v>72951</v>
          </cell>
          <cell r="F29">
            <v>8632</v>
          </cell>
          <cell r="G29">
            <v>27635</v>
          </cell>
          <cell r="H29">
            <v>27831</v>
          </cell>
          <cell r="I29">
            <v>15340</v>
          </cell>
          <cell r="J29">
            <v>26990.754619999992</v>
          </cell>
          <cell r="K29">
            <v>8325.509</v>
          </cell>
          <cell r="L29">
            <v>35470.417659999999</v>
          </cell>
          <cell r="M29">
            <v>25337</v>
          </cell>
          <cell r="N29">
            <v>291865.93942000007</v>
          </cell>
          <cell r="O29">
            <v>29064.045499999997</v>
          </cell>
          <cell r="P29">
            <v>27054</v>
          </cell>
          <cell r="Q29">
            <v>103734.355</v>
          </cell>
          <cell r="R29">
            <v>529065</v>
          </cell>
          <cell r="S29">
            <v>147271.85386999999</v>
          </cell>
        </row>
        <row r="30">
          <cell r="D30">
            <v>169.797</v>
          </cell>
          <cell r="E30">
            <v>859</v>
          </cell>
          <cell r="F30">
            <v>63</v>
          </cell>
          <cell r="G30">
            <v>112</v>
          </cell>
          <cell r="H30">
            <v>308</v>
          </cell>
          <cell r="I30">
            <v>124</v>
          </cell>
          <cell r="J30">
            <v>236.06738000000001</v>
          </cell>
          <cell r="K30">
            <v>60</v>
          </cell>
          <cell r="L30">
            <v>171</v>
          </cell>
          <cell r="M30">
            <v>164</v>
          </cell>
          <cell r="N30">
            <v>2010.0115150000001</v>
          </cell>
          <cell r="O30">
            <v>5359.9546</v>
          </cell>
          <cell r="P30">
            <v>437</v>
          </cell>
          <cell r="Q30">
            <v>449.51900000000001</v>
          </cell>
          <cell r="R30">
            <v>5071</v>
          </cell>
          <cell r="S30">
            <v>2284.5643799999998</v>
          </cell>
        </row>
        <row r="31">
          <cell r="D31">
            <v>9726.8340000000007</v>
          </cell>
          <cell r="E31">
            <v>20979</v>
          </cell>
          <cell r="F31">
            <v>2257</v>
          </cell>
          <cell r="G31">
            <v>8729</v>
          </cell>
          <cell r="H31">
            <v>4818</v>
          </cell>
          <cell r="I31">
            <v>4032</v>
          </cell>
          <cell r="J31">
            <v>7324.3069699999996</v>
          </cell>
          <cell r="K31">
            <v>2479</v>
          </cell>
          <cell r="L31">
            <v>12369.402769999999</v>
          </cell>
          <cell r="M31">
            <v>5924</v>
          </cell>
          <cell r="N31">
            <v>70937.882310463596</v>
          </cell>
          <cell r="O31">
            <v>0</v>
          </cell>
          <cell r="P31">
            <v>5208</v>
          </cell>
          <cell r="Q31">
            <v>26374.566999999999</v>
          </cell>
          <cell r="R31">
            <v>144726</v>
          </cell>
          <cell r="S31">
            <v>44486.802360000001</v>
          </cell>
        </row>
        <row r="32">
          <cell r="D32">
            <v>127657.81424323402</v>
          </cell>
          <cell r="E32">
            <v>278819</v>
          </cell>
          <cell r="F32">
            <v>42857</v>
          </cell>
          <cell r="G32">
            <v>113965</v>
          </cell>
          <cell r="H32">
            <v>158439</v>
          </cell>
          <cell r="I32">
            <v>56516</v>
          </cell>
          <cell r="J32">
            <v>96926.546310644975</v>
          </cell>
          <cell r="K32">
            <v>27046.149182690173</v>
          </cell>
          <cell r="L32">
            <v>149225.17999136192</v>
          </cell>
          <cell r="M32">
            <v>131086</v>
          </cell>
          <cell r="N32">
            <v>1275729</v>
          </cell>
          <cell r="O32">
            <v>168425.5917478186</v>
          </cell>
          <cell r="P32">
            <v>137423.16468491277</v>
          </cell>
          <cell r="Q32">
            <v>425167.66445999703</v>
          </cell>
          <cell r="R32">
            <v>2274933</v>
          </cell>
          <cell r="S32">
            <v>528459.12843431695</v>
          </cell>
        </row>
        <row r="33">
          <cell r="D33">
            <v>7644.3481344924612</v>
          </cell>
          <cell r="E33">
            <v>7786</v>
          </cell>
          <cell r="F33">
            <v>2022.9880000000001</v>
          </cell>
          <cell r="G33">
            <v>4225</v>
          </cell>
          <cell r="H33">
            <v>5894</v>
          </cell>
          <cell r="I33">
            <v>2293</v>
          </cell>
          <cell r="J33">
            <v>3449.2997150440096</v>
          </cell>
          <cell r="K33">
            <v>1084.6002031156527</v>
          </cell>
          <cell r="L33">
            <v>6387.6247468541751</v>
          </cell>
          <cell r="M33">
            <v>6279</v>
          </cell>
          <cell r="N33">
            <v>52422</v>
          </cell>
          <cell r="O33">
            <v>5635.3221811466228</v>
          </cell>
          <cell r="P33">
            <v>5234</v>
          </cell>
          <cell r="Q33">
            <v>16299.4722399277</v>
          </cell>
          <cell r="R33">
            <v>76603</v>
          </cell>
          <cell r="S33">
            <v>25343.756747688079</v>
          </cell>
        </row>
        <row r="34">
          <cell r="D34">
            <v>53.023000000000003</v>
          </cell>
          <cell r="E34">
            <v>452</v>
          </cell>
          <cell r="F34">
            <v>0</v>
          </cell>
          <cell r="G34">
            <v>259</v>
          </cell>
          <cell r="H34">
            <v>0</v>
          </cell>
          <cell r="I34">
            <v>25</v>
          </cell>
          <cell r="J34">
            <v>71.185678717912296</v>
          </cell>
          <cell r="K34">
            <v>0</v>
          </cell>
          <cell r="L34">
            <v>0</v>
          </cell>
          <cell r="M34">
            <v>0</v>
          </cell>
          <cell r="N34">
            <v>11055</v>
          </cell>
          <cell r="O34">
            <v>168.12794537129605</v>
          </cell>
          <cell r="P34">
            <v>29</v>
          </cell>
          <cell r="Q34">
            <v>871.83328869499996</v>
          </cell>
          <cell r="R34">
            <v>8957</v>
          </cell>
          <cell r="S34">
            <v>17</v>
          </cell>
        </row>
        <row r="35">
          <cell r="D35">
            <v>0</v>
          </cell>
          <cell r="E35">
            <v>0</v>
          </cell>
          <cell r="F35">
            <v>772</v>
          </cell>
          <cell r="G35">
            <v>0</v>
          </cell>
          <cell r="H35">
            <v>3021</v>
          </cell>
          <cell r="I35">
            <v>0</v>
          </cell>
          <cell r="J35">
            <v>0</v>
          </cell>
          <cell r="K35">
            <v>0</v>
          </cell>
          <cell r="L35">
            <v>6080.5233600000001</v>
          </cell>
          <cell r="M35">
            <v>0</v>
          </cell>
          <cell r="N35">
            <v>0</v>
          </cell>
          <cell r="O35">
            <v>0</v>
          </cell>
          <cell r="P35">
            <v>0</v>
          </cell>
          <cell r="Q35">
            <v>0</v>
          </cell>
          <cell r="R35">
            <v>0</v>
          </cell>
          <cell r="S35">
            <v>0</v>
          </cell>
        </row>
        <row r="36">
          <cell r="D36">
            <v>6432</v>
          </cell>
          <cell r="E36">
            <v>13769</v>
          </cell>
          <cell r="F36">
            <v>1623</v>
          </cell>
          <cell r="G36">
            <v>5625</v>
          </cell>
          <cell r="H36">
            <v>7099</v>
          </cell>
          <cell r="I36">
            <v>2348</v>
          </cell>
          <cell r="J36">
            <v>2561.6080000000002</v>
          </cell>
          <cell r="K36">
            <v>608</v>
          </cell>
          <cell r="L36">
            <v>3793.4187615999958</v>
          </cell>
          <cell r="M36">
            <v>7144</v>
          </cell>
          <cell r="N36">
            <v>59202</v>
          </cell>
          <cell r="O36">
            <v>4851.8784151308691</v>
          </cell>
          <cell r="P36">
            <v>3774</v>
          </cell>
          <cell r="Q36">
            <v>23479</v>
          </cell>
          <cell r="R36">
            <v>82690</v>
          </cell>
          <cell r="S36">
            <v>34488.45398000002</v>
          </cell>
        </row>
        <row r="37">
          <cell r="D37">
            <v>60952</v>
          </cell>
          <cell r="E37">
            <v>150682</v>
          </cell>
          <cell r="F37">
            <v>16845.659</v>
          </cell>
          <cell r="G37">
            <v>58604</v>
          </cell>
          <cell r="H37">
            <v>72983</v>
          </cell>
          <cell r="I37">
            <v>22665</v>
          </cell>
          <cell r="J37">
            <v>22714.435600000001</v>
          </cell>
          <cell r="K37">
            <v>6448</v>
          </cell>
          <cell r="L37">
            <v>41922.555983600039</v>
          </cell>
          <cell r="M37">
            <v>88066</v>
          </cell>
          <cell r="N37">
            <v>930383</v>
          </cell>
          <cell r="O37">
            <v>39460.43495739979</v>
          </cell>
          <cell r="P37">
            <v>45374</v>
          </cell>
          <cell r="Q37">
            <v>268092.72069799999</v>
          </cell>
          <cell r="R37">
            <v>847206</v>
          </cell>
          <cell r="S37">
            <v>394459.92603999993</v>
          </cell>
        </row>
        <row r="38">
          <cell r="D38">
            <v>34.249324233102719</v>
          </cell>
          <cell r="E38">
            <v>26.99</v>
          </cell>
          <cell r="F38">
            <v>26.827782749565365</v>
          </cell>
          <cell r="G38">
            <v>34</v>
          </cell>
          <cell r="H38">
            <v>34.266512471402784</v>
          </cell>
          <cell r="I38">
            <v>24</v>
          </cell>
          <cell r="J38">
            <v>24.012771452138832</v>
          </cell>
          <cell r="K38">
            <v>31.242014055559167</v>
          </cell>
          <cell r="L38">
            <v>32.956331175965794</v>
          </cell>
          <cell r="M38">
            <v>22.41</v>
          </cell>
          <cell r="N38">
            <v>26</v>
          </cell>
          <cell r="O38">
            <v>13.914429999999996</v>
          </cell>
          <cell r="P38">
            <v>26</v>
          </cell>
          <cell r="Q38">
            <v>27.63</v>
          </cell>
          <cell r="R38">
            <v>39.85</v>
          </cell>
          <cell r="S38">
            <v>24</v>
          </cell>
        </row>
        <row r="39">
          <cell r="D39">
            <v>0</v>
          </cell>
          <cell r="E39">
            <v>9.5059008825002653</v>
          </cell>
          <cell r="F39">
            <v>0</v>
          </cell>
          <cell r="G39">
            <v>0</v>
          </cell>
          <cell r="H39">
            <v>0</v>
          </cell>
          <cell r="I39">
            <v>0</v>
          </cell>
          <cell r="J39">
            <v>0</v>
          </cell>
          <cell r="K39">
            <v>0</v>
          </cell>
          <cell r="L39">
            <v>0</v>
          </cell>
          <cell r="M39">
            <v>0</v>
          </cell>
          <cell r="N39">
            <v>-10.039366107301596</v>
          </cell>
          <cell r="O39">
            <v>-1.651543680297396</v>
          </cell>
          <cell r="P39">
            <v>0</v>
          </cell>
          <cell r="Q39">
            <v>0</v>
          </cell>
          <cell r="R39">
            <v>478.96003197862365</v>
          </cell>
          <cell r="S39">
            <v>0</v>
          </cell>
        </row>
        <row r="42">
          <cell r="D42">
            <v>10160.846</v>
          </cell>
          <cell r="E42">
            <v>19106</v>
          </cell>
          <cell r="F42">
            <v>2559</v>
          </cell>
          <cell r="G42">
            <v>5979</v>
          </cell>
          <cell r="H42">
            <v>6009</v>
          </cell>
          <cell r="I42">
            <v>4402</v>
          </cell>
          <cell r="J42">
            <v>6609.8113000000012</v>
          </cell>
          <cell r="K42">
            <v>2092.9300000000003</v>
          </cell>
          <cell r="L42">
            <v>7258.5558799999999</v>
          </cell>
          <cell r="M42">
            <v>4855</v>
          </cell>
          <cell r="N42">
            <v>65350.154551183638</v>
          </cell>
          <cell r="O42">
            <v>8265.6569168820151</v>
          </cell>
          <cell r="P42">
            <v>11132.692409059506</v>
          </cell>
          <cell r="Q42">
            <v>26102.297999999999</v>
          </cell>
          <cell r="R42">
            <v>102194</v>
          </cell>
          <cell r="S42">
            <v>28899.090320000003</v>
          </cell>
        </row>
        <row r="43">
          <cell r="D43">
            <v>6.1865778081198419</v>
          </cell>
          <cell r="E43">
            <v>601.36555605184185</v>
          </cell>
          <cell r="F43">
            <v>23.558760919341299</v>
          </cell>
          <cell r="G43">
            <v>367.85431128559418</v>
          </cell>
          <cell r="H43">
            <v>446.21476147772501</v>
          </cell>
          <cell r="I43">
            <v>85.332655930474175</v>
          </cell>
          <cell r="J43">
            <v>103.27388907865001</v>
          </cell>
          <cell r="K43">
            <v>0</v>
          </cell>
          <cell r="L43">
            <v>288.34864584099455</v>
          </cell>
          <cell r="M43">
            <v>304.0805752321744</v>
          </cell>
          <cell r="N43">
            <v>77.67070145448487</v>
          </cell>
          <cell r="O43">
            <v>42.936383973436293</v>
          </cell>
          <cell r="P43">
            <v>0</v>
          </cell>
          <cell r="Q43">
            <v>276.78451291306197</v>
          </cell>
          <cell r="R43">
            <v>10557.887455630274</v>
          </cell>
          <cell r="S43">
            <v>438.91760055736785</v>
          </cell>
        </row>
      </sheetData>
      <sheetData sheetId="1">
        <row r="7">
          <cell r="C7">
            <v>0.52</v>
          </cell>
        </row>
      </sheetData>
      <sheetData sheetId="2">
        <row r="6">
          <cell r="C6">
            <v>3.87214137214138E-2</v>
          </cell>
        </row>
      </sheetData>
      <sheetData sheetId="3">
        <row r="8">
          <cell r="D8">
            <v>11645.404999999999</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s>
    <sheetDataSet>
      <sheetData sheetId="0">
        <row r="7">
          <cell r="C7">
            <v>3.2290000000000001</v>
          </cell>
          <cell r="D7">
            <v>598</v>
          </cell>
          <cell r="E7">
            <v>238.18700000000001</v>
          </cell>
          <cell r="F7">
            <v>770</v>
          </cell>
          <cell r="G7">
            <v>409</v>
          </cell>
          <cell r="H7">
            <v>86</v>
          </cell>
          <cell r="I7">
            <v>179.54264999999998</v>
          </cell>
          <cell r="J7">
            <v>0</v>
          </cell>
          <cell r="K7">
            <v>278.37527999999998</v>
          </cell>
          <cell r="L7">
            <v>317</v>
          </cell>
          <cell r="M7">
            <v>116.02423579999999</v>
          </cell>
          <cell r="N7">
            <v>0</v>
          </cell>
          <cell r="O7">
            <v>0</v>
          </cell>
          <cell r="P7">
            <v>451.71499999999997</v>
          </cell>
          <cell r="Q7">
            <v>13124</v>
          </cell>
          <cell r="R7">
            <v>469.16094000000038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Output"/>
      <sheetName val="CP rev"/>
      <sheetName val="Opex"/>
      <sheetName val="Capex"/>
    </sheetNames>
    <sheetDataSet>
      <sheetData sheetId="0" refreshError="1"/>
      <sheetData sheetId="1">
        <row r="6">
          <cell r="B6">
            <v>-1.9358131811653702E-3</v>
          </cell>
          <cell r="C6">
            <v>2.2829016416224663E-2</v>
          </cell>
          <cell r="D6">
            <v>6.1569151502346708E-3</v>
          </cell>
          <cell r="E6">
            <v>6.867196597968939E-3</v>
          </cell>
          <cell r="F6">
            <v>-5.5852530840428804E-3</v>
          </cell>
          <cell r="G6">
            <v>-3.0965104984691911E-3</v>
          </cell>
          <cell r="H6">
            <v>2.7722212322185513E-3</v>
          </cell>
          <cell r="I6">
            <v>9.1251032544817402E-3</v>
          </cell>
          <cell r="J6">
            <v>9.6523513182640262E-3</v>
          </cell>
          <cell r="K6">
            <v>8.9442842320783516E-3</v>
          </cell>
          <cell r="L6">
            <v>4.9951122484641324E-3</v>
          </cell>
          <cell r="M6">
            <v>1.1749948577632382E-3</v>
          </cell>
          <cell r="N6">
            <v>1.1332448368492863E-3</v>
          </cell>
          <cell r="O6">
            <v>7.2447645028497947E-3</v>
          </cell>
          <cell r="P6">
            <v>1.7928077816185075E-2</v>
          </cell>
          <cell r="Q6">
            <v>2.7180130640251446E-3</v>
          </cell>
        </row>
        <row r="7">
          <cell r="B7">
            <v>1.0593420389675642E-2</v>
          </cell>
          <cell r="C7">
            <v>-3.5616863500501056E-2</v>
          </cell>
          <cell r="D7">
            <v>-1.7221490488552354E-2</v>
          </cell>
          <cell r="E7">
            <v>-1.7611340750710937E-2</v>
          </cell>
          <cell r="F7">
            <v>3.0864154091714838E-2</v>
          </cell>
          <cell r="G7">
            <v>-2.1639005428887267E-4</v>
          </cell>
          <cell r="H7">
            <v>-1.2982590241251743E-2</v>
          </cell>
          <cell r="I7">
            <v>-4.736700078992088E-3</v>
          </cell>
          <cell r="J7">
            <v>-3.620324520162678E-3</v>
          </cell>
          <cell r="K7">
            <v>-2.0207764359848047E-2</v>
          </cell>
          <cell r="L7">
            <v>1.7047606429248692E-3</v>
          </cell>
          <cell r="M7">
            <v>-8.0534829636515707E-3</v>
          </cell>
          <cell r="N7">
            <v>2.2074634811314283E-3</v>
          </cell>
          <cell r="O7">
            <v>-1.2913154271305476E-2</v>
          </cell>
          <cell r="P7">
            <v>1.7232034080132973E-2</v>
          </cell>
          <cell r="Q7">
            <v>1.1376156500903392E-2</v>
          </cell>
        </row>
        <row r="8">
          <cell r="B8">
            <v>3.7387962908738233E-3</v>
          </cell>
          <cell r="C8">
            <v>2.3863732238332399E-3</v>
          </cell>
          <cell r="D8">
            <v>1.7777998598412872E-3</v>
          </cell>
          <cell r="E8">
            <v>2.2820106427631727E-3</v>
          </cell>
          <cell r="F8">
            <v>1.0923031324600676E-2</v>
          </cell>
          <cell r="G8">
            <v>4.3463072134527147E-4</v>
          </cell>
          <cell r="H8">
            <v>2.9853809306483628E-3</v>
          </cell>
          <cell r="I8">
            <v>1.2151984029714624E-2</v>
          </cell>
          <cell r="J8">
            <v>1.2550589474205589E-2</v>
          </cell>
          <cell r="K8">
            <v>-1.2522416571907728E-3</v>
          </cell>
          <cell r="L8">
            <v>6.7118735139941078E-3</v>
          </cell>
          <cell r="M8">
            <v>3.3986784083851265E-3</v>
          </cell>
          <cell r="N8">
            <v>4.6761328409900653E-3</v>
          </cell>
          <cell r="O8">
            <v>4.5546603195417276E-3</v>
          </cell>
          <cell r="P8">
            <v>1.5428493374154801E-2</v>
          </cell>
          <cell r="Q8">
            <v>7.181901300250846E-3</v>
          </cell>
        </row>
        <row r="9">
          <cell r="B9">
            <v>4.3442682126310752E-3</v>
          </cell>
          <cell r="C9">
            <v>3.5938071562825582E-3</v>
          </cell>
          <cell r="D9">
            <v>1.5755492378383821E-3</v>
          </cell>
          <cell r="E9">
            <v>2.0702425914689475E-3</v>
          </cell>
          <cell r="F9">
            <v>1.2684439353658374E-2</v>
          </cell>
          <cell r="G9">
            <v>3.8467676369052605E-4</v>
          </cell>
          <cell r="H9">
            <v>3.3843711906939721E-3</v>
          </cell>
          <cell r="I9">
            <v>6.1771497413273908E-3</v>
          </cell>
          <cell r="J9">
            <v>6.8296860109036588E-3</v>
          </cell>
          <cell r="K9">
            <v>-6.4998923631088439E-4</v>
          </cell>
          <cell r="L9">
            <v>5.7396903470496334E-3</v>
          </cell>
          <cell r="M9">
            <v>3.221823687710641E-4</v>
          </cell>
          <cell r="N9">
            <v>3.5536954567734627E-3</v>
          </cell>
          <cell r="O9">
            <v>4.3112899384150551E-3</v>
          </cell>
          <cell r="P9">
            <v>1.4369317373142673E-2</v>
          </cell>
          <cell r="Q9">
            <v>7.3000442250989051E-3</v>
          </cell>
        </row>
        <row r="10">
          <cell r="B10">
            <v>4.5424149240163728E-3</v>
          </cell>
          <cell r="C10">
            <v>4.0024430312851885E-3</v>
          </cell>
          <cell r="D10">
            <v>2.2772942000778263E-3</v>
          </cell>
          <cell r="E10">
            <v>2.8050099889054408E-3</v>
          </cell>
          <cell r="F10">
            <v>1.3260877658761759E-2</v>
          </cell>
          <cell r="G10">
            <v>6.4373160745747661E-4</v>
          </cell>
          <cell r="H10">
            <v>4.0443940394748103E-3</v>
          </cell>
          <cell r="I10">
            <v>7.0185246838569033E-3</v>
          </cell>
          <cell r="J10">
            <v>7.6353024665780844E-3</v>
          </cell>
          <cell r="K10">
            <v>-4.4616694975357376E-4</v>
          </cell>
          <cell r="L10">
            <v>6.0759783130413325E-3</v>
          </cell>
          <cell r="M10">
            <v>8.0343321717298998E-4</v>
          </cell>
          <cell r="N10">
            <v>3.7427897729352096E-3</v>
          </cell>
          <cell r="O10">
            <v>4.9742770689090851E-3</v>
          </cell>
          <cell r="P10">
            <v>1.476912324876898E-2</v>
          </cell>
          <cell r="Q10">
            <v>7.6118973962612749E-3</v>
          </cell>
        </row>
        <row r="14">
          <cell r="B14">
            <v>10572.036549673365</v>
          </cell>
          <cell r="C14">
            <v>19891.659413721864</v>
          </cell>
          <cell r="D14">
            <v>2650.2954923736065</v>
          </cell>
          <cell r="E14">
            <v>6141.2910984299133</v>
          </cell>
          <cell r="F14">
            <v>6203.1321605401299</v>
          </cell>
          <cell r="G14">
            <v>4490.1242661749829</v>
          </cell>
          <cell r="H14">
            <v>6776.4391822280313</v>
          </cell>
          <cell r="I14">
            <v>2160.1682791294652</v>
          </cell>
          <cell r="J14">
            <v>7484.3299427154088</v>
          </cell>
          <cell r="K14">
            <v>4990.9326075642084</v>
          </cell>
          <cell r="L14">
            <v>67292.071282502759</v>
          </cell>
          <cell r="M14">
            <v>8510.6887582750405</v>
          </cell>
          <cell r="N14">
            <v>11471.952806665466</v>
          </cell>
          <cell r="O14">
            <v>26634.800824492308</v>
          </cell>
          <cell r="P14">
            <v>105512.33161010731</v>
          </cell>
          <cell r="Q14">
            <v>29685.821539852124</v>
          </cell>
        </row>
        <row r="15">
          <cell r="B15">
            <v>10971.408348292531</v>
          </cell>
          <cell r="C15">
            <v>20597.478172211682</v>
          </cell>
          <cell r="D15">
            <v>2745.0028593141055</v>
          </cell>
          <cell r="E15">
            <v>6293.2100207806789</v>
          </cell>
          <cell r="F15">
            <v>6457.5707116271751</v>
          </cell>
          <cell r="G15">
            <v>4596.6228668505701</v>
          </cell>
          <cell r="H15">
            <v>6972.2674995273801</v>
          </cell>
          <cell r="I15">
            <v>2258.5534185409369</v>
          </cell>
          <cell r="J15">
            <v>7734.4514747602188</v>
          </cell>
          <cell r="K15">
            <v>5149.4058387456189</v>
          </cell>
          <cell r="L15">
            <v>69484.923650591532</v>
          </cell>
          <cell r="M15">
            <v>8766.1873986952887</v>
          </cell>
          <cell r="N15">
            <v>11847.434938917511</v>
          </cell>
          <cell r="O15">
            <v>27506.707306543209</v>
          </cell>
          <cell r="P15">
            <v>109789.38825216993</v>
          </cell>
          <cell r="Q15">
            <v>30967.026860982642</v>
          </cell>
        </row>
        <row r="16">
          <cell r="B16">
            <v>11354.262142038775</v>
          </cell>
          <cell r="C16">
            <v>21328.462699784573</v>
          </cell>
          <cell r="D16">
            <v>2853.8675330171586</v>
          </cell>
          <cell r="E16">
            <v>6443.4531760480322</v>
          </cell>
          <cell r="F16">
            <v>6694.9344069643321</v>
          </cell>
          <cell r="G16">
            <v>4695.3299964435855</v>
          </cell>
          <cell r="H16">
            <v>7132.7051871942531</v>
          </cell>
          <cell r="I16">
            <v>2333.9574369645511</v>
          </cell>
          <cell r="J16">
            <v>7972.9790268414881</v>
          </cell>
          <cell r="K16">
            <v>5283.6425668126813</v>
          </cell>
          <cell r="L16">
            <v>71429.297485812538</v>
          </cell>
          <cell r="M16">
            <v>9008.28553059773</v>
          </cell>
          <cell r="N16">
            <v>12187.309976863842</v>
          </cell>
          <cell r="O16">
            <v>28755.695541235458</v>
          </cell>
          <cell r="P16">
            <v>113635.01445818858</v>
          </cell>
          <cell r="Q16">
            <v>31948.439870582388</v>
          </cell>
        </row>
        <row r="17">
          <cell r="B17">
            <v>11767.370148651833</v>
          </cell>
          <cell r="C17">
            <v>22111.51585626309</v>
          </cell>
          <cell r="D17">
            <v>2955.4071073712107</v>
          </cell>
          <cell r="E17">
            <v>6605.9117602858123</v>
          </cell>
          <cell r="F17">
            <v>6913.6151109891634</v>
          </cell>
          <cell r="G17">
            <v>4791.962000113981</v>
          </cell>
          <cell r="H17">
            <v>7293.537184293551</v>
          </cell>
          <cell r="I17">
            <v>2421.060389412693</v>
          </cell>
          <cell r="J17">
            <v>8214.4114583558749</v>
          </cell>
          <cell r="K17">
            <v>5422.5419919285596</v>
          </cell>
          <cell r="L17">
            <v>73421.724292230138</v>
          </cell>
          <cell r="M17">
            <v>9264.4242256025245</v>
          </cell>
          <cell r="N17">
            <v>12551.230397802448</v>
          </cell>
          <cell r="O17">
            <v>29512.184230097246</v>
          </cell>
          <cell r="P17">
            <v>117376.25241540952</v>
          </cell>
          <cell r="Q17">
            <v>32974.433634800211</v>
          </cell>
        </row>
        <row r="18">
          <cell r="B18">
            <v>12200.430558550508</v>
          </cell>
          <cell r="C18">
            <v>22928.015389831518</v>
          </cell>
          <cell r="D18">
            <v>3058.6629907932675</v>
          </cell>
          <cell r="E18">
            <v>6775.86972251306</v>
          </cell>
          <cell r="F18">
            <v>7152.6297332149634</v>
          </cell>
          <cell r="G18">
            <v>4887.4320341829361</v>
          </cell>
          <cell r="H18">
            <v>7461.6545452404434</v>
          </cell>
          <cell r="I18">
            <v>2494.5688105225036</v>
          </cell>
          <cell r="J18">
            <v>8461.7563853807715</v>
          </cell>
          <cell r="K18">
            <v>5560.0096270061176</v>
          </cell>
          <cell r="L18">
            <v>75572.898016814856</v>
          </cell>
          <cell r="M18">
            <v>9532.1902983299169</v>
          </cell>
          <cell r="N18">
            <v>12931.234335586736</v>
          </cell>
          <cell r="O18">
            <v>30180.818517551801</v>
          </cell>
          <cell r="P18">
            <v>121268.45135062622</v>
          </cell>
          <cell r="Q18">
            <v>34099.465461563428</v>
          </cell>
        </row>
        <row r="22">
          <cell r="B22">
            <v>11863.404999999999</v>
          </cell>
          <cell r="C22">
            <v>21698</v>
          </cell>
          <cell r="D22">
            <v>5196.4477699999998</v>
          </cell>
          <cell r="E22">
            <v>5000</v>
          </cell>
          <cell r="F22">
            <v>13673</v>
          </cell>
          <cell r="G22">
            <v>2778</v>
          </cell>
          <cell r="H22">
            <v>3547.2054899999953</v>
          </cell>
          <cell r="I22">
            <v>1524.37</v>
          </cell>
          <cell r="J22">
            <v>4090.9649899999999</v>
          </cell>
          <cell r="K22">
            <v>6426</v>
          </cell>
          <cell r="L22">
            <v>82580.928381200007</v>
          </cell>
          <cell r="M22">
            <v>7234</v>
          </cell>
          <cell r="N22">
            <v>8110</v>
          </cell>
          <cell r="O22">
            <v>36417.770770000003</v>
          </cell>
          <cell r="P22">
            <v>115662</v>
          </cell>
          <cell r="Q22">
            <v>37021.900809999999</v>
          </cell>
        </row>
        <row r="23">
          <cell r="B23">
            <v>24124.947971751648</v>
          </cell>
          <cell r="C23">
            <v>23991.643730886852</v>
          </cell>
          <cell r="D23">
            <v>6117.2002286057868</v>
          </cell>
          <cell r="E23">
            <v>5506.8481688049496</v>
          </cell>
          <cell r="F23">
            <v>13327.149412911116</v>
          </cell>
          <cell r="G23">
            <v>4116.0584580038158</v>
          </cell>
          <cell r="H23">
            <v>6384.8714333097014</v>
          </cell>
          <cell r="I23">
            <v>6215.9612810442241</v>
          </cell>
          <cell r="J23">
            <v>8697.5539292101366</v>
          </cell>
          <cell r="K23">
            <v>10627.027745571009</v>
          </cell>
          <cell r="L23">
            <v>87020.03029576737</v>
          </cell>
          <cell r="M23">
            <v>8473.0157223198967</v>
          </cell>
          <cell r="N23">
            <v>15549.171556820065</v>
          </cell>
          <cell r="O23">
            <v>43246.822270499397</v>
          </cell>
          <cell r="P23">
            <v>138674.79633970806</v>
          </cell>
          <cell r="Q23">
            <v>31216.187224129906</v>
          </cell>
        </row>
        <row r="24">
          <cell r="B24">
            <v>22265.089313342458</v>
          </cell>
          <cell r="C24">
            <v>26258.990825688074</v>
          </cell>
          <cell r="D24">
            <v>3469.8176344048338</v>
          </cell>
          <cell r="E24">
            <v>5913.3770206574563</v>
          </cell>
          <cell r="F24">
            <v>16967.952970960723</v>
          </cell>
          <cell r="G24">
            <v>3648.6360515759643</v>
          </cell>
          <cell r="H24">
            <v>6560.6285890806821</v>
          </cell>
          <cell r="I24">
            <v>6391.0160258243131</v>
          </cell>
          <cell r="J24">
            <v>7656.8983850775576</v>
          </cell>
          <cell r="K24">
            <v>10666.110240379299</v>
          </cell>
          <cell r="L24">
            <v>91054.977026101071</v>
          </cell>
          <cell r="M24">
            <v>8052.654852466866</v>
          </cell>
          <cell r="N24">
            <v>17591.777688912756</v>
          </cell>
          <cell r="O24">
            <v>51812.004939191007</v>
          </cell>
          <cell r="P24">
            <v>151242.20518934392</v>
          </cell>
          <cell r="Q24">
            <v>34529.031148324226</v>
          </cell>
        </row>
        <row r="25">
          <cell r="B25">
            <v>29491.695070671394</v>
          </cell>
          <cell r="C25">
            <v>22977.831038428056</v>
          </cell>
          <cell r="D25">
            <v>4280.9032606982018</v>
          </cell>
          <cell r="E25">
            <v>5932.4281807107036</v>
          </cell>
          <cell r="F25">
            <v>10488.661082394203</v>
          </cell>
          <cell r="G25">
            <v>3585.7749891919098</v>
          </cell>
          <cell r="H25">
            <v>6145.0630001375293</v>
          </cell>
          <cell r="I25">
            <v>1914.5304280239588</v>
          </cell>
          <cell r="J25">
            <v>6421.5812734771134</v>
          </cell>
          <cell r="K25">
            <v>11176.57898605604</v>
          </cell>
          <cell r="L25">
            <v>95752.81949977162</v>
          </cell>
          <cell r="M25">
            <v>8513.5401968799943</v>
          </cell>
          <cell r="N25">
            <v>16866.933448347052</v>
          </cell>
          <cell r="O25">
            <v>47773.372816136514</v>
          </cell>
          <cell r="P25">
            <v>161846.54647854812</v>
          </cell>
          <cell r="Q25">
            <v>37586.697974027076</v>
          </cell>
        </row>
        <row r="26">
          <cell r="B26">
            <v>20332.084526793067</v>
          </cell>
          <cell r="C26">
            <v>27042.31697382373</v>
          </cell>
          <cell r="D26">
            <v>3689.0718661015353</v>
          </cell>
          <cell r="E26">
            <v>6010.7389768051007</v>
          </cell>
          <cell r="F26">
            <v>12063.521604394962</v>
          </cell>
          <cell r="G26">
            <v>3236.9733497915777</v>
          </cell>
          <cell r="H26">
            <v>4895.2837713115132</v>
          </cell>
          <cell r="I26">
            <v>1569.2003166638272</v>
          </cell>
          <cell r="J26">
            <v>5671.6501682890885</v>
          </cell>
          <cell r="K26">
            <v>11160.321156208976</v>
          </cell>
          <cell r="L26">
            <v>99022.318872687902</v>
          </cell>
          <cell r="M26">
            <v>9125.2203049891577</v>
          </cell>
          <cell r="N26">
            <v>16715.530513329184</v>
          </cell>
          <cell r="O26">
            <v>50631.445402853024</v>
          </cell>
          <cell r="P26">
            <v>172010.8716772123</v>
          </cell>
          <cell r="Q26">
            <v>38350.239745007617</v>
          </cell>
        </row>
        <row r="27">
          <cell r="B27">
            <v>13714.399790851603</v>
          </cell>
          <cell r="C27">
            <v>26150.190820407312</v>
          </cell>
          <cell r="D27">
            <v>3950.0400752774258</v>
          </cell>
          <cell r="E27">
            <v>6175.1246828702624</v>
          </cell>
          <cell r="F27">
            <v>13597.616788268731</v>
          </cell>
          <cell r="G27">
            <v>3267.9316243877565</v>
          </cell>
          <cell r="H27">
            <v>5183.0494299828479</v>
          </cell>
          <cell r="I27">
            <v>1744.1084295222749</v>
          </cell>
          <cell r="J27">
            <v>6461.05576373642</v>
          </cell>
          <cell r="K27">
            <v>11064.037947122311</v>
          </cell>
          <cell r="L27">
            <v>103032.40056234208</v>
          </cell>
          <cell r="M27">
            <v>8572.690046828222</v>
          </cell>
          <cell r="N27">
            <v>17589.629697104338</v>
          </cell>
          <cell r="O27">
            <v>33676.24857230232</v>
          </cell>
          <cell r="P27">
            <v>165810.17258392999</v>
          </cell>
          <cell r="Q27">
            <v>40275.621476060871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Sheet110"/>
  <dimension ref="A2:J75"/>
  <sheetViews>
    <sheetView tabSelected="1" zoomScaleNormal="100" workbookViewId="0"/>
  </sheetViews>
  <sheetFormatPr defaultRowHeight="15"/>
  <cols>
    <col min="1" max="1" width="4.42578125" customWidth="1"/>
    <col min="2" max="2" width="13" customWidth="1"/>
  </cols>
  <sheetData>
    <row r="2" spans="2:10" ht="23.25">
      <c r="B2" s="2" t="s">
        <v>522</v>
      </c>
      <c r="C2" s="2"/>
      <c r="D2" s="2"/>
      <c r="E2" s="2"/>
      <c r="F2" s="2"/>
      <c r="G2" s="2"/>
      <c r="H2" s="2"/>
      <c r="I2" s="2"/>
      <c r="J2" s="2"/>
    </row>
    <row r="5" spans="2:10" ht="21">
      <c r="B5" s="3" t="s">
        <v>0</v>
      </c>
      <c r="C5" s="3"/>
    </row>
    <row r="7" spans="2:10">
      <c r="B7" s="34" t="s">
        <v>258</v>
      </c>
    </row>
    <row r="8" spans="2:10">
      <c r="B8" s="149" t="s">
        <v>521</v>
      </c>
    </row>
    <row r="10" spans="2:10" ht="21">
      <c r="B10" s="3" t="s">
        <v>6</v>
      </c>
      <c r="C10" s="3"/>
    </row>
    <row r="11" spans="2:10">
      <c r="B11" s="149" t="s">
        <v>520</v>
      </c>
      <c r="C11" s="34"/>
    </row>
    <row r="12" spans="2:10" s="34" customFormat="1">
      <c r="D12" s="149"/>
    </row>
    <row r="13" spans="2:10" s="34" customFormat="1">
      <c r="D13" s="149"/>
    </row>
    <row r="14" spans="2:10" s="34" customFormat="1">
      <c r="D14" s="149"/>
    </row>
    <row r="15" spans="2:10" s="34" customFormat="1">
      <c r="D15" s="149"/>
    </row>
    <row r="16" spans="2:10" s="34" customFormat="1">
      <c r="D16" s="149"/>
    </row>
    <row r="17" spans="3:4" s="34" customFormat="1">
      <c r="D17" s="149"/>
    </row>
    <row r="18" spans="3:4" s="34" customFormat="1">
      <c r="D18" s="149"/>
    </row>
    <row r="19" spans="3:4" s="34" customFormat="1">
      <c r="D19" s="149"/>
    </row>
    <row r="20" spans="3:4" s="34" customFormat="1">
      <c r="D20" s="149"/>
    </row>
    <row r="21" spans="3:4" s="34" customFormat="1"/>
    <row r="22" spans="3:4" s="34" customFormat="1"/>
    <row r="23" spans="3:4">
      <c r="C23" s="13"/>
    </row>
    <row r="24" spans="3:4" s="34" customFormat="1"/>
    <row r="25" spans="3:4" s="34" customFormat="1"/>
    <row r="26" spans="3:4" s="34" customFormat="1"/>
    <row r="27" spans="3:4" s="34" customFormat="1"/>
    <row r="28" spans="3:4" s="34" customFormat="1"/>
    <row r="29" spans="3:4" s="149" customFormat="1"/>
    <row r="30" spans="3:4" s="149" customFormat="1"/>
    <row r="31" spans="3:4" s="149" customFormat="1"/>
    <row r="32" spans="3:4" s="149" customFormat="1"/>
    <row r="33" spans="1:3" s="149" customFormat="1"/>
    <row r="34" spans="1:3" s="149" customFormat="1"/>
    <row r="35" spans="1:3" s="149" customFormat="1"/>
    <row r="36" spans="1:3" s="149" customFormat="1"/>
    <row r="37" spans="1:3" s="149" customFormat="1"/>
    <row r="38" spans="1:3" s="149" customFormat="1"/>
    <row r="39" spans="1:3" s="149" customFormat="1"/>
    <row r="40" spans="1:3" s="34" customFormat="1"/>
    <row r="41" spans="1:3" ht="21">
      <c r="B41" s="3" t="s">
        <v>76</v>
      </c>
    </row>
    <row r="42" spans="1:3">
      <c r="A42">
        <v>1</v>
      </c>
      <c r="B42" s="149" t="s">
        <v>323</v>
      </c>
      <c r="C42" s="149"/>
    </row>
    <row r="43" spans="1:3" s="34" customFormat="1">
      <c r="B43" s="149"/>
      <c r="C43" s="149"/>
    </row>
    <row r="44" spans="1:3" s="34" customFormat="1">
      <c r="B44" s="149"/>
      <c r="C44" s="149"/>
    </row>
    <row r="45" spans="1:3" s="34" customFormat="1">
      <c r="B45" s="149"/>
      <c r="C45" s="149" t="s">
        <v>324</v>
      </c>
    </row>
    <row r="46" spans="1:3" s="34" customFormat="1">
      <c r="B46" s="149"/>
      <c r="C46" s="149" t="s">
        <v>332</v>
      </c>
    </row>
    <row r="47" spans="1:3" s="34" customFormat="1">
      <c r="B47" s="149"/>
      <c r="C47" s="149"/>
    </row>
    <row r="48" spans="1:3" s="34" customFormat="1"/>
    <row r="49" spans="1:2" ht="21">
      <c r="B49" s="3" t="s">
        <v>8</v>
      </c>
    </row>
    <row r="50" spans="1:2">
      <c r="A50" s="35">
        <v>1</v>
      </c>
      <c r="B50" s="34" t="s">
        <v>223</v>
      </c>
    </row>
    <row r="51" spans="1:2" s="34" customFormat="1">
      <c r="B51" s="149" t="s">
        <v>359</v>
      </c>
    </row>
    <row r="52" spans="1:2" s="34" customFormat="1">
      <c r="B52" s="34" t="s">
        <v>360</v>
      </c>
    </row>
    <row r="53" spans="1:2" s="34" customFormat="1">
      <c r="B53" s="34" t="s">
        <v>361</v>
      </c>
    </row>
    <row r="54" spans="1:2" s="34" customFormat="1">
      <c r="B54" s="34" t="s">
        <v>362</v>
      </c>
    </row>
    <row r="55" spans="1:2" s="34" customFormat="1">
      <c r="B55" s="34" t="s">
        <v>363</v>
      </c>
    </row>
    <row r="56" spans="1:2" s="34" customFormat="1"/>
    <row r="57" spans="1:2" s="34" customFormat="1">
      <c r="A57" s="35">
        <f>A50+1</f>
        <v>2</v>
      </c>
      <c r="B57" s="149" t="s">
        <v>364</v>
      </c>
    </row>
    <row r="58" spans="1:2" s="34" customFormat="1"/>
    <row r="59" spans="1:2" s="34" customFormat="1">
      <c r="A59" s="35">
        <f>A57+1</f>
        <v>3</v>
      </c>
      <c r="B59" s="149" t="s">
        <v>365</v>
      </c>
    </row>
    <row r="60" spans="1:2" s="34" customFormat="1">
      <c r="B60" s="34" t="s">
        <v>366</v>
      </c>
    </row>
    <row r="61" spans="1:2" s="34" customFormat="1"/>
    <row r="62" spans="1:2" s="34" customFormat="1">
      <c r="A62" s="35">
        <f>A59+1</f>
        <v>4</v>
      </c>
      <c r="B62" s="149" t="s">
        <v>516</v>
      </c>
    </row>
    <row r="63" spans="1:2" s="34" customFormat="1"/>
    <row r="64" spans="1:2" s="34" customFormat="1">
      <c r="A64" s="35">
        <f>A62+1</f>
        <v>5</v>
      </c>
      <c r="B64" s="149" t="s">
        <v>367</v>
      </c>
    </row>
    <row r="65" spans="1:3">
      <c r="B65" s="34"/>
      <c r="C65" s="34"/>
    </row>
    <row r="66" spans="1:3">
      <c r="A66" s="156">
        <f>A64+1</f>
        <v>6</v>
      </c>
      <c r="B66" s="149" t="s">
        <v>517</v>
      </c>
      <c r="C66" s="34"/>
    </row>
    <row r="67" spans="1:3" s="34" customFormat="1"/>
    <row r="68" spans="1:3" s="34" customFormat="1">
      <c r="A68" s="156">
        <f>A66+1</f>
        <v>7</v>
      </c>
      <c r="B68" s="34" t="s">
        <v>231</v>
      </c>
    </row>
    <row r="69" spans="1:3" s="34" customFormat="1">
      <c r="B69" s="149" t="s">
        <v>518</v>
      </c>
    </row>
    <row r="70" spans="1:3" s="34" customFormat="1">
      <c r="B70" s="149" t="s">
        <v>330</v>
      </c>
    </row>
    <row r="71" spans="1:3" s="34" customFormat="1"/>
    <row r="72" spans="1:3" s="34" customFormat="1"/>
    <row r="73" spans="1:3" s="34" customFormat="1"/>
    <row r="74" spans="1:3" s="34" customFormat="1"/>
    <row r="75" spans="1:3" s="34" customForma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23">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Electricity Ashburton</v>
      </c>
      <c r="D1" s="2"/>
      <c r="E1" s="2"/>
      <c r="F1" s="6" t="s">
        <v>169</v>
      </c>
      <c r="G1" s="7">
        <v>5</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27831</v>
      </c>
    </row>
    <row r="9" spans="1:16">
      <c r="A9" s="9">
        <f>A8+1</f>
        <v>2</v>
      </c>
      <c r="B9" s="9"/>
      <c r="C9" s="149" t="str">
        <f>Inputs!B21</f>
        <v>Pass-through costs</v>
      </c>
      <c r="E9" s="1">
        <f t="shared" si="0"/>
        <v>308</v>
      </c>
    </row>
    <row r="10" spans="1:16">
      <c r="A10" s="9">
        <f t="shared" ref="A10:A22" si="1">A9+1</f>
        <v>3</v>
      </c>
      <c r="B10" s="9"/>
      <c r="C10" s="149" t="str">
        <f>Inputs!B22</f>
        <v>Recoverable costs</v>
      </c>
      <c r="E10" s="1">
        <f t="shared" si="0"/>
        <v>4818</v>
      </c>
    </row>
    <row r="11" spans="1:16">
      <c r="A11" s="9">
        <f t="shared" si="1"/>
        <v>4</v>
      </c>
      <c r="B11" s="9"/>
      <c r="C11" s="155" t="str">
        <f>Inputs!B23</f>
        <v>Opening RAB</v>
      </c>
      <c r="E11" s="1">
        <f t="shared" si="0"/>
        <v>158439</v>
      </c>
      <c r="L11" s="13"/>
    </row>
    <row r="12" spans="1:16">
      <c r="A12" s="9">
        <f t="shared" si="1"/>
        <v>5</v>
      </c>
      <c r="B12" s="9"/>
      <c r="C12" s="155" t="str">
        <f>Inputs!B24</f>
        <v>Total Depreciation</v>
      </c>
      <c r="E12" s="1">
        <f t="shared" si="0"/>
        <v>5894</v>
      </c>
      <c r="F12" s="161"/>
      <c r="G12" s="337" t="s">
        <v>511</v>
      </c>
    </row>
    <row r="13" spans="1:16">
      <c r="A13" s="9">
        <f t="shared" si="1"/>
        <v>6</v>
      </c>
      <c r="B13" s="9"/>
      <c r="C13" s="155" t="str">
        <f>Inputs!B25</f>
        <v>RAB of disposed assets</v>
      </c>
      <c r="E13" s="1">
        <f t="shared" si="0"/>
        <v>0</v>
      </c>
      <c r="G13" s="23" t="s">
        <v>512</v>
      </c>
    </row>
    <row r="14" spans="1:16">
      <c r="A14" s="9">
        <f t="shared" si="1"/>
        <v>7</v>
      </c>
      <c r="B14" s="9"/>
      <c r="C14" s="155" t="str">
        <f>Inputs!B26</f>
        <v>Discretionary discounts &amp;  rebates</v>
      </c>
      <c r="E14" s="1">
        <f t="shared" si="0"/>
        <v>3021</v>
      </c>
      <c r="G14" s="23" t="s">
        <v>513</v>
      </c>
    </row>
    <row r="15" spans="1:16">
      <c r="A15" s="9">
        <f t="shared" si="1"/>
        <v>8</v>
      </c>
      <c r="B15" s="9"/>
      <c r="C15" s="155" t="str">
        <f>Inputs!B27</f>
        <v>Tax Depreciation</v>
      </c>
      <c r="E15" s="1">
        <f t="shared" si="0"/>
        <v>7099</v>
      </c>
      <c r="G15" s="23" t="s">
        <v>514</v>
      </c>
    </row>
    <row r="16" spans="1:16">
      <c r="A16" s="9">
        <f t="shared" si="1"/>
        <v>9</v>
      </c>
      <c r="B16" s="9"/>
      <c r="C16" s="155" t="str">
        <f>Inputs!B28</f>
        <v>Opening regulatory tax asset value</v>
      </c>
      <c r="E16" s="1">
        <f t="shared" si="0"/>
        <v>72983</v>
      </c>
    </row>
    <row r="17" spans="1:21">
      <c r="A17" s="9">
        <f t="shared" si="1"/>
        <v>10</v>
      </c>
      <c r="B17" s="9"/>
      <c r="C17" s="155" t="str">
        <f>Inputs!B29</f>
        <v>Weighted Average Remaining Life at year-end</v>
      </c>
      <c r="E17" s="1">
        <f t="shared" si="0"/>
        <v>34.266512471402784</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409</v>
      </c>
    </row>
    <row r="20" spans="1:21">
      <c r="A20" s="9">
        <f t="shared" si="1"/>
        <v>13</v>
      </c>
      <c r="B20" s="9"/>
      <c r="C20" s="155" t="str">
        <f>Inputs!B32</f>
        <v>Operating expenditure 2009/10</v>
      </c>
      <c r="E20" s="1">
        <f t="shared" si="0"/>
        <v>6009</v>
      </c>
    </row>
    <row r="21" spans="1:21">
      <c r="A21" s="9">
        <f t="shared" si="1"/>
        <v>14</v>
      </c>
      <c r="B21" s="9"/>
      <c r="C21" s="155" t="str">
        <f>Inputs!B33</f>
        <v>Other regulated income</v>
      </c>
      <c r="E21" s="1">
        <f t="shared" si="0"/>
        <v>446.21476147772501</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6009</v>
      </c>
      <c r="F24" s="39">
        <f>INDEX(OpexBlock,F7-1,$G$1)</f>
        <v>6203.1321605401299</v>
      </c>
      <c r="G24" s="39">
        <f>INDEX(OpexBlock,G7-1,$G$1)</f>
        <v>6457.5707116271751</v>
      </c>
      <c r="H24" s="39">
        <f>INDEX(OpexBlock,H7-1,$G$1)</f>
        <v>6694.9344069643321</v>
      </c>
      <c r="I24" s="39">
        <f>INDEX(OpexBlock,I7-1,$G$1)</f>
        <v>6913.6151109891634</v>
      </c>
      <c r="J24" s="39">
        <f>INDEX(OpexBlock,J7-1,$G$1)</f>
        <v>7152.6297332149634</v>
      </c>
      <c r="K24" s="90"/>
      <c r="L24" s="36"/>
      <c r="M24" s="36"/>
    </row>
    <row r="25" spans="1:21">
      <c r="A25" s="9"/>
      <c r="B25" s="9"/>
      <c r="C25" s="149" t="s">
        <v>272</v>
      </c>
      <c r="D25" s="1"/>
      <c r="E25" s="39">
        <f t="shared" ref="E25:J25" si="2">INDEX(CommAssetsBlock,E7,$G$1)</f>
        <v>13673</v>
      </c>
      <c r="F25" s="39">
        <f t="shared" si="2"/>
        <v>13327.149412911116</v>
      </c>
      <c r="G25" s="39">
        <f t="shared" si="2"/>
        <v>16967.952970960723</v>
      </c>
      <c r="H25" s="39">
        <f t="shared" si="2"/>
        <v>10488.661082394203</v>
      </c>
      <c r="I25" s="39">
        <f t="shared" si="2"/>
        <v>12063.521604394962</v>
      </c>
      <c r="J25" s="39">
        <f t="shared" si="2"/>
        <v>13597.616788268731</v>
      </c>
      <c r="K25" s="90"/>
      <c r="L25" s="36"/>
      <c r="M25" s="36"/>
    </row>
    <row r="26" spans="1:21">
      <c r="A26" s="9"/>
      <c r="B26" s="9"/>
      <c r="C26" s="149" t="s">
        <v>342</v>
      </c>
      <c r="D26" s="1"/>
      <c r="E26" s="90"/>
      <c r="F26" s="90">
        <f t="shared" ref="F26:J26" si="3">INDEX(ConstPriceRevGrwth,F$7-1,$G$1)</f>
        <v>-5.5852530840428804E-3</v>
      </c>
      <c r="G26" s="90">
        <f t="shared" si="3"/>
        <v>3.0864154091714838E-2</v>
      </c>
      <c r="H26" s="90">
        <f t="shared" si="3"/>
        <v>1.0923031324600676E-2</v>
      </c>
      <c r="I26" s="90">
        <f t="shared" si="3"/>
        <v>1.2684439353658374E-2</v>
      </c>
      <c r="J26" s="90">
        <f t="shared" si="3"/>
        <v>1.3260877658761759E-2</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446.21476147772501</v>
      </c>
      <c r="F40" s="295">
        <f>E40*(1+F39)</f>
        <v>466.1459586631475</v>
      </c>
      <c r="G40" s="295">
        <f t="shared" ref="G40:J40" si="5">F40*(1+G39)</f>
        <v>473.46762293534357</v>
      </c>
      <c r="H40" s="295">
        <f t="shared" si="5"/>
        <v>482.41632371247204</v>
      </c>
      <c r="I40" s="295">
        <f t="shared" si="5"/>
        <v>492.58530186829984</v>
      </c>
      <c r="J40" s="295">
        <f t="shared" si="5"/>
        <v>503.56779827659392</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26.881404818459451</v>
      </c>
      <c r="F53" s="45">
        <f>E53-1</f>
        <v>25.881404818459451</v>
      </c>
      <c r="G53" s="45">
        <f t="shared" ref="G53:J53" si="6">F53-1</f>
        <v>24.881404818459451</v>
      </c>
      <c r="H53" s="45">
        <f t="shared" si="6"/>
        <v>23.881404818459451</v>
      </c>
      <c r="I53" s="45">
        <f t="shared" si="6"/>
        <v>22.881404818459451</v>
      </c>
      <c r="J53" s="45">
        <f t="shared" si="6"/>
        <v>21.881404818459451</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0</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158439</v>
      </c>
      <c r="F58" s="216">
        <f>E62</f>
        <v>155275.51396366925</v>
      </c>
      <c r="G58" s="216">
        <f t="shared" ref="G58:J58" si="9">F62</f>
        <v>152352.36398556409</v>
      </c>
      <c r="H58" s="216">
        <f t="shared" si="9"/>
        <v>149937.46077583425</v>
      </c>
      <c r="I58" s="216">
        <f t="shared" si="9"/>
        <v>147297.39119484735</v>
      </c>
      <c r="J58" s="216">
        <f t="shared" si="9"/>
        <v>144434.2492740778</v>
      </c>
      <c r="K58" s="148"/>
      <c r="L58" s="36"/>
      <c r="M58" s="36"/>
    </row>
    <row r="59" spans="3:16">
      <c r="C59" s="149" t="s">
        <v>41</v>
      </c>
      <c r="D59" s="153"/>
      <c r="E59" s="216">
        <f>E55</f>
        <v>0</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2730.5139636692479</v>
      </c>
      <c r="F60" s="216">
        <f t="shared" si="11"/>
        <v>3076.3510170233039</v>
      </c>
      <c r="G60" s="216">
        <f t="shared" si="11"/>
        <v>3708.2383531023961</v>
      </c>
      <c r="H60" s="216">
        <f t="shared" si="11"/>
        <v>3638.3492103539834</v>
      </c>
      <c r="I60" s="216">
        <f t="shared" si="11"/>
        <v>3574.285866706834</v>
      </c>
      <c r="J60" s="216">
        <f t="shared" si="11"/>
        <v>3504.8094990755485</v>
      </c>
      <c r="K60" s="148"/>
      <c r="L60" s="36"/>
      <c r="M60" s="36"/>
    </row>
    <row r="61" spans="3:16">
      <c r="C61" s="149" t="s">
        <v>43</v>
      </c>
      <c r="E61" s="136">
        <f>E12</f>
        <v>5894</v>
      </c>
      <c r="F61" s="216">
        <f t="shared" ref="F61:J61" si="12">F58/F53</f>
        <v>5999.500995128431</v>
      </c>
      <c r="G61" s="216">
        <f t="shared" si="12"/>
        <v>6123.1415628322666</v>
      </c>
      <c r="H61" s="216">
        <f t="shared" si="12"/>
        <v>6278.4187913408714</v>
      </c>
      <c r="I61" s="216">
        <f t="shared" si="12"/>
        <v>6437.4277874764039</v>
      </c>
      <c r="J61" s="216">
        <f t="shared" si="12"/>
        <v>6600.7758858439975</v>
      </c>
      <c r="K61" s="148"/>
      <c r="L61" s="36"/>
      <c r="M61" s="36"/>
    </row>
    <row r="62" spans="3:16">
      <c r="C62" s="149" t="s">
        <v>44</v>
      </c>
      <c r="E62" s="139">
        <f>E58-E59+E60-E61</f>
        <v>155275.51396366925</v>
      </c>
      <c r="F62" s="139">
        <f>F58-F59+F60-F61</f>
        <v>152352.36398556409</v>
      </c>
      <c r="G62" s="139">
        <f t="shared" ref="G62:J62" si="13">G58-G59+G60-G61</f>
        <v>149937.46077583425</v>
      </c>
      <c r="H62" s="139">
        <f t="shared" si="13"/>
        <v>147297.39119484735</v>
      </c>
      <c r="I62" s="216">
        <f t="shared" si="13"/>
        <v>144434.2492740778</v>
      </c>
      <c r="J62" s="216">
        <f t="shared" si="13"/>
        <v>141338.28288730935</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13673</v>
      </c>
      <c r="F66" s="139">
        <f t="shared" ref="F66:J66" si="15">F$25</f>
        <v>13327.149412911116</v>
      </c>
      <c r="G66" s="139">
        <f t="shared" si="15"/>
        <v>16967.952970960723</v>
      </c>
      <c r="H66" s="139">
        <f t="shared" si="15"/>
        <v>10488.661082394203</v>
      </c>
      <c r="I66" s="139">
        <f t="shared" si="15"/>
        <v>12063.521604394962</v>
      </c>
      <c r="J66" s="139">
        <f t="shared" si="15"/>
        <v>13597.616788268731</v>
      </c>
      <c r="K66" s="148"/>
      <c r="L66" s="36"/>
      <c r="M66" s="36"/>
    </row>
    <row r="67" spans="1:13">
      <c r="A67" s="149">
        <v>1</v>
      </c>
      <c r="C67" s="149" t="s">
        <v>481</v>
      </c>
      <c r="E67" s="135">
        <v>0</v>
      </c>
      <c r="F67" s="139">
        <f>E91</f>
        <v>13673</v>
      </c>
      <c r="G67" s="139">
        <f t="shared" ref="G67:J67" si="16">F91</f>
        <v>13640.047896414922</v>
      </c>
      <c r="H67" s="139">
        <f t="shared" si="16"/>
        <v>13662.043945445852</v>
      </c>
      <c r="I67" s="139">
        <f t="shared" si="16"/>
        <v>13675.842125310117</v>
      </c>
      <c r="J67" s="139">
        <f t="shared" si="16"/>
        <v>13682.081792272325</v>
      </c>
      <c r="K67" s="148"/>
      <c r="L67" s="36"/>
      <c r="M67" s="36"/>
    </row>
    <row r="68" spans="1:13">
      <c r="A68" s="149">
        <v>2</v>
      </c>
      <c r="C68" s="149" t="s">
        <v>482</v>
      </c>
      <c r="E68" s="135">
        <v>0</v>
      </c>
      <c r="F68" s="139">
        <f t="shared" ref="F68:J71" si="17">E92</f>
        <v>0</v>
      </c>
      <c r="G68" s="139">
        <f t="shared" si="17"/>
        <v>13327.149412911116</v>
      </c>
      <c r="H68" s="139">
        <f t="shared" si="17"/>
        <v>13355.37176291668</v>
      </c>
      <c r="I68" s="139">
        <f t="shared" si="17"/>
        <v>13375.919079320773</v>
      </c>
      <c r="J68" s="139">
        <f t="shared" si="17"/>
        <v>13389.42828321759</v>
      </c>
      <c r="K68" s="148"/>
      <c r="L68" s="36"/>
      <c r="M68" s="36"/>
    </row>
    <row r="69" spans="1:13">
      <c r="A69" s="149">
        <v>3</v>
      </c>
      <c r="C69" s="149" t="s">
        <v>483</v>
      </c>
      <c r="E69" s="135">
        <v>0</v>
      </c>
      <c r="F69" s="139">
        <f t="shared" si="17"/>
        <v>0</v>
      </c>
      <c r="G69" s="139">
        <f t="shared" si="17"/>
        <v>0</v>
      </c>
      <c r="H69" s="139">
        <f t="shared" si="17"/>
        <v>16967.952970960723</v>
      </c>
      <c r="I69" s="139">
        <f t="shared" si="17"/>
        <v>17002.627937584901</v>
      </c>
      <c r="J69" s="139">
        <f t="shared" si="17"/>
        <v>17028.786578627351</v>
      </c>
      <c r="K69" s="148"/>
      <c r="L69" s="36"/>
      <c r="M69" s="36"/>
    </row>
    <row r="70" spans="1:13">
      <c r="A70" s="149">
        <v>4</v>
      </c>
      <c r="C70" s="149" t="s">
        <v>484</v>
      </c>
      <c r="E70" s="135">
        <v>0</v>
      </c>
      <c r="F70" s="139">
        <f t="shared" si="17"/>
        <v>0</v>
      </c>
      <c r="G70" s="139">
        <f t="shared" si="17"/>
        <v>0</v>
      </c>
      <c r="H70" s="139">
        <f t="shared" si="17"/>
        <v>0</v>
      </c>
      <c r="I70" s="139">
        <f t="shared" si="17"/>
        <v>10488.661082394203</v>
      </c>
      <c r="J70" s="139">
        <f t="shared" si="17"/>
        <v>10510.095251476752</v>
      </c>
      <c r="K70" s="148"/>
      <c r="L70" s="36"/>
      <c r="M70" s="36"/>
    </row>
    <row r="71" spans="1:13">
      <c r="A71" s="149">
        <v>5</v>
      </c>
      <c r="C71" s="149" t="s">
        <v>485</v>
      </c>
      <c r="E71" s="135">
        <v>0</v>
      </c>
      <c r="F71" s="139">
        <f t="shared" si="17"/>
        <v>0</v>
      </c>
      <c r="G71" s="139">
        <f t="shared" si="17"/>
        <v>0</v>
      </c>
      <c r="H71" s="139">
        <f t="shared" si="17"/>
        <v>0</v>
      </c>
      <c r="I71" s="139">
        <f t="shared" si="17"/>
        <v>0</v>
      </c>
      <c r="J71" s="139">
        <f t="shared" si="17"/>
        <v>12063.521604394962</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270.89234085936664</v>
      </c>
      <c r="G79" s="139">
        <f t="shared" si="20"/>
        <v>331.99713758581493</v>
      </c>
      <c r="H79" s="139">
        <f t="shared" si="20"/>
        <v>331.52013208393458</v>
      </c>
      <c r="I79" s="139">
        <f t="shared" si="20"/>
        <v>331.85495566006898</v>
      </c>
      <c r="J79" s="139">
        <f t="shared" si="20"/>
        <v>332.00636603641755</v>
      </c>
      <c r="K79" s="148"/>
      <c r="L79" s="36"/>
      <c r="M79" s="36"/>
    </row>
    <row r="80" spans="1:13">
      <c r="A80" s="149">
        <v>2</v>
      </c>
      <c r="C80" s="149" t="s">
        <v>488</v>
      </c>
      <c r="E80" s="139">
        <f t="shared" ref="E80:J84" si="21">E68*E$38</f>
        <v>0</v>
      </c>
      <c r="F80" s="139">
        <f t="shared" si="21"/>
        <v>0</v>
      </c>
      <c r="G80" s="139">
        <f t="shared" si="21"/>
        <v>324.38122584803358</v>
      </c>
      <c r="H80" s="139">
        <f t="shared" si="21"/>
        <v>324.07849283401623</v>
      </c>
      <c r="I80" s="139">
        <f t="shared" si="21"/>
        <v>324.57708946241644</v>
      </c>
      <c r="J80" s="139">
        <f t="shared" si="21"/>
        <v>324.90490081173618</v>
      </c>
      <c r="K80" s="148"/>
      <c r="L80" s="36"/>
      <c r="M80" s="36"/>
    </row>
    <row r="81" spans="1:13">
      <c r="A81" s="149">
        <v>3</v>
      </c>
      <c r="C81" s="149" t="s">
        <v>489</v>
      </c>
      <c r="E81" s="139">
        <f t="shared" si="21"/>
        <v>0</v>
      </c>
      <c r="F81" s="139">
        <f t="shared" si="21"/>
        <v>0</v>
      </c>
      <c r="G81" s="139">
        <f t="shared" si="21"/>
        <v>0</v>
      </c>
      <c r="H81" s="139">
        <f t="shared" si="21"/>
        <v>411.74058820108081</v>
      </c>
      <c r="I81" s="139">
        <f t="shared" si="21"/>
        <v>412.58200326028833</v>
      </c>
      <c r="J81" s="139">
        <f t="shared" si="21"/>
        <v>413.21676304939149</v>
      </c>
      <c r="K81" s="148"/>
      <c r="L81" s="36"/>
      <c r="M81" s="36"/>
    </row>
    <row r="82" spans="1:13">
      <c r="A82" s="149">
        <v>4</v>
      </c>
      <c r="C82" s="149" t="s">
        <v>490</v>
      </c>
      <c r="E82" s="139">
        <f t="shared" si="21"/>
        <v>0</v>
      </c>
      <c r="F82" s="139">
        <f t="shared" si="21"/>
        <v>0</v>
      </c>
      <c r="G82" s="139">
        <f t="shared" si="21"/>
        <v>0</v>
      </c>
      <c r="H82" s="139">
        <f t="shared" si="21"/>
        <v>0</v>
      </c>
      <c r="I82" s="139">
        <f t="shared" si="21"/>
        <v>254.51552646908678</v>
      </c>
      <c r="J82" s="139">
        <f t="shared" si="21"/>
        <v>255.03564326813463</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292.73074304665488</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303.84444444444443</v>
      </c>
      <c r="G85" s="216">
        <f t="shared" si="22"/>
        <v>310.00108855488457</v>
      </c>
      <c r="H85" s="216">
        <f t="shared" si="22"/>
        <v>317.72195221967098</v>
      </c>
      <c r="I85" s="216">
        <f t="shared" si="22"/>
        <v>325.61528869785991</v>
      </c>
      <c r="J85" s="216">
        <f t="shared" si="22"/>
        <v>333.70931200664211</v>
      </c>
      <c r="K85" s="148"/>
      <c r="L85" s="36"/>
      <c r="M85" s="36"/>
    </row>
    <row r="86" spans="1:13">
      <c r="A86" s="149">
        <v>2</v>
      </c>
      <c r="C86" s="149" t="s">
        <v>494</v>
      </c>
      <c r="E86" s="216">
        <f t="shared" si="22"/>
        <v>0</v>
      </c>
      <c r="F86" s="216">
        <f t="shared" si="22"/>
        <v>0</v>
      </c>
      <c r="G86" s="216">
        <f t="shared" si="22"/>
        <v>296.15887584246923</v>
      </c>
      <c r="H86" s="216">
        <f t="shared" si="22"/>
        <v>303.53117642992453</v>
      </c>
      <c r="I86" s="216">
        <f t="shared" si="22"/>
        <v>311.06788556559934</v>
      </c>
      <c r="J86" s="216">
        <f t="shared" si="22"/>
        <v>318.7959115051807</v>
      </c>
      <c r="K86" s="148"/>
      <c r="L86" s="36"/>
      <c r="M86" s="36"/>
    </row>
    <row r="87" spans="1:13">
      <c r="A87" s="149">
        <v>3</v>
      </c>
      <c r="C87" s="149" t="s">
        <v>495</v>
      </c>
      <c r="E87" s="216">
        <f t="shared" si="22"/>
        <v>0</v>
      </c>
      <c r="F87" s="216">
        <f t="shared" si="22"/>
        <v>0</v>
      </c>
      <c r="G87" s="216">
        <f t="shared" si="22"/>
        <v>0</v>
      </c>
      <c r="H87" s="216">
        <f t="shared" si="22"/>
        <v>377.06562157690496</v>
      </c>
      <c r="I87" s="216">
        <f t="shared" si="22"/>
        <v>386.42336221783864</v>
      </c>
      <c r="J87" s="216">
        <f t="shared" si="22"/>
        <v>396.01829252621746</v>
      </c>
      <c r="K87" s="148"/>
      <c r="L87" s="36"/>
      <c r="M87" s="36"/>
    </row>
    <row r="88" spans="1:13">
      <c r="A88" s="149">
        <v>4</v>
      </c>
      <c r="C88" s="149" t="s">
        <v>496</v>
      </c>
      <c r="E88" s="216">
        <f t="shared" si="22"/>
        <v>0</v>
      </c>
      <c r="F88" s="216">
        <f t="shared" si="22"/>
        <v>0</v>
      </c>
      <c r="G88" s="216">
        <f t="shared" si="22"/>
        <v>0</v>
      </c>
      <c r="H88" s="216">
        <f t="shared" si="22"/>
        <v>0</v>
      </c>
      <c r="I88" s="216">
        <f t="shared" si="22"/>
        <v>233.08135738653783</v>
      </c>
      <c r="J88" s="216">
        <f t="shared" si="22"/>
        <v>238.86580116992619</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268.07825787544363</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13673</v>
      </c>
      <c r="F91" s="139">
        <f t="shared" si="23"/>
        <v>13640.047896414922</v>
      </c>
      <c r="G91" s="139">
        <f t="shared" si="23"/>
        <v>13662.043945445852</v>
      </c>
      <c r="H91" s="139">
        <f t="shared" si="23"/>
        <v>13675.842125310117</v>
      </c>
      <c r="I91" s="139">
        <f t="shared" si="23"/>
        <v>13682.081792272325</v>
      </c>
      <c r="J91" s="216">
        <f t="shared" si="23"/>
        <v>13680.378846302101</v>
      </c>
      <c r="K91" s="148"/>
      <c r="L91" s="36"/>
      <c r="M91" s="36"/>
    </row>
    <row r="92" spans="1:13">
      <c r="A92" s="149">
        <v>2</v>
      </c>
      <c r="C92" s="149" t="s">
        <v>500</v>
      </c>
      <c r="E92" s="139">
        <f t="shared" si="23"/>
        <v>0</v>
      </c>
      <c r="F92" s="139">
        <f t="shared" si="23"/>
        <v>13327.149412911116</v>
      </c>
      <c r="G92" s="139">
        <f t="shared" si="23"/>
        <v>13355.37176291668</v>
      </c>
      <c r="H92" s="139">
        <f t="shared" si="23"/>
        <v>13375.919079320773</v>
      </c>
      <c r="I92" s="139">
        <f t="shared" si="23"/>
        <v>13389.42828321759</v>
      </c>
      <c r="J92" s="216">
        <f t="shared" si="23"/>
        <v>13395.537272524147</v>
      </c>
      <c r="K92" s="148"/>
      <c r="L92" s="36"/>
      <c r="M92" s="36"/>
    </row>
    <row r="93" spans="1:13">
      <c r="A93" s="149">
        <v>3</v>
      </c>
      <c r="C93" s="149" t="s">
        <v>501</v>
      </c>
      <c r="E93" s="139">
        <f t="shared" si="23"/>
        <v>0</v>
      </c>
      <c r="F93" s="139">
        <f t="shared" si="23"/>
        <v>0</v>
      </c>
      <c r="G93" s="139">
        <f t="shared" si="23"/>
        <v>16967.952970960723</v>
      </c>
      <c r="H93" s="139">
        <f t="shared" si="23"/>
        <v>17002.627937584901</v>
      </c>
      <c r="I93" s="139">
        <f t="shared" si="23"/>
        <v>17028.786578627351</v>
      </c>
      <c r="J93" s="216">
        <f t="shared" si="23"/>
        <v>17045.985049150528</v>
      </c>
      <c r="K93" s="148"/>
      <c r="L93" s="36"/>
      <c r="M93" s="36"/>
    </row>
    <row r="94" spans="1:13">
      <c r="A94" s="149">
        <v>4</v>
      </c>
      <c r="C94" s="149" t="s">
        <v>502</v>
      </c>
      <c r="E94" s="139">
        <f t="shared" si="23"/>
        <v>0</v>
      </c>
      <c r="F94" s="139">
        <f t="shared" si="23"/>
        <v>0</v>
      </c>
      <c r="G94" s="139">
        <f t="shared" si="23"/>
        <v>0</v>
      </c>
      <c r="H94" s="139">
        <f t="shared" si="23"/>
        <v>10488.661082394203</v>
      </c>
      <c r="I94" s="139">
        <f t="shared" si="23"/>
        <v>10510.095251476752</v>
      </c>
      <c r="J94" s="216">
        <f t="shared" si="23"/>
        <v>10526.265093574961</v>
      </c>
      <c r="K94" s="148"/>
      <c r="L94" s="36"/>
      <c r="M94" s="36"/>
    </row>
    <row r="95" spans="1:13">
      <c r="A95" s="149">
        <v>5</v>
      </c>
      <c r="C95" s="149" t="s">
        <v>503</v>
      </c>
      <c r="E95" s="139">
        <f t="shared" si="23"/>
        <v>0</v>
      </c>
      <c r="F95" s="139">
        <f t="shared" si="23"/>
        <v>0</v>
      </c>
      <c r="G95" s="139">
        <f t="shared" si="23"/>
        <v>0</v>
      </c>
      <c r="H95" s="139">
        <f t="shared" si="23"/>
        <v>0</v>
      </c>
      <c r="I95" s="139">
        <f t="shared" si="23"/>
        <v>12063.521604394962</v>
      </c>
      <c r="J95" s="216">
        <f t="shared" si="23"/>
        <v>12088.174089566173</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13597.616788268731</v>
      </c>
      <c r="K96" s="148"/>
      <c r="L96" s="36"/>
      <c r="M96" s="36"/>
    </row>
    <row r="97" spans="1:13">
      <c r="C97" s="149" t="s">
        <v>260</v>
      </c>
      <c r="E97" s="139">
        <f t="shared" ref="E97:J97" si="24">SUM(E67:E72)</f>
        <v>0</v>
      </c>
      <c r="F97" s="139">
        <f t="shared" si="24"/>
        <v>13673</v>
      </c>
      <c r="G97" s="139">
        <f t="shared" si="24"/>
        <v>26967.197309326039</v>
      </c>
      <c r="H97" s="139">
        <f t="shared" si="24"/>
        <v>43985.368679323255</v>
      </c>
      <c r="I97" s="139">
        <f t="shared" si="24"/>
        <v>54543.050224609993</v>
      </c>
      <c r="J97" s="216">
        <f t="shared" si="24"/>
        <v>66673.913509988983</v>
      </c>
      <c r="K97" s="148"/>
      <c r="L97" s="36"/>
      <c r="M97" s="36"/>
    </row>
    <row r="98" spans="1:13">
      <c r="C98" s="149" t="s">
        <v>261</v>
      </c>
      <c r="E98" s="139">
        <f t="shared" ref="E98:J98" si="25">SUM(E79:E84)</f>
        <v>0</v>
      </c>
      <c r="F98" s="139">
        <f t="shared" si="25"/>
        <v>270.89234085936664</v>
      </c>
      <c r="G98" s="139">
        <f t="shared" si="25"/>
        <v>656.37836343384856</v>
      </c>
      <c r="H98" s="139">
        <f t="shared" si="25"/>
        <v>1067.3392131190317</v>
      </c>
      <c r="I98" s="139">
        <f t="shared" si="25"/>
        <v>1323.5295748518606</v>
      </c>
      <c r="J98" s="216">
        <f t="shared" si="25"/>
        <v>1617.8944162123348</v>
      </c>
      <c r="K98" s="148"/>
      <c r="L98" s="36"/>
      <c r="M98" s="36"/>
    </row>
    <row r="99" spans="1:13">
      <c r="C99" s="149" t="s">
        <v>75</v>
      </c>
      <c r="E99" s="139">
        <f t="shared" ref="E99:J99" si="26">SUM(E85:E90)</f>
        <v>0</v>
      </c>
      <c r="F99" s="139">
        <f t="shared" si="26"/>
        <v>303.84444444444443</v>
      </c>
      <c r="G99" s="139">
        <f t="shared" si="26"/>
        <v>606.15996439735386</v>
      </c>
      <c r="H99" s="139">
        <f t="shared" si="26"/>
        <v>998.31875022650047</v>
      </c>
      <c r="I99" s="216">
        <f t="shared" si="26"/>
        <v>1256.1878938678358</v>
      </c>
      <c r="J99" s="216">
        <f t="shared" si="26"/>
        <v>1555.4675750834101</v>
      </c>
      <c r="K99" s="148"/>
      <c r="L99" s="36"/>
      <c r="M99" s="36"/>
    </row>
    <row r="100" spans="1:13">
      <c r="C100" s="149" t="s">
        <v>262</v>
      </c>
      <c r="E100" s="139">
        <f t="shared" ref="E100:J100" si="27">SUM(E91:E96)</f>
        <v>13673</v>
      </c>
      <c r="F100" s="139">
        <f t="shared" si="27"/>
        <v>26967.197309326039</v>
      </c>
      <c r="G100" s="139">
        <f t="shared" si="27"/>
        <v>43985.368679323255</v>
      </c>
      <c r="H100" s="139">
        <f t="shared" si="27"/>
        <v>54543.050224609993</v>
      </c>
      <c r="I100" s="216">
        <f t="shared" si="27"/>
        <v>66673.913509988983</v>
      </c>
      <c r="J100" s="216">
        <f t="shared" si="27"/>
        <v>80333.957139386635</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13673</v>
      </c>
      <c r="F104" s="139">
        <f t="shared" ref="F104:J104" si="28">F$25</f>
        <v>13327.149412911116</v>
      </c>
      <c r="G104" s="139">
        <f t="shared" si="28"/>
        <v>16967.952970960723</v>
      </c>
      <c r="H104" s="139">
        <f t="shared" si="28"/>
        <v>10488.661082394203</v>
      </c>
      <c r="I104" s="139">
        <f t="shared" si="28"/>
        <v>12063.521604394962</v>
      </c>
      <c r="J104" s="139">
        <f t="shared" si="28"/>
        <v>13597.616788268731</v>
      </c>
      <c r="K104" s="148"/>
      <c r="L104" s="36"/>
      <c r="M104" s="36"/>
    </row>
    <row r="105" spans="1:13">
      <c r="A105" s="149">
        <v>1</v>
      </c>
      <c r="C105" s="149" t="s">
        <v>457</v>
      </c>
      <c r="E105" s="135">
        <v>0</v>
      </c>
      <c r="F105" s="139">
        <f>E123</f>
        <v>13673</v>
      </c>
      <c r="G105" s="139">
        <f t="shared" ref="G105:J105" si="29">F123</f>
        <v>13369.155555555555</v>
      </c>
      <c r="H105" s="139">
        <f t="shared" si="29"/>
        <v>13065.31111111111</v>
      </c>
      <c r="I105" s="139">
        <f t="shared" si="29"/>
        <v>12761.466666666665</v>
      </c>
      <c r="J105" s="139">
        <f t="shared" si="29"/>
        <v>12457.62222222222</v>
      </c>
      <c r="K105" s="148"/>
      <c r="L105" s="36"/>
      <c r="M105" s="36"/>
    </row>
    <row r="106" spans="1:13">
      <c r="A106" s="149">
        <v>2</v>
      </c>
      <c r="C106" s="149" t="s">
        <v>458</v>
      </c>
      <c r="E106" s="135">
        <v>0</v>
      </c>
      <c r="F106" s="139">
        <f t="shared" ref="F106:J109" si="30">E124</f>
        <v>0</v>
      </c>
      <c r="G106" s="139">
        <f t="shared" si="30"/>
        <v>13327.149412911116</v>
      </c>
      <c r="H106" s="139">
        <f t="shared" si="30"/>
        <v>13030.990537068647</v>
      </c>
      <c r="I106" s="139">
        <f t="shared" si="30"/>
        <v>12734.831661226177</v>
      </c>
      <c r="J106" s="139">
        <f t="shared" si="30"/>
        <v>12438.672785383707</v>
      </c>
      <c r="K106" s="148"/>
      <c r="L106" s="36"/>
      <c r="M106" s="36"/>
    </row>
    <row r="107" spans="1:13">
      <c r="A107" s="149">
        <v>3</v>
      </c>
      <c r="C107" s="149" t="s">
        <v>459</v>
      </c>
      <c r="E107" s="135">
        <v>0</v>
      </c>
      <c r="F107" s="139">
        <f t="shared" si="30"/>
        <v>0</v>
      </c>
      <c r="G107" s="139">
        <f t="shared" si="30"/>
        <v>0</v>
      </c>
      <c r="H107" s="139">
        <f t="shared" si="30"/>
        <v>16967.952970960723</v>
      </c>
      <c r="I107" s="139">
        <f t="shared" si="30"/>
        <v>16590.887349383818</v>
      </c>
      <c r="J107" s="139">
        <f t="shared" si="30"/>
        <v>16213.821727806913</v>
      </c>
      <c r="K107" s="148"/>
      <c r="L107" s="36"/>
      <c r="M107" s="36"/>
    </row>
    <row r="108" spans="1:13">
      <c r="A108" s="149">
        <v>4</v>
      </c>
      <c r="C108" s="149" t="s">
        <v>460</v>
      </c>
      <c r="E108" s="135">
        <v>0</v>
      </c>
      <c r="F108" s="139">
        <f t="shared" si="30"/>
        <v>0</v>
      </c>
      <c r="G108" s="139">
        <f t="shared" si="30"/>
        <v>0</v>
      </c>
      <c r="H108" s="139">
        <f t="shared" si="30"/>
        <v>0</v>
      </c>
      <c r="I108" s="139">
        <f t="shared" si="30"/>
        <v>10488.661082394203</v>
      </c>
      <c r="J108" s="139">
        <f t="shared" si="30"/>
        <v>10255.579725007665</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12063.521604394962</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303.84444444444443</v>
      </c>
      <c r="G117" s="139">
        <f t="shared" si="33"/>
        <v>303.84444444444443</v>
      </c>
      <c r="H117" s="139">
        <f t="shared" si="33"/>
        <v>303.84444444444443</v>
      </c>
      <c r="I117" s="139">
        <f t="shared" si="33"/>
        <v>303.84444444444443</v>
      </c>
      <c r="J117" s="139">
        <f t="shared" si="33"/>
        <v>303.84444444444438</v>
      </c>
      <c r="K117" s="148"/>
      <c r="L117" s="36"/>
      <c r="M117" s="36"/>
    </row>
    <row r="118" spans="1:13">
      <c r="A118" s="149">
        <v>2</v>
      </c>
      <c r="C118" s="149" t="s">
        <v>470</v>
      </c>
      <c r="E118" s="139">
        <f t="shared" si="33"/>
        <v>0</v>
      </c>
      <c r="F118" s="139">
        <f t="shared" si="33"/>
        <v>0</v>
      </c>
      <c r="G118" s="139">
        <f t="shared" si="33"/>
        <v>296.15887584246923</v>
      </c>
      <c r="H118" s="139">
        <f t="shared" si="33"/>
        <v>296.15887584246923</v>
      </c>
      <c r="I118" s="139">
        <f t="shared" si="33"/>
        <v>296.15887584246923</v>
      </c>
      <c r="J118" s="139">
        <f t="shared" si="33"/>
        <v>296.15887584246923</v>
      </c>
      <c r="K118" s="148"/>
      <c r="L118" s="36"/>
      <c r="M118" s="36"/>
    </row>
    <row r="119" spans="1:13">
      <c r="A119" s="149">
        <v>3</v>
      </c>
      <c r="C119" s="149" t="s">
        <v>471</v>
      </c>
      <c r="E119" s="139">
        <f t="shared" si="33"/>
        <v>0</v>
      </c>
      <c r="F119" s="139">
        <f t="shared" si="33"/>
        <v>0</v>
      </c>
      <c r="G119" s="139">
        <f t="shared" si="33"/>
        <v>0</v>
      </c>
      <c r="H119" s="139">
        <f t="shared" si="33"/>
        <v>377.06562157690496</v>
      </c>
      <c r="I119" s="139">
        <f t="shared" si="33"/>
        <v>377.06562157690496</v>
      </c>
      <c r="J119" s="139">
        <f t="shared" si="33"/>
        <v>377.06562157690496</v>
      </c>
      <c r="K119" s="148"/>
      <c r="L119" s="36"/>
      <c r="M119" s="36"/>
    </row>
    <row r="120" spans="1:13">
      <c r="A120" s="149">
        <v>4</v>
      </c>
      <c r="C120" s="149" t="s">
        <v>472</v>
      </c>
      <c r="E120" s="139">
        <f t="shared" si="33"/>
        <v>0</v>
      </c>
      <c r="F120" s="139">
        <f t="shared" si="33"/>
        <v>0</v>
      </c>
      <c r="G120" s="139">
        <f t="shared" si="33"/>
        <v>0</v>
      </c>
      <c r="H120" s="139">
        <f t="shared" si="33"/>
        <v>0</v>
      </c>
      <c r="I120" s="139">
        <f t="shared" si="33"/>
        <v>233.08135738653783</v>
      </c>
      <c r="J120" s="139">
        <f t="shared" si="33"/>
        <v>233.08135738653783</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268.07825787544363</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13673</v>
      </c>
      <c r="F123" s="139">
        <f t="shared" ref="F123:J123" si="34">F105-F117+IF($A123=F$103,F$104,0)</f>
        <v>13369.155555555555</v>
      </c>
      <c r="G123" s="139">
        <f t="shared" si="34"/>
        <v>13065.31111111111</v>
      </c>
      <c r="H123" s="139">
        <f t="shared" si="34"/>
        <v>12761.466666666665</v>
      </c>
      <c r="I123" s="139">
        <f t="shared" si="34"/>
        <v>12457.62222222222</v>
      </c>
      <c r="J123" s="139">
        <f t="shared" si="34"/>
        <v>12153.777777777776</v>
      </c>
      <c r="K123" s="148"/>
      <c r="L123" s="36"/>
      <c r="M123" s="36"/>
    </row>
    <row r="124" spans="1:13">
      <c r="A124" s="149">
        <v>2</v>
      </c>
      <c r="C124" s="149" t="s">
        <v>476</v>
      </c>
      <c r="E124" s="139">
        <f t="shared" ref="E124:J128" si="35">E106-E118+IF($A124=E$103,E$104,0)</f>
        <v>0</v>
      </c>
      <c r="F124" s="139">
        <f t="shared" si="35"/>
        <v>13327.149412911116</v>
      </c>
      <c r="G124" s="139">
        <f t="shared" si="35"/>
        <v>13030.990537068647</v>
      </c>
      <c r="H124" s="139">
        <f t="shared" si="35"/>
        <v>12734.831661226177</v>
      </c>
      <c r="I124" s="139">
        <f t="shared" si="35"/>
        <v>12438.672785383707</v>
      </c>
      <c r="J124" s="139">
        <f t="shared" si="35"/>
        <v>12142.513909541238</v>
      </c>
      <c r="K124" s="148"/>
      <c r="L124" s="36"/>
      <c r="M124" s="36"/>
    </row>
    <row r="125" spans="1:13">
      <c r="A125" s="149">
        <v>3</v>
      </c>
      <c r="C125" s="149" t="s">
        <v>477</v>
      </c>
      <c r="E125" s="139">
        <f t="shared" si="35"/>
        <v>0</v>
      </c>
      <c r="F125" s="139">
        <f t="shared" si="35"/>
        <v>0</v>
      </c>
      <c r="G125" s="139">
        <f t="shared" si="35"/>
        <v>16967.952970960723</v>
      </c>
      <c r="H125" s="139">
        <f t="shared" si="35"/>
        <v>16590.887349383818</v>
      </c>
      <c r="I125" s="139">
        <f t="shared" si="35"/>
        <v>16213.821727806913</v>
      </c>
      <c r="J125" s="139">
        <f t="shared" si="35"/>
        <v>15836.756106230008</v>
      </c>
      <c r="K125" s="148"/>
      <c r="L125" s="36"/>
      <c r="M125" s="36"/>
    </row>
    <row r="126" spans="1:13">
      <c r="A126" s="149">
        <v>4</v>
      </c>
      <c r="C126" s="149" t="s">
        <v>478</v>
      </c>
      <c r="E126" s="139">
        <f t="shared" si="35"/>
        <v>0</v>
      </c>
      <c r="F126" s="139">
        <f t="shared" si="35"/>
        <v>0</v>
      </c>
      <c r="G126" s="139">
        <f t="shared" si="35"/>
        <v>0</v>
      </c>
      <c r="H126" s="139">
        <f t="shared" si="35"/>
        <v>10488.661082394203</v>
      </c>
      <c r="I126" s="139">
        <f t="shared" si="35"/>
        <v>10255.579725007665</v>
      </c>
      <c r="J126" s="139">
        <f t="shared" si="35"/>
        <v>10022.498367621127</v>
      </c>
      <c r="K126" s="148"/>
      <c r="L126" s="36"/>
      <c r="M126" s="36"/>
    </row>
    <row r="127" spans="1:13">
      <c r="A127" s="149">
        <v>5</v>
      </c>
      <c r="C127" s="149" t="s">
        <v>479</v>
      </c>
      <c r="E127" s="139">
        <f t="shared" si="35"/>
        <v>0</v>
      </c>
      <c r="F127" s="139">
        <f t="shared" si="35"/>
        <v>0</v>
      </c>
      <c r="G127" s="139">
        <f t="shared" si="35"/>
        <v>0</v>
      </c>
      <c r="H127" s="139">
        <f t="shared" si="35"/>
        <v>0</v>
      </c>
      <c r="I127" s="139">
        <f t="shared" si="35"/>
        <v>12063.521604394962</v>
      </c>
      <c r="J127" s="139">
        <f t="shared" si="35"/>
        <v>11795.443346519518</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13597.616788268731</v>
      </c>
      <c r="K128" s="148"/>
      <c r="L128" s="36"/>
      <c r="M128" s="36"/>
    </row>
    <row r="129" spans="3:13">
      <c r="C129" s="149" t="s">
        <v>72</v>
      </c>
      <c r="E129" s="139">
        <f>SUM(E105:E110)</f>
        <v>0</v>
      </c>
      <c r="F129" s="139">
        <f t="shared" ref="F129:J129" si="36">SUM(F105:F110)</f>
        <v>13673</v>
      </c>
      <c r="G129" s="139">
        <f t="shared" si="36"/>
        <v>26696.304968466669</v>
      </c>
      <c r="H129" s="139">
        <f t="shared" si="36"/>
        <v>43064.254619140484</v>
      </c>
      <c r="I129" s="139">
        <f t="shared" si="36"/>
        <v>52575.846759670865</v>
      </c>
      <c r="J129" s="139">
        <f t="shared" si="36"/>
        <v>63429.218064815468</v>
      </c>
      <c r="K129" s="148"/>
      <c r="L129" s="36"/>
      <c r="M129" s="36"/>
    </row>
    <row r="130" spans="3:13">
      <c r="C130" s="149" t="s">
        <v>67</v>
      </c>
      <c r="E130" s="139">
        <f>SUM(E117:E122)</f>
        <v>0</v>
      </c>
      <c r="F130" s="139">
        <f t="shared" ref="F130:J130" si="37">SUM(F117:F122)</f>
        <v>303.84444444444443</v>
      </c>
      <c r="G130" s="139">
        <f t="shared" si="37"/>
        <v>600.00332028691366</v>
      </c>
      <c r="H130" s="139">
        <f t="shared" si="37"/>
        <v>977.06894186381862</v>
      </c>
      <c r="I130" s="139">
        <f t="shared" si="37"/>
        <v>1210.1502992503565</v>
      </c>
      <c r="J130" s="139">
        <f t="shared" si="37"/>
        <v>1478.2285571257999</v>
      </c>
      <c r="K130" s="148"/>
      <c r="L130" s="36"/>
      <c r="M130" s="36"/>
    </row>
    <row r="131" spans="3:13" s="36" customFormat="1">
      <c r="C131" s="36" t="s">
        <v>73</v>
      </c>
      <c r="E131" s="139">
        <f>SUM(E123:E128)</f>
        <v>13673</v>
      </c>
      <c r="F131" s="139">
        <f t="shared" ref="F131:J131" si="38">SUM(F123:F128)</f>
        <v>26696.304968466669</v>
      </c>
      <c r="G131" s="139">
        <f t="shared" si="38"/>
        <v>43064.254619140484</v>
      </c>
      <c r="H131" s="139">
        <f t="shared" si="38"/>
        <v>52575.846759670865</v>
      </c>
      <c r="I131" s="139">
        <f t="shared" si="38"/>
        <v>63429.218064815468</v>
      </c>
      <c r="J131" s="139">
        <f t="shared" si="38"/>
        <v>75548.606295958394</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158439</v>
      </c>
      <c r="F134" s="139">
        <f>E137</f>
        <v>152545</v>
      </c>
      <c r="G134" s="139">
        <f t="shared" ref="G134:J134" si="39">F137</f>
        <v>146651</v>
      </c>
      <c r="H134" s="139">
        <f t="shared" si="39"/>
        <v>140757</v>
      </c>
      <c r="I134" s="139">
        <f t="shared" si="39"/>
        <v>134863</v>
      </c>
      <c r="J134" s="139">
        <f t="shared" si="39"/>
        <v>128969</v>
      </c>
      <c r="K134" s="148"/>
      <c r="L134" s="36"/>
      <c r="M134" s="36"/>
    </row>
    <row r="135" spans="3:13">
      <c r="C135" s="149" t="s">
        <v>41</v>
      </c>
      <c r="E135" s="139">
        <f t="shared" ref="E135:J135" si="40">E55</f>
        <v>0</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5894</v>
      </c>
      <c r="F136" s="139">
        <f t="shared" si="41"/>
        <v>5894</v>
      </c>
      <c r="G136" s="139">
        <f t="shared" si="41"/>
        <v>5894</v>
      </c>
      <c r="H136" s="139">
        <f t="shared" si="41"/>
        <v>5894</v>
      </c>
      <c r="I136" s="139">
        <f t="shared" si="41"/>
        <v>5894</v>
      </c>
      <c r="J136" s="139">
        <f t="shared" si="41"/>
        <v>5894</v>
      </c>
      <c r="K136" s="148"/>
      <c r="L136" s="36"/>
      <c r="M136" s="36"/>
    </row>
    <row r="137" spans="3:13">
      <c r="C137" s="149" t="s">
        <v>66</v>
      </c>
      <c r="E137" s="139">
        <f t="shared" ref="E137:J137" si="42">E134-E135-E136</f>
        <v>152545</v>
      </c>
      <c r="F137" s="139">
        <f t="shared" si="42"/>
        <v>146651</v>
      </c>
      <c r="G137" s="139">
        <f t="shared" si="42"/>
        <v>140757</v>
      </c>
      <c r="H137" s="139">
        <f t="shared" si="42"/>
        <v>134863</v>
      </c>
      <c r="I137" s="139">
        <f t="shared" si="42"/>
        <v>128969</v>
      </c>
      <c r="J137" s="139">
        <f t="shared" si="42"/>
        <v>123075</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158439</v>
      </c>
      <c r="F140" s="139">
        <f t="shared" si="43"/>
        <v>168948.51396366925</v>
      </c>
      <c r="G140" s="139">
        <f t="shared" si="43"/>
        <v>179319.56129489013</v>
      </c>
      <c r="H140" s="139">
        <f t="shared" si="43"/>
        <v>193922.82945515751</v>
      </c>
      <c r="I140" s="139">
        <f t="shared" si="43"/>
        <v>201840.44141945735</v>
      </c>
      <c r="J140" s="139">
        <f t="shared" si="43"/>
        <v>211108.16278406678</v>
      </c>
      <c r="K140" s="148"/>
      <c r="L140" s="36"/>
      <c r="M140" s="36"/>
    </row>
    <row r="141" spans="3:13">
      <c r="C141" s="149" t="s">
        <v>268</v>
      </c>
      <c r="E141" s="139">
        <f t="shared" ref="E141:J143" si="44">E60+E98</f>
        <v>2730.5139636692479</v>
      </c>
      <c r="F141" s="139">
        <f t="shared" si="44"/>
        <v>3347.2433578826704</v>
      </c>
      <c r="G141" s="139">
        <f t="shared" si="44"/>
        <v>4364.6167165362449</v>
      </c>
      <c r="H141" s="139">
        <f t="shared" si="44"/>
        <v>4705.6884234730151</v>
      </c>
      <c r="I141" s="139">
        <f t="shared" si="44"/>
        <v>4897.8154415586941</v>
      </c>
      <c r="J141" s="139">
        <f t="shared" si="44"/>
        <v>5122.7039152878833</v>
      </c>
      <c r="K141" s="148"/>
      <c r="L141" s="36"/>
      <c r="M141" s="36"/>
    </row>
    <row r="142" spans="3:13">
      <c r="C142" s="149" t="s">
        <v>267</v>
      </c>
      <c r="E142" s="139">
        <f>E61+E99</f>
        <v>5894</v>
      </c>
      <c r="F142" s="139">
        <f t="shared" si="44"/>
        <v>6303.345439572875</v>
      </c>
      <c r="G142" s="139">
        <f t="shared" si="44"/>
        <v>6729.3015272296207</v>
      </c>
      <c r="H142" s="139">
        <f t="shared" si="44"/>
        <v>7276.7375415673723</v>
      </c>
      <c r="I142" s="139">
        <f t="shared" si="44"/>
        <v>7693.6156813442394</v>
      </c>
      <c r="J142" s="139">
        <f t="shared" si="44"/>
        <v>8156.2434609274078</v>
      </c>
      <c r="K142" s="148"/>
      <c r="L142" s="36"/>
      <c r="M142" s="36"/>
    </row>
    <row r="143" spans="3:13">
      <c r="C143" s="149" t="s">
        <v>270</v>
      </c>
      <c r="E143" s="139">
        <f t="shared" si="44"/>
        <v>168948.51396366925</v>
      </c>
      <c r="F143" s="139">
        <f t="shared" si="44"/>
        <v>179319.56129489013</v>
      </c>
      <c r="G143" s="139">
        <f t="shared" si="44"/>
        <v>193922.82945515751</v>
      </c>
      <c r="H143" s="139">
        <f t="shared" si="44"/>
        <v>201840.44141945735</v>
      </c>
      <c r="I143" s="139">
        <f t="shared" si="44"/>
        <v>211108.16278406678</v>
      </c>
      <c r="J143" s="216">
        <f t="shared" si="44"/>
        <v>221672.240026696</v>
      </c>
      <c r="K143" s="148"/>
      <c r="L143" s="36"/>
      <c r="M143" s="36"/>
    </row>
    <row r="144" spans="3:13">
      <c r="C144" s="149" t="s">
        <v>46</v>
      </c>
      <c r="E144" s="139">
        <f t="shared" ref="E144:J144" si="45">E130+E136</f>
        <v>5894</v>
      </c>
      <c r="F144" s="139">
        <f t="shared" si="45"/>
        <v>6197.8444444444449</v>
      </c>
      <c r="G144" s="139">
        <f t="shared" si="45"/>
        <v>6494.0033202869135</v>
      </c>
      <c r="H144" s="139">
        <f t="shared" si="45"/>
        <v>6871.0689418638185</v>
      </c>
      <c r="I144" s="139">
        <f t="shared" si="45"/>
        <v>7104.1502992503565</v>
      </c>
      <c r="J144" s="139">
        <f t="shared" si="45"/>
        <v>7372.2285571257999</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1.0663316100434188</v>
      </c>
      <c r="G148" s="308">
        <f t="shared" ref="G148:J148" si="46">G140/$E140</f>
        <v>1.131789277229029</v>
      </c>
      <c r="H148" s="308">
        <f t="shared" si="46"/>
        <v>1.2239589334390997</v>
      </c>
      <c r="I148" s="308">
        <f t="shared" si="46"/>
        <v>1.2739315535913338</v>
      </c>
      <c r="J148" s="308">
        <f t="shared" si="46"/>
        <v>1.3324254936225726</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9.7269227080278964E-2</v>
      </c>
      <c r="E152" s="36"/>
      <c r="F152" s="36"/>
      <c r="G152" s="36"/>
      <c r="H152" s="36"/>
      <c r="I152" s="36"/>
      <c r="J152" s="36"/>
      <c r="K152" s="148"/>
      <c r="L152" s="36"/>
      <c r="M152" s="36"/>
    </row>
    <row r="153" spans="1:13">
      <c r="C153" s="149" t="s">
        <v>282</v>
      </c>
      <c r="E153" s="135">
        <f>E16</f>
        <v>72983</v>
      </c>
      <c r="F153" s="139">
        <f>E157</f>
        <v>79557</v>
      </c>
      <c r="G153" s="139">
        <f t="shared" ref="G153:J153" si="48">F157</f>
        <v>85145.701514085376</v>
      </c>
      <c r="H153" s="139">
        <f t="shared" si="48"/>
        <v>93831.597909562872</v>
      </c>
      <c r="I153" s="139">
        <f t="shared" si="48"/>
        <v>95193.331987586382</v>
      </c>
      <c r="J153" s="139">
        <f t="shared" si="48"/>
        <v>97997.471766352421</v>
      </c>
      <c r="K153" s="148"/>
      <c r="L153" s="36"/>
      <c r="M153" s="36"/>
    </row>
    <row r="154" spans="1:13">
      <c r="C154" s="149" t="s">
        <v>35</v>
      </c>
      <c r="E154" s="135">
        <f>E15</f>
        <v>7099</v>
      </c>
      <c r="F154" s="139">
        <f t="shared" ref="F154:J154" si="49">F153*$D152</f>
        <v>7738.4478988257533</v>
      </c>
      <c r="G154" s="139">
        <f t="shared" si="49"/>
        <v>8282.0565754832223</v>
      </c>
      <c r="H154" s="139">
        <f t="shared" si="49"/>
        <v>9126.9270043707002</v>
      </c>
      <c r="I154" s="139">
        <f t="shared" si="49"/>
        <v>9259.3818256289233</v>
      </c>
      <c r="J154" s="139">
        <f t="shared" si="49"/>
        <v>9532.1383345345603</v>
      </c>
      <c r="K154" s="148"/>
      <c r="L154" s="36"/>
      <c r="M154" s="36"/>
    </row>
    <row r="155" spans="1:13">
      <c r="C155" s="149" t="s">
        <v>124</v>
      </c>
      <c r="E155" s="139">
        <f t="shared" ref="E155:J155" si="50">E25</f>
        <v>13673</v>
      </c>
      <c r="F155" s="139">
        <f t="shared" si="50"/>
        <v>13327.149412911116</v>
      </c>
      <c r="G155" s="139">
        <f t="shared" si="50"/>
        <v>16967.952970960723</v>
      </c>
      <c r="H155" s="139">
        <f t="shared" si="50"/>
        <v>10488.661082394203</v>
      </c>
      <c r="I155" s="139">
        <f t="shared" si="50"/>
        <v>12063.521604394962</v>
      </c>
      <c r="J155" s="139">
        <f t="shared" si="50"/>
        <v>13597.616788268731</v>
      </c>
      <c r="K155" s="148"/>
      <c r="L155" s="309"/>
      <c r="M155" s="36"/>
    </row>
    <row r="156" spans="1:13">
      <c r="C156" s="149" t="s">
        <v>41</v>
      </c>
      <c r="E156" s="139">
        <f>E55</f>
        <v>0</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79557</v>
      </c>
      <c r="F157" s="139">
        <f t="shared" ref="F157:J157" si="52">F153-F154+F155-F156</f>
        <v>85145.701514085376</v>
      </c>
      <c r="G157" s="139">
        <f t="shared" si="52"/>
        <v>93831.597909562872</v>
      </c>
      <c r="H157" s="139">
        <f t="shared" si="52"/>
        <v>95193.331987586382</v>
      </c>
      <c r="I157" s="139">
        <f t="shared" si="52"/>
        <v>97997.471766352421</v>
      </c>
      <c r="J157" s="139">
        <f t="shared" si="52"/>
        <v>102062.95022008658</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-1205</v>
      </c>
      <c r="F160" s="139">
        <f t="shared" si="53"/>
        <v>-1540.6034543813084</v>
      </c>
      <c r="G160" s="139">
        <f t="shared" si="53"/>
        <v>-1788.0532551963088</v>
      </c>
      <c r="H160" s="139">
        <f t="shared" si="53"/>
        <v>-2255.8580625068817</v>
      </c>
      <c r="I160" s="139">
        <f t="shared" si="53"/>
        <v>-2155.2315263785667</v>
      </c>
      <c r="J160" s="139">
        <f t="shared" si="53"/>
        <v>-2159.9097774087604</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-1109.6590086354795</v>
      </c>
      <c r="G163" s="310">
        <f t="shared" ref="G163:J163" si="54">F166</f>
        <v>-2319.9990535853512</v>
      </c>
      <c r="H163" s="310">
        <f t="shared" si="54"/>
        <v>-3518.9357064334317</v>
      </c>
      <c r="I163" s="310">
        <f t="shared" si="54"/>
        <v>-4848.8577053284725</v>
      </c>
      <c r="J163" s="310">
        <f t="shared" si="54"/>
        <v>-6150.6042741075853</v>
      </c>
      <c r="K163" s="148"/>
      <c r="L163" s="36"/>
      <c r="M163" s="36"/>
    </row>
    <row r="164" spans="3:13">
      <c r="C164" s="149" t="s">
        <v>238</v>
      </c>
      <c r="E164" s="139">
        <f t="shared" ref="E164:J164" si="55">E160</f>
        <v>-1205</v>
      </c>
      <c r="F164" s="139">
        <f t="shared" si="55"/>
        <v>-1540.6034543813084</v>
      </c>
      <c r="G164" s="139">
        <f t="shared" si="55"/>
        <v>-1788.0532551963088</v>
      </c>
      <c r="H164" s="139">
        <f t="shared" si="55"/>
        <v>-2255.8580625068817</v>
      </c>
      <c r="I164" s="139">
        <f t="shared" si="55"/>
        <v>-2155.2315263785667</v>
      </c>
      <c r="J164" s="139">
        <f t="shared" si="55"/>
        <v>-2159.9097774087604</v>
      </c>
      <c r="K164" s="148"/>
      <c r="L164" s="36"/>
      <c r="M164" s="36"/>
    </row>
    <row r="165" spans="3:13">
      <c r="C165" s="149" t="s">
        <v>49</v>
      </c>
      <c r="E165" s="135">
        <f>(E11-E16)/E17</f>
        <v>2493.8633621182648</v>
      </c>
      <c r="F165" s="139">
        <f>E165</f>
        <v>2493.8633621182648</v>
      </c>
      <c r="G165" s="139">
        <f t="shared" ref="G165:J165" si="56">F165</f>
        <v>2493.8633621182648</v>
      </c>
      <c r="H165" s="139">
        <f t="shared" si="56"/>
        <v>2493.8633621182648</v>
      </c>
      <c r="I165" s="139">
        <f t="shared" si="56"/>
        <v>2493.8633621182648</v>
      </c>
      <c r="J165" s="139">
        <f t="shared" si="56"/>
        <v>2493.8633621182648</v>
      </c>
      <c r="K165" s="148"/>
      <c r="L165" s="36"/>
      <c r="M165" s="36"/>
    </row>
    <row r="166" spans="3:13">
      <c r="C166" s="149" t="s">
        <v>266</v>
      </c>
      <c r="E166" s="310">
        <f t="shared" ref="E166:J166" si="57">E163+(E164-E165)*E52</f>
        <v>-1109.6590086354795</v>
      </c>
      <c r="F166" s="310">
        <f t="shared" si="57"/>
        <v>-2319.9990535853512</v>
      </c>
      <c r="G166" s="310">
        <f t="shared" si="57"/>
        <v>-3518.9357064334317</v>
      </c>
      <c r="H166" s="310">
        <f t="shared" si="57"/>
        <v>-4848.8577053284725</v>
      </c>
      <c r="I166" s="310">
        <f t="shared" si="57"/>
        <v>-6150.6042741075853</v>
      </c>
      <c r="J166" s="310">
        <f t="shared" si="57"/>
        <v>-7453.6607531751524</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158439</v>
      </c>
      <c r="F169" s="139">
        <f t="shared" si="58"/>
        <v>167838.85495503378</v>
      </c>
      <c r="G169" s="139">
        <f t="shared" si="58"/>
        <v>176999.56224130478</v>
      </c>
      <c r="H169" s="139">
        <f t="shared" si="58"/>
        <v>190403.89374872408</v>
      </c>
      <c r="I169" s="139">
        <f t="shared" si="58"/>
        <v>196991.58371412888</v>
      </c>
      <c r="J169" s="139">
        <f t="shared" si="58"/>
        <v>204957.5585099592</v>
      </c>
      <c r="K169" s="148"/>
      <c r="L169" s="36"/>
      <c r="M169" s="36"/>
    </row>
    <row r="170" spans="3:13">
      <c r="C170" s="149" t="s">
        <v>124</v>
      </c>
      <c r="E170" s="139">
        <f t="shared" ref="E170:J170" si="59">E25</f>
        <v>13673</v>
      </c>
      <c r="F170" s="139">
        <f t="shared" si="59"/>
        <v>13327.149412911116</v>
      </c>
      <c r="G170" s="139">
        <f t="shared" si="59"/>
        <v>16967.952970960723</v>
      </c>
      <c r="H170" s="139">
        <f t="shared" si="59"/>
        <v>10488.661082394203</v>
      </c>
      <c r="I170" s="139">
        <f t="shared" si="59"/>
        <v>12063.521604394962</v>
      </c>
      <c r="J170" s="139">
        <f t="shared" si="59"/>
        <v>13597.616788268731</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2730.5139636692479</v>
      </c>
      <c r="F172" s="95">
        <f t="shared" si="61"/>
        <v>3347.2433578826704</v>
      </c>
      <c r="G172" s="95">
        <f t="shared" si="61"/>
        <v>4364.6167165362449</v>
      </c>
      <c r="H172" s="95">
        <f t="shared" si="61"/>
        <v>4705.6884234730151</v>
      </c>
      <c r="I172" s="95">
        <f t="shared" si="61"/>
        <v>4897.8154415586941</v>
      </c>
      <c r="J172" s="95">
        <f t="shared" si="61"/>
        <v>5122.7039152878833</v>
      </c>
      <c r="K172" s="148"/>
      <c r="L172" s="36"/>
      <c r="M172" s="36"/>
    </row>
    <row r="173" spans="3:13">
      <c r="C173" s="149" t="s">
        <v>334</v>
      </c>
      <c r="E173" s="139">
        <f t="shared" ref="E173:J173" si="62">E169*WACC+E170*($D$46-1)+E171-E172</f>
        <v>11749.906605151691</v>
      </c>
      <c r="F173" s="139">
        <f t="shared" si="62"/>
        <v>11942.739154532854</v>
      </c>
      <c r="G173" s="139">
        <f t="shared" si="62"/>
        <v>11884.617070356016</v>
      </c>
      <c r="H173" s="139">
        <f t="shared" si="62"/>
        <v>12441.736636460106</v>
      </c>
      <c r="I173" s="139">
        <f t="shared" si="62"/>
        <v>12894.76740448999</v>
      </c>
      <c r="J173" s="139">
        <f t="shared" si="62"/>
        <v>13434.167194575988</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5528.2535879999996</v>
      </c>
      <c r="F176" s="310">
        <f t="shared" si="63"/>
        <v>5856.2333270910385</v>
      </c>
      <c r="G176" s="310">
        <f t="shared" si="63"/>
        <v>6175.8687257236061</v>
      </c>
      <c r="H176" s="310">
        <f t="shared" si="63"/>
        <v>6643.5726606804792</v>
      </c>
      <c r="I176" s="310">
        <f t="shared" si="63"/>
        <v>6873.4303389533843</v>
      </c>
      <c r="J176" s="310">
        <f t="shared" si="63"/>
        <v>7151.3791315294957</v>
      </c>
      <c r="K176" s="148"/>
      <c r="L176" s="36"/>
      <c r="M176" s="36"/>
    </row>
    <row r="177" spans="3:13">
      <c r="C177" s="149" t="s">
        <v>52</v>
      </c>
      <c r="E177" s="310">
        <f t="shared" ref="E177:J177" si="64">E142-E144</f>
        <v>0</v>
      </c>
      <c r="F177" s="310">
        <f t="shared" si="64"/>
        <v>105.50099512843008</v>
      </c>
      <c r="G177" s="310">
        <f t="shared" si="64"/>
        <v>235.29820694270711</v>
      </c>
      <c r="H177" s="310">
        <f t="shared" si="64"/>
        <v>405.66859970355381</v>
      </c>
      <c r="I177" s="310">
        <f t="shared" si="64"/>
        <v>589.46538209388291</v>
      </c>
      <c r="J177" s="310">
        <f t="shared" si="64"/>
        <v>784.01490380160794</v>
      </c>
      <c r="K177" s="148"/>
      <c r="L177" s="36"/>
      <c r="M177" s="36"/>
    </row>
    <row r="178" spans="3:13">
      <c r="C178" s="149" t="s">
        <v>53</v>
      </c>
      <c r="E178" s="310">
        <f t="shared" ref="E178:J178" si="65">E165+E177-E176</f>
        <v>-3034.3902258817348</v>
      </c>
      <c r="F178" s="310">
        <f t="shared" si="65"/>
        <v>-3256.8689698443436</v>
      </c>
      <c r="G178" s="310">
        <f t="shared" si="65"/>
        <v>-3446.7071566626341</v>
      </c>
      <c r="H178" s="310">
        <f t="shared" si="65"/>
        <v>-3744.0406988586606</v>
      </c>
      <c r="I178" s="310">
        <f t="shared" si="65"/>
        <v>-3790.1015947412366</v>
      </c>
      <c r="J178" s="310">
        <f t="shared" si="65"/>
        <v>-3873.5008656096229</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5894</v>
      </c>
      <c r="F181" s="139">
        <f t="shared" si="66"/>
        <v>6303.345439572875</v>
      </c>
      <c r="G181" s="139">
        <f t="shared" si="66"/>
        <v>6729.3015272296207</v>
      </c>
      <c r="H181" s="139">
        <f t="shared" si="66"/>
        <v>7276.7375415673723</v>
      </c>
      <c r="I181" s="139">
        <f t="shared" si="66"/>
        <v>7693.6156813442394</v>
      </c>
      <c r="J181" s="139">
        <f t="shared" si="66"/>
        <v>8156.2434609274078</v>
      </c>
      <c r="K181" s="148"/>
      <c r="L181" s="36"/>
      <c r="M181" s="36"/>
    </row>
    <row r="182" spans="3:13">
      <c r="C182" s="149" t="s">
        <v>275</v>
      </c>
      <c r="E182" s="139">
        <f>E55</f>
        <v>0</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5894</v>
      </c>
      <c r="F183" s="95">
        <f>F181+F182</f>
        <v>6303.345439572875</v>
      </c>
      <c r="G183" s="95">
        <f t="shared" ref="G183:J183" si="68">G181+G182</f>
        <v>6729.3015272296207</v>
      </c>
      <c r="H183" s="95">
        <f t="shared" si="68"/>
        <v>7276.7375415673723</v>
      </c>
      <c r="I183" s="95">
        <f t="shared" si="68"/>
        <v>7693.6156813442394</v>
      </c>
      <c r="J183" s="95">
        <f t="shared" si="68"/>
        <v>8156.2434609274078</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446.21476147772501</v>
      </c>
      <c r="F186" s="139">
        <f t="shared" ref="F186:J186" si="69">F40</f>
        <v>466.1459586631475</v>
      </c>
      <c r="G186" s="139">
        <f t="shared" si="69"/>
        <v>473.46762293534357</v>
      </c>
      <c r="H186" s="139">
        <f t="shared" si="69"/>
        <v>482.41632371247204</v>
      </c>
      <c r="I186" s="139">
        <f t="shared" si="69"/>
        <v>492.58530186829984</v>
      </c>
      <c r="J186" s="139">
        <f t="shared" si="69"/>
        <v>503.56779827659392</v>
      </c>
      <c r="K186" s="148"/>
      <c r="L186" s="36"/>
      <c r="M186" s="36"/>
    </row>
    <row r="187" spans="3:13">
      <c r="E187" s="36"/>
      <c r="F187" s="95"/>
      <c r="G187" s="95"/>
      <c r="H187" s="95"/>
      <c r="I187" s="95"/>
      <c r="J187" s="95"/>
      <c r="K187" s="148"/>
      <c r="L187" s="36"/>
      <c r="M187" s="36"/>
    </row>
    <row r="188" spans="3:13" ht="15.75">
      <c r="C188" s="5" t="s">
        <v>297</v>
      </c>
      <c r="E188" s="139">
        <f t="shared" ref="E188:J188" si="70">E24</f>
        <v>6009</v>
      </c>
      <c r="F188" s="139">
        <f t="shared" si="70"/>
        <v>6203.1321605401299</v>
      </c>
      <c r="G188" s="139">
        <f t="shared" si="70"/>
        <v>6457.5707116271751</v>
      </c>
      <c r="H188" s="139">
        <f t="shared" si="70"/>
        <v>6694.9344069643321</v>
      </c>
      <c r="I188" s="139">
        <f t="shared" si="70"/>
        <v>6913.6151109891634</v>
      </c>
      <c r="J188" s="139">
        <f t="shared" si="70"/>
        <v>7152.6297332149634</v>
      </c>
      <c r="K188" s="148"/>
      <c r="L188" s="309"/>
      <c r="M188" s="36"/>
    </row>
    <row r="189" spans="3:13">
      <c r="C189" s="149" t="s">
        <v>298</v>
      </c>
      <c r="E189" s="139">
        <f t="shared" ref="E189:J189" si="71">E188*$D$44</f>
        <v>6266.2361219443446</v>
      </c>
      <c r="F189" s="139">
        <f t="shared" si="71"/>
        <v>6468.6787840857423</v>
      </c>
      <c r="G189" s="139">
        <f t="shared" si="71"/>
        <v>6734.0094613426609</v>
      </c>
      <c r="H189" s="139">
        <f t="shared" si="71"/>
        <v>6981.5343343264994</v>
      </c>
      <c r="I189" s="139">
        <f t="shared" si="71"/>
        <v>7209.5764256449584</v>
      </c>
      <c r="J189" s="139">
        <f t="shared" si="71"/>
        <v>7458.8228991786891</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-1109.6590086354795</v>
      </c>
      <c r="F192" s="310">
        <f t="shared" si="72"/>
        <v>-1210.3400449498718</v>
      </c>
      <c r="G192" s="310">
        <f t="shared" si="72"/>
        <v>-1198.9366528480805</v>
      </c>
      <c r="H192" s="310">
        <f t="shared" si="72"/>
        <v>-1329.9219988950408</v>
      </c>
      <c r="I192" s="310">
        <f t="shared" si="72"/>
        <v>-1301.7465687791127</v>
      </c>
      <c r="J192" s="310">
        <f t="shared" si="72"/>
        <v>-1303.0564790675671</v>
      </c>
      <c r="K192" s="148"/>
      <c r="L192" s="309"/>
      <c r="M192" s="36"/>
    </row>
    <row r="193" spans="2:15">
      <c r="C193" s="149" t="s">
        <v>285</v>
      </c>
      <c r="E193" s="36"/>
      <c r="F193" s="310">
        <f>(F173+F183+F189+((F186-F188-F142+F178)*F52+F192)*$D45-F192-F186*$D47)/($D48-F52*$D45)</f>
        <v>26863.921883202518</v>
      </c>
      <c r="G193" s="310">
        <f>(G173+G183+G189+((G186-G188-G142+G178)*G52+G192)*$D45-G192-G186*$D47)/($D48-G52*$D45)</f>
        <v>27042.761376916715</v>
      </c>
      <c r="H193" s="310">
        <f>(H173+H183+H189+((H186-H188-H142+H178)*H52+H192)*$D45-H192-H186*$D47)/($D48-H52*$D45)</f>
        <v>28421.248838266096</v>
      </c>
      <c r="I193" s="310">
        <f>(I173+I183+I189+((I186-I188-I142+I178)*I52+I192)*$D45-I192-I186*$D47)/($D48-I52*$D45)</f>
        <v>29622.962547957231</v>
      </c>
      <c r="J193" s="310">
        <f>(J173+J183+J189+((J186-J188-J142+J178)*J52+J192)*$D45-J192-J186*$D47)/($D48-J52*$D45)</f>
        <v>30987.937567353198</v>
      </c>
      <c r="K193" s="148"/>
      <c r="L193" s="309"/>
      <c r="M193" s="36"/>
    </row>
    <row r="194" spans="2:15">
      <c r="C194" s="149" t="s">
        <v>293</v>
      </c>
      <c r="E194" s="36"/>
      <c r="F194" s="310">
        <f>(F193+F186-F188-F181+F178)*F52</f>
        <v>3470.0163815724954</v>
      </c>
      <c r="G194" s="310">
        <f>(G193+G186-G188-G181+G178)*G52</f>
        <v>3047.141889213136</v>
      </c>
      <c r="H194" s="310">
        <f>(H193+H186-H188-H181+H178)*H52</f>
        <v>3132.6267040846974</v>
      </c>
      <c r="I194" s="310">
        <f>(I193+I186-I188-I181+I178)*I52</f>
        <v>3281.1003295702499</v>
      </c>
      <c r="J194" s="310">
        <f>(J193+J186-J188-J181+J178)*J52</f>
        <v>3446.5567656457843</v>
      </c>
      <c r="K194" s="148"/>
      <c r="L194" s="309"/>
      <c r="M194" s="36"/>
    </row>
    <row r="195" spans="2:15">
      <c r="C195" s="149" t="s">
        <v>277</v>
      </c>
      <c r="E195" s="36"/>
      <c r="F195" s="310">
        <f>IF(F194&lt;0,#N/A,F194)</f>
        <v>3470.0163815724954</v>
      </c>
      <c r="G195" s="310">
        <f t="shared" ref="G195:J195" si="73">IF(G194&lt;0,#N/A,G194)</f>
        <v>3047.141889213136</v>
      </c>
      <c r="H195" s="310">
        <f t="shared" si="73"/>
        <v>3132.6267040846974</v>
      </c>
      <c r="I195" s="310">
        <f>IF(I194&lt;0,#N/A,I194)</f>
        <v>3281.1003295702499</v>
      </c>
      <c r="J195" s="310">
        <f t="shared" si="73"/>
        <v>3446.5567656457843</v>
      </c>
      <c r="K195" s="148"/>
      <c r="L195" s="309"/>
      <c r="M195" s="36"/>
    </row>
    <row r="196" spans="2:15">
      <c r="C196" s="149" t="s">
        <v>286</v>
      </c>
      <c r="E196" s="36"/>
      <c r="F196" s="310">
        <f>F173+F183+F189+(F195+F192)*$D$45-F192-F186*$D$47</f>
        <v>27795.412100154848</v>
      </c>
      <c r="G196" s="310">
        <f>G173+G183+G189+(G195+G192)*$D$45-G192-G186*$D$47</f>
        <v>27980.452744971393</v>
      </c>
      <c r="H196" s="310">
        <f>H173+H183+H189+(H195+H192)*$D$45-H192-H186*$D$47</f>
        <v>29406.738423945932</v>
      </c>
      <c r="I196" s="310">
        <f>I173+I183+I189+(I195+I192)*$D$45-I192-I186*$D$47</f>
        <v>30650.120828514217</v>
      </c>
      <c r="J196" s="310">
        <f>J173+J183+J189+(J195+J192)*$D$45-J192-J186*$D$47</f>
        <v>32062.425529796528</v>
      </c>
      <c r="K196" s="148"/>
      <c r="L196" s="309"/>
      <c r="M196" s="36"/>
    </row>
    <row r="197" spans="2:15">
      <c r="C197" s="149" t="s">
        <v>287</v>
      </c>
      <c r="E197" s="36"/>
      <c r="F197" s="310">
        <f>F196/$D$48</f>
        <v>26863.921883202518</v>
      </c>
      <c r="G197" s="310">
        <f t="shared" ref="G197:J197" si="74">G196/$D$48</f>
        <v>27042.761376916711</v>
      </c>
      <c r="H197" s="310">
        <f t="shared" si="74"/>
        <v>28421.248838266096</v>
      </c>
      <c r="I197" s="310">
        <f t="shared" si="74"/>
        <v>29622.962547957231</v>
      </c>
      <c r="J197" s="310">
        <f t="shared" si="74"/>
        <v>30987.937567353194</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2259.6763366226237</v>
      </c>
      <c r="G199" s="310">
        <f t="shared" ref="G199:J199" si="75">G195+G192</f>
        <v>1848.2052363650555</v>
      </c>
      <c r="H199" s="310">
        <f t="shared" si="75"/>
        <v>1802.7047051896566</v>
      </c>
      <c r="I199" s="310">
        <f t="shared" si="75"/>
        <v>1979.3537607911371</v>
      </c>
      <c r="J199" s="310">
        <f t="shared" si="75"/>
        <v>2143.5002865782171</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29406.738423945932</v>
      </c>
      <c r="I204" s="310">
        <f>I196</f>
        <v>30650.120828514217</v>
      </c>
      <c r="J204" s="310">
        <f>J196</f>
        <v>32062.425529796528</v>
      </c>
      <c r="K204" s="148"/>
      <c r="L204" s="36"/>
      <c r="M204" s="36"/>
    </row>
    <row r="205" spans="2:15">
      <c r="B205" s="149" t="s">
        <v>247</v>
      </c>
      <c r="C205" s="149" t="s">
        <v>249</v>
      </c>
      <c r="D205" s="155"/>
      <c r="E205" s="36"/>
      <c r="F205" s="310"/>
      <c r="G205" s="310"/>
      <c r="H205" s="310">
        <f>H204/(1+WACC)^H$203</f>
        <v>27035.706926492538</v>
      </c>
      <c r="I205" s="310">
        <f>I204/(1+WACC)^I$203</f>
        <v>25906.809633020141</v>
      </c>
      <c r="J205" s="310">
        <f>J204/(1+WACC)^J$203</f>
        <v>24915.46449927174</v>
      </c>
      <c r="K205" s="148"/>
      <c r="L205" s="36"/>
      <c r="M205" s="36"/>
    </row>
    <row r="206" spans="2:15">
      <c r="B206" s="149" t="s">
        <v>247</v>
      </c>
      <c r="C206" s="149" t="s">
        <v>159</v>
      </c>
      <c r="D206" s="92">
        <f>SUM(H205:J205)</f>
        <v>77857.981058784411</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77857.981058784411</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1.0374464796018976</v>
      </c>
      <c r="J211" s="316">
        <f>I211*(1+J$31)*(1+J$26)*(1-X_industry_wide)</f>
        <v>1.0767122121681165</v>
      </c>
      <c r="K211" s="148"/>
      <c r="L211" s="36" t="s">
        <v>509</v>
      </c>
      <c r="M211" s="36"/>
    </row>
    <row r="212" spans="1:13">
      <c r="C212" s="149" t="s">
        <v>160</v>
      </c>
      <c r="D212" s="155"/>
      <c r="E212" s="36"/>
      <c r="F212" s="317"/>
      <c r="G212" s="316"/>
      <c r="H212" s="316">
        <f>H211/(1+WACC)^H$203</f>
        <v>0.91937115013330895</v>
      </c>
      <c r="I212" s="316">
        <f>I211/(1+WACC)^I$203</f>
        <v>0.87689469812756193</v>
      </c>
      <c r="J212" s="316">
        <f>J211/(1+WACC)^J$203</f>
        <v>0.83670478620764832</v>
      </c>
      <c r="K212" s="148"/>
      <c r="L212" s="36" t="s">
        <v>280</v>
      </c>
      <c r="M212" s="36"/>
    </row>
    <row r="213" spans="1:13">
      <c r="C213" s="149" t="s">
        <v>99</v>
      </c>
      <c r="D213" s="140">
        <f>SUM(H212:J212)</f>
        <v>2.6329706344685193</v>
      </c>
      <c r="E213" s="36"/>
      <c r="F213" s="317"/>
      <c r="G213" s="316"/>
      <c r="H213" s="316"/>
      <c r="I213" s="316"/>
      <c r="J213" s="316"/>
      <c r="K213" s="148"/>
      <c r="L213" s="36" t="s">
        <v>510</v>
      </c>
      <c r="M213" s="36"/>
    </row>
    <row r="214" spans="1:13">
      <c r="C214" s="149" t="s">
        <v>256</v>
      </c>
      <c r="D214" s="26">
        <f>D210/D213</f>
        <v>29570.394762302582</v>
      </c>
      <c r="E214" s="36"/>
      <c r="F214" s="317"/>
      <c r="G214" s="316"/>
      <c r="H214" s="310"/>
      <c r="I214" s="310"/>
      <c r="J214" s="310"/>
      <c r="K214" s="148"/>
      <c r="L214" s="36"/>
      <c r="M214" s="36"/>
    </row>
    <row r="215" spans="1:13">
      <c r="C215" s="149" t="s">
        <v>252</v>
      </c>
      <c r="D215" s="26"/>
      <c r="E215" s="36"/>
      <c r="F215" s="317"/>
      <c r="G215" s="316"/>
      <c r="H215" s="310">
        <f t="shared" ref="H215:J215" si="76">$D214*H211</f>
        <v>29570.394762302582</v>
      </c>
      <c r="I215" s="310">
        <f t="shared" si="76"/>
        <v>30677.701946589204</v>
      </c>
      <c r="J215" s="310">
        <f t="shared" si="76"/>
        <v>31838.805159203297</v>
      </c>
      <c r="K215" s="148"/>
      <c r="L215" s="36" t="s">
        <v>243</v>
      </c>
      <c r="M215" s="36"/>
    </row>
    <row r="216" spans="1:13">
      <c r="C216" s="149" t="s">
        <v>253</v>
      </c>
      <c r="D216" s="26"/>
      <c r="E216" s="36"/>
      <c r="F216" s="317"/>
      <c r="G216" s="316"/>
      <c r="H216" s="247">
        <f t="shared" ref="H216:J216" si="77">H215/$D$48</f>
        <v>28579.420664374029</v>
      </c>
      <c r="I216" s="247">
        <f t="shared" si="77"/>
        <v>29649.619357316562</v>
      </c>
      <c r="J216" s="247">
        <f t="shared" si="77"/>
        <v>30771.811246021342</v>
      </c>
      <c r="K216" s="148"/>
      <c r="L216" s="36" t="s">
        <v>245</v>
      </c>
      <c r="M216" s="36"/>
    </row>
    <row r="217" spans="1:13">
      <c r="C217" s="149" t="s">
        <v>252</v>
      </c>
      <c r="D217" s="26"/>
      <c r="E217" s="36"/>
      <c r="F217" s="317"/>
      <c r="G217" s="316"/>
      <c r="H217" s="247">
        <f>H216*$D$48</f>
        <v>29570.394762302582</v>
      </c>
      <c r="I217" s="247">
        <f t="shared" ref="I217:J217" si="78">I216*$D$48</f>
        <v>30677.701946589204</v>
      </c>
      <c r="J217" s="247">
        <f t="shared" si="78"/>
        <v>31838.805159203297</v>
      </c>
      <c r="K217" s="148"/>
      <c r="L217" s="36" t="s">
        <v>299</v>
      </c>
      <c r="M217" s="36"/>
    </row>
    <row r="218" spans="1:13">
      <c r="C218" s="149" t="s">
        <v>254</v>
      </c>
      <c r="D218" s="155"/>
      <c r="E218" s="36"/>
      <c r="F218" s="317"/>
      <c r="G218" s="316"/>
      <c r="H218" s="310">
        <f>H215/(1+WACC)^H$203</f>
        <v>27186.1678425141</v>
      </c>
      <c r="I218" s="310">
        <f>I215/(1+WACC)^I$203</f>
        <v>25930.122388602162</v>
      </c>
      <c r="J218" s="310">
        <f>J215/(1+WACC)^J$203</f>
        <v>24741.690827668146</v>
      </c>
      <c r="K218" s="148"/>
      <c r="L218" s="36" t="s">
        <v>246</v>
      </c>
      <c r="M218" s="36"/>
    </row>
    <row r="219" spans="1:13">
      <c r="C219" s="149" t="s">
        <v>255</v>
      </c>
      <c r="D219" s="26">
        <f>SUM(H218:J218)</f>
        <v>77857.981058784411</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50671.813216270311</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-5.5852530840428804E-3</v>
      </c>
      <c r="G226" s="204">
        <f t="shared" ref="G226:J226" si="80">G$26</f>
        <v>3.0864154091714838E-2</v>
      </c>
      <c r="H226" s="204">
        <f t="shared" si="80"/>
        <v>1.0923031324600676E-2</v>
      </c>
      <c r="I226" s="204">
        <f t="shared" si="80"/>
        <v>1.2684439353658374E-2</v>
      </c>
      <c r="J226" s="204">
        <f t="shared" si="80"/>
        <v>1.3260877658761759E-2</v>
      </c>
      <c r="K226" s="148"/>
      <c r="L226" s="36"/>
      <c r="M226" s="36"/>
    </row>
    <row r="227" spans="1:14">
      <c r="A227" s="19"/>
      <c r="B227" s="19" t="s">
        <v>263</v>
      </c>
      <c r="C227" s="149" t="s">
        <v>411</v>
      </c>
      <c r="E227" s="163">
        <f>E$8-E$9-E$10</f>
        <v>22705</v>
      </c>
      <c r="F227" s="247">
        <f>E227*(1+F225)*(1+F226)*(1-X_industry_wide)</f>
        <v>23134.747964111397</v>
      </c>
      <c r="G227" s="247">
        <f>F227*(1+G225)*(1+G226)*(1-X_industry_wide)</f>
        <v>24273.569862746786</v>
      </c>
      <c r="H227" s="320">
        <f>G227*(1+H225)*(1+H226)*(1-X_industry_wide)</f>
        <v>25665.260732853119</v>
      </c>
      <c r="I227" s="247">
        <f>H227*(1+I225)*(1+I226)*(1-X_industry_wide)</f>
        <v>26626.33439536329</v>
      </c>
      <c r="J227" s="247">
        <f>I227*(1+J225)*(1+J226)*(1-X_industry_wide)</f>
        <v>27634.099659541782</v>
      </c>
      <c r="K227" s="148"/>
      <c r="L227" s="300"/>
      <c r="M227" s="36"/>
    </row>
    <row r="228" spans="1:14">
      <c r="A228" s="19"/>
      <c r="B228" s="19"/>
      <c r="C228" s="149" t="s">
        <v>358</v>
      </c>
      <c r="E228" s="215"/>
      <c r="F228" s="247"/>
      <c r="G228" s="320">
        <f>G227*$D$48</f>
        <v>25115.241192642796</v>
      </c>
      <c r="H228" s="320">
        <f>H227*$D$48</f>
        <v>26555.188100574214</v>
      </c>
      <c r="I228" s="320">
        <f>I227*$D$48</f>
        <v>27549.586410106924</v>
      </c>
      <c r="J228" s="320">
        <f>J227*$D$48</f>
        <v>28592.295324309711</v>
      </c>
      <c r="K228" s="148"/>
      <c r="L228" s="300"/>
      <c r="M228" s="36"/>
    </row>
    <row r="229" spans="1:14">
      <c r="A229" s="19"/>
      <c r="B229" s="19" t="s">
        <v>263</v>
      </c>
      <c r="C229" s="149" t="s">
        <v>335</v>
      </c>
      <c r="D229" s="92">
        <f>H227</f>
        <v>25665.260732853119</v>
      </c>
      <c r="E229" s="36"/>
      <c r="F229" s="247"/>
      <c r="G229" s="310"/>
      <c r="H229" s="310"/>
      <c r="I229" s="310"/>
      <c r="J229" s="310"/>
      <c r="K229" s="148"/>
      <c r="L229" s="300"/>
      <c r="M229" s="36"/>
    </row>
    <row r="230" spans="1:14">
      <c r="B230" s="19" t="s">
        <v>263</v>
      </c>
      <c r="C230" s="149" t="s">
        <v>336</v>
      </c>
      <c r="D230" s="92">
        <f>D214/D48</f>
        <v>28579.420664374029</v>
      </c>
      <c r="E230" s="36"/>
      <c r="F230" s="321"/>
      <c r="G230" s="310"/>
      <c r="H230" s="310"/>
      <c r="I230" s="310"/>
      <c r="J230" s="310"/>
      <c r="K230" s="148"/>
      <c r="L230" s="36"/>
      <c r="M230" s="36"/>
    </row>
    <row r="231" spans="1:14">
      <c r="B231" s="19" t="s">
        <v>263</v>
      </c>
      <c r="C231" s="149" t="s">
        <v>329</v>
      </c>
      <c r="D231" s="32">
        <f>(D230-D229)/D229</f>
        <v>0.11354491824003193</v>
      </c>
      <c r="E231" s="36"/>
      <c r="F231" s="247"/>
      <c r="G231" s="310"/>
      <c r="H231" s="310"/>
      <c r="I231" s="310"/>
      <c r="J231" s="310"/>
      <c r="K231" s="310"/>
      <c r="L231" s="310"/>
      <c r="M231" s="310"/>
      <c r="N231" s="19"/>
    </row>
    <row r="232" spans="1:14">
      <c r="C232" s="149" t="s">
        <v>452</v>
      </c>
      <c r="D232" s="125">
        <f>NPV(WACC,H228:J228)</f>
        <v>69919.030461599759</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2914.1599315209096</v>
      </c>
      <c r="F235" s="36"/>
      <c r="G235" s="36"/>
      <c r="H235" s="36"/>
      <c r="I235" s="310"/>
      <c r="J235" s="310"/>
      <c r="K235" s="148"/>
      <c r="L235" s="36"/>
      <c r="M235" s="36"/>
    </row>
    <row r="236" spans="1:14">
      <c r="C236" s="149" t="s">
        <v>341</v>
      </c>
      <c r="D236" s="94"/>
      <c r="E236" s="310">
        <f>H217-H228</f>
        <v>3015.2066617283672</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50671.813216270311</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1.0378484416673586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0.80650404879557691</v>
      </c>
      <c r="K245" s="148"/>
      <c r="L245" s="36" t="s">
        <v>280</v>
      </c>
      <c r="M245" s="36"/>
    </row>
    <row r="246" spans="1:13">
      <c r="A246" s="155"/>
      <c r="B246" s="155" t="s">
        <v>264</v>
      </c>
      <c r="C246" s="149" t="s">
        <v>99</v>
      </c>
      <c r="D246" s="140">
        <f>SUM(I245:J245)</f>
        <v>1.6517473604930202</v>
      </c>
      <c r="E246" s="36"/>
      <c r="F246" s="317"/>
      <c r="G246" s="316"/>
      <c r="H246" s="316"/>
      <c r="I246" s="316"/>
      <c r="J246" s="316"/>
      <c r="K246" s="148"/>
      <c r="L246" s="36" t="s">
        <v>510</v>
      </c>
      <c r="M246" s="36"/>
    </row>
    <row r="247" spans="1:13">
      <c r="A247" s="155"/>
      <c r="B247" s="155" t="s">
        <v>264</v>
      </c>
      <c r="C247" s="149" t="s">
        <v>256</v>
      </c>
      <c r="D247" s="26">
        <f>D242/D246</f>
        <v>30677.701946589208</v>
      </c>
      <c r="E247" s="36"/>
      <c r="F247" s="317"/>
      <c r="G247" s="316"/>
      <c r="H247" s="310"/>
      <c r="I247" s="310"/>
      <c r="J247" s="310"/>
      <c r="K247" s="148"/>
      <c r="L247" s="36"/>
      <c r="M247" s="36"/>
    </row>
    <row r="248" spans="1:13">
      <c r="A248" s="155"/>
      <c r="B248" s="155" t="s">
        <v>264</v>
      </c>
      <c r="C248" s="149" t="s">
        <v>252</v>
      </c>
      <c r="D248" s="26"/>
      <c r="E248" s="36"/>
      <c r="F248" s="317"/>
      <c r="G248" s="316"/>
      <c r="H248" s="163">
        <f>H215</f>
        <v>29570.394762302582</v>
      </c>
      <c r="I248" s="310">
        <f t="shared" ref="I248:J248" si="81">$D247*I244</f>
        <v>30677.701946589208</v>
      </c>
      <c r="J248" s="310">
        <f t="shared" si="81"/>
        <v>31838.805159203301</v>
      </c>
      <c r="K248" s="148"/>
      <c r="L248" s="36" t="s">
        <v>243</v>
      </c>
      <c r="M248" s="36"/>
    </row>
    <row r="249" spans="1:13">
      <c r="A249" s="155"/>
      <c r="B249" s="155" t="s">
        <v>264</v>
      </c>
      <c r="C249" s="149" t="s">
        <v>253</v>
      </c>
      <c r="D249" s="26"/>
      <c r="E249" s="36"/>
      <c r="F249" s="317"/>
      <c r="G249" s="316"/>
      <c r="H249" s="247">
        <f>H248/$D$48</f>
        <v>28579.420664374029</v>
      </c>
      <c r="I249" s="247">
        <f>I248/$D$48</f>
        <v>29649.619357316566</v>
      </c>
      <c r="J249" s="247">
        <f>J248/$D$48</f>
        <v>30771.811246021345</v>
      </c>
      <c r="K249" s="148"/>
      <c r="L249" s="36" t="s">
        <v>245</v>
      </c>
      <c r="M249" s="36"/>
    </row>
    <row r="250" spans="1:13">
      <c r="A250" s="155"/>
      <c r="B250" s="155" t="s">
        <v>264</v>
      </c>
      <c r="C250" s="149" t="s">
        <v>370</v>
      </c>
      <c r="D250" s="155"/>
      <c r="E250" s="36"/>
      <c r="F250" s="317"/>
      <c r="G250" s="316"/>
      <c r="H250" s="310"/>
      <c r="I250" s="310">
        <f>I248/(1+WACC)^I$203</f>
        <v>25930.122388602165</v>
      </c>
      <c r="J250" s="310">
        <f>J248/(1+WACC)^J$203</f>
        <v>24741.690827668146</v>
      </c>
      <c r="K250" s="148"/>
      <c r="L250" s="36" t="s">
        <v>299</v>
      </c>
      <c r="M250" s="36"/>
    </row>
    <row r="251" spans="1:13">
      <c r="A251" s="155"/>
      <c r="B251" s="155" t="s">
        <v>264</v>
      </c>
      <c r="C251" s="149" t="s">
        <v>255</v>
      </c>
      <c r="D251" s="26">
        <f>SUM(I250:J250)</f>
        <v>50671.813216270311</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3176.9148153949177</v>
      </c>
      <c r="I253" s="324">
        <f>(I249+I186-I$188-I$181+I$178)*I$52</f>
        <v>3288.5642361908644</v>
      </c>
      <c r="J253" s="324">
        <f>(J249+J186-J$188-J$181+J$178)*J$52</f>
        <v>3386.0413956728653</v>
      </c>
      <c r="K253" s="247"/>
      <c r="L253" s="36"/>
      <c r="M253" s="36"/>
    </row>
    <row r="254" spans="1:13">
      <c r="A254" s="155"/>
      <c r="B254" s="214" t="s">
        <v>264</v>
      </c>
      <c r="C254" s="143" t="s">
        <v>325</v>
      </c>
      <c r="D254" s="214"/>
      <c r="E254" s="36"/>
      <c r="F254" s="322"/>
      <c r="G254" s="323"/>
      <c r="H254" s="324">
        <f>H253+H192</f>
        <v>1846.9928164998769</v>
      </c>
      <c r="I254" s="324">
        <f>I253+I192</f>
        <v>1986.8176674117517</v>
      </c>
      <c r="J254" s="324">
        <f>J253+J192</f>
        <v>2082.9849166052982</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25761.58103020017</v>
      </c>
      <c r="G257" s="138">
        <f>H257/((1+H32)*(1+H26)*(1+X_industry_wide))</f>
        <v>27029.710368206073</v>
      </c>
      <c r="H257" s="310">
        <f>H249</f>
        <v>28579.420664374029</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1.0237460232066542</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26555.188100574214</v>
      </c>
      <c r="I266" s="334">
        <f>H266*(1+I$225)*(1+I$226)*(1+$E265)</f>
        <v>31682.02437162296</v>
      </c>
      <c r="J266" s="247">
        <f>I266*(1+J$225)*(1+J$226)*(1-$J243)</f>
        <v>32881.139622956165</v>
      </c>
      <c r="K266" s="36"/>
      <c r="L266" s="36"/>
      <c r="M266" s="36"/>
    </row>
    <row r="267" spans="3:14">
      <c r="C267" s="149" t="s">
        <v>409</v>
      </c>
      <c r="D267" s="94"/>
      <c r="E267" s="36"/>
      <c r="F267" s="36"/>
      <c r="G267" s="36"/>
      <c r="H267" s="247">
        <f>H266/$D$48</f>
        <v>25665.260732853119</v>
      </c>
      <c r="I267" s="247">
        <f t="shared" ref="I267:J267" si="82">I266/$D$48</f>
        <v>30620.284554667782</v>
      </c>
      <c r="J267" s="247">
        <f t="shared" si="82"/>
        <v>31779.214608473048</v>
      </c>
      <c r="K267" s="36"/>
      <c r="L267" s="36"/>
      <c r="M267" s="36"/>
    </row>
    <row r="268" spans="3:14">
      <c r="C268" s="149" t="s">
        <v>347</v>
      </c>
      <c r="D268" s="94"/>
      <c r="E268" s="36"/>
      <c r="F268" s="36"/>
      <c r="G268" s="36"/>
      <c r="H268" s="247">
        <f>H266/(1+WACC)^H$203</f>
        <v>24414.073826031276</v>
      </c>
      <c r="I268" s="247">
        <f>I266/(1+WACC)^I$203</f>
        <v>26779.019201149698</v>
      </c>
      <c r="J268" s="247">
        <f>J266/(1+WACC)^J$203</f>
        <v>25551.680929754064</v>
      </c>
      <c r="K268" s="36"/>
      <c r="L268" s="36"/>
      <c r="M268" s="36"/>
    </row>
    <row r="269" spans="3:14">
      <c r="C269" s="149" t="s">
        <v>348</v>
      </c>
      <c r="D269" s="94"/>
      <c r="E269" s="310">
        <f>SUM(H268:J268)</f>
        <v>76744.773956935038</v>
      </c>
      <c r="F269" s="36"/>
      <c r="G269" s="36"/>
      <c r="H269" s="36"/>
      <c r="I269" s="36"/>
      <c r="J269" s="36"/>
      <c r="K269" s="36"/>
      <c r="L269" s="36"/>
      <c r="M269" s="36"/>
    </row>
    <row r="270" spans="3:14">
      <c r="C270" s="149" t="str">
        <f>C206</f>
        <v>PV of BBAR before tax over the PV period</v>
      </c>
      <c r="E270" s="310">
        <f>D206</f>
        <v>77857.981058784411</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25761.58103020017</v>
      </c>
      <c r="G274" s="247">
        <f t="shared" ref="G274:H274" si="83">G257</f>
        <v>27029.710368206073</v>
      </c>
      <c r="H274" s="333">
        <f t="shared" si="83"/>
        <v>28579.420664374029</v>
      </c>
      <c r="I274" s="310">
        <f>I249</f>
        <v>29649.619357316566</v>
      </c>
      <c r="J274" s="310">
        <f>J249</f>
        <v>30771.811246021345</v>
      </c>
      <c r="K274" s="36"/>
      <c r="L274" s="36"/>
      <c r="M274" s="36"/>
    </row>
    <row r="275" spans="3:13">
      <c r="C275" s="149" t="s">
        <v>407</v>
      </c>
      <c r="D275" s="94"/>
      <c r="E275" s="36"/>
      <c r="F275" s="247">
        <f>F274</f>
        <v>25761.58103020017</v>
      </c>
      <c r="G275" s="247">
        <f t="shared" ref="G275:H275" si="84">G274</f>
        <v>27029.710368206073</v>
      </c>
      <c r="H275" s="333">
        <f t="shared" si="84"/>
        <v>28579.420664374029</v>
      </c>
      <c r="I275" s="247">
        <f>I267</f>
        <v>30620.284554667782</v>
      </c>
      <c r="J275" s="247">
        <f>J267</f>
        <v>31779.214608473048</v>
      </c>
      <c r="K275" s="36"/>
      <c r="L275" s="36"/>
      <c r="M275" s="36"/>
    </row>
    <row r="276" spans="3:13">
      <c r="C276" s="149" t="s">
        <v>408</v>
      </c>
      <c r="D276" s="94"/>
      <c r="E276" s="36"/>
      <c r="F276" s="247">
        <f>IF($E$22=-15%,F275,F274)</f>
        <v>25761.58103020017</v>
      </c>
      <c r="G276" s="247">
        <f t="shared" ref="G276:J276" si="85">IF($E$22=-15%,G275,G274)</f>
        <v>27029.710368206073</v>
      </c>
      <c r="H276" s="247">
        <f t="shared" si="85"/>
        <v>28579.420664374029</v>
      </c>
      <c r="I276" s="247">
        <f t="shared" si="85"/>
        <v>29649.619357316566</v>
      </c>
      <c r="J276" s="247">
        <f t="shared" si="85"/>
        <v>30771.811246021345</v>
      </c>
      <c r="K276" s="36"/>
      <c r="L276" s="36"/>
      <c r="M276" s="36"/>
    </row>
    <row r="277" spans="3:13">
      <c r="C277" s="149" t="s">
        <v>449</v>
      </c>
      <c r="D277" s="94"/>
      <c r="E277" s="328">
        <f>(I276/H267)/((1+I225)*(1+I226))-1</f>
        <v>0.1135449182400321</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26626.33439536329</v>
      </c>
      <c r="E281" s="36"/>
      <c r="F281" s="313"/>
      <c r="G281" s="36"/>
      <c r="H281" s="36"/>
      <c r="I281" s="36"/>
      <c r="J281" s="36"/>
      <c r="K281" s="36"/>
      <c r="L281" s="36"/>
      <c r="M281" s="36"/>
    </row>
    <row r="282" spans="3:13">
      <c r="C282" s="149" t="s">
        <v>443</v>
      </c>
      <c r="D282" s="19">
        <f>I276</f>
        <v>29649.619357316566</v>
      </c>
      <c r="E282" s="36"/>
      <c r="F282" s="313"/>
      <c r="G282" s="36"/>
      <c r="H282" s="36"/>
      <c r="I282" s="36"/>
      <c r="J282" s="36"/>
      <c r="K282" s="36"/>
      <c r="L282" s="36"/>
      <c r="M282" s="36"/>
    </row>
    <row r="283" spans="3:13">
      <c r="C283" s="149" t="s">
        <v>445</v>
      </c>
      <c r="D283" s="152">
        <f>(D282-D281)/D281</f>
        <v>0.11354491824003195</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69919.030461599759</v>
      </c>
      <c r="G286" s="36"/>
      <c r="H286" s="36"/>
      <c r="I286" s="36"/>
      <c r="J286" s="36"/>
      <c r="K286" s="36"/>
      <c r="L286" s="36"/>
      <c r="M286" s="36"/>
    </row>
    <row r="287" spans="3:13">
      <c r="C287" s="149" t="str">
        <f>C206</f>
        <v>PV of BBAR before tax over the PV period</v>
      </c>
      <c r="E287" s="36"/>
      <c r="F287" s="310">
        <f>D206</f>
        <v>77857.981058784411</v>
      </c>
      <c r="G287" s="36"/>
      <c r="H287" s="36"/>
      <c r="I287" s="36"/>
      <c r="J287" s="36"/>
      <c r="K287" s="36"/>
      <c r="L287" s="36"/>
      <c r="M287" s="36"/>
    </row>
    <row r="288" spans="3:13">
      <c r="C288" s="149" t="s">
        <v>405</v>
      </c>
      <c r="D288" s="94"/>
      <c r="E288" s="36"/>
      <c r="F288" s="247">
        <f>F286-F287</f>
        <v>-7938.950597184652</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-190403.89374872408</v>
      </c>
      <c r="F293" s="247"/>
      <c r="G293" s="310"/>
      <c r="H293" s="310"/>
      <c r="I293" s="310"/>
      <c r="J293" s="310"/>
      <c r="K293" s="310"/>
      <c r="L293" s="36"/>
      <c r="M293" s="36"/>
      <c r="N293" s="19">
        <f>J$143+J$166</f>
        <v>214218.57927352085</v>
      </c>
    </row>
    <row r="294" spans="3:14">
      <c r="C294" s="149" t="s">
        <v>57</v>
      </c>
      <c r="D294" s="19"/>
      <c r="E294" s="90"/>
      <c r="F294" s="247"/>
      <c r="G294" s="138">
        <f>H$249</f>
        <v>28579.420664374029</v>
      </c>
      <c r="H294" s="36">
        <v>0</v>
      </c>
      <c r="I294" s="36">
        <v>0</v>
      </c>
      <c r="J294" s="164">
        <f>I$249</f>
        <v>29649.619357316566</v>
      </c>
      <c r="K294" s="310">
        <v>0</v>
      </c>
      <c r="L294" s="138">
        <v>0</v>
      </c>
      <c r="M294" s="310">
        <f>J$249</f>
        <v>30771.811246021345</v>
      </c>
    </row>
    <row r="295" spans="3:14">
      <c r="C295" s="149" t="s">
        <v>234</v>
      </c>
      <c r="D295" s="19"/>
      <c r="E295" s="299"/>
      <c r="F295" s="320">
        <f>H186</f>
        <v>482.41632371247204</v>
      </c>
      <c r="G295" s="215"/>
      <c r="H295" s="300"/>
      <c r="I295" s="216">
        <f>I186</f>
        <v>492.58530186829984</v>
      </c>
      <c r="J295" s="215"/>
      <c r="K295" s="215"/>
      <c r="L295" s="215">
        <f>J186</f>
        <v>503.56779827659392</v>
      </c>
      <c r="M295" s="215"/>
    </row>
    <row r="296" spans="3:14">
      <c r="C296" s="149" t="s">
        <v>54</v>
      </c>
      <c r="D296" s="19"/>
      <c r="E296" s="299"/>
      <c r="F296" s="320">
        <f>-H$24</f>
        <v>-6694.9344069643321</v>
      </c>
      <c r="G296" s="300"/>
      <c r="H296" s="215"/>
      <c r="I296" s="215">
        <f>-I$24</f>
        <v>-6913.6151109891634</v>
      </c>
      <c r="J296" s="300"/>
      <c r="K296" s="215"/>
      <c r="L296" s="215">
        <f>-J$24</f>
        <v>-7152.6297332149634</v>
      </c>
      <c r="M296" s="300"/>
    </row>
    <row r="297" spans="3:14">
      <c r="C297" s="149" t="s">
        <v>125</v>
      </c>
      <c r="D297" s="19"/>
      <c r="E297" s="299"/>
      <c r="F297" s="320">
        <f>-H$25</f>
        <v>-10488.661082394203</v>
      </c>
      <c r="G297" s="300"/>
      <c r="H297" s="215"/>
      <c r="I297" s="215">
        <f>-I$25</f>
        <v>-12063.521604394962</v>
      </c>
      <c r="J297" s="300"/>
      <c r="K297" s="215"/>
      <c r="L297" s="215">
        <f>-J$25</f>
        <v>-13597.616788268731</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-1846.9928164998769</v>
      </c>
      <c r="G299" s="300">
        <v>0</v>
      </c>
      <c r="H299" s="300">
        <v>0</v>
      </c>
      <c r="I299" s="336">
        <f>-I$254</f>
        <v>-1986.8176674117517</v>
      </c>
      <c r="J299" s="215">
        <v>0</v>
      </c>
      <c r="K299" s="163">
        <v>0</v>
      </c>
      <c r="L299" s="215">
        <f>-J$254</f>
        <v>-2082.9849166052982</v>
      </c>
      <c r="M299" s="300"/>
    </row>
    <row r="300" spans="3:14" ht="15.75" thickBot="1">
      <c r="C300" s="149" t="s">
        <v>217</v>
      </c>
      <c r="D300" s="19"/>
      <c r="E300" s="332">
        <f>SUM(E293:E299)</f>
        <v>-190403.89374872408</v>
      </c>
      <c r="F300" s="332">
        <f t="shared" ref="F300:K300" si="87">SUM(F293:F299)</f>
        <v>-18548.171982145941</v>
      </c>
      <c r="G300" s="332">
        <f t="shared" si="87"/>
        <v>28579.420664374029</v>
      </c>
      <c r="H300" s="332">
        <f t="shared" si="87"/>
        <v>0</v>
      </c>
      <c r="I300" s="332">
        <f t="shared" si="87"/>
        <v>-20471.369080927579</v>
      </c>
      <c r="J300" s="332">
        <f t="shared" si="87"/>
        <v>29649.619357316566</v>
      </c>
      <c r="K300" s="332">
        <f t="shared" si="87"/>
        <v>0</v>
      </c>
      <c r="L300" s="332">
        <f>SUM(L293:L299)</f>
        <v>-22329.663639812399</v>
      </c>
      <c r="M300" s="332">
        <f>SUM(M293:M299)</f>
        <v>30771.811246021345</v>
      </c>
      <c r="N300" s="129">
        <f>SUM(N293:N299)</f>
        <v>214218.57927352085</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1.1641532182693481E-10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1"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22">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Electricity Invercargill</v>
      </c>
      <c r="D1" s="2"/>
      <c r="E1" s="2"/>
      <c r="F1" s="6" t="s">
        <v>169</v>
      </c>
      <c r="G1" s="7">
        <v>6</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15340</v>
      </c>
    </row>
    <row r="9" spans="1:16">
      <c r="A9" s="9">
        <f>A8+1</f>
        <v>2</v>
      </c>
      <c r="B9" s="9"/>
      <c r="C9" s="149" t="str">
        <f>Inputs!B21</f>
        <v>Pass-through costs</v>
      </c>
      <c r="E9" s="1">
        <f t="shared" si="0"/>
        <v>124</v>
      </c>
    </row>
    <row r="10" spans="1:16">
      <c r="A10" s="9">
        <f t="shared" ref="A10:A22" si="1">A9+1</f>
        <v>3</v>
      </c>
      <c r="B10" s="9"/>
      <c r="C10" s="149" t="str">
        <f>Inputs!B22</f>
        <v>Recoverable costs</v>
      </c>
      <c r="E10" s="1">
        <f t="shared" si="0"/>
        <v>4032</v>
      </c>
    </row>
    <row r="11" spans="1:16">
      <c r="A11" s="9">
        <f t="shared" si="1"/>
        <v>4</v>
      </c>
      <c r="B11" s="9"/>
      <c r="C11" s="155" t="str">
        <f>Inputs!B23</f>
        <v>Opening RAB</v>
      </c>
      <c r="E11" s="1">
        <f t="shared" si="0"/>
        <v>56516</v>
      </c>
      <c r="L11" s="13"/>
    </row>
    <row r="12" spans="1:16">
      <c r="A12" s="9">
        <f t="shared" si="1"/>
        <v>5</v>
      </c>
      <c r="B12" s="9"/>
      <c r="C12" s="155" t="str">
        <f>Inputs!B24</f>
        <v>Total Depreciation</v>
      </c>
      <c r="E12" s="1">
        <f t="shared" si="0"/>
        <v>2293</v>
      </c>
      <c r="F12" s="161"/>
      <c r="G12" s="337" t="s">
        <v>511</v>
      </c>
    </row>
    <row r="13" spans="1:16">
      <c r="A13" s="9">
        <f t="shared" si="1"/>
        <v>6</v>
      </c>
      <c r="B13" s="9"/>
      <c r="C13" s="155" t="str">
        <f>Inputs!B25</f>
        <v>RAB of disposed assets</v>
      </c>
      <c r="E13" s="1">
        <f t="shared" si="0"/>
        <v>25</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2348</v>
      </c>
      <c r="G15" s="23" t="s">
        <v>514</v>
      </c>
    </row>
    <row r="16" spans="1:16">
      <c r="A16" s="9">
        <f t="shared" si="1"/>
        <v>9</v>
      </c>
      <c r="B16" s="9"/>
      <c r="C16" s="155" t="str">
        <f>Inputs!B28</f>
        <v>Opening regulatory tax asset value</v>
      </c>
      <c r="E16" s="1">
        <f t="shared" si="0"/>
        <v>22665</v>
      </c>
    </row>
    <row r="17" spans="1:21">
      <c r="A17" s="9">
        <f t="shared" si="1"/>
        <v>10</v>
      </c>
      <c r="B17" s="9"/>
      <c r="C17" s="155" t="str">
        <f>Inputs!B29</f>
        <v>Weighted Average Remaining Life at year-end</v>
      </c>
      <c r="E17" s="1">
        <f t="shared" si="0"/>
        <v>24</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86</v>
      </c>
    </row>
    <row r="20" spans="1:21">
      <c r="A20" s="9">
        <f t="shared" si="1"/>
        <v>13</v>
      </c>
      <c r="B20" s="9"/>
      <c r="C20" s="155" t="str">
        <f>Inputs!B32</f>
        <v>Operating expenditure 2009/10</v>
      </c>
      <c r="E20" s="1">
        <f t="shared" si="0"/>
        <v>4402</v>
      </c>
    </row>
    <row r="21" spans="1:21">
      <c r="A21" s="9">
        <f t="shared" si="1"/>
        <v>14</v>
      </c>
      <c r="B21" s="9"/>
      <c r="C21" s="155" t="str">
        <f>Inputs!B33</f>
        <v>Other regulated income</v>
      </c>
      <c r="E21" s="1">
        <f t="shared" si="0"/>
        <v>85.332655930474175</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4402</v>
      </c>
      <c r="F24" s="39">
        <f>INDEX(OpexBlock,F7-1,$G$1)</f>
        <v>4490.1242661749829</v>
      </c>
      <c r="G24" s="39">
        <f>INDEX(OpexBlock,G7-1,$G$1)</f>
        <v>4596.6228668505701</v>
      </c>
      <c r="H24" s="39">
        <f>INDEX(OpexBlock,H7-1,$G$1)</f>
        <v>4695.3299964435855</v>
      </c>
      <c r="I24" s="39">
        <f>INDEX(OpexBlock,I7-1,$G$1)</f>
        <v>4791.962000113981</v>
      </c>
      <c r="J24" s="39">
        <f>INDEX(OpexBlock,J7-1,$G$1)</f>
        <v>4887.4320341829361</v>
      </c>
      <c r="K24" s="90"/>
      <c r="L24" s="36"/>
      <c r="M24" s="36"/>
    </row>
    <row r="25" spans="1:21">
      <c r="A25" s="9"/>
      <c r="B25" s="9"/>
      <c r="C25" s="149" t="s">
        <v>272</v>
      </c>
      <c r="D25" s="1"/>
      <c r="E25" s="39">
        <f t="shared" ref="E25:J25" si="2">INDEX(CommAssetsBlock,E7,$G$1)</f>
        <v>2778</v>
      </c>
      <c r="F25" s="39">
        <f t="shared" si="2"/>
        <v>4116.0584580038158</v>
      </c>
      <c r="G25" s="39">
        <f t="shared" si="2"/>
        <v>3648.6360515759643</v>
      </c>
      <c r="H25" s="39">
        <f t="shared" si="2"/>
        <v>3585.7749891919098</v>
      </c>
      <c r="I25" s="39">
        <f t="shared" si="2"/>
        <v>3236.9733497915777</v>
      </c>
      <c r="J25" s="39">
        <f t="shared" si="2"/>
        <v>3267.9316243877565</v>
      </c>
      <c r="K25" s="90"/>
      <c r="L25" s="36"/>
      <c r="M25" s="36"/>
    </row>
    <row r="26" spans="1:21">
      <c r="A26" s="9"/>
      <c r="B26" s="9"/>
      <c r="C26" s="149" t="s">
        <v>342</v>
      </c>
      <c r="D26" s="1"/>
      <c r="E26" s="90"/>
      <c r="F26" s="90">
        <f t="shared" ref="F26:J26" si="3">INDEX(ConstPriceRevGrwth,F$7-1,$G$1)</f>
        <v>-3.0965104984691911E-3</v>
      </c>
      <c r="G26" s="90">
        <f t="shared" si="3"/>
        <v>-2.1639005428887267E-4</v>
      </c>
      <c r="H26" s="90">
        <f t="shared" si="3"/>
        <v>4.3463072134527147E-4</v>
      </c>
      <c r="I26" s="90">
        <f t="shared" si="3"/>
        <v>3.8467676369052605E-4</v>
      </c>
      <c r="J26" s="90">
        <f t="shared" si="3"/>
        <v>6.4373160745747661E-4</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85.332655930474175</v>
      </c>
      <c r="F40" s="295">
        <f>E40*(1+F39)</f>
        <v>89.144233086894616</v>
      </c>
      <c r="G40" s="295">
        <f t="shared" ref="G40:J40" si="5">F40*(1+G39)</f>
        <v>90.544404287212345</v>
      </c>
      <c r="H40" s="295">
        <f t="shared" si="5"/>
        <v>92.255724643156213</v>
      </c>
      <c r="I40" s="295">
        <f t="shared" si="5"/>
        <v>94.200406865819701</v>
      </c>
      <c r="J40" s="295">
        <f t="shared" si="5"/>
        <v>96.300663666296288</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24.647187091146968</v>
      </c>
      <c r="F53" s="45">
        <f>E53-1</f>
        <v>23.647187091146968</v>
      </c>
      <c r="G53" s="45">
        <f t="shared" ref="G53:J53" si="6">F53-1</f>
        <v>22.647187091146968</v>
      </c>
      <c r="H53" s="45">
        <f t="shared" si="6"/>
        <v>21.647187091146968</v>
      </c>
      <c r="I53" s="45">
        <f t="shared" si="6"/>
        <v>20.647187091146968</v>
      </c>
      <c r="J53" s="45">
        <f t="shared" si="6"/>
        <v>19.647187091146968</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25</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56516</v>
      </c>
      <c r="F58" s="216">
        <f>E62</f>
        <v>55171.557421604775</v>
      </c>
      <c r="G58" s="216">
        <f t="shared" ref="G58:J58" si="9">F62</f>
        <v>53931.514969947493</v>
      </c>
      <c r="H58" s="216">
        <f t="shared" si="9"/>
        <v>52862.823523973559</v>
      </c>
      <c r="I58" s="216">
        <f t="shared" si="9"/>
        <v>51703.562951401967</v>
      </c>
      <c r="J58" s="216">
        <f t="shared" si="9"/>
        <v>50454.044545207573</v>
      </c>
      <c r="K58" s="148"/>
      <c r="L58" s="36"/>
      <c r="M58" s="36"/>
    </row>
    <row r="59" spans="3:16">
      <c r="C59" s="149" t="s">
        <v>41</v>
      </c>
      <c r="D59" s="153"/>
      <c r="E59" s="216">
        <f>E55</f>
        <v>25</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973.55742160477837</v>
      </c>
      <c r="F60" s="216">
        <f t="shared" si="11"/>
        <v>1093.0704555544123</v>
      </c>
      <c r="G60" s="216">
        <f t="shared" si="11"/>
        <v>1312.686636561971</v>
      </c>
      <c r="H60" s="216">
        <f t="shared" si="11"/>
        <v>1282.7575659233116</v>
      </c>
      <c r="I60" s="216">
        <f t="shared" si="11"/>
        <v>1254.6272056585331</v>
      </c>
      <c r="J60" s="216">
        <f t="shared" si="11"/>
        <v>1224.3066687961875</v>
      </c>
      <c r="K60" s="148"/>
      <c r="L60" s="36"/>
      <c r="M60" s="36"/>
    </row>
    <row r="61" spans="3:16">
      <c r="C61" s="149" t="s">
        <v>43</v>
      </c>
      <c r="E61" s="136">
        <f>E12</f>
        <v>2293</v>
      </c>
      <c r="F61" s="216">
        <f t="shared" ref="F61:J61" si="12">F58/F53</f>
        <v>2333.1129072116955</v>
      </c>
      <c r="G61" s="216">
        <f t="shared" si="12"/>
        <v>2381.3780825359063</v>
      </c>
      <c r="H61" s="216">
        <f t="shared" si="12"/>
        <v>2442.0181384949005</v>
      </c>
      <c r="I61" s="216">
        <f t="shared" si="12"/>
        <v>2504.1456118529213</v>
      </c>
      <c r="J61" s="216">
        <f t="shared" si="12"/>
        <v>2568.003465897782</v>
      </c>
      <c r="K61" s="148"/>
      <c r="L61" s="36"/>
      <c r="M61" s="36"/>
    </row>
    <row r="62" spans="3:16">
      <c r="C62" s="149" t="s">
        <v>44</v>
      </c>
      <c r="E62" s="139">
        <f>E58-E59+E60-E61</f>
        <v>55171.557421604775</v>
      </c>
      <c r="F62" s="139">
        <f>F58-F59+F60-F61</f>
        <v>53931.514969947493</v>
      </c>
      <c r="G62" s="139">
        <f t="shared" ref="G62:J62" si="13">G58-G59+G60-G61</f>
        <v>52862.823523973559</v>
      </c>
      <c r="H62" s="139">
        <f t="shared" si="13"/>
        <v>51703.562951401967</v>
      </c>
      <c r="I62" s="216">
        <f t="shared" si="13"/>
        <v>50454.044545207573</v>
      </c>
      <c r="J62" s="216">
        <f t="shared" si="13"/>
        <v>49110.347748105982</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2778</v>
      </c>
      <c r="F66" s="139">
        <f t="shared" ref="F66:J66" si="15">F$25</f>
        <v>4116.0584580038158</v>
      </c>
      <c r="G66" s="139">
        <f t="shared" si="15"/>
        <v>3648.6360515759643</v>
      </c>
      <c r="H66" s="139">
        <f t="shared" si="15"/>
        <v>3585.7749891919098</v>
      </c>
      <c r="I66" s="139">
        <f t="shared" si="15"/>
        <v>3236.9733497915777</v>
      </c>
      <c r="J66" s="139">
        <f t="shared" si="15"/>
        <v>3267.9316243877565</v>
      </c>
      <c r="K66" s="148"/>
      <c r="L66" s="36"/>
      <c r="M66" s="36"/>
    </row>
    <row r="67" spans="1:13">
      <c r="A67" s="149">
        <v>1</v>
      </c>
      <c r="C67" s="149" t="s">
        <v>481</v>
      </c>
      <c r="E67" s="135">
        <v>0</v>
      </c>
      <c r="F67" s="139">
        <f>E91</f>
        <v>2778</v>
      </c>
      <c r="G67" s="139">
        <f t="shared" ref="G67:J67" si="16">F91</f>
        <v>2771.3049847320017</v>
      </c>
      <c r="H67" s="139">
        <f t="shared" si="16"/>
        <v>2775.7740130511652</v>
      </c>
      <c r="I67" s="139">
        <f t="shared" si="16"/>
        <v>2778.5774463622838</v>
      </c>
      <c r="J67" s="139">
        <f t="shared" si="16"/>
        <v>2779.8451853238153</v>
      </c>
      <c r="K67" s="148"/>
      <c r="L67" s="36"/>
      <c r="M67" s="36"/>
    </row>
    <row r="68" spans="1:13">
      <c r="A68" s="149">
        <v>2</v>
      </c>
      <c r="C68" s="149" t="s">
        <v>482</v>
      </c>
      <c r="E68" s="135">
        <v>0</v>
      </c>
      <c r="F68" s="139">
        <f t="shared" ref="F68:J71" si="17">E92</f>
        <v>0</v>
      </c>
      <c r="G68" s="139">
        <f t="shared" si="17"/>
        <v>4116.0584580038158</v>
      </c>
      <c r="H68" s="139">
        <f t="shared" si="17"/>
        <v>4124.7748638041894</v>
      </c>
      <c r="I68" s="139">
        <f t="shared" si="17"/>
        <v>4131.1208536970025</v>
      </c>
      <c r="J68" s="139">
        <f t="shared" si="17"/>
        <v>4135.2931392501696</v>
      </c>
      <c r="K68" s="148"/>
      <c r="L68" s="36"/>
      <c r="M68" s="36"/>
    </row>
    <row r="69" spans="1:13">
      <c r="A69" s="149">
        <v>3</v>
      </c>
      <c r="C69" s="149" t="s">
        <v>483</v>
      </c>
      <c r="E69" s="135">
        <v>0</v>
      </c>
      <c r="F69" s="139">
        <f t="shared" si="17"/>
        <v>0</v>
      </c>
      <c r="G69" s="139">
        <f t="shared" si="17"/>
        <v>0</v>
      </c>
      <c r="H69" s="139">
        <f t="shared" si="17"/>
        <v>3648.6360515759643</v>
      </c>
      <c r="I69" s="139">
        <f t="shared" si="17"/>
        <v>3656.0922446434888</v>
      </c>
      <c r="J69" s="139">
        <f t="shared" si="17"/>
        <v>3661.7171636264129</v>
      </c>
      <c r="K69" s="148"/>
      <c r="L69" s="36"/>
      <c r="M69" s="36"/>
    </row>
    <row r="70" spans="1:13">
      <c r="A70" s="149">
        <v>4</v>
      </c>
      <c r="C70" s="149" t="s">
        <v>484</v>
      </c>
      <c r="E70" s="135">
        <v>0</v>
      </c>
      <c r="F70" s="139">
        <f t="shared" si="17"/>
        <v>0</v>
      </c>
      <c r="G70" s="139">
        <f t="shared" si="17"/>
        <v>0</v>
      </c>
      <c r="H70" s="139">
        <f t="shared" si="17"/>
        <v>0</v>
      </c>
      <c r="I70" s="139">
        <f t="shared" si="17"/>
        <v>3585.7749891919098</v>
      </c>
      <c r="J70" s="139">
        <f t="shared" si="17"/>
        <v>3593.1027221414784</v>
      </c>
      <c r="K70" s="148"/>
      <c r="L70" s="36"/>
      <c r="M70" s="36"/>
    </row>
    <row r="71" spans="1:13">
      <c r="A71" s="149">
        <v>5</v>
      </c>
      <c r="C71" s="149" t="s">
        <v>485</v>
      </c>
      <c r="E71" s="135">
        <v>0</v>
      </c>
      <c r="F71" s="139">
        <f t="shared" si="17"/>
        <v>0</v>
      </c>
      <c r="G71" s="139">
        <f t="shared" si="17"/>
        <v>0</v>
      </c>
      <c r="H71" s="139">
        <f t="shared" si="17"/>
        <v>0</v>
      </c>
      <c r="I71" s="139">
        <f t="shared" si="17"/>
        <v>0</v>
      </c>
      <c r="J71" s="139">
        <f t="shared" si="17"/>
        <v>3236.9733497915777</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55.038318065334636</v>
      </c>
      <c r="G79" s="139">
        <f t="shared" si="20"/>
        <v>67.453232517618218</v>
      </c>
      <c r="H79" s="139">
        <f t="shared" si="20"/>
        <v>67.356317335564285</v>
      </c>
      <c r="I79" s="139">
        <f t="shared" si="20"/>
        <v>67.424344827299905</v>
      </c>
      <c r="J79" s="139">
        <f t="shared" si="20"/>
        <v>67.455107500121997</v>
      </c>
      <c r="K79" s="148"/>
      <c r="L79" s="36"/>
      <c r="M79" s="36"/>
    </row>
    <row r="80" spans="1:13">
      <c r="A80" s="149">
        <v>2</v>
      </c>
      <c r="C80" s="149" t="s">
        <v>488</v>
      </c>
      <c r="E80" s="139">
        <f t="shared" ref="E80:J84" si="21">E68*E$38</f>
        <v>0</v>
      </c>
      <c r="F80" s="139">
        <f t="shared" si="21"/>
        <v>0</v>
      </c>
      <c r="G80" s="139">
        <f t="shared" si="21"/>
        <v>100.18437153379195</v>
      </c>
      <c r="H80" s="139">
        <f t="shared" si="21"/>
        <v>100.09087316108999</v>
      </c>
      <c r="I80" s="139">
        <f t="shared" si="21"/>
        <v>100.24486354612092</v>
      </c>
      <c r="J80" s="139">
        <f t="shared" si="21"/>
        <v>100.34610730314594</v>
      </c>
      <c r="K80" s="148"/>
      <c r="L80" s="36"/>
      <c r="M80" s="36"/>
    </row>
    <row r="81" spans="1:13">
      <c r="A81" s="149">
        <v>3</v>
      </c>
      <c r="C81" s="149" t="s">
        <v>489</v>
      </c>
      <c r="E81" s="139">
        <f t="shared" si="21"/>
        <v>0</v>
      </c>
      <c r="F81" s="139">
        <f t="shared" si="21"/>
        <v>0</v>
      </c>
      <c r="G81" s="139">
        <f t="shared" si="21"/>
        <v>0</v>
      </c>
      <c r="H81" s="139">
        <f t="shared" si="21"/>
        <v>88.536994213657167</v>
      </c>
      <c r="I81" s="139">
        <f t="shared" si="21"/>
        <v>88.717924543003164</v>
      </c>
      <c r="J81" s="139">
        <f t="shared" si="21"/>
        <v>88.854417581060034</v>
      </c>
      <c r="K81" s="148"/>
      <c r="L81" s="36"/>
      <c r="M81" s="36"/>
    </row>
    <row r="82" spans="1:13">
      <c r="A82" s="149">
        <v>4</v>
      </c>
      <c r="C82" s="149" t="s">
        <v>490</v>
      </c>
      <c r="E82" s="139">
        <f t="shared" si="21"/>
        <v>0</v>
      </c>
      <c r="F82" s="139">
        <f t="shared" si="21"/>
        <v>0</v>
      </c>
      <c r="G82" s="139">
        <f t="shared" si="21"/>
        <v>0</v>
      </c>
      <c r="H82" s="139">
        <f t="shared" si="21"/>
        <v>0</v>
      </c>
      <c r="I82" s="139">
        <f t="shared" si="21"/>
        <v>87.011621598277387</v>
      </c>
      <c r="J82" s="139">
        <f t="shared" si="21"/>
        <v>87.189434742856434</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78.547678280071537</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61.733333333333334</v>
      </c>
      <c r="G85" s="216">
        <f t="shared" si="22"/>
        <v>62.984204198454584</v>
      </c>
      <c r="H85" s="216">
        <f t="shared" si="22"/>
        <v>64.552884024445703</v>
      </c>
      <c r="I85" s="216">
        <f t="shared" si="22"/>
        <v>66.156605865768668</v>
      </c>
      <c r="J85" s="216">
        <f t="shared" si="22"/>
        <v>67.801102081068663</v>
      </c>
      <c r="K85" s="148"/>
      <c r="L85" s="36"/>
      <c r="M85" s="36"/>
    </row>
    <row r="86" spans="1:13">
      <c r="A86" s="149">
        <v>2</v>
      </c>
      <c r="C86" s="149" t="s">
        <v>494</v>
      </c>
      <c r="E86" s="216">
        <f t="shared" si="22"/>
        <v>0</v>
      </c>
      <c r="F86" s="216">
        <f t="shared" si="22"/>
        <v>0</v>
      </c>
      <c r="G86" s="216">
        <f t="shared" si="22"/>
        <v>91.467965733418126</v>
      </c>
      <c r="H86" s="216">
        <f t="shared" si="22"/>
        <v>93.744883268277036</v>
      </c>
      <c r="I86" s="216">
        <f t="shared" si="22"/>
        <v>96.072577992953541</v>
      </c>
      <c r="J86" s="216">
        <f t="shared" si="22"/>
        <v>98.459360458337372</v>
      </c>
      <c r="K86" s="148"/>
      <c r="L86" s="36"/>
      <c r="M86" s="36"/>
    </row>
    <row r="87" spans="1:13">
      <c r="A87" s="149">
        <v>3</v>
      </c>
      <c r="C87" s="149" t="s">
        <v>495</v>
      </c>
      <c r="E87" s="216">
        <f t="shared" si="22"/>
        <v>0</v>
      </c>
      <c r="F87" s="216">
        <f t="shared" si="22"/>
        <v>0</v>
      </c>
      <c r="G87" s="216">
        <f t="shared" si="22"/>
        <v>0</v>
      </c>
      <c r="H87" s="216">
        <f t="shared" si="22"/>
        <v>81.080801146132544</v>
      </c>
      <c r="I87" s="216">
        <f t="shared" si="22"/>
        <v>83.093005560079291</v>
      </c>
      <c r="J87" s="216">
        <f t="shared" si="22"/>
        <v>85.156213107591</v>
      </c>
      <c r="K87" s="148"/>
      <c r="L87" s="36"/>
      <c r="M87" s="36"/>
    </row>
    <row r="88" spans="1:13">
      <c r="A88" s="149">
        <v>4</v>
      </c>
      <c r="C88" s="149" t="s">
        <v>496</v>
      </c>
      <c r="E88" s="216">
        <f t="shared" si="22"/>
        <v>0</v>
      </c>
      <c r="F88" s="216">
        <f t="shared" si="22"/>
        <v>0</v>
      </c>
      <c r="G88" s="216">
        <f t="shared" si="22"/>
        <v>0</v>
      </c>
      <c r="H88" s="216">
        <f t="shared" si="22"/>
        <v>0</v>
      </c>
      <c r="I88" s="216">
        <f t="shared" si="22"/>
        <v>79.6838886487091</v>
      </c>
      <c r="J88" s="216">
        <f t="shared" si="22"/>
        <v>81.661425503215412</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71.932741106479497</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2778</v>
      </c>
      <c r="F91" s="139">
        <f t="shared" si="23"/>
        <v>2771.3049847320017</v>
      </c>
      <c r="G91" s="139">
        <f t="shared" si="23"/>
        <v>2775.7740130511652</v>
      </c>
      <c r="H91" s="139">
        <f t="shared" si="23"/>
        <v>2778.5774463622838</v>
      </c>
      <c r="I91" s="139">
        <f t="shared" si="23"/>
        <v>2779.8451853238153</v>
      </c>
      <c r="J91" s="216">
        <f t="shared" si="23"/>
        <v>2779.4991907428684</v>
      </c>
      <c r="K91" s="148"/>
      <c r="L91" s="36"/>
      <c r="M91" s="36"/>
    </row>
    <row r="92" spans="1:13">
      <c r="A92" s="149">
        <v>2</v>
      </c>
      <c r="C92" s="149" t="s">
        <v>500</v>
      </c>
      <c r="E92" s="139">
        <f t="shared" si="23"/>
        <v>0</v>
      </c>
      <c r="F92" s="139">
        <f t="shared" si="23"/>
        <v>4116.0584580038158</v>
      </c>
      <c r="G92" s="139">
        <f t="shared" si="23"/>
        <v>4124.7748638041894</v>
      </c>
      <c r="H92" s="139">
        <f t="shared" si="23"/>
        <v>4131.1208536970025</v>
      </c>
      <c r="I92" s="139">
        <f t="shared" si="23"/>
        <v>4135.2931392501696</v>
      </c>
      <c r="J92" s="216">
        <f t="shared" si="23"/>
        <v>4137.1798860949784</v>
      </c>
      <c r="K92" s="148"/>
      <c r="L92" s="36"/>
      <c r="M92" s="36"/>
    </row>
    <row r="93" spans="1:13">
      <c r="A93" s="149">
        <v>3</v>
      </c>
      <c r="C93" s="149" t="s">
        <v>501</v>
      </c>
      <c r="E93" s="139">
        <f t="shared" si="23"/>
        <v>0</v>
      </c>
      <c r="F93" s="139">
        <f t="shared" si="23"/>
        <v>0</v>
      </c>
      <c r="G93" s="139">
        <f t="shared" si="23"/>
        <v>3648.6360515759643</v>
      </c>
      <c r="H93" s="139">
        <f t="shared" si="23"/>
        <v>3656.0922446434888</v>
      </c>
      <c r="I93" s="139">
        <f t="shared" si="23"/>
        <v>3661.7171636264129</v>
      </c>
      <c r="J93" s="216">
        <f t="shared" si="23"/>
        <v>3665.415368099882</v>
      </c>
      <c r="K93" s="148"/>
      <c r="L93" s="36"/>
      <c r="M93" s="36"/>
    </row>
    <row r="94" spans="1:13">
      <c r="A94" s="149">
        <v>4</v>
      </c>
      <c r="C94" s="149" t="s">
        <v>502</v>
      </c>
      <c r="E94" s="139">
        <f t="shared" si="23"/>
        <v>0</v>
      </c>
      <c r="F94" s="139">
        <f t="shared" si="23"/>
        <v>0</v>
      </c>
      <c r="G94" s="139">
        <f t="shared" si="23"/>
        <v>0</v>
      </c>
      <c r="H94" s="139">
        <f t="shared" si="23"/>
        <v>3585.7749891919098</v>
      </c>
      <c r="I94" s="139">
        <f t="shared" si="23"/>
        <v>3593.1027221414784</v>
      </c>
      <c r="J94" s="216">
        <f t="shared" si="23"/>
        <v>3598.6307313811194</v>
      </c>
      <c r="K94" s="148"/>
      <c r="L94" s="36"/>
      <c r="M94" s="36"/>
    </row>
    <row r="95" spans="1:13">
      <c r="A95" s="149">
        <v>5</v>
      </c>
      <c r="C95" s="149" t="s">
        <v>503</v>
      </c>
      <c r="E95" s="139">
        <f t="shared" si="23"/>
        <v>0</v>
      </c>
      <c r="F95" s="139">
        <f t="shared" si="23"/>
        <v>0</v>
      </c>
      <c r="G95" s="139">
        <f t="shared" si="23"/>
        <v>0</v>
      </c>
      <c r="H95" s="139">
        <f t="shared" si="23"/>
        <v>0</v>
      </c>
      <c r="I95" s="139">
        <f t="shared" si="23"/>
        <v>3236.9733497915777</v>
      </c>
      <c r="J95" s="216">
        <f t="shared" si="23"/>
        <v>3243.5882869651696</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3267.9316243877565</v>
      </c>
      <c r="K96" s="148"/>
      <c r="L96" s="36"/>
      <c r="M96" s="36"/>
    </row>
    <row r="97" spans="1:13">
      <c r="C97" s="149" t="s">
        <v>260</v>
      </c>
      <c r="E97" s="139">
        <f t="shared" ref="E97:J97" si="24">SUM(E67:E72)</f>
        <v>0</v>
      </c>
      <c r="F97" s="139">
        <f t="shared" si="24"/>
        <v>2778</v>
      </c>
      <c r="G97" s="139">
        <f t="shared" si="24"/>
        <v>6887.3634427358174</v>
      </c>
      <c r="H97" s="139">
        <f t="shared" si="24"/>
        <v>10549.184928431319</v>
      </c>
      <c r="I97" s="139">
        <f t="shared" si="24"/>
        <v>14151.565533894685</v>
      </c>
      <c r="J97" s="216">
        <f t="shared" si="24"/>
        <v>17406.931560133457</v>
      </c>
      <c r="K97" s="148"/>
      <c r="L97" s="36"/>
      <c r="M97" s="36"/>
    </row>
    <row r="98" spans="1:13">
      <c r="C98" s="149" t="s">
        <v>261</v>
      </c>
      <c r="E98" s="139">
        <f t="shared" ref="E98:J98" si="25">SUM(E79:E84)</f>
        <v>0</v>
      </c>
      <c r="F98" s="139">
        <f t="shared" si="25"/>
        <v>55.038318065334636</v>
      </c>
      <c r="G98" s="139">
        <f t="shared" si="25"/>
        <v>167.63760405141016</v>
      </c>
      <c r="H98" s="139">
        <f t="shared" si="25"/>
        <v>255.98418471031147</v>
      </c>
      <c r="I98" s="139">
        <f t="shared" si="25"/>
        <v>343.39875451470135</v>
      </c>
      <c r="J98" s="216">
        <f t="shared" si="25"/>
        <v>422.39274540725592</v>
      </c>
      <c r="K98" s="148"/>
      <c r="L98" s="36"/>
      <c r="M98" s="36"/>
    </row>
    <row r="99" spans="1:13">
      <c r="C99" s="149" t="s">
        <v>75</v>
      </c>
      <c r="E99" s="139">
        <f t="shared" ref="E99:J99" si="26">SUM(E85:E90)</f>
        <v>0</v>
      </c>
      <c r="F99" s="139">
        <f t="shared" si="26"/>
        <v>61.733333333333334</v>
      </c>
      <c r="G99" s="139">
        <f t="shared" si="26"/>
        <v>154.4521699318727</v>
      </c>
      <c r="H99" s="139">
        <f t="shared" si="26"/>
        <v>239.37856843885527</v>
      </c>
      <c r="I99" s="216">
        <f t="shared" si="26"/>
        <v>325.0060780675106</v>
      </c>
      <c r="J99" s="216">
        <f t="shared" si="26"/>
        <v>405.01084225669194</v>
      </c>
      <c r="K99" s="148"/>
      <c r="L99" s="36"/>
      <c r="M99" s="36"/>
    </row>
    <row r="100" spans="1:13">
      <c r="C100" s="149" t="s">
        <v>262</v>
      </c>
      <c r="E100" s="139">
        <f t="shared" ref="E100:J100" si="27">SUM(E91:E96)</f>
        <v>2778</v>
      </c>
      <c r="F100" s="139">
        <f t="shared" si="27"/>
        <v>6887.3634427358174</v>
      </c>
      <c r="G100" s="139">
        <f t="shared" si="27"/>
        <v>10549.184928431319</v>
      </c>
      <c r="H100" s="139">
        <f t="shared" si="27"/>
        <v>14151.565533894685</v>
      </c>
      <c r="I100" s="216">
        <f t="shared" si="27"/>
        <v>17406.931560133457</v>
      </c>
      <c r="J100" s="216">
        <f t="shared" si="27"/>
        <v>20692.245087671778</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2778</v>
      </c>
      <c r="F104" s="139">
        <f t="shared" ref="F104:J104" si="28">F$25</f>
        <v>4116.0584580038158</v>
      </c>
      <c r="G104" s="139">
        <f t="shared" si="28"/>
        <v>3648.6360515759643</v>
      </c>
      <c r="H104" s="139">
        <f t="shared" si="28"/>
        <v>3585.7749891919098</v>
      </c>
      <c r="I104" s="139">
        <f t="shared" si="28"/>
        <v>3236.9733497915777</v>
      </c>
      <c r="J104" s="139">
        <f t="shared" si="28"/>
        <v>3267.9316243877565</v>
      </c>
      <c r="K104" s="148"/>
      <c r="L104" s="36"/>
      <c r="M104" s="36"/>
    </row>
    <row r="105" spans="1:13">
      <c r="A105" s="149">
        <v>1</v>
      </c>
      <c r="C105" s="149" t="s">
        <v>457</v>
      </c>
      <c r="E105" s="135">
        <v>0</v>
      </c>
      <c r="F105" s="139">
        <f>E123</f>
        <v>2778</v>
      </c>
      <c r="G105" s="139">
        <f t="shared" ref="G105:J105" si="29">F123</f>
        <v>2716.2666666666669</v>
      </c>
      <c r="H105" s="139">
        <f t="shared" si="29"/>
        <v>2654.5333333333338</v>
      </c>
      <c r="I105" s="139">
        <f t="shared" si="29"/>
        <v>2592.8000000000006</v>
      </c>
      <c r="J105" s="139">
        <f t="shared" si="29"/>
        <v>2531.0666666666675</v>
      </c>
      <c r="K105" s="148"/>
      <c r="L105" s="36"/>
      <c r="M105" s="36"/>
    </row>
    <row r="106" spans="1:13">
      <c r="A106" s="149">
        <v>2</v>
      </c>
      <c r="C106" s="149" t="s">
        <v>458</v>
      </c>
      <c r="E106" s="135">
        <v>0</v>
      </c>
      <c r="F106" s="139">
        <f t="shared" ref="F106:J109" si="30">E124</f>
        <v>0</v>
      </c>
      <c r="G106" s="139">
        <f t="shared" si="30"/>
        <v>4116.0584580038158</v>
      </c>
      <c r="H106" s="139">
        <f t="shared" si="30"/>
        <v>4024.5904922703976</v>
      </c>
      <c r="I106" s="139">
        <f t="shared" si="30"/>
        <v>3933.1225265369794</v>
      </c>
      <c r="J106" s="139">
        <f t="shared" si="30"/>
        <v>3841.6545608035613</v>
      </c>
      <c r="K106" s="148"/>
      <c r="L106" s="36"/>
      <c r="M106" s="36"/>
    </row>
    <row r="107" spans="1:13">
      <c r="A107" s="149">
        <v>3</v>
      </c>
      <c r="C107" s="149" t="s">
        <v>459</v>
      </c>
      <c r="E107" s="135">
        <v>0</v>
      </c>
      <c r="F107" s="139">
        <f t="shared" si="30"/>
        <v>0</v>
      </c>
      <c r="G107" s="139">
        <f t="shared" si="30"/>
        <v>0</v>
      </c>
      <c r="H107" s="139">
        <f t="shared" si="30"/>
        <v>3648.6360515759643</v>
      </c>
      <c r="I107" s="139">
        <f t="shared" si="30"/>
        <v>3567.5552504298316</v>
      </c>
      <c r="J107" s="139">
        <f t="shared" si="30"/>
        <v>3486.474449283699</v>
      </c>
      <c r="K107" s="148"/>
      <c r="L107" s="36"/>
      <c r="M107" s="36"/>
    </row>
    <row r="108" spans="1:13">
      <c r="A108" s="149">
        <v>4</v>
      </c>
      <c r="C108" s="149" t="s">
        <v>460</v>
      </c>
      <c r="E108" s="135">
        <v>0</v>
      </c>
      <c r="F108" s="139">
        <f t="shared" si="30"/>
        <v>0</v>
      </c>
      <c r="G108" s="139">
        <f t="shared" si="30"/>
        <v>0</v>
      </c>
      <c r="H108" s="139">
        <f t="shared" si="30"/>
        <v>0</v>
      </c>
      <c r="I108" s="139">
        <f t="shared" si="30"/>
        <v>3585.7749891919098</v>
      </c>
      <c r="J108" s="139">
        <f t="shared" si="30"/>
        <v>3506.0911005432008</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3236.9733497915777</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61.733333333333334</v>
      </c>
      <c r="G117" s="139">
        <f t="shared" si="33"/>
        <v>61.733333333333341</v>
      </c>
      <c r="H117" s="139">
        <f t="shared" si="33"/>
        <v>61.733333333333341</v>
      </c>
      <c r="I117" s="139">
        <f t="shared" si="33"/>
        <v>61.733333333333348</v>
      </c>
      <c r="J117" s="139">
        <f t="shared" si="33"/>
        <v>61.733333333333356</v>
      </c>
      <c r="K117" s="148"/>
      <c r="L117" s="36"/>
      <c r="M117" s="36"/>
    </row>
    <row r="118" spans="1:13">
      <c r="A118" s="149">
        <v>2</v>
      </c>
      <c r="C118" s="149" t="s">
        <v>470</v>
      </c>
      <c r="E118" s="139">
        <f t="shared" si="33"/>
        <v>0</v>
      </c>
      <c r="F118" s="139">
        <f t="shared" si="33"/>
        <v>0</v>
      </c>
      <c r="G118" s="139">
        <f t="shared" si="33"/>
        <v>91.467965733418126</v>
      </c>
      <c r="H118" s="139">
        <f t="shared" si="33"/>
        <v>91.467965733418126</v>
      </c>
      <c r="I118" s="139">
        <f t="shared" si="33"/>
        <v>91.467965733418126</v>
      </c>
      <c r="J118" s="139">
        <f t="shared" si="33"/>
        <v>91.467965733418126</v>
      </c>
      <c r="K118" s="148"/>
      <c r="L118" s="36"/>
      <c r="M118" s="36"/>
    </row>
    <row r="119" spans="1:13">
      <c r="A119" s="149">
        <v>3</v>
      </c>
      <c r="C119" s="149" t="s">
        <v>471</v>
      </c>
      <c r="E119" s="139">
        <f t="shared" si="33"/>
        <v>0</v>
      </c>
      <c r="F119" s="139">
        <f t="shared" si="33"/>
        <v>0</v>
      </c>
      <c r="G119" s="139">
        <f t="shared" si="33"/>
        <v>0</v>
      </c>
      <c r="H119" s="139">
        <f t="shared" si="33"/>
        <v>81.080801146132544</v>
      </c>
      <c r="I119" s="139">
        <f t="shared" si="33"/>
        <v>81.080801146132544</v>
      </c>
      <c r="J119" s="139">
        <f t="shared" si="33"/>
        <v>81.080801146132529</v>
      </c>
      <c r="K119" s="148"/>
      <c r="L119" s="36"/>
      <c r="M119" s="36"/>
    </row>
    <row r="120" spans="1:13">
      <c r="A120" s="149">
        <v>4</v>
      </c>
      <c r="C120" s="149" t="s">
        <v>472</v>
      </c>
      <c r="E120" s="139">
        <f t="shared" si="33"/>
        <v>0</v>
      </c>
      <c r="F120" s="139">
        <f t="shared" si="33"/>
        <v>0</v>
      </c>
      <c r="G120" s="139">
        <f t="shared" si="33"/>
        <v>0</v>
      </c>
      <c r="H120" s="139">
        <f t="shared" si="33"/>
        <v>0</v>
      </c>
      <c r="I120" s="139">
        <f t="shared" si="33"/>
        <v>79.6838886487091</v>
      </c>
      <c r="J120" s="139">
        <f t="shared" si="33"/>
        <v>79.683888648709114</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71.932741106479497</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2778</v>
      </c>
      <c r="F123" s="139">
        <f t="shared" ref="F123:J123" si="34">F105-F117+IF($A123=F$103,F$104,0)</f>
        <v>2716.2666666666669</v>
      </c>
      <c r="G123" s="139">
        <f t="shared" si="34"/>
        <v>2654.5333333333338</v>
      </c>
      <c r="H123" s="139">
        <f t="shared" si="34"/>
        <v>2592.8000000000006</v>
      </c>
      <c r="I123" s="139">
        <f t="shared" si="34"/>
        <v>2531.0666666666675</v>
      </c>
      <c r="J123" s="139">
        <f t="shared" si="34"/>
        <v>2469.3333333333339</v>
      </c>
      <c r="K123" s="148"/>
      <c r="L123" s="36"/>
      <c r="M123" s="36"/>
    </row>
    <row r="124" spans="1:13">
      <c r="A124" s="149">
        <v>2</v>
      </c>
      <c r="C124" s="149" t="s">
        <v>476</v>
      </c>
      <c r="E124" s="139">
        <f t="shared" ref="E124:J128" si="35">E106-E118+IF($A124=E$103,E$104,0)</f>
        <v>0</v>
      </c>
      <c r="F124" s="139">
        <f t="shared" si="35"/>
        <v>4116.0584580038158</v>
      </c>
      <c r="G124" s="139">
        <f t="shared" si="35"/>
        <v>4024.5904922703976</v>
      </c>
      <c r="H124" s="139">
        <f t="shared" si="35"/>
        <v>3933.1225265369794</v>
      </c>
      <c r="I124" s="139">
        <f t="shared" si="35"/>
        <v>3841.6545608035613</v>
      </c>
      <c r="J124" s="139">
        <f t="shared" si="35"/>
        <v>3750.1865950701431</v>
      </c>
      <c r="K124" s="148"/>
      <c r="L124" s="36"/>
      <c r="M124" s="36"/>
    </row>
    <row r="125" spans="1:13">
      <c r="A125" s="149">
        <v>3</v>
      </c>
      <c r="C125" s="149" t="s">
        <v>477</v>
      </c>
      <c r="E125" s="139">
        <f t="shared" si="35"/>
        <v>0</v>
      </c>
      <c r="F125" s="139">
        <f t="shared" si="35"/>
        <v>0</v>
      </c>
      <c r="G125" s="139">
        <f t="shared" si="35"/>
        <v>3648.6360515759643</v>
      </c>
      <c r="H125" s="139">
        <f t="shared" si="35"/>
        <v>3567.5552504298316</v>
      </c>
      <c r="I125" s="139">
        <f t="shared" si="35"/>
        <v>3486.474449283699</v>
      </c>
      <c r="J125" s="139">
        <f t="shared" si="35"/>
        <v>3405.3936481375663</v>
      </c>
      <c r="K125" s="148"/>
      <c r="L125" s="36"/>
      <c r="M125" s="36"/>
    </row>
    <row r="126" spans="1:13">
      <c r="A126" s="149">
        <v>4</v>
      </c>
      <c r="C126" s="149" t="s">
        <v>478</v>
      </c>
      <c r="E126" s="139">
        <f t="shared" si="35"/>
        <v>0</v>
      </c>
      <c r="F126" s="139">
        <f t="shared" si="35"/>
        <v>0</v>
      </c>
      <c r="G126" s="139">
        <f t="shared" si="35"/>
        <v>0</v>
      </c>
      <c r="H126" s="139">
        <f t="shared" si="35"/>
        <v>3585.7749891919098</v>
      </c>
      <c r="I126" s="139">
        <f t="shared" si="35"/>
        <v>3506.0911005432008</v>
      </c>
      <c r="J126" s="139">
        <f t="shared" si="35"/>
        <v>3426.4072118944919</v>
      </c>
      <c r="K126" s="148"/>
      <c r="L126" s="36"/>
      <c r="M126" s="36"/>
    </row>
    <row r="127" spans="1:13">
      <c r="A127" s="149">
        <v>5</v>
      </c>
      <c r="C127" s="149" t="s">
        <v>479</v>
      </c>
      <c r="E127" s="139">
        <f t="shared" si="35"/>
        <v>0</v>
      </c>
      <c r="F127" s="139">
        <f t="shared" si="35"/>
        <v>0</v>
      </c>
      <c r="G127" s="139">
        <f t="shared" si="35"/>
        <v>0</v>
      </c>
      <c r="H127" s="139">
        <f t="shared" si="35"/>
        <v>0</v>
      </c>
      <c r="I127" s="139">
        <f t="shared" si="35"/>
        <v>3236.9733497915777</v>
      </c>
      <c r="J127" s="139">
        <f t="shared" si="35"/>
        <v>3165.0406086850981</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3267.9316243877565</v>
      </c>
      <c r="K128" s="148"/>
      <c r="L128" s="36"/>
      <c r="M128" s="36"/>
    </row>
    <row r="129" spans="3:13">
      <c r="C129" s="149" t="s">
        <v>72</v>
      </c>
      <c r="E129" s="139">
        <f>SUM(E105:E110)</f>
        <v>0</v>
      </c>
      <c r="F129" s="139">
        <f t="shared" ref="F129:J129" si="36">SUM(F105:F110)</f>
        <v>2778</v>
      </c>
      <c r="G129" s="139">
        <f t="shared" si="36"/>
        <v>6832.3251246704822</v>
      </c>
      <c r="H129" s="139">
        <f t="shared" si="36"/>
        <v>10327.759877179695</v>
      </c>
      <c r="I129" s="139">
        <f t="shared" si="36"/>
        <v>13679.252766158723</v>
      </c>
      <c r="J129" s="139">
        <f t="shared" si="36"/>
        <v>16602.260127088706</v>
      </c>
      <c r="K129" s="148"/>
      <c r="L129" s="36"/>
      <c r="M129" s="36"/>
    </row>
    <row r="130" spans="3:13">
      <c r="C130" s="149" t="s">
        <v>67</v>
      </c>
      <c r="E130" s="139">
        <f>SUM(E117:E122)</f>
        <v>0</v>
      </c>
      <c r="F130" s="139">
        <f t="shared" ref="F130:J130" si="37">SUM(F117:F122)</f>
        <v>61.733333333333334</v>
      </c>
      <c r="G130" s="139">
        <f t="shared" si="37"/>
        <v>153.20129906675146</v>
      </c>
      <c r="H130" s="139">
        <f t="shared" si="37"/>
        <v>234.28210021288402</v>
      </c>
      <c r="I130" s="139">
        <f t="shared" si="37"/>
        <v>313.96598886159313</v>
      </c>
      <c r="J130" s="139">
        <f t="shared" si="37"/>
        <v>385.89872996807264</v>
      </c>
      <c r="K130" s="148"/>
      <c r="L130" s="36"/>
      <c r="M130" s="36"/>
    </row>
    <row r="131" spans="3:13" s="36" customFormat="1">
      <c r="C131" s="36" t="s">
        <v>73</v>
      </c>
      <c r="E131" s="139">
        <f>SUM(E123:E128)</f>
        <v>2778</v>
      </c>
      <c r="F131" s="139">
        <f t="shared" ref="F131:J131" si="38">SUM(F123:F128)</f>
        <v>6832.3251246704822</v>
      </c>
      <c r="G131" s="139">
        <f t="shared" si="38"/>
        <v>10327.759877179695</v>
      </c>
      <c r="H131" s="139">
        <f t="shared" si="38"/>
        <v>13679.252766158723</v>
      </c>
      <c r="I131" s="139">
        <f t="shared" si="38"/>
        <v>16602.260127088706</v>
      </c>
      <c r="J131" s="139">
        <f t="shared" si="38"/>
        <v>19484.293021508391</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56516</v>
      </c>
      <c r="F134" s="139">
        <f>E137</f>
        <v>54198</v>
      </c>
      <c r="G134" s="139">
        <f t="shared" ref="G134:J134" si="39">F137</f>
        <v>51906.057208195787</v>
      </c>
      <c r="H134" s="139">
        <f t="shared" si="39"/>
        <v>49614.114416391574</v>
      </c>
      <c r="I134" s="139">
        <f t="shared" si="39"/>
        <v>47322.171624587354</v>
      </c>
      <c r="J134" s="139">
        <f t="shared" si="39"/>
        <v>45030.228832783141</v>
      </c>
      <c r="K134" s="148"/>
      <c r="L134" s="36"/>
      <c r="M134" s="36"/>
    </row>
    <row r="135" spans="3:13">
      <c r="C135" s="149" t="s">
        <v>41</v>
      </c>
      <c r="E135" s="139">
        <f t="shared" ref="E135:J135" si="40">E55</f>
        <v>25</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2293</v>
      </c>
      <c r="F136" s="139">
        <f t="shared" si="41"/>
        <v>2291.9427918042161</v>
      </c>
      <c r="G136" s="139">
        <f t="shared" si="41"/>
        <v>2291.9427918042161</v>
      </c>
      <c r="H136" s="139">
        <f t="shared" si="41"/>
        <v>2291.9427918042165</v>
      </c>
      <c r="I136" s="139">
        <f t="shared" si="41"/>
        <v>2291.9427918042161</v>
      </c>
      <c r="J136" s="139">
        <f t="shared" si="41"/>
        <v>2291.9427918042161</v>
      </c>
      <c r="K136" s="148"/>
      <c r="L136" s="36"/>
      <c r="M136" s="36"/>
    </row>
    <row r="137" spans="3:13">
      <c r="C137" s="149" t="s">
        <v>66</v>
      </c>
      <c r="E137" s="139">
        <f t="shared" ref="E137:J137" si="42">E134-E135-E136</f>
        <v>54198</v>
      </c>
      <c r="F137" s="139">
        <f t="shared" si="42"/>
        <v>51906.057208195787</v>
      </c>
      <c r="G137" s="139">
        <f t="shared" si="42"/>
        <v>49614.114416391574</v>
      </c>
      <c r="H137" s="139">
        <f t="shared" si="42"/>
        <v>47322.171624587354</v>
      </c>
      <c r="I137" s="139">
        <f t="shared" si="42"/>
        <v>45030.228832783141</v>
      </c>
      <c r="J137" s="139">
        <f t="shared" si="42"/>
        <v>42738.286040978928</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56516</v>
      </c>
      <c r="F140" s="139">
        <f t="shared" si="43"/>
        <v>57949.557421604775</v>
      </c>
      <c r="G140" s="139">
        <f t="shared" si="43"/>
        <v>60818.878412683312</v>
      </c>
      <c r="H140" s="139">
        <f t="shared" si="43"/>
        <v>63412.00845240488</v>
      </c>
      <c r="I140" s="139">
        <f t="shared" si="43"/>
        <v>65855.128485296649</v>
      </c>
      <c r="J140" s="139">
        <f t="shared" si="43"/>
        <v>67860.976105341033</v>
      </c>
      <c r="K140" s="148"/>
      <c r="L140" s="36"/>
      <c r="M140" s="36"/>
    </row>
    <row r="141" spans="3:13">
      <c r="C141" s="149" t="s">
        <v>268</v>
      </c>
      <c r="E141" s="139">
        <f t="shared" ref="E141:J143" si="44">E60+E98</f>
        <v>973.55742160477837</v>
      </c>
      <c r="F141" s="139">
        <f t="shared" si="44"/>
        <v>1148.1087736197469</v>
      </c>
      <c r="G141" s="139">
        <f t="shared" si="44"/>
        <v>1480.3242406133811</v>
      </c>
      <c r="H141" s="139">
        <f t="shared" si="44"/>
        <v>1538.741750633623</v>
      </c>
      <c r="I141" s="139">
        <f t="shared" si="44"/>
        <v>1598.0259601732344</v>
      </c>
      <c r="J141" s="139">
        <f t="shared" si="44"/>
        <v>1646.6994142034434</v>
      </c>
      <c r="K141" s="148"/>
      <c r="L141" s="36"/>
      <c r="M141" s="36"/>
    </row>
    <row r="142" spans="3:13">
      <c r="C142" s="149" t="s">
        <v>267</v>
      </c>
      <c r="E142" s="139">
        <f>E61+E99</f>
        <v>2293</v>
      </c>
      <c r="F142" s="139">
        <f t="shared" si="44"/>
        <v>2394.8462405450286</v>
      </c>
      <c r="G142" s="139">
        <f t="shared" si="44"/>
        <v>2535.8302524677788</v>
      </c>
      <c r="H142" s="139">
        <f t="shared" si="44"/>
        <v>2681.3967069337559</v>
      </c>
      <c r="I142" s="139">
        <f t="shared" si="44"/>
        <v>2829.1516899204321</v>
      </c>
      <c r="J142" s="139">
        <f t="shared" si="44"/>
        <v>2973.0143081544738</v>
      </c>
      <c r="K142" s="148"/>
      <c r="L142" s="36"/>
      <c r="M142" s="36"/>
    </row>
    <row r="143" spans="3:13">
      <c r="C143" s="149" t="s">
        <v>270</v>
      </c>
      <c r="E143" s="139">
        <f t="shared" si="44"/>
        <v>57949.557421604775</v>
      </c>
      <c r="F143" s="139">
        <f t="shared" si="44"/>
        <v>60818.878412683312</v>
      </c>
      <c r="G143" s="139">
        <f t="shared" si="44"/>
        <v>63412.00845240488</v>
      </c>
      <c r="H143" s="139">
        <f t="shared" si="44"/>
        <v>65855.128485296649</v>
      </c>
      <c r="I143" s="139">
        <f t="shared" si="44"/>
        <v>67860.976105341033</v>
      </c>
      <c r="J143" s="216">
        <f t="shared" si="44"/>
        <v>69802.592835777759</v>
      </c>
      <c r="K143" s="148"/>
      <c r="L143" s="36"/>
      <c r="M143" s="36"/>
    </row>
    <row r="144" spans="3:13">
      <c r="C144" s="149" t="s">
        <v>46</v>
      </c>
      <c r="E144" s="139">
        <f t="shared" ref="E144:J144" si="45">E130+E136</f>
        <v>2293</v>
      </c>
      <c r="F144" s="139">
        <f t="shared" si="45"/>
        <v>2353.6761251375492</v>
      </c>
      <c r="G144" s="139">
        <f t="shared" si="45"/>
        <v>2445.1440908709674</v>
      </c>
      <c r="H144" s="139">
        <f t="shared" si="45"/>
        <v>2526.2248920171005</v>
      </c>
      <c r="I144" s="139">
        <f t="shared" si="45"/>
        <v>2605.908780665809</v>
      </c>
      <c r="J144" s="139">
        <f t="shared" si="45"/>
        <v>2677.8415217722886</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1.0253655145729488</v>
      </c>
      <c r="G148" s="308">
        <f t="shared" ref="G148:J148" si="46">G140/$E140</f>
        <v>1.0761355795293954</v>
      </c>
      <c r="H148" s="308">
        <f t="shared" si="46"/>
        <v>1.1220186929790656</v>
      </c>
      <c r="I148" s="308">
        <f t="shared" si="46"/>
        <v>1.1652475137181797</v>
      </c>
      <c r="J148" s="308">
        <f t="shared" si="46"/>
        <v>1.2007391907661731</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0.10359585263622326</v>
      </c>
      <c r="E152" s="36"/>
      <c r="F152" s="36"/>
      <c r="G152" s="36"/>
      <c r="H152" s="36"/>
      <c r="I152" s="36"/>
      <c r="J152" s="36"/>
      <c r="K152" s="148"/>
      <c r="L152" s="36"/>
      <c r="M152" s="36"/>
    </row>
    <row r="153" spans="1:13">
      <c r="C153" s="149" t="s">
        <v>282</v>
      </c>
      <c r="E153" s="135">
        <f>E16</f>
        <v>22665</v>
      </c>
      <c r="F153" s="139">
        <f>E157</f>
        <v>23070</v>
      </c>
      <c r="G153" s="139">
        <f t="shared" ref="G153:J153" si="48">F157</f>
        <v>24796.102137686146</v>
      </c>
      <c r="H153" s="139">
        <f t="shared" si="48"/>
        <v>25875.964846253635</v>
      </c>
      <c r="I153" s="139">
        <f t="shared" si="48"/>
        <v>26781.09719441296</v>
      </c>
      <c r="J153" s="139">
        <f t="shared" si="48"/>
        <v>27243.659945815758</v>
      </c>
      <c r="K153" s="148"/>
      <c r="L153" s="36"/>
      <c r="M153" s="36"/>
    </row>
    <row r="154" spans="1:13">
      <c r="C154" s="149" t="s">
        <v>35</v>
      </c>
      <c r="E154" s="135">
        <f>E15</f>
        <v>2348</v>
      </c>
      <c r="F154" s="139">
        <f t="shared" ref="F154:J154" si="49">F153*$D152</f>
        <v>2389.9563203176704</v>
      </c>
      <c r="G154" s="139">
        <f t="shared" si="49"/>
        <v>2568.7733430084745</v>
      </c>
      <c r="H154" s="139">
        <f t="shared" si="49"/>
        <v>2680.6426410325848</v>
      </c>
      <c r="I154" s="139">
        <f t="shared" si="49"/>
        <v>2774.4105983887771</v>
      </c>
      <c r="J154" s="139">
        <f t="shared" si="49"/>
        <v>2822.3301810181074</v>
      </c>
      <c r="K154" s="148"/>
      <c r="L154" s="36"/>
      <c r="M154" s="36"/>
    </row>
    <row r="155" spans="1:13">
      <c r="C155" s="149" t="s">
        <v>124</v>
      </c>
      <c r="E155" s="139">
        <f t="shared" ref="E155:J155" si="50">E25</f>
        <v>2778</v>
      </c>
      <c r="F155" s="139">
        <f t="shared" si="50"/>
        <v>4116.0584580038158</v>
      </c>
      <c r="G155" s="139">
        <f t="shared" si="50"/>
        <v>3648.6360515759643</v>
      </c>
      <c r="H155" s="139">
        <f t="shared" si="50"/>
        <v>3585.7749891919098</v>
      </c>
      <c r="I155" s="139">
        <f t="shared" si="50"/>
        <v>3236.9733497915777</v>
      </c>
      <c r="J155" s="139">
        <f t="shared" si="50"/>
        <v>3267.9316243877565</v>
      </c>
      <c r="K155" s="148"/>
      <c r="L155" s="309"/>
      <c r="M155" s="36"/>
    </row>
    <row r="156" spans="1:13">
      <c r="C156" s="149" t="s">
        <v>41</v>
      </c>
      <c r="E156" s="139">
        <f>E55</f>
        <v>25</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23070</v>
      </c>
      <c r="F157" s="139">
        <f t="shared" ref="F157:J157" si="52">F153-F154+F155-F156</f>
        <v>24796.102137686146</v>
      </c>
      <c r="G157" s="139">
        <f t="shared" si="52"/>
        <v>25875.964846253635</v>
      </c>
      <c r="H157" s="139">
        <f t="shared" si="52"/>
        <v>26781.09719441296</v>
      </c>
      <c r="I157" s="139">
        <f t="shared" si="52"/>
        <v>27243.659945815758</v>
      </c>
      <c r="J157" s="139">
        <f t="shared" si="52"/>
        <v>27689.261389185405</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-55</v>
      </c>
      <c r="F160" s="139">
        <f t="shared" si="53"/>
        <v>-36.280195180121154</v>
      </c>
      <c r="G160" s="139">
        <f t="shared" si="53"/>
        <v>-123.62925213750714</v>
      </c>
      <c r="H160" s="139">
        <f t="shared" si="53"/>
        <v>-154.41774901548433</v>
      </c>
      <c r="I160" s="139">
        <f t="shared" si="53"/>
        <v>-168.5018177229681</v>
      </c>
      <c r="J160" s="139">
        <f t="shared" si="53"/>
        <v>-144.48865924581878</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-439.63749999999999</v>
      </c>
      <c r="G163" s="310">
        <f t="shared" ref="G163:J163" si="54">F166</f>
        <v>-873.65905855403628</v>
      </c>
      <c r="H163" s="310">
        <f t="shared" si="54"/>
        <v>-1303.2035824858717</v>
      </c>
      <c r="I163" s="310">
        <f t="shared" si="54"/>
        <v>-1741.3688855435407</v>
      </c>
      <c r="J163" s="310">
        <f t="shared" si="54"/>
        <v>-2183.4777278393053</v>
      </c>
      <c r="K163" s="148"/>
      <c r="L163" s="36"/>
      <c r="M163" s="36"/>
    </row>
    <row r="164" spans="3:13">
      <c r="C164" s="149" t="s">
        <v>238</v>
      </c>
      <c r="E164" s="139">
        <f t="shared" ref="E164:J164" si="55">E160</f>
        <v>-55</v>
      </c>
      <c r="F164" s="139">
        <f t="shared" si="55"/>
        <v>-36.280195180121154</v>
      </c>
      <c r="G164" s="139">
        <f t="shared" si="55"/>
        <v>-123.62925213750714</v>
      </c>
      <c r="H164" s="139">
        <f t="shared" si="55"/>
        <v>-154.41774901548433</v>
      </c>
      <c r="I164" s="139">
        <f t="shared" si="55"/>
        <v>-168.5018177229681</v>
      </c>
      <c r="J164" s="139">
        <f t="shared" si="55"/>
        <v>-144.48865924581878</v>
      </c>
      <c r="K164" s="148"/>
      <c r="L164" s="36"/>
      <c r="M164" s="36"/>
    </row>
    <row r="165" spans="3:13">
      <c r="C165" s="149" t="s">
        <v>49</v>
      </c>
      <c r="E165" s="135">
        <f>(E11-E16)/E17</f>
        <v>1410.4583333333333</v>
      </c>
      <c r="F165" s="139">
        <f>E165</f>
        <v>1410.4583333333333</v>
      </c>
      <c r="G165" s="139">
        <f t="shared" ref="G165:J165" si="56">F165</f>
        <v>1410.4583333333333</v>
      </c>
      <c r="H165" s="139">
        <f t="shared" si="56"/>
        <v>1410.4583333333333</v>
      </c>
      <c r="I165" s="139">
        <f t="shared" si="56"/>
        <v>1410.4583333333333</v>
      </c>
      <c r="J165" s="139">
        <f t="shared" si="56"/>
        <v>1410.4583333333333</v>
      </c>
      <c r="K165" s="148"/>
      <c r="L165" s="36"/>
      <c r="M165" s="36"/>
    </row>
    <row r="166" spans="3:13">
      <c r="C166" s="149" t="s">
        <v>266</v>
      </c>
      <c r="E166" s="310">
        <f t="shared" ref="E166:J166" si="57">E163+(E164-E165)*E52</f>
        <v>-439.63749999999999</v>
      </c>
      <c r="F166" s="310">
        <f t="shared" si="57"/>
        <v>-873.65905855403628</v>
      </c>
      <c r="G166" s="310">
        <f t="shared" si="57"/>
        <v>-1303.2035824858717</v>
      </c>
      <c r="H166" s="310">
        <f t="shared" si="57"/>
        <v>-1741.3688855435407</v>
      </c>
      <c r="I166" s="310">
        <f t="shared" si="57"/>
        <v>-2183.4777278393053</v>
      </c>
      <c r="J166" s="310">
        <f t="shared" si="57"/>
        <v>-2618.8628857614681</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56516</v>
      </c>
      <c r="F169" s="139">
        <f t="shared" si="58"/>
        <v>57509.919921604778</v>
      </c>
      <c r="G169" s="139">
        <f t="shared" si="58"/>
        <v>59945.219354129273</v>
      </c>
      <c r="H169" s="139">
        <f t="shared" si="58"/>
        <v>62108.804869919011</v>
      </c>
      <c r="I169" s="139">
        <f t="shared" si="58"/>
        <v>64113.75959975311</v>
      </c>
      <c r="J169" s="139">
        <f t="shared" si="58"/>
        <v>65677.498377501732</v>
      </c>
      <c r="K169" s="148"/>
      <c r="L169" s="36"/>
      <c r="M169" s="36"/>
    </row>
    <row r="170" spans="3:13">
      <c r="C170" s="149" t="s">
        <v>124</v>
      </c>
      <c r="E170" s="139">
        <f t="shared" ref="E170:J170" si="59">E25</f>
        <v>2778</v>
      </c>
      <c r="F170" s="139">
        <f t="shared" si="59"/>
        <v>4116.0584580038158</v>
      </c>
      <c r="G170" s="139">
        <f t="shared" si="59"/>
        <v>3648.6360515759643</v>
      </c>
      <c r="H170" s="139">
        <f t="shared" si="59"/>
        <v>3585.7749891919098</v>
      </c>
      <c r="I170" s="139">
        <f t="shared" si="59"/>
        <v>3236.9733497915777</v>
      </c>
      <c r="J170" s="139">
        <f t="shared" si="59"/>
        <v>3267.9316243877565</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973.55742160477837</v>
      </c>
      <c r="F172" s="95">
        <f t="shared" si="61"/>
        <v>1148.1087736197469</v>
      </c>
      <c r="G172" s="95">
        <f t="shared" si="61"/>
        <v>1480.3242406133811</v>
      </c>
      <c r="H172" s="95">
        <f t="shared" si="61"/>
        <v>1538.741750633623</v>
      </c>
      <c r="I172" s="95">
        <f t="shared" si="61"/>
        <v>1598.0259601732344</v>
      </c>
      <c r="J172" s="95">
        <f t="shared" si="61"/>
        <v>1646.6994142034434</v>
      </c>
      <c r="K172" s="148"/>
      <c r="L172" s="36"/>
      <c r="M172" s="36"/>
    </row>
    <row r="173" spans="3:13">
      <c r="C173" s="149" t="s">
        <v>334</v>
      </c>
      <c r="E173" s="139">
        <f t="shared" ref="E173:J173" si="62">E169*WACC+E170*($D$46-1)+E171-E172</f>
        <v>4101.8177199431311</v>
      </c>
      <c r="F173" s="139">
        <f t="shared" si="62"/>
        <v>4071.7133861365646</v>
      </c>
      <c r="G173" s="139">
        <f t="shared" si="62"/>
        <v>3933.0640393121912</v>
      </c>
      <c r="H173" s="139">
        <f t="shared" si="62"/>
        <v>4061.7019928544723</v>
      </c>
      <c r="I173" s="139">
        <f t="shared" si="62"/>
        <v>4163.3206471124622</v>
      </c>
      <c r="J173" s="139">
        <f t="shared" si="62"/>
        <v>4253.1123603925898</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1971.9562719999999</v>
      </c>
      <c r="F176" s="310">
        <f t="shared" si="63"/>
        <v>2006.6361259046339</v>
      </c>
      <c r="G176" s="310">
        <f t="shared" si="63"/>
        <v>2091.6085937042785</v>
      </c>
      <c r="H176" s="310">
        <f t="shared" si="63"/>
        <v>2167.100419521214</v>
      </c>
      <c r="I176" s="310">
        <f t="shared" si="63"/>
        <v>2237.0572999545857</v>
      </c>
      <c r="J176" s="310">
        <f t="shared" si="63"/>
        <v>2291.6192733877901</v>
      </c>
      <c r="K176" s="148"/>
      <c r="L176" s="36"/>
      <c r="M176" s="36"/>
    </row>
    <row r="177" spans="3:13">
      <c r="C177" s="149" t="s">
        <v>52</v>
      </c>
      <c r="E177" s="310">
        <f t="shared" ref="E177:J177" si="64">E142-E144</f>
        <v>0</v>
      </c>
      <c r="F177" s="310">
        <f t="shared" si="64"/>
        <v>41.170115407479443</v>
      </c>
      <c r="G177" s="310">
        <f t="shared" si="64"/>
        <v>90.686161596811417</v>
      </c>
      <c r="H177" s="310">
        <f t="shared" si="64"/>
        <v>155.17181491665542</v>
      </c>
      <c r="I177" s="310">
        <f t="shared" si="64"/>
        <v>223.2429092546231</v>
      </c>
      <c r="J177" s="310">
        <f t="shared" si="64"/>
        <v>295.17278638218522</v>
      </c>
      <c r="K177" s="148"/>
      <c r="L177" s="36"/>
      <c r="M177" s="36"/>
    </row>
    <row r="178" spans="3:13">
      <c r="C178" s="149" t="s">
        <v>53</v>
      </c>
      <c r="E178" s="310">
        <f t="shared" ref="E178:J178" si="65">E165+E177-E176</f>
        <v>-561.49793866666664</v>
      </c>
      <c r="F178" s="310">
        <f t="shared" si="65"/>
        <v>-555.0076771638212</v>
      </c>
      <c r="G178" s="310">
        <f t="shared" si="65"/>
        <v>-590.46409877413384</v>
      </c>
      <c r="H178" s="310">
        <f t="shared" si="65"/>
        <v>-601.47027127122533</v>
      </c>
      <c r="I178" s="310">
        <f t="shared" si="65"/>
        <v>-603.35605736662933</v>
      </c>
      <c r="J178" s="310">
        <f t="shared" si="65"/>
        <v>-585.98815367227166</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2293</v>
      </c>
      <c r="F181" s="139">
        <f t="shared" si="66"/>
        <v>2394.8462405450286</v>
      </c>
      <c r="G181" s="139">
        <f t="shared" si="66"/>
        <v>2535.8302524677788</v>
      </c>
      <c r="H181" s="139">
        <f t="shared" si="66"/>
        <v>2681.3967069337559</v>
      </c>
      <c r="I181" s="139">
        <f t="shared" si="66"/>
        <v>2829.1516899204321</v>
      </c>
      <c r="J181" s="139">
        <f t="shared" si="66"/>
        <v>2973.0143081544738</v>
      </c>
      <c r="K181" s="148"/>
      <c r="L181" s="36"/>
      <c r="M181" s="36"/>
    </row>
    <row r="182" spans="3:13">
      <c r="C182" s="149" t="s">
        <v>275</v>
      </c>
      <c r="E182" s="139">
        <f>E55</f>
        <v>25</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2318</v>
      </c>
      <c r="F183" s="95">
        <f>F181+F182</f>
        <v>2394.8462405450286</v>
      </c>
      <c r="G183" s="95">
        <f t="shared" ref="G183:J183" si="68">G181+G182</f>
        <v>2535.8302524677788</v>
      </c>
      <c r="H183" s="95">
        <f t="shared" si="68"/>
        <v>2681.3967069337559</v>
      </c>
      <c r="I183" s="95">
        <f t="shared" si="68"/>
        <v>2829.1516899204321</v>
      </c>
      <c r="J183" s="95">
        <f t="shared" si="68"/>
        <v>2973.0143081544738</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85.332655930474175</v>
      </c>
      <c r="F186" s="139">
        <f t="shared" ref="F186:J186" si="69">F40</f>
        <v>89.144233086894616</v>
      </c>
      <c r="G186" s="139">
        <f t="shared" si="69"/>
        <v>90.544404287212345</v>
      </c>
      <c r="H186" s="139">
        <f t="shared" si="69"/>
        <v>92.255724643156213</v>
      </c>
      <c r="I186" s="139">
        <f t="shared" si="69"/>
        <v>94.200406865819701</v>
      </c>
      <c r="J186" s="139">
        <f t="shared" si="69"/>
        <v>96.300663666296288</v>
      </c>
      <c r="K186" s="148"/>
      <c r="L186" s="36"/>
      <c r="M186" s="36"/>
    </row>
    <row r="187" spans="3:13">
      <c r="E187" s="36"/>
      <c r="F187" s="95"/>
      <c r="G187" s="95"/>
      <c r="H187" s="95"/>
      <c r="I187" s="95"/>
      <c r="J187" s="95"/>
      <c r="K187" s="148"/>
      <c r="L187" s="36"/>
      <c r="M187" s="36"/>
    </row>
    <row r="188" spans="3:13" ht="15.75">
      <c r="C188" s="5" t="s">
        <v>297</v>
      </c>
      <c r="E188" s="139">
        <f t="shared" ref="E188:J188" si="70">E24</f>
        <v>4402</v>
      </c>
      <c r="F188" s="139">
        <f t="shared" si="70"/>
        <v>4490.1242661749829</v>
      </c>
      <c r="G188" s="139">
        <f t="shared" si="70"/>
        <v>4596.6228668505701</v>
      </c>
      <c r="H188" s="139">
        <f t="shared" si="70"/>
        <v>4695.3299964435855</v>
      </c>
      <c r="I188" s="139">
        <f t="shared" si="70"/>
        <v>4791.962000113981</v>
      </c>
      <c r="J188" s="139">
        <f t="shared" si="70"/>
        <v>4887.4320341829361</v>
      </c>
      <c r="K188" s="148"/>
      <c r="L188" s="309"/>
      <c r="M188" s="36"/>
    </row>
    <row r="189" spans="3:13">
      <c r="C189" s="149" t="s">
        <v>298</v>
      </c>
      <c r="E189" s="139">
        <f t="shared" ref="E189:J189" si="71">E188*$D$44</f>
        <v>4590.4429037775008</v>
      </c>
      <c r="F189" s="139">
        <f t="shared" si="71"/>
        <v>4682.3396353344187</v>
      </c>
      <c r="G189" s="139">
        <f t="shared" si="71"/>
        <v>4793.3972786178083</v>
      </c>
      <c r="H189" s="139">
        <f t="shared" si="71"/>
        <v>4896.3299098291909</v>
      </c>
      <c r="I189" s="139">
        <f t="shared" si="71"/>
        <v>4997.0985821432678</v>
      </c>
      <c r="J189" s="139">
        <f t="shared" si="71"/>
        <v>5096.6555427101084</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-439.63749999999999</v>
      </c>
      <c r="F192" s="310">
        <f t="shared" si="72"/>
        <v>-434.02155855403629</v>
      </c>
      <c r="G192" s="310">
        <f t="shared" si="72"/>
        <v>-429.54452393183544</v>
      </c>
      <c r="H192" s="310">
        <f t="shared" si="72"/>
        <v>-438.16530305766901</v>
      </c>
      <c r="I192" s="310">
        <f t="shared" si="72"/>
        <v>-442.10884229576459</v>
      </c>
      <c r="J192" s="310">
        <f t="shared" si="72"/>
        <v>-435.38515792216276</v>
      </c>
      <c r="K192" s="148"/>
      <c r="L192" s="309"/>
      <c r="M192" s="36"/>
    </row>
    <row r="193" spans="2:15">
      <c r="C193" s="149" t="s">
        <v>285</v>
      </c>
      <c r="E193" s="36"/>
      <c r="F193" s="310">
        <f>(F173+F183+F189+((F186-F188-F142+F178)*F52+F192)*$D45-F192-F186*$D47)/($D48-F52*$D45)</f>
        <v>12104.90434220635</v>
      </c>
      <c r="G193" s="310">
        <f>(G173+G183+G189+((G186-G188-G142+G178)*G52+G192)*$D45-G192-G186*$D47)/($D48-G52*$D45)</f>
        <v>12011.684370648125</v>
      </c>
      <c r="H193" s="310">
        <f>(H173+H183+H189+((H186-H188-H142+H178)*H52+H192)*$D45-H192-H186*$D47)/($D48-H52*$D45)</f>
        <v>12416.894742752067</v>
      </c>
      <c r="I193" s="310">
        <f>(I173+I183+I189+((I186-I188-I142+I178)*I52+I192)*$D45-I192-I186*$D47)/($D48-I52*$D45)</f>
        <v>12789.332537174925</v>
      </c>
      <c r="J193" s="310">
        <f>(J173+J183+J189+((J186-J188-J142+J178)*J52+J192)*$D45-J192-J186*$D47)/($D48-J52*$D45)</f>
        <v>13148.987619788206</v>
      </c>
      <c r="K193" s="148"/>
      <c r="L193" s="309"/>
      <c r="M193" s="36"/>
    </row>
    <row r="194" spans="2:15">
      <c r="C194" s="149" t="s">
        <v>293</v>
      </c>
      <c r="E194" s="36"/>
      <c r="F194" s="310">
        <f>(F193+F186-F188-F181+F178)*F52</f>
        <v>1426.221117422823</v>
      </c>
      <c r="G194" s="310">
        <f>(G193+G186-G188-G181+G178)*G52</f>
        <v>1226.2072359159997</v>
      </c>
      <c r="H194" s="310">
        <f>(H193+H186-H188-H181+H178)*H52</f>
        <v>1268.6669779690642</v>
      </c>
      <c r="I194" s="310">
        <f>(I193+I186-I188-I181+I178)*I52</f>
        <v>1304.5376950591165</v>
      </c>
      <c r="J194" s="310">
        <f>(J193+J186-J188-J181+J178)*J52</f>
        <v>1343.6790604845496</v>
      </c>
      <c r="K194" s="148"/>
      <c r="L194" s="309"/>
      <c r="M194" s="36"/>
    </row>
    <row r="195" spans="2:15">
      <c r="C195" s="149" t="s">
        <v>277</v>
      </c>
      <c r="E195" s="36"/>
      <c r="F195" s="310">
        <f>IF(F194&lt;0,#N/A,F194)</f>
        <v>1426.221117422823</v>
      </c>
      <c r="G195" s="310">
        <f t="shared" ref="G195:J195" si="73">IF(G194&lt;0,#N/A,G194)</f>
        <v>1226.2072359159997</v>
      </c>
      <c r="H195" s="310">
        <f t="shared" si="73"/>
        <v>1268.6669779690642</v>
      </c>
      <c r="I195" s="310">
        <f>IF(I194&lt;0,#N/A,I194)</f>
        <v>1304.5376950591165</v>
      </c>
      <c r="J195" s="310">
        <f t="shared" si="73"/>
        <v>1343.6790604845496</v>
      </c>
      <c r="K195" s="148"/>
      <c r="L195" s="309"/>
      <c r="M195" s="36"/>
    </row>
    <row r="196" spans="2:15">
      <c r="C196" s="149" t="s">
        <v>286</v>
      </c>
      <c r="E196" s="36"/>
      <c r="F196" s="310">
        <f>F173+F183+F189+(F195+F192)*$D$45-F192-F186*$D$47</f>
        <v>12524.634567038465</v>
      </c>
      <c r="G196" s="310">
        <f>G173+G183+G189+(G195+G192)*$D$45-G192-G186*$D$47</f>
        <v>12428.182249439758</v>
      </c>
      <c r="H196" s="310">
        <f>H173+H183+H189+(H195+H192)*$D$45-H192-H186*$D$47</f>
        <v>12847.443045717186</v>
      </c>
      <c r="I196" s="310">
        <f>I173+I183+I189+(I195+I192)*$D$45-I192-I186*$D$47</f>
        <v>13232.794895036292</v>
      </c>
      <c r="J196" s="310">
        <f>J173+J183+J189+(J195+J192)*$D$45-J192-J186*$D$47</f>
        <v>13604.920799757678</v>
      </c>
      <c r="K196" s="148"/>
      <c r="L196" s="309"/>
      <c r="M196" s="36"/>
    </row>
    <row r="197" spans="2:15">
      <c r="C197" s="149" t="s">
        <v>287</v>
      </c>
      <c r="E197" s="36"/>
      <c r="F197" s="310">
        <f>F196/$D$48</f>
        <v>12104.90434220635</v>
      </c>
      <c r="G197" s="310">
        <f t="shared" ref="G197:J197" si="74">G196/$D$48</f>
        <v>12011.684370648127</v>
      </c>
      <c r="H197" s="310">
        <f t="shared" si="74"/>
        <v>12416.894742752065</v>
      </c>
      <c r="I197" s="310">
        <f t="shared" si="74"/>
        <v>12789.332537174923</v>
      </c>
      <c r="J197" s="310">
        <f t="shared" si="74"/>
        <v>13148.987619788204</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992.19955886878665</v>
      </c>
      <c r="G199" s="310">
        <f t="shared" ref="G199:J199" si="75">G195+G192</f>
        <v>796.66271198416428</v>
      </c>
      <c r="H199" s="310">
        <f t="shared" si="75"/>
        <v>830.50167491139518</v>
      </c>
      <c r="I199" s="310">
        <f t="shared" si="75"/>
        <v>862.42885276335187</v>
      </c>
      <c r="J199" s="310">
        <f t="shared" si="75"/>
        <v>908.29390256238685</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12847.443045717186</v>
      </c>
      <c r="I204" s="310">
        <f>I196</f>
        <v>13232.794895036292</v>
      </c>
      <c r="J204" s="310">
        <f>J196</f>
        <v>13604.920799757678</v>
      </c>
      <c r="K204" s="148"/>
      <c r="L204" s="36"/>
      <c r="M204" s="36"/>
    </row>
    <row r="205" spans="2:15">
      <c r="B205" s="149" t="s">
        <v>247</v>
      </c>
      <c r="C205" s="149" t="s">
        <v>249</v>
      </c>
      <c r="D205" s="155"/>
      <c r="E205" s="36"/>
      <c r="F205" s="310"/>
      <c r="G205" s="310"/>
      <c r="H205" s="310">
        <f>H204/(1+WACC)^H$203</f>
        <v>11811.56848921319</v>
      </c>
      <c r="I205" s="310">
        <f>I204/(1+WACC)^I$203</f>
        <v>11184.931380093496</v>
      </c>
      <c r="J205" s="310">
        <f>J204/(1+WACC)^J$203</f>
        <v>10572.279408079994</v>
      </c>
      <c r="K205" s="148"/>
      <c r="L205" s="36"/>
      <c r="M205" s="36"/>
    </row>
    <row r="206" spans="2:15">
      <c r="B206" s="149" t="s">
        <v>247</v>
      </c>
      <c r="C206" s="149" t="s">
        <v>159</v>
      </c>
      <c r="D206" s="92">
        <f>SUM(H205:J205)</f>
        <v>33568.779277386682</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33568.779277386682</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1.0248459646704688</v>
      </c>
      <c r="J211" s="316">
        <f>I211*(1+J$31)*(1+J$26)*(1-X_industry_wide)</f>
        <v>1.0503903843331743</v>
      </c>
      <c r="K211" s="148"/>
      <c r="L211" s="36" t="s">
        <v>509</v>
      </c>
      <c r="M211" s="36"/>
    </row>
    <row r="212" spans="1:13">
      <c r="C212" s="149" t="s">
        <v>160</v>
      </c>
      <c r="D212" s="155"/>
      <c r="E212" s="36"/>
      <c r="F212" s="317"/>
      <c r="G212" s="316"/>
      <c r="H212" s="316">
        <f>H211/(1+WACC)^H$203</f>
        <v>0.91937115013330895</v>
      </c>
      <c r="I212" s="316">
        <f>I211/(1+WACC)^I$203</f>
        <v>0.86624419715782808</v>
      </c>
      <c r="J212" s="316">
        <f>J211/(1+WACC)^J$203</f>
        <v>0.81625029606410093</v>
      </c>
      <c r="K212" s="148"/>
      <c r="L212" s="36" t="s">
        <v>280</v>
      </c>
      <c r="M212" s="36"/>
    </row>
    <row r="213" spans="1:13">
      <c r="C213" s="149" t="s">
        <v>99</v>
      </c>
      <c r="D213" s="140">
        <f>SUM(H212:J212)</f>
        <v>2.6018656433552381</v>
      </c>
      <c r="E213" s="36"/>
      <c r="F213" s="317"/>
      <c r="G213" s="316"/>
      <c r="H213" s="316"/>
      <c r="I213" s="316"/>
      <c r="J213" s="316"/>
      <c r="K213" s="148"/>
      <c r="L213" s="36" t="s">
        <v>510</v>
      </c>
      <c r="M213" s="36"/>
    </row>
    <row r="214" spans="1:13">
      <c r="C214" s="149" t="s">
        <v>256</v>
      </c>
      <c r="D214" s="26">
        <f>D210/D213</f>
        <v>12901.811191948418</v>
      </c>
      <c r="E214" s="36"/>
      <c r="F214" s="317"/>
      <c r="G214" s="316"/>
      <c r="H214" s="310"/>
      <c r="I214" s="310"/>
      <c r="J214" s="310"/>
      <c r="K214" s="148"/>
      <c r="L214" s="36"/>
      <c r="M214" s="36"/>
    </row>
    <row r="215" spans="1:13">
      <c r="C215" s="149" t="s">
        <v>252</v>
      </c>
      <c r="D215" s="26"/>
      <c r="E215" s="36"/>
      <c r="F215" s="317"/>
      <c r="G215" s="316"/>
      <c r="H215" s="310">
        <f t="shared" ref="H215:J215" si="76">$D214*H211</f>
        <v>12901.811191948418</v>
      </c>
      <c r="I215" s="310">
        <f t="shared" si="76"/>
        <v>13222.369137008629</v>
      </c>
      <c r="J215" s="310">
        <f t="shared" si="76"/>
        <v>13551.938416504749</v>
      </c>
      <c r="K215" s="148"/>
      <c r="L215" s="36" t="s">
        <v>243</v>
      </c>
      <c r="M215" s="36"/>
    </row>
    <row r="216" spans="1:13">
      <c r="C216" s="149" t="s">
        <v>253</v>
      </c>
      <c r="D216" s="26"/>
      <c r="E216" s="36"/>
      <c r="F216" s="317"/>
      <c r="G216" s="316"/>
      <c r="H216" s="247">
        <f t="shared" ref="H216:J216" si="77">H215/$D$48</f>
        <v>12469.440883389507</v>
      </c>
      <c r="I216" s="247">
        <f t="shared" si="77"/>
        <v>12779.256171038704</v>
      </c>
      <c r="J216" s="247">
        <f t="shared" si="77"/>
        <v>13097.7808019233</v>
      </c>
      <c r="K216" s="148"/>
      <c r="L216" s="36" t="s">
        <v>245</v>
      </c>
      <c r="M216" s="36"/>
    </row>
    <row r="217" spans="1:13">
      <c r="C217" s="149" t="s">
        <v>252</v>
      </c>
      <c r="D217" s="26"/>
      <c r="E217" s="36"/>
      <c r="F217" s="317"/>
      <c r="G217" s="316"/>
      <c r="H217" s="247">
        <f>H216*$D$48</f>
        <v>12901.811191948418</v>
      </c>
      <c r="I217" s="247">
        <f t="shared" ref="I217:J217" si="78">I216*$D$48</f>
        <v>13222.369137008629</v>
      </c>
      <c r="J217" s="247">
        <f t="shared" si="78"/>
        <v>13551.938416504749</v>
      </c>
      <c r="K217" s="148"/>
      <c r="L217" s="36" t="s">
        <v>299</v>
      </c>
      <c r="M217" s="36"/>
    </row>
    <row r="218" spans="1:13">
      <c r="C218" s="149" t="s">
        <v>254</v>
      </c>
      <c r="D218" s="155"/>
      <c r="E218" s="36"/>
      <c r="F218" s="317"/>
      <c r="G218" s="316"/>
      <c r="H218" s="310">
        <f>H215/(1+WACC)^H$203</f>
        <v>11861.552994344414</v>
      </c>
      <c r="I218" s="310">
        <f>I215/(1+WACC)^I$203</f>
        <v>11176.119077851239</v>
      </c>
      <c r="J218" s="310">
        <f>J215/(1+WACC)^J$203</f>
        <v>10531.107205191027</v>
      </c>
      <c r="K218" s="148"/>
      <c r="L218" s="36" t="s">
        <v>246</v>
      </c>
      <c r="M218" s="36"/>
    </row>
    <row r="219" spans="1:13">
      <c r="C219" s="149" t="s">
        <v>255</v>
      </c>
      <c r="D219" s="26">
        <f>SUM(H218:J218)</f>
        <v>33568.779277386682</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21707.226283042266</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-3.0965104984691911E-3</v>
      </c>
      <c r="G226" s="204">
        <f t="shared" ref="G226:J226" si="80">G$26</f>
        <v>-2.1639005428887267E-4</v>
      </c>
      <c r="H226" s="204">
        <f t="shared" si="80"/>
        <v>4.3463072134527147E-4</v>
      </c>
      <c r="I226" s="204">
        <f t="shared" si="80"/>
        <v>3.8467676369052605E-4</v>
      </c>
      <c r="J226" s="204">
        <f t="shared" si="80"/>
        <v>6.4373160745747661E-4</v>
      </c>
      <c r="K226" s="148"/>
      <c r="L226" s="36"/>
      <c r="M226" s="36"/>
    </row>
    <row r="227" spans="1:14">
      <c r="A227" s="19"/>
      <c r="B227" s="19" t="s">
        <v>263</v>
      </c>
      <c r="C227" s="149" t="s">
        <v>411</v>
      </c>
      <c r="E227" s="163">
        <f>E$8-E$9-E$10</f>
        <v>11184</v>
      </c>
      <c r="F227" s="247">
        <f>E227*(1+F225)*(1+F226)*(1-X_industry_wide)</f>
        <v>11424.204923614003</v>
      </c>
      <c r="G227" s="247">
        <f>F227*(1+G225)*(1+G226)*(1-X_industry_wide)</f>
        <v>11625.173373323538</v>
      </c>
      <c r="H227" s="320">
        <f>G227*(1+H225)*(1+H226)*(1-X_industry_wide)</f>
        <v>12164.159134954396</v>
      </c>
      <c r="I227" s="247">
        <f>H227*(1+I225)*(1+I226)*(1-X_industry_wide)</f>
        <v>12466.389403067435</v>
      </c>
      <c r="J227" s="247">
        <f>I227*(1+J225)*(1+J226)*(1-X_industry_wide)</f>
        <v>12777.115788854642</v>
      </c>
      <c r="K227" s="148"/>
      <c r="L227" s="300"/>
      <c r="M227" s="36"/>
    </row>
    <row r="228" spans="1:14">
      <c r="A228" s="19"/>
      <c r="B228" s="19"/>
      <c r="C228" s="149" t="s">
        <v>358</v>
      </c>
      <c r="E228" s="215"/>
      <c r="F228" s="247"/>
      <c r="G228" s="320">
        <f>G227*$D$48</f>
        <v>12028.269217433946</v>
      </c>
      <c r="H228" s="320">
        <f>H227*$D$48</f>
        <v>12585.943983828092</v>
      </c>
      <c r="I228" s="320">
        <f>I227*$D$48</f>
        <v>12898.653903394787</v>
      </c>
      <c r="J228" s="320">
        <f>J227*$D$48</f>
        <v>13220.154538368994</v>
      </c>
      <c r="K228" s="148"/>
      <c r="L228" s="300"/>
      <c r="M228" s="36"/>
    </row>
    <row r="229" spans="1:14">
      <c r="A229" s="19"/>
      <c r="B229" s="19" t="s">
        <v>263</v>
      </c>
      <c r="C229" s="149" t="s">
        <v>335</v>
      </c>
      <c r="D229" s="92">
        <f>H227</f>
        <v>12164.159134954396</v>
      </c>
      <c r="E229" s="36"/>
      <c r="F229" s="247"/>
      <c r="G229" s="310"/>
      <c r="H229" s="310"/>
      <c r="I229" s="310"/>
      <c r="J229" s="310"/>
      <c r="K229" s="148"/>
      <c r="L229" s="300"/>
      <c r="M229" s="36"/>
    </row>
    <row r="230" spans="1:14">
      <c r="B230" s="19" t="s">
        <v>263</v>
      </c>
      <c r="C230" s="149" t="s">
        <v>336</v>
      </c>
      <c r="D230" s="92">
        <f>D214/D48</f>
        <v>12469.440883389507</v>
      </c>
      <c r="E230" s="36"/>
      <c r="F230" s="321"/>
      <c r="G230" s="310"/>
      <c r="H230" s="310"/>
      <c r="I230" s="310"/>
      <c r="J230" s="310"/>
      <c r="K230" s="148"/>
      <c r="L230" s="36"/>
      <c r="M230" s="36"/>
    </row>
    <row r="231" spans="1:14">
      <c r="B231" s="19" t="s">
        <v>263</v>
      </c>
      <c r="C231" s="149" t="s">
        <v>329</v>
      </c>
      <c r="D231" s="32">
        <f>(D230-D229)/D229</f>
        <v>2.5096822973802314E-2</v>
      </c>
      <c r="E231" s="36"/>
      <c r="F231" s="247"/>
      <c r="G231" s="310"/>
      <c r="H231" s="310"/>
      <c r="I231" s="310"/>
      <c r="J231" s="310"/>
      <c r="K231" s="310"/>
      <c r="L231" s="310"/>
      <c r="M231" s="310"/>
      <c r="N231" s="19"/>
    </row>
    <row r="232" spans="1:14">
      <c r="C232" s="149" t="s">
        <v>452</v>
      </c>
      <c r="D232" s="125">
        <f>NPV(WACC,H228:J228)</f>
        <v>32746.935240715866</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305.28174843511079</v>
      </c>
      <c r="F235" s="36"/>
      <c r="G235" s="36"/>
      <c r="H235" s="36"/>
      <c r="I235" s="310"/>
      <c r="J235" s="310"/>
      <c r="K235" s="148"/>
      <c r="L235" s="36"/>
      <c r="M235" s="36"/>
    </row>
    <row r="236" spans="1:14">
      <c r="C236" s="149" t="s">
        <v>341</v>
      </c>
      <c r="D236" s="94"/>
      <c r="E236" s="310">
        <f>H217-H228</f>
        <v>315.86720812032581</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21707.226283042266</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1.0249251307448131</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0.79646144318532774</v>
      </c>
      <c r="K245" s="148"/>
      <c r="L245" s="36" t="s">
        <v>280</v>
      </c>
      <c r="M245" s="36"/>
    </row>
    <row r="246" spans="1:13">
      <c r="A246" s="155"/>
      <c r="B246" s="155" t="s">
        <v>264</v>
      </c>
      <c r="C246" s="149" t="s">
        <v>99</v>
      </c>
      <c r="D246" s="140">
        <f>SUM(I245:J245)</f>
        <v>1.641704754882771</v>
      </c>
      <c r="E246" s="36"/>
      <c r="F246" s="317"/>
      <c r="G246" s="316"/>
      <c r="H246" s="316"/>
      <c r="I246" s="316"/>
      <c r="J246" s="316"/>
      <c r="K246" s="148"/>
      <c r="L246" s="36" t="s">
        <v>510</v>
      </c>
      <c r="M246" s="36"/>
    </row>
    <row r="247" spans="1:13">
      <c r="A247" s="155"/>
      <c r="B247" s="155" t="s">
        <v>264</v>
      </c>
      <c r="C247" s="149" t="s">
        <v>256</v>
      </c>
      <c r="D247" s="26">
        <f>D242/D246</f>
        <v>13222.369137008627</v>
      </c>
      <c r="E247" s="36"/>
      <c r="F247" s="317"/>
      <c r="G247" s="316"/>
      <c r="H247" s="310"/>
      <c r="I247" s="310"/>
      <c r="J247" s="310"/>
      <c r="K247" s="148"/>
      <c r="L247" s="36"/>
      <c r="M247" s="36"/>
    </row>
    <row r="248" spans="1:13">
      <c r="A248" s="155"/>
      <c r="B248" s="155" t="s">
        <v>264</v>
      </c>
      <c r="C248" s="149" t="s">
        <v>252</v>
      </c>
      <c r="D248" s="26"/>
      <c r="E248" s="36"/>
      <c r="F248" s="317"/>
      <c r="G248" s="316"/>
      <c r="H248" s="163">
        <f>H215</f>
        <v>12901.811191948418</v>
      </c>
      <c r="I248" s="310">
        <f t="shared" ref="I248:J248" si="81">$D247*I244</f>
        <v>13222.369137008627</v>
      </c>
      <c r="J248" s="310">
        <f t="shared" si="81"/>
        <v>13551.938416504749</v>
      </c>
      <c r="K248" s="148"/>
      <c r="L248" s="36" t="s">
        <v>243</v>
      </c>
      <c r="M248" s="36"/>
    </row>
    <row r="249" spans="1:13">
      <c r="A249" s="155"/>
      <c r="B249" s="155" t="s">
        <v>264</v>
      </c>
      <c r="C249" s="149" t="s">
        <v>253</v>
      </c>
      <c r="D249" s="26"/>
      <c r="E249" s="36"/>
      <c r="F249" s="317"/>
      <c r="G249" s="316"/>
      <c r="H249" s="247">
        <f>H248/$D$48</f>
        <v>12469.440883389507</v>
      </c>
      <c r="I249" s="247">
        <f>I248/$D$48</f>
        <v>12779.256171038702</v>
      </c>
      <c r="J249" s="247">
        <f>J248/$D$48</f>
        <v>13097.7808019233</v>
      </c>
      <c r="K249" s="148"/>
      <c r="L249" s="36" t="s">
        <v>245</v>
      </c>
      <c r="M249" s="36"/>
    </row>
    <row r="250" spans="1:13">
      <c r="A250" s="155"/>
      <c r="B250" s="155" t="s">
        <v>264</v>
      </c>
      <c r="C250" s="149" t="s">
        <v>370</v>
      </c>
      <c r="D250" s="155"/>
      <c r="E250" s="36"/>
      <c r="F250" s="317"/>
      <c r="G250" s="316"/>
      <c r="H250" s="310"/>
      <c r="I250" s="310">
        <f>I248/(1+WACC)^I$203</f>
        <v>11176.119077851237</v>
      </c>
      <c r="J250" s="310">
        <f>J248/(1+WACC)^J$203</f>
        <v>10531.107205191027</v>
      </c>
      <c r="K250" s="148"/>
      <c r="L250" s="36" t="s">
        <v>299</v>
      </c>
      <c r="M250" s="36"/>
    </row>
    <row r="251" spans="1:13">
      <c r="A251" s="155"/>
      <c r="B251" s="155" t="s">
        <v>264</v>
      </c>
      <c r="C251" s="149" t="s">
        <v>255</v>
      </c>
      <c r="D251" s="26">
        <f>SUM(I250:J250)</f>
        <v>21707.226283042262</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1283.3798973475473</v>
      </c>
      <c r="I253" s="324">
        <f>(I249+I186-I$188-I$181+I$178)*I$52</f>
        <v>1301.7163125409738</v>
      </c>
      <c r="J253" s="324">
        <f>(J249+J186-J$188-J$181+J$178)*J$52</f>
        <v>1329.3411514823758</v>
      </c>
      <c r="K253" s="247"/>
      <c r="L253" s="36"/>
      <c r="M253" s="36"/>
    </row>
    <row r="254" spans="1:13">
      <c r="A254" s="155"/>
      <c r="B254" s="214" t="s">
        <v>264</v>
      </c>
      <c r="C254" s="143" t="s">
        <v>325</v>
      </c>
      <c r="D254" s="214"/>
      <c r="E254" s="36"/>
      <c r="F254" s="322"/>
      <c r="G254" s="323"/>
      <c r="H254" s="324">
        <f>H253+H192</f>
        <v>845.21459428987828</v>
      </c>
      <c r="I254" s="324">
        <f>I253+I192</f>
        <v>859.60747024520924</v>
      </c>
      <c r="J254" s="324">
        <f>J253+J192</f>
        <v>893.95599356021307</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11710.916172198384</v>
      </c>
      <c r="G257" s="138">
        <f>H257/((1+H32)*(1+H26)*(1+X_industry_wide))</f>
        <v>11916.928291513597</v>
      </c>
      <c r="H257" s="310">
        <f>H249</f>
        <v>12469.440883389507</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1.0008194746773751</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12585.943983828092</v>
      </c>
      <c r="I266" s="334">
        <f>H266*(1+I$225)*(1+I$226)*(1+$E265)</f>
        <v>14833.451988904004</v>
      </c>
      <c r="J266" s="247">
        <f>I266*(1+J$225)*(1+J$226)*(1-$J243)</f>
        <v>15203.177719124342</v>
      </c>
      <c r="K266" s="36"/>
      <c r="L266" s="36"/>
      <c r="M266" s="36"/>
    </row>
    <row r="267" spans="3:14">
      <c r="C267" s="149" t="s">
        <v>409</v>
      </c>
      <c r="D267" s="94"/>
      <c r="E267" s="36"/>
      <c r="F267" s="36"/>
      <c r="G267" s="36"/>
      <c r="H267" s="247">
        <f>H266/$D$48</f>
        <v>12164.159134954396</v>
      </c>
      <c r="I267" s="247">
        <f t="shared" ref="I267:J267" si="82">I266/$D$48</f>
        <v>14336.347813527551</v>
      </c>
      <c r="J267" s="247">
        <f t="shared" si="82"/>
        <v>14693.683157182837</v>
      </c>
      <c r="K267" s="36"/>
      <c r="L267" s="36"/>
      <c r="M267" s="36"/>
    </row>
    <row r="268" spans="3:14">
      <c r="C268" s="149" t="s">
        <v>347</v>
      </c>
      <c r="D268" s="94"/>
      <c r="E268" s="36"/>
      <c r="F268" s="36"/>
      <c r="G268" s="36"/>
      <c r="H268" s="247">
        <f>H266/(1+WACC)^H$203</f>
        <v>11571.153795925433</v>
      </c>
      <c r="I268" s="247">
        <f>I266/(1+WACC)^I$203</f>
        <v>12537.876083006247</v>
      </c>
      <c r="J268" s="247">
        <f>J266/(1+WACC)^J$203</f>
        <v>11814.272578502751</v>
      </c>
      <c r="K268" s="36"/>
      <c r="L268" s="36"/>
      <c r="M268" s="36"/>
    </row>
    <row r="269" spans="3:14">
      <c r="C269" s="149" t="s">
        <v>348</v>
      </c>
      <c r="D269" s="94"/>
      <c r="E269" s="310">
        <f>SUM(H268:J268)</f>
        <v>35923.302457434431</v>
      </c>
      <c r="F269" s="36"/>
      <c r="G269" s="36"/>
      <c r="H269" s="36"/>
      <c r="I269" s="36"/>
      <c r="J269" s="36"/>
      <c r="K269" s="36"/>
      <c r="L269" s="36"/>
      <c r="M269" s="36"/>
    </row>
    <row r="270" spans="3:14">
      <c r="C270" s="149" t="str">
        <f>C206</f>
        <v>PV of BBAR before tax over the PV period</v>
      </c>
      <c r="E270" s="310">
        <f>D206</f>
        <v>33568.779277386682</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11710.916172198384</v>
      </c>
      <c r="G274" s="247">
        <f t="shared" ref="G274:H274" si="83">G257</f>
        <v>11916.928291513597</v>
      </c>
      <c r="H274" s="333">
        <f t="shared" si="83"/>
        <v>12469.440883389507</v>
      </c>
      <c r="I274" s="310">
        <f>I249</f>
        <v>12779.256171038702</v>
      </c>
      <c r="J274" s="310">
        <f>J249</f>
        <v>13097.7808019233</v>
      </c>
      <c r="K274" s="36"/>
      <c r="L274" s="36"/>
      <c r="M274" s="36"/>
    </row>
    <row r="275" spans="3:13">
      <c r="C275" s="149" t="s">
        <v>407</v>
      </c>
      <c r="D275" s="94"/>
      <c r="E275" s="36"/>
      <c r="F275" s="247">
        <f>F274</f>
        <v>11710.916172198384</v>
      </c>
      <c r="G275" s="247">
        <f t="shared" ref="G275:H275" si="84">G274</f>
        <v>11916.928291513597</v>
      </c>
      <c r="H275" s="333">
        <f t="shared" si="84"/>
        <v>12469.440883389507</v>
      </c>
      <c r="I275" s="247">
        <f>I267</f>
        <v>14336.347813527551</v>
      </c>
      <c r="J275" s="247">
        <f>J267</f>
        <v>14693.683157182837</v>
      </c>
      <c r="K275" s="36"/>
      <c r="L275" s="36"/>
      <c r="M275" s="36"/>
    </row>
    <row r="276" spans="3:13">
      <c r="C276" s="149" t="s">
        <v>408</v>
      </c>
      <c r="D276" s="94"/>
      <c r="E276" s="36"/>
      <c r="F276" s="247">
        <f>IF($E$22=-15%,F275,F274)</f>
        <v>11710.916172198384</v>
      </c>
      <c r="G276" s="247">
        <f t="shared" ref="G276:J276" si="85">IF($E$22=-15%,G275,G274)</f>
        <v>11916.928291513597</v>
      </c>
      <c r="H276" s="247">
        <f t="shared" si="85"/>
        <v>12469.440883389507</v>
      </c>
      <c r="I276" s="247">
        <f t="shared" si="85"/>
        <v>12779.256171038702</v>
      </c>
      <c r="J276" s="247">
        <f t="shared" si="85"/>
        <v>13097.7808019233</v>
      </c>
      <c r="K276" s="36"/>
      <c r="L276" s="36"/>
      <c r="M276" s="36"/>
    </row>
    <row r="277" spans="3:13">
      <c r="C277" s="149" t="s">
        <v>449</v>
      </c>
      <c r="D277" s="94"/>
      <c r="E277" s="328">
        <f>(I276/H267)/((1+I225)*(1+I226))-1</f>
        <v>2.5096822973802224E-2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12466.389403067435</v>
      </c>
      <c r="E281" s="36"/>
      <c r="F281" s="313"/>
      <c r="G281" s="36"/>
      <c r="H281" s="36"/>
      <c r="I281" s="36"/>
      <c r="J281" s="36"/>
      <c r="K281" s="36"/>
      <c r="L281" s="36"/>
      <c r="M281" s="36"/>
    </row>
    <row r="282" spans="3:13">
      <c r="C282" s="149" t="s">
        <v>443</v>
      </c>
      <c r="D282" s="19">
        <f>I276</f>
        <v>12779.256171038702</v>
      </c>
      <c r="E282" s="36"/>
      <c r="F282" s="313"/>
      <c r="G282" s="36"/>
      <c r="H282" s="36"/>
      <c r="I282" s="36"/>
      <c r="J282" s="36"/>
      <c r="K282" s="36"/>
      <c r="L282" s="36"/>
      <c r="M282" s="36"/>
    </row>
    <row r="283" spans="3:13">
      <c r="C283" s="149" t="s">
        <v>445</v>
      </c>
      <c r="D283" s="152">
        <f>(D282-D281)/D281</f>
        <v>2.5096822973802203E-2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32746.935240715866</v>
      </c>
      <c r="G286" s="36"/>
      <c r="H286" s="36"/>
      <c r="I286" s="36"/>
      <c r="J286" s="36"/>
      <c r="K286" s="36"/>
      <c r="L286" s="36"/>
      <c r="M286" s="36"/>
    </row>
    <row r="287" spans="3:13">
      <c r="C287" s="149" t="str">
        <f>C206</f>
        <v>PV of BBAR before tax over the PV period</v>
      </c>
      <c r="E287" s="36"/>
      <c r="F287" s="310">
        <f>D206</f>
        <v>33568.779277386682</v>
      </c>
      <c r="G287" s="36"/>
      <c r="H287" s="36"/>
      <c r="I287" s="36"/>
      <c r="J287" s="36"/>
      <c r="K287" s="36"/>
      <c r="L287" s="36"/>
      <c r="M287" s="36"/>
    </row>
    <row r="288" spans="3:13">
      <c r="C288" s="149" t="s">
        <v>405</v>
      </c>
      <c r="D288" s="94"/>
      <c r="E288" s="36"/>
      <c r="F288" s="247">
        <f>F286-F287</f>
        <v>-821.84403667081642</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-62108.804869919011</v>
      </c>
      <c r="F293" s="247"/>
      <c r="G293" s="310"/>
      <c r="H293" s="310"/>
      <c r="I293" s="310"/>
      <c r="J293" s="310"/>
      <c r="K293" s="310"/>
      <c r="L293" s="36"/>
      <c r="M293" s="36"/>
      <c r="N293" s="19">
        <f>J$143+J$166</f>
        <v>67183.729950016292</v>
      </c>
    </row>
    <row r="294" spans="3:14">
      <c r="C294" s="149" t="s">
        <v>57</v>
      </c>
      <c r="D294" s="19"/>
      <c r="E294" s="90"/>
      <c r="F294" s="247"/>
      <c r="G294" s="138">
        <f>H$249</f>
        <v>12469.440883389507</v>
      </c>
      <c r="H294" s="36">
        <v>0</v>
      </c>
      <c r="I294" s="36">
        <v>0</v>
      </c>
      <c r="J294" s="164">
        <f>I$249</f>
        <v>12779.256171038702</v>
      </c>
      <c r="K294" s="310">
        <v>0</v>
      </c>
      <c r="L294" s="138">
        <v>0</v>
      </c>
      <c r="M294" s="310">
        <f>J$249</f>
        <v>13097.7808019233</v>
      </c>
    </row>
    <row r="295" spans="3:14">
      <c r="C295" s="149" t="s">
        <v>234</v>
      </c>
      <c r="D295" s="19"/>
      <c r="E295" s="299"/>
      <c r="F295" s="320">
        <f>H186</f>
        <v>92.255724643156213</v>
      </c>
      <c r="G295" s="215"/>
      <c r="H295" s="300"/>
      <c r="I295" s="216">
        <f>I186</f>
        <v>94.200406865819701</v>
      </c>
      <c r="J295" s="215"/>
      <c r="K295" s="215"/>
      <c r="L295" s="215">
        <f>J186</f>
        <v>96.300663666296288</v>
      </c>
      <c r="M295" s="215"/>
    </row>
    <row r="296" spans="3:14">
      <c r="C296" s="149" t="s">
        <v>54</v>
      </c>
      <c r="D296" s="19"/>
      <c r="E296" s="299"/>
      <c r="F296" s="320">
        <f>-H$24</f>
        <v>-4695.3299964435855</v>
      </c>
      <c r="G296" s="300"/>
      <c r="H296" s="215"/>
      <c r="I296" s="215">
        <f>-I$24</f>
        <v>-4791.962000113981</v>
      </c>
      <c r="J296" s="300"/>
      <c r="K296" s="215"/>
      <c r="L296" s="215">
        <f>-J$24</f>
        <v>-4887.4320341829361</v>
      </c>
      <c r="M296" s="300"/>
    </row>
    <row r="297" spans="3:14">
      <c r="C297" s="149" t="s">
        <v>125</v>
      </c>
      <c r="D297" s="19"/>
      <c r="E297" s="299"/>
      <c r="F297" s="320">
        <f>-H$25</f>
        <v>-3585.7749891919098</v>
      </c>
      <c r="G297" s="300"/>
      <c r="H297" s="215"/>
      <c r="I297" s="215">
        <f>-I$25</f>
        <v>-3236.9733497915777</v>
      </c>
      <c r="J297" s="300"/>
      <c r="K297" s="215"/>
      <c r="L297" s="215">
        <f>-J$25</f>
        <v>-3267.9316243877565</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-845.21459428987828</v>
      </c>
      <c r="G299" s="300">
        <v>0</v>
      </c>
      <c r="H299" s="300">
        <v>0</v>
      </c>
      <c r="I299" s="336">
        <f>-I$254</f>
        <v>-859.60747024520924</v>
      </c>
      <c r="J299" s="215">
        <v>0</v>
      </c>
      <c r="K299" s="163">
        <v>0</v>
      </c>
      <c r="L299" s="215">
        <f>-J$254</f>
        <v>-893.95599356021307</v>
      </c>
      <c r="M299" s="300"/>
    </row>
    <row r="300" spans="3:14" ht="15.75" thickBot="1">
      <c r="C300" s="149" t="s">
        <v>217</v>
      </c>
      <c r="D300" s="19"/>
      <c r="E300" s="332">
        <f>SUM(E293:E299)</f>
        <v>-62108.804869919011</v>
      </c>
      <c r="F300" s="332">
        <f t="shared" ref="F300:K300" si="87">SUM(F293:F299)</f>
        <v>-9034.0638552822184</v>
      </c>
      <c r="G300" s="332">
        <f t="shared" si="87"/>
        <v>12469.440883389507</v>
      </c>
      <c r="H300" s="332">
        <f t="shared" si="87"/>
        <v>0</v>
      </c>
      <c r="I300" s="332">
        <f t="shared" si="87"/>
        <v>-8794.3424132849486</v>
      </c>
      <c r="J300" s="332">
        <f t="shared" si="87"/>
        <v>12779.256171038702</v>
      </c>
      <c r="K300" s="332">
        <f t="shared" si="87"/>
        <v>0</v>
      </c>
      <c r="L300" s="332">
        <f>SUM(L293:L299)</f>
        <v>-8953.0189884646097</v>
      </c>
      <c r="M300" s="332">
        <f>SUM(M293:M299)</f>
        <v>13097.7808019233</v>
      </c>
      <c r="N300" s="129">
        <f>SUM(N293:N299)</f>
        <v>67183.729950016292</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0"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Sheet21">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Horizon Energy </v>
      </c>
      <c r="D1" s="2"/>
      <c r="E1" s="2"/>
      <c r="F1" s="6" t="s">
        <v>169</v>
      </c>
      <c r="G1" s="7">
        <v>7</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26990.754619999992</v>
      </c>
    </row>
    <row r="9" spans="1:16">
      <c r="A9" s="9">
        <f>A8+1</f>
        <v>2</v>
      </c>
      <c r="B9" s="9"/>
      <c r="C9" s="149" t="str">
        <f>Inputs!B21</f>
        <v>Pass-through costs</v>
      </c>
      <c r="E9" s="1">
        <f t="shared" si="0"/>
        <v>236.06738000000001</v>
      </c>
    </row>
    <row r="10" spans="1:16">
      <c r="A10" s="9">
        <f t="shared" ref="A10:A22" si="1">A9+1</f>
        <v>3</v>
      </c>
      <c r="B10" s="9"/>
      <c r="C10" s="149" t="str">
        <f>Inputs!B22</f>
        <v>Recoverable costs</v>
      </c>
      <c r="E10" s="1">
        <f t="shared" si="0"/>
        <v>7324.3069699999996</v>
      </c>
    </row>
    <row r="11" spans="1:16">
      <c r="A11" s="9">
        <f t="shared" si="1"/>
        <v>4</v>
      </c>
      <c r="B11" s="9"/>
      <c r="C11" s="155" t="str">
        <f>Inputs!B23</f>
        <v>Opening RAB</v>
      </c>
      <c r="E11" s="1">
        <f t="shared" si="0"/>
        <v>96926.546310644975</v>
      </c>
      <c r="L11" s="13"/>
    </row>
    <row r="12" spans="1:16">
      <c r="A12" s="9">
        <f t="shared" si="1"/>
        <v>5</v>
      </c>
      <c r="B12" s="9"/>
      <c r="C12" s="155" t="str">
        <f>Inputs!B24</f>
        <v>Total Depreciation</v>
      </c>
      <c r="E12" s="1">
        <f t="shared" si="0"/>
        <v>3449.2997150440096</v>
      </c>
      <c r="F12" s="161"/>
      <c r="G12" s="337" t="s">
        <v>511</v>
      </c>
    </row>
    <row r="13" spans="1:16">
      <c r="A13" s="9">
        <f t="shared" si="1"/>
        <v>6</v>
      </c>
      <c r="B13" s="9"/>
      <c r="C13" s="155" t="str">
        <f>Inputs!B25</f>
        <v>RAB of disposed assets</v>
      </c>
      <c r="E13" s="1">
        <f t="shared" si="0"/>
        <v>71.185678717912296</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2561.6080000000002</v>
      </c>
      <c r="G15" s="23" t="s">
        <v>514</v>
      </c>
    </row>
    <row r="16" spans="1:16">
      <c r="A16" s="9">
        <f t="shared" si="1"/>
        <v>9</v>
      </c>
      <c r="B16" s="9"/>
      <c r="C16" s="155" t="str">
        <f>Inputs!B28</f>
        <v>Opening regulatory tax asset value</v>
      </c>
      <c r="E16" s="1">
        <f t="shared" si="0"/>
        <v>22714.435600000001</v>
      </c>
    </row>
    <row r="17" spans="1:21">
      <c r="A17" s="9">
        <f t="shared" si="1"/>
        <v>10</v>
      </c>
      <c r="B17" s="9"/>
      <c r="C17" s="155" t="str">
        <f>Inputs!B29</f>
        <v>Weighted Average Remaining Life at year-end</v>
      </c>
      <c r="E17" s="1">
        <f t="shared" si="0"/>
        <v>24.012771452138832</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179.54264999999998</v>
      </c>
    </row>
    <row r="20" spans="1:21">
      <c r="A20" s="9">
        <f t="shared" si="1"/>
        <v>13</v>
      </c>
      <c r="B20" s="9"/>
      <c r="C20" s="155" t="str">
        <f>Inputs!B32</f>
        <v>Operating expenditure 2009/10</v>
      </c>
      <c r="E20" s="1">
        <f t="shared" si="0"/>
        <v>6609.8113000000012</v>
      </c>
    </row>
    <row r="21" spans="1:21">
      <c r="A21" s="9">
        <f t="shared" si="1"/>
        <v>14</v>
      </c>
      <c r="B21" s="9"/>
      <c r="C21" s="155" t="str">
        <f>Inputs!B33</f>
        <v>Other regulated income</v>
      </c>
      <c r="E21" s="1">
        <f t="shared" si="0"/>
        <v>103.27388907865001</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6609.8113000000012</v>
      </c>
      <c r="F24" s="39">
        <f>INDEX(OpexBlock,F7-1,$G$1)</f>
        <v>6776.4391822280313</v>
      </c>
      <c r="G24" s="39">
        <f>INDEX(OpexBlock,G7-1,$G$1)</f>
        <v>6972.2674995273801</v>
      </c>
      <c r="H24" s="39">
        <f>INDEX(OpexBlock,H7-1,$G$1)</f>
        <v>7132.7051871942531</v>
      </c>
      <c r="I24" s="39">
        <f>INDEX(OpexBlock,I7-1,$G$1)</f>
        <v>7293.537184293551</v>
      </c>
      <c r="J24" s="39">
        <f>INDEX(OpexBlock,J7-1,$G$1)</f>
        <v>7461.6545452404434</v>
      </c>
      <c r="K24" s="90"/>
      <c r="L24" s="36"/>
      <c r="M24" s="36"/>
    </row>
    <row r="25" spans="1:21">
      <c r="A25" s="9"/>
      <c r="B25" s="9"/>
      <c r="C25" s="149" t="s">
        <v>272</v>
      </c>
      <c r="D25" s="1"/>
      <c r="E25" s="39">
        <f t="shared" ref="E25:J25" si="2">INDEX(CommAssetsBlock,E7,$G$1)</f>
        <v>3547.2054899999953</v>
      </c>
      <c r="F25" s="39">
        <f t="shared" si="2"/>
        <v>6384.8714333097014</v>
      </c>
      <c r="G25" s="39">
        <f t="shared" si="2"/>
        <v>6560.6285890806821</v>
      </c>
      <c r="H25" s="39">
        <f t="shared" si="2"/>
        <v>6145.0630001375293</v>
      </c>
      <c r="I25" s="39">
        <f t="shared" si="2"/>
        <v>4895.2837713115132</v>
      </c>
      <c r="J25" s="39">
        <f t="shared" si="2"/>
        <v>5183.0494299828479</v>
      </c>
      <c r="K25" s="90"/>
      <c r="L25" s="36"/>
      <c r="M25" s="36"/>
    </row>
    <row r="26" spans="1:21">
      <c r="A26" s="9"/>
      <c r="B26" s="9"/>
      <c r="C26" s="149" t="s">
        <v>342</v>
      </c>
      <c r="D26" s="1"/>
      <c r="E26" s="90"/>
      <c r="F26" s="90">
        <f t="shared" ref="F26:J26" si="3">INDEX(ConstPriceRevGrwth,F$7-1,$G$1)</f>
        <v>2.7722212322185513E-3</v>
      </c>
      <c r="G26" s="90">
        <f t="shared" si="3"/>
        <v>-1.2982590241251743E-2</v>
      </c>
      <c r="H26" s="90">
        <f t="shared" si="3"/>
        <v>2.9853809306483628E-3</v>
      </c>
      <c r="I26" s="90">
        <f t="shared" si="3"/>
        <v>3.3843711906939721E-3</v>
      </c>
      <c r="J26" s="90">
        <f t="shared" si="3"/>
        <v>4.0443940394748103E-3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103.27388907865001</v>
      </c>
      <c r="F40" s="295">
        <f>E40*(1+F39)</f>
        <v>107.88685221889965</v>
      </c>
      <c r="G40" s="295">
        <f t="shared" ref="G40:J40" si="5">F40*(1+G39)</f>
        <v>109.58141010715462</v>
      </c>
      <c r="H40" s="295">
        <f t="shared" si="5"/>
        <v>111.6525364150218</v>
      </c>
      <c r="I40" s="295">
        <f t="shared" si="5"/>
        <v>114.00608903759814</v>
      </c>
      <c r="J40" s="295">
        <f t="shared" si="5"/>
        <v>116.5479258699806</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28.100354946803538</v>
      </c>
      <c r="F53" s="45">
        <f>E53-1</f>
        <v>27.100354946803538</v>
      </c>
      <c r="G53" s="45">
        <f t="shared" ref="G53:J53" si="6">F53-1</f>
        <v>26.100354946803538</v>
      </c>
      <c r="H53" s="45">
        <f t="shared" si="6"/>
        <v>25.100354946803538</v>
      </c>
      <c r="I53" s="45">
        <f t="shared" si="6"/>
        <v>24.100354946803538</v>
      </c>
      <c r="J53" s="45">
        <f t="shared" si="6"/>
        <v>23.100354946803538</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71.185678717912296</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96926.546310644975</v>
      </c>
      <c r="F58" s="216">
        <f>E62</f>
        <v>95075.251675860942</v>
      </c>
      <c r="G58" s="216">
        <f t="shared" ref="G58:J58" si="9">F62</f>
        <v>93450.636563016786</v>
      </c>
      <c r="H58" s="216">
        <f t="shared" si="9"/>
        <v>92144.778434364824</v>
      </c>
      <c r="I58" s="216">
        <f t="shared" si="9"/>
        <v>90709.688419729384</v>
      </c>
      <c r="J58" s="216">
        <f t="shared" si="9"/>
        <v>89146.997573442801</v>
      </c>
      <c r="K58" s="148"/>
      <c r="L58" s="36"/>
      <c r="M58" s="36"/>
    </row>
    <row r="59" spans="3:16">
      <c r="C59" s="149" t="s">
        <v>41</v>
      </c>
      <c r="D59" s="153"/>
      <c r="E59" s="216">
        <f>E55</f>
        <v>71.185678717912296</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1669.190758977888</v>
      </c>
      <c r="F60" s="216">
        <f t="shared" si="11"/>
        <v>1883.650807011438</v>
      </c>
      <c r="G60" s="216">
        <f t="shared" si="11"/>
        <v>2274.5773387385543</v>
      </c>
      <c r="H60" s="216">
        <f t="shared" si="11"/>
        <v>2235.9647823844416</v>
      </c>
      <c r="I60" s="216">
        <f t="shared" si="11"/>
        <v>2201.1412059778627</v>
      </c>
      <c r="J60" s="216">
        <f t="shared" si="11"/>
        <v>2163.2212960554548</v>
      </c>
      <c r="K60" s="148"/>
      <c r="L60" s="36"/>
      <c r="M60" s="36"/>
    </row>
    <row r="61" spans="3:16">
      <c r="C61" s="149" t="s">
        <v>43</v>
      </c>
      <c r="E61" s="136">
        <f>E12</f>
        <v>3449.2997150440096</v>
      </c>
      <c r="F61" s="216">
        <f t="shared" ref="F61:J61" si="12">F58/F53</f>
        <v>3508.2659198555989</v>
      </c>
      <c r="G61" s="216">
        <f t="shared" si="12"/>
        <v>3580.4354673905118</v>
      </c>
      <c r="H61" s="216">
        <f t="shared" si="12"/>
        <v>3671.0547970198809</v>
      </c>
      <c r="I61" s="216">
        <f t="shared" si="12"/>
        <v>3763.8320522644553</v>
      </c>
      <c r="J61" s="216">
        <f t="shared" si="12"/>
        <v>3859.1180862256979</v>
      </c>
      <c r="K61" s="148"/>
      <c r="L61" s="36"/>
      <c r="M61" s="36"/>
    </row>
    <row r="62" spans="3:16">
      <c r="C62" s="149" t="s">
        <v>44</v>
      </c>
      <c r="E62" s="139">
        <f>E58-E59+E60-E61</f>
        <v>95075.251675860942</v>
      </c>
      <c r="F62" s="139">
        <f>F58-F59+F60-F61</f>
        <v>93450.636563016786</v>
      </c>
      <c r="G62" s="139">
        <f t="shared" ref="G62:J62" si="13">G58-G59+G60-G61</f>
        <v>92144.778434364824</v>
      </c>
      <c r="H62" s="139">
        <f t="shared" si="13"/>
        <v>90709.688419729384</v>
      </c>
      <c r="I62" s="216">
        <f t="shared" si="13"/>
        <v>89146.997573442801</v>
      </c>
      <c r="J62" s="216">
        <f t="shared" si="13"/>
        <v>87451.100783272559</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3547.2054899999953</v>
      </c>
      <c r="F66" s="139">
        <f t="shared" ref="F66:J66" si="15">F$25</f>
        <v>6384.8714333097014</v>
      </c>
      <c r="G66" s="139">
        <f t="shared" si="15"/>
        <v>6560.6285890806821</v>
      </c>
      <c r="H66" s="139">
        <f t="shared" si="15"/>
        <v>6145.0630001375293</v>
      </c>
      <c r="I66" s="139">
        <f t="shared" si="15"/>
        <v>4895.2837713115132</v>
      </c>
      <c r="J66" s="139">
        <f t="shared" si="15"/>
        <v>5183.0494299828479</v>
      </c>
      <c r="K66" s="148"/>
      <c r="L66" s="36"/>
      <c r="M66" s="36"/>
    </row>
    <row r="67" spans="1:13">
      <c r="A67" s="149">
        <v>1</v>
      </c>
      <c r="C67" s="149" t="s">
        <v>481</v>
      </c>
      <c r="E67" s="135">
        <v>0</v>
      </c>
      <c r="F67" s="139">
        <f>E91</f>
        <v>3547.2054899999953</v>
      </c>
      <c r="G67" s="139">
        <f t="shared" ref="G67:J67" si="16">F91</f>
        <v>3538.6566797356759</v>
      </c>
      <c r="H67" s="139">
        <f t="shared" si="16"/>
        <v>3544.3631454623505</v>
      </c>
      <c r="I67" s="139">
        <f t="shared" si="16"/>
        <v>3547.9428265394017</v>
      </c>
      <c r="J67" s="139">
        <f t="shared" si="16"/>
        <v>3549.5615920556834</v>
      </c>
      <c r="K67" s="148"/>
      <c r="L67" s="36"/>
      <c r="M67" s="36"/>
    </row>
    <row r="68" spans="1:13">
      <c r="A68" s="149">
        <v>2</v>
      </c>
      <c r="C68" s="149" t="s">
        <v>482</v>
      </c>
      <c r="E68" s="135">
        <v>0</v>
      </c>
      <c r="F68" s="139">
        <f t="shared" ref="F68:J71" si="17">E92</f>
        <v>0</v>
      </c>
      <c r="G68" s="139">
        <f t="shared" si="17"/>
        <v>6384.8714333097014</v>
      </c>
      <c r="H68" s="139">
        <f t="shared" si="17"/>
        <v>6398.3924099828391</v>
      </c>
      <c r="I68" s="139">
        <f t="shared" si="17"/>
        <v>6408.2363735698727</v>
      </c>
      <c r="J68" s="139">
        <f t="shared" si="17"/>
        <v>6414.7084650408351</v>
      </c>
      <c r="K68" s="148"/>
      <c r="L68" s="36"/>
      <c r="M68" s="36"/>
    </row>
    <row r="69" spans="1:13">
      <c r="A69" s="149">
        <v>3</v>
      </c>
      <c r="C69" s="149" t="s">
        <v>483</v>
      </c>
      <c r="E69" s="135">
        <v>0</v>
      </c>
      <c r="F69" s="139">
        <f t="shared" si="17"/>
        <v>0</v>
      </c>
      <c r="G69" s="139">
        <f t="shared" si="17"/>
        <v>0</v>
      </c>
      <c r="H69" s="139">
        <f t="shared" si="17"/>
        <v>6560.6285890806821</v>
      </c>
      <c r="I69" s="139">
        <f t="shared" si="17"/>
        <v>6574.035602746344</v>
      </c>
      <c r="J69" s="139">
        <f t="shared" si="17"/>
        <v>6584.1497943974118</v>
      </c>
      <c r="K69" s="148"/>
      <c r="L69" s="36"/>
      <c r="M69" s="36"/>
    </row>
    <row r="70" spans="1:13">
      <c r="A70" s="149">
        <v>4</v>
      </c>
      <c r="C70" s="149" t="s">
        <v>484</v>
      </c>
      <c r="E70" s="135">
        <v>0</v>
      </c>
      <c r="F70" s="139">
        <f t="shared" si="17"/>
        <v>0</v>
      </c>
      <c r="G70" s="139">
        <f t="shared" si="17"/>
        <v>0</v>
      </c>
      <c r="H70" s="139">
        <f t="shared" si="17"/>
        <v>0</v>
      </c>
      <c r="I70" s="139">
        <f t="shared" si="17"/>
        <v>6145.0630001375293</v>
      </c>
      <c r="J70" s="139">
        <f t="shared" si="17"/>
        <v>6157.6207821397484</v>
      </c>
      <c r="K70" s="148"/>
      <c r="L70" s="36"/>
      <c r="M70" s="36"/>
    </row>
    <row r="71" spans="1:13">
      <c r="A71" s="149">
        <v>5</v>
      </c>
      <c r="C71" s="149" t="s">
        <v>485</v>
      </c>
      <c r="E71" s="135">
        <v>0</v>
      </c>
      <c r="F71" s="139">
        <f t="shared" si="17"/>
        <v>0</v>
      </c>
      <c r="G71" s="139">
        <f t="shared" si="17"/>
        <v>0</v>
      </c>
      <c r="H71" s="139">
        <f t="shared" si="17"/>
        <v>0</v>
      </c>
      <c r="I71" s="139">
        <f t="shared" si="17"/>
        <v>0</v>
      </c>
      <c r="J71" s="139">
        <f t="shared" si="17"/>
        <v>4895.2837713115132</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70.277978402347358</v>
      </c>
      <c r="G79" s="139">
        <f t="shared" si="20"/>
        <v>86.130481175212921</v>
      </c>
      <c r="H79" s="139">
        <f t="shared" si="20"/>
        <v>86.006730971524632</v>
      </c>
      <c r="I79" s="139">
        <f t="shared" si="20"/>
        <v>86.093594719600773</v>
      </c>
      <c r="J79" s="139">
        <f t="shared" si="20"/>
        <v>86.132875325044111</v>
      </c>
      <c r="K79" s="148"/>
      <c r="L79" s="36"/>
      <c r="M79" s="36"/>
    </row>
    <row r="80" spans="1:13">
      <c r="A80" s="149">
        <v>2</v>
      </c>
      <c r="C80" s="149" t="s">
        <v>488</v>
      </c>
      <c r="E80" s="139">
        <f t="shared" ref="E80:J84" si="21">E68*E$38</f>
        <v>0</v>
      </c>
      <c r="F80" s="139">
        <f t="shared" si="21"/>
        <v>0</v>
      </c>
      <c r="G80" s="139">
        <f t="shared" si="21"/>
        <v>155.40700852446466</v>
      </c>
      <c r="H80" s="139">
        <f t="shared" si="21"/>
        <v>155.26197290482597</v>
      </c>
      <c r="I80" s="139">
        <f t="shared" si="21"/>
        <v>155.50084434468036</v>
      </c>
      <c r="J80" s="139">
        <f t="shared" si="21"/>
        <v>155.65789468267374</v>
      </c>
      <c r="K80" s="148"/>
      <c r="L80" s="36"/>
      <c r="M80" s="36"/>
    </row>
    <row r="81" spans="1:13">
      <c r="A81" s="149">
        <v>3</v>
      </c>
      <c r="C81" s="149" t="s">
        <v>489</v>
      </c>
      <c r="E81" s="139">
        <f t="shared" si="21"/>
        <v>0</v>
      </c>
      <c r="F81" s="139">
        <f t="shared" si="21"/>
        <v>0</v>
      </c>
      <c r="G81" s="139">
        <f t="shared" si="21"/>
        <v>0</v>
      </c>
      <c r="H81" s="139">
        <f t="shared" si="21"/>
        <v>159.19876008967751</v>
      </c>
      <c r="I81" s="139">
        <f t="shared" si="21"/>
        <v>159.52409171348427</v>
      </c>
      <c r="J81" s="139">
        <f t="shared" si="21"/>
        <v>159.76952044768197</v>
      </c>
      <c r="K81" s="148"/>
      <c r="L81" s="36"/>
      <c r="M81" s="36"/>
    </row>
    <row r="82" spans="1:13">
      <c r="A82" s="149">
        <v>4</v>
      </c>
      <c r="C82" s="149" t="s">
        <v>490</v>
      </c>
      <c r="E82" s="139">
        <f t="shared" si="21"/>
        <v>0</v>
      </c>
      <c r="F82" s="139">
        <f t="shared" si="21"/>
        <v>0</v>
      </c>
      <c r="G82" s="139">
        <f t="shared" si="21"/>
        <v>0</v>
      </c>
      <c r="H82" s="139">
        <f t="shared" si="21"/>
        <v>0</v>
      </c>
      <c r="I82" s="139">
        <f t="shared" si="21"/>
        <v>149.11473756083063</v>
      </c>
      <c r="J82" s="139">
        <f t="shared" si="21"/>
        <v>149.41946191720663</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118.78787163428149</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78.826788666666559</v>
      </c>
      <c r="G85" s="216">
        <f t="shared" si="22"/>
        <v>80.424015448538086</v>
      </c>
      <c r="H85" s="216">
        <f t="shared" si="22"/>
        <v>82.427049894473271</v>
      </c>
      <c r="I85" s="216">
        <f t="shared" si="22"/>
        <v>84.474829203319089</v>
      </c>
      <c r="J85" s="216">
        <f t="shared" si="22"/>
        <v>86.574672976967889</v>
      </c>
      <c r="K85" s="148"/>
      <c r="L85" s="36"/>
      <c r="M85" s="36"/>
    </row>
    <row r="86" spans="1:13">
      <c r="A86" s="149">
        <v>2</v>
      </c>
      <c r="C86" s="149" t="s">
        <v>494</v>
      </c>
      <c r="E86" s="216">
        <f t="shared" si="22"/>
        <v>0</v>
      </c>
      <c r="F86" s="216">
        <f t="shared" si="22"/>
        <v>0</v>
      </c>
      <c r="G86" s="216">
        <f t="shared" si="22"/>
        <v>141.88603185132669</v>
      </c>
      <c r="H86" s="216">
        <f t="shared" si="22"/>
        <v>145.41800931779179</v>
      </c>
      <c r="I86" s="216">
        <f t="shared" si="22"/>
        <v>149.02875287371796</v>
      </c>
      <c r="J86" s="216">
        <f t="shared" si="22"/>
        <v>152.73115392954369</v>
      </c>
      <c r="K86" s="148"/>
      <c r="L86" s="36"/>
      <c r="M86" s="36"/>
    </row>
    <row r="87" spans="1:13">
      <c r="A87" s="149">
        <v>3</v>
      </c>
      <c r="C87" s="149" t="s">
        <v>495</v>
      </c>
      <c r="E87" s="216">
        <f t="shared" si="22"/>
        <v>0</v>
      </c>
      <c r="F87" s="216">
        <f t="shared" si="22"/>
        <v>0</v>
      </c>
      <c r="G87" s="216">
        <f t="shared" si="22"/>
        <v>0</v>
      </c>
      <c r="H87" s="216">
        <f t="shared" si="22"/>
        <v>145.79174642401514</v>
      </c>
      <c r="I87" s="216">
        <f t="shared" si="22"/>
        <v>149.40990006241691</v>
      </c>
      <c r="J87" s="216">
        <f t="shared" si="22"/>
        <v>153.11976266040492</v>
      </c>
      <c r="K87" s="148"/>
      <c r="L87" s="36"/>
      <c r="M87" s="36"/>
    </row>
    <row r="88" spans="1:13">
      <c r="A88" s="149">
        <v>4</v>
      </c>
      <c r="C88" s="149" t="s">
        <v>496</v>
      </c>
      <c r="E88" s="216">
        <f t="shared" si="22"/>
        <v>0</v>
      </c>
      <c r="F88" s="216">
        <f t="shared" si="22"/>
        <v>0</v>
      </c>
      <c r="G88" s="216">
        <f t="shared" si="22"/>
        <v>0</v>
      </c>
      <c r="H88" s="216">
        <f t="shared" si="22"/>
        <v>0</v>
      </c>
      <c r="I88" s="216">
        <f t="shared" si="22"/>
        <v>136.55695555861178</v>
      </c>
      <c r="J88" s="216">
        <f t="shared" si="22"/>
        <v>139.94592686681247</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108.78408380692251</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3547.2054899999953</v>
      </c>
      <c r="F91" s="139">
        <f t="shared" si="23"/>
        <v>3538.6566797356759</v>
      </c>
      <c r="G91" s="139">
        <f t="shared" si="23"/>
        <v>3544.3631454623505</v>
      </c>
      <c r="H91" s="139">
        <f t="shared" si="23"/>
        <v>3547.9428265394017</v>
      </c>
      <c r="I91" s="139">
        <f t="shared" si="23"/>
        <v>3549.5615920556834</v>
      </c>
      <c r="J91" s="216">
        <f t="shared" si="23"/>
        <v>3549.1197944037594</v>
      </c>
      <c r="K91" s="148"/>
      <c r="L91" s="36"/>
      <c r="M91" s="36"/>
    </row>
    <row r="92" spans="1:13">
      <c r="A92" s="149">
        <v>2</v>
      </c>
      <c r="C92" s="149" t="s">
        <v>500</v>
      </c>
      <c r="E92" s="139">
        <f t="shared" si="23"/>
        <v>0</v>
      </c>
      <c r="F92" s="139">
        <f t="shared" si="23"/>
        <v>6384.8714333097014</v>
      </c>
      <c r="G92" s="139">
        <f t="shared" si="23"/>
        <v>6398.3924099828391</v>
      </c>
      <c r="H92" s="139">
        <f t="shared" si="23"/>
        <v>6408.2363735698727</v>
      </c>
      <c r="I92" s="139">
        <f t="shared" si="23"/>
        <v>6414.7084650408351</v>
      </c>
      <c r="J92" s="216">
        <f t="shared" si="23"/>
        <v>6417.6352057939657</v>
      </c>
      <c r="K92" s="148"/>
      <c r="L92" s="36"/>
      <c r="M92" s="36"/>
    </row>
    <row r="93" spans="1:13">
      <c r="A93" s="149">
        <v>3</v>
      </c>
      <c r="C93" s="149" t="s">
        <v>501</v>
      </c>
      <c r="E93" s="139">
        <f t="shared" si="23"/>
        <v>0</v>
      </c>
      <c r="F93" s="139">
        <f t="shared" si="23"/>
        <v>0</v>
      </c>
      <c r="G93" s="139">
        <f t="shared" si="23"/>
        <v>6560.6285890806821</v>
      </c>
      <c r="H93" s="139">
        <f t="shared" si="23"/>
        <v>6574.035602746344</v>
      </c>
      <c r="I93" s="139">
        <f t="shared" si="23"/>
        <v>6584.1497943974118</v>
      </c>
      <c r="J93" s="216">
        <f t="shared" si="23"/>
        <v>6590.7995521846888</v>
      </c>
      <c r="K93" s="148"/>
      <c r="L93" s="36"/>
      <c r="M93" s="36"/>
    </row>
    <row r="94" spans="1:13">
      <c r="A94" s="149">
        <v>4</v>
      </c>
      <c r="C94" s="149" t="s">
        <v>502</v>
      </c>
      <c r="E94" s="139">
        <f t="shared" si="23"/>
        <v>0</v>
      </c>
      <c r="F94" s="139">
        <f t="shared" si="23"/>
        <v>0</v>
      </c>
      <c r="G94" s="139">
        <f t="shared" si="23"/>
        <v>0</v>
      </c>
      <c r="H94" s="139">
        <f t="shared" si="23"/>
        <v>6145.0630001375293</v>
      </c>
      <c r="I94" s="139">
        <f t="shared" si="23"/>
        <v>6157.6207821397484</v>
      </c>
      <c r="J94" s="216">
        <f t="shared" si="23"/>
        <v>6167.0943171901426</v>
      </c>
      <c r="K94" s="148"/>
      <c r="L94" s="36"/>
      <c r="M94" s="36"/>
    </row>
    <row r="95" spans="1:13">
      <c r="A95" s="149">
        <v>5</v>
      </c>
      <c r="C95" s="149" t="s">
        <v>503</v>
      </c>
      <c r="E95" s="139">
        <f t="shared" si="23"/>
        <v>0</v>
      </c>
      <c r="F95" s="139">
        <f t="shared" si="23"/>
        <v>0</v>
      </c>
      <c r="G95" s="139">
        <f t="shared" si="23"/>
        <v>0</v>
      </c>
      <c r="H95" s="139">
        <f t="shared" si="23"/>
        <v>0</v>
      </c>
      <c r="I95" s="139">
        <f t="shared" si="23"/>
        <v>4895.2837713115132</v>
      </c>
      <c r="J95" s="216">
        <f t="shared" si="23"/>
        <v>4905.287559138872</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5183.0494299828479</v>
      </c>
      <c r="K96" s="148"/>
      <c r="L96" s="36"/>
      <c r="M96" s="36"/>
    </row>
    <row r="97" spans="1:13">
      <c r="C97" s="149" t="s">
        <v>260</v>
      </c>
      <c r="E97" s="139">
        <f t="shared" ref="E97:J97" si="24">SUM(E67:E72)</f>
        <v>0</v>
      </c>
      <c r="F97" s="139">
        <f t="shared" si="24"/>
        <v>3547.2054899999953</v>
      </c>
      <c r="G97" s="139">
        <f t="shared" si="24"/>
        <v>9923.5281130453768</v>
      </c>
      <c r="H97" s="139">
        <f t="shared" si="24"/>
        <v>16503.384144525873</v>
      </c>
      <c r="I97" s="139">
        <f t="shared" si="24"/>
        <v>22675.277802993147</v>
      </c>
      <c r="J97" s="216">
        <f t="shared" si="24"/>
        <v>27601.32440494519</v>
      </c>
      <c r="K97" s="148"/>
      <c r="L97" s="36"/>
      <c r="M97" s="36"/>
    </row>
    <row r="98" spans="1:13">
      <c r="C98" s="149" t="s">
        <v>261</v>
      </c>
      <c r="E98" s="139">
        <f t="shared" ref="E98:J98" si="25">SUM(E79:E84)</f>
        <v>0</v>
      </c>
      <c r="F98" s="139">
        <f t="shared" si="25"/>
        <v>70.277978402347358</v>
      </c>
      <c r="G98" s="139">
        <f t="shared" si="25"/>
        <v>241.53748969967756</v>
      </c>
      <c r="H98" s="139">
        <f t="shared" si="25"/>
        <v>400.46746396602811</v>
      </c>
      <c r="I98" s="139">
        <f t="shared" si="25"/>
        <v>550.23326833859596</v>
      </c>
      <c r="J98" s="216">
        <f t="shared" si="25"/>
        <v>669.7676240068879</v>
      </c>
      <c r="K98" s="148"/>
      <c r="L98" s="36"/>
      <c r="M98" s="36"/>
    </row>
    <row r="99" spans="1:13">
      <c r="C99" s="149" t="s">
        <v>75</v>
      </c>
      <c r="E99" s="139">
        <f t="shared" ref="E99:J99" si="26">SUM(E85:E90)</f>
        <v>0</v>
      </c>
      <c r="F99" s="139">
        <f t="shared" si="26"/>
        <v>78.826788666666559</v>
      </c>
      <c r="G99" s="139">
        <f t="shared" si="26"/>
        <v>222.31004729986478</v>
      </c>
      <c r="H99" s="139">
        <f t="shared" si="26"/>
        <v>373.6368056362802</v>
      </c>
      <c r="I99" s="216">
        <f t="shared" si="26"/>
        <v>519.47043769806578</v>
      </c>
      <c r="J99" s="216">
        <f t="shared" si="26"/>
        <v>641.15560024065144</v>
      </c>
      <c r="K99" s="148"/>
      <c r="L99" s="36"/>
      <c r="M99" s="36"/>
    </row>
    <row r="100" spans="1:13">
      <c r="C100" s="149" t="s">
        <v>262</v>
      </c>
      <c r="E100" s="139">
        <f t="shared" ref="E100:J100" si="27">SUM(E91:E96)</f>
        <v>3547.2054899999953</v>
      </c>
      <c r="F100" s="139">
        <f t="shared" si="27"/>
        <v>9923.5281130453768</v>
      </c>
      <c r="G100" s="139">
        <f t="shared" si="27"/>
        <v>16503.384144525873</v>
      </c>
      <c r="H100" s="139">
        <f t="shared" si="27"/>
        <v>22675.277802993147</v>
      </c>
      <c r="I100" s="216">
        <f t="shared" si="27"/>
        <v>27601.32440494519</v>
      </c>
      <c r="J100" s="216">
        <f t="shared" si="27"/>
        <v>32812.985858694279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3547.2054899999953</v>
      </c>
      <c r="F104" s="139">
        <f t="shared" ref="F104:J104" si="28">F$25</f>
        <v>6384.8714333097014</v>
      </c>
      <c r="G104" s="139">
        <f t="shared" si="28"/>
        <v>6560.6285890806821</v>
      </c>
      <c r="H104" s="139">
        <f t="shared" si="28"/>
        <v>6145.0630001375293</v>
      </c>
      <c r="I104" s="139">
        <f t="shared" si="28"/>
        <v>4895.2837713115132</v>
      </c>
      <c r="J104" s="139">
        <f t="shared" si="28"/>
        <v>5183.0494299828479</v>
      </c>
      <c r="K104" s="148"/>
      <c r="L104" s="36"/>
      <c r="M104" s="36"/>
    </row>
    <row r="105" spans="1:13">
      <c r="A105" s="149">
        <v>1</v>
      </c>
      <c r="C105" s="149" t="s">
        <v>457</v>
      </c>
      <c r="E105" s="135">
        <v>0</v>
      </c>
      <c r="F105" s="139">
        <f>E123</f>
        <v>3547.2054899999953</v>
      </c>
      <c r="G105" s="139">
        <f t="shared" ref="G105:J105" si="29">F123</f>
        <v>3468.3787013333285</v>
      </c>
      <c r="H105" s="139">
        <f t="shared" si="29"/>
        <v>3389.5519126666618</v>
      </c>
      <c r="I105" s="139">
        <f t="shared" si="29"/>
        <v>3310.725123999995</v>
      </c>
      <c r="J105" s="139">
        <f t="shared" si="29"/>
        <v>3231.8983353333283</v>
      </c>
      <c r="K105" s="148"/>
      <c r="L105" s="36"/>
      <c r="M105" s="36"/>
    </row>
    <row r="106" spans="1:13">
      <c r="A106" s="149">
        <v>2</v>
      </c>
      <c r="C106" s="149" t="s">
        <v>458</v>
      </c>
      <c r="E106" s="135">
        <v>0</v>
      </c>
      <c r="F106" s="139">
        <f t="shared" ref="F106:J109" si="30">E124</f>
        <v>0</v>
      </c>
      <c r="G106" s="139">
        <f t="shared" si="30"/>
        <v>6384.8714333097014</v>
      </c>
      <c r="H106" s="139">
        <f t="shared" si="30"/>
        <v>6242.9854014583743</v>
      </c>
      <c r="I106" s="139">
        <f t="shared" si="30"/>
        <v>6101.0993696070473</v>
      </c>
      <c r="J106" s="139">
        <f t="shared" si="30"/>
        <v>5959.2133377557202</v>
      </c>
      <c r="K106" s="148"/>
      <c r="L106" s="36"/>
      <c r="M106" s="36"/>
    </row>
    <row r="107" spans="1:13">
      <c r="A107" s="149">
        <v>3</v>
      </c>
      <c r="C107" s="149" t="s">
        <v>459</v>
      </c>
      <c r="E107" s="135">
        <v>0</v>
      </c>
      <c r="F107" s="139">
        <f t="shared" si="30"/>
        <v>0</v>
      </c>
      <c r="G107" s="139">
        <f t="shared" si="30"/>
        <v>0</v>
      </c>
      <c r="H107" s="139">
        <f t="shared" si="30"/>
        <v>6560.6285890806821</v>
      </c>
      <c r="I107" s="139">
        <f t="shared" si="30"/>
        <v>6414.8368426566667</v>
      </c>
      <c r="J107" s="139">
        <f t="shared" si="30"/>
        <v>6269.0450962326513</v>
      </c>
      <c r="K107" s="148"/>
      <c r="L107" s="36"/>
      <c r="M107" s="36"/>
    </row>
    <row r="108" spans="1:13">
      <c r="A108" s="149">
        <v>4</v>
      </c>
      <c r="C108" s="149" t="s">
        <v>460</v>
      </c>
      <c r="E108" s="135">
        <v>0</v>
      </c>
      <c r="F108" s="139">
        <f t="shared" si="30"/>
        <v>0</v>
      </c>
      <c r="G108" s="139">
        <f t="shared" si="30"/>
        <v>0</v>
      </c>
      <c r="H108" s="139">
        <f t="shared" si="30"/>
        <v>0</v>
      </c>
      <c r="I108" s="139">
        <f t="shared" si="30"/>
        <v>6145.0630001375293</v>
      </c>
      <c r="J108" s="139">
        <f t="shared" si="30"/>
        <v>6008.5060445789177</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4895.2837713115132</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78.826788666666559</v>
      </c>
      <c r="G117" s="139">
        <f t="shared" si="33"/>
        <v>78.826788666666559</v>
      </c>
      <c r="H117" s="139">
        <f t="shared" si="33"/>
        <v>78.826788666666559</v>
      </c>
      <c r="I117" s="139">
        <f t="shared" si="33"/>
        <v>78.826788666666545</v>
      </c>
      <c r="J117" s="139">
        <f t="shared" si="33"/>
        <v>78.826788666666545</v>
      </c>
      <c r="K117" s="148"/>
      <c r="L117" s="36"/>
      <c r="M117" s="36"/>
    </row>
    <row r="118" spans="1:13">
      <c r="A118" s="149">
        <v>2</v>
      </c>
      <c r="C118" s="149" t="s">
        <v>470</v>
      </c>
      <c r="E118" s="139">
        <f t="shared" si="33"/>
        <v>0</v>
      </c>
      <c r="F118" s="139">
        <f t="shared" si="33"/>
        <v>0</v>
      </c>
      <c r="G118" s="139">
        <f t="shared" si="33"/>
        <v>141.88603185132669</v>
      </c>
      <c r="H118" s="139">
        <f t="shared" si="33"/>
        <v>141.88603185132669</v>
      </c>
      <c r="I118" s="139">
        <f t="shared" si="33"/>
        <v>141.88603185132669</v>
      </c>
      <c r="J118" s="139">
        <f t="shared" si="33"/>
        <v>141.88603185132666</v>
      </c>
      <c r="K118" s="148"/>
      <c r="L118" s="36"/>
      <c r="M118" s="36"/>
    </row>
    <row r="119" spans="1:13">
      <c r="A119" s="149">
        <v>3</v>
      </c>
      <c r="C119" s="149" t="s">
        <v>471</v>
      </c>
      <c r="E119" s="139">
        <f t="shared" si="33"/>
        <v>0</v>
      </c>
      <c r="F119" s="139">
        <f t="shared" si="33"/>
        <v>0</v>
      </c>
      <c r="G119" s="139">
        <f t="shared" si="33"/>
        <v>0</v>
      </c>
      <c r="H119" s="139">
        <f t="shared" si="33"/>
        <v>145.79174642401514</v>
      </c>
      <c r="I119" s="139">
        <f t="shared" si="33"/>
        <v>145.79174642401514</v>
      </c>
      <c r="J119" s="139">
        <f t="shared" si="33"/>
        <v>145.79174642401514</v>
      </c>
      <c r="K119" s="148"/>
      <c r="L119" s="36"/>
      <c r="M119" s="36"/>
    </row>
    <row r="120" spans="1:13">
      <c r="A120" s="149">
        <v>4</v>
      </c>
      <c r="C120" s="149" t="s">
        <v>472</v>
      </c>
      <c r="E120" s="139">
        <f t="shared" si="33"/>
        <v>0</v>
      </c>
      <c r="F120" s="139">
        <f t="shared" si="33"/>
        <v>0</v>
      </c>
      <c r="G120" s="139">
        <f t="shared" si="33"/>
        <v>0</v>
      </c>
      <c r="H120" s="139">
        <f t="shared" si="33"/>
        <v>0</v>
      </c>
      <c r="I120" s="139">
        <f t="shared" si="33"/>
        <v>136.55695555861178</v>
      </c>
      <c r="J120" s="139">
        <f t="shared" si="33"/>
        <v>136.55695555861178</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108.78408380692251</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3547.2054899999953</v>
      </c>
      <c r="F123" s="139">
        <f t="shared" ref="F123:J123" si="34">F105-F117+IF($A123=F$103,F$104,0)</f>
        <v>3468.3787013333285</v>
      </c>
      <c r="G123" s="139">
        <f t="shared" si="34"/>
        <v>3389.5519126666618</v>
      </c>
      <c r="H123" s="139">
        <f t="shared" si="34"/>
        <v>3310.725123999995</v>
      </c>
      <c r="I123" s="139">
        <f t="shared" si="34"/>
        <v>3231.8983353333283</v>
      </c>
      <c r="J123" s="139">
        <f t="shared" si="34"/>
        <v>3153.0715466666616</v>
      </c>
      <c r="K123" s="148"/>
      <c r="L123" s="36"/>
      <c r="M123" s="36"/>
    </row>
    <row r="124" spans="1:13">
      <c r="A124" s="149">
        <v>2</v>
      </c>
      <c r="C124" s="149" t="s">
        <v>476</v>
      </c>
      <c r="E124" s="139">
        <f t="shared" ref="E124:J128" si="35">E106-E118+IF($A124=E$103,E$104,0)</f>
        <v>0</v>
      </c>
      <c r="F124" s="139">
        <f t="shared" si="35"/>
        <v>6384.8714333097014</v>
      </c>
      <c r="G124" s="139">
        <f t="shared" si="35"/>
        <v>6242.9854014583743</v>
      </c>
      <c r="H124" s="139">
        <f t="shared" si="35"/>
        <v>6101.0993696070473</v>
      </c>
      <c r="I124" s="139">
        <f t="shared" si="35"/>
        <v>5959.2133377557202</v>
      </c>
      <c r="J124" s="139">
        <f t="shared" si="35"/>
        <v>5817.3273059043931</v>
      </c>
      <c r="K124" s="148"/>
      <c r="L124" s="36"/>
      <c r="M124" s="36"/>
    </row>
    <row r="125" spans="1:13">
      <c r="A125" s="149">
        <v>3</v>
      </c>
      <c r="C125" s="149" t="s">
        <v>477</v>
      </c>
      <c r="E125" s="139">
        <f t="shared" si="35"/>
        <v>0</v>
      </c>
      <c r="F125" s="139">
        <f t="shared" si="35"/>
        <v>0</v>
      </c>
      <c r="G125" s="139">
        <f t="shared" si="35"/>
        <v>6560.6285890806821</v>
      </c>
      <c r="H125" s="139">
        <f t="shared" si="35"/>
        <v>6414.8368426566667</v>
      </c>
      <c r="I125" s="139">
        <f t="shared" si="35"/>
        <v>6269.0450962326513</v>
      </c>
      <c r="J125" s="139">
        <f t="shared" si="35"/>
        <v>6123.2533498086359</v>
      </c>
      <c r="K125" s="148"/>
      <c r="L125" s="36"/>
      <c r="M125" s="36"/>
    </row>
    <row r="126" spans="1:13">
      <c r="A126" s="149">
        <v>4</v>
      </c>
      <c r="C126" s="149" t="s">
        <v>478</v>
      </c>
      <c r="E126" s="139">
        <f t="shared" si="35"/>
        <v>0</v>
      </c>
      <c r="F126" s="139">
        <f t="shared" si="35"/>
        <v>0</v>
      </c>
      <c r="G126" s="139">
        <f t="shared" si="35"/>
        <v>0</v>
      </c>
      <c r="H126" s="139">
        <f t="shared" si="35"/>
        <v>6145.0630001375293</v>
      </c>
      <c r="I126" s="139">
        <f t="shared" si="35"/>
        <v>6008.5060445789177</v>
      </c>
      <c r="J126" s="139">
        <f t="shared" si="35"/>
        <v>5871.949089020306</v>
      </c>
      <c r="K126" s="148"/>
      <c r="L126" s="36"/>
      <c r="M126" s="36"/>
    </row>
    <row r="127" spans="1:13">
      <c r="A127" s="149">
        <v>5</v>
      </c>
      <c r="C127" s="149" t="s">
        <v>479</v>
      </c>
      <c r="E127" s="139">
        <f t="shared" si="35"/>
        <v>0</v>
      </c>
      <c r="F127" s="139">
        <f t="shared" si="35"/>
        <v>0</v>
      </c>
      <c r="G127" s="139">
        <f t="shared" si="35"/>
        <v>0</v>
      </c>
      <c r="H127" s="139">
        <f t="shared" si="35"/>
        <v>0</v>
      </c>
      <c r="I127" s="139">
        <f t="shared" si="35"/>
        <v>4895.2837713115132</v>
      </c>
      <c r="J127" s="139">
        <f t="shared" si="35"/>
        <v>4786.4996875045908</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5183.0494299828479</v>
      </c>
      <c r="K128" s="148"/>
      <c r="L128" s="36"/>
      <c r="M128" s="36"/>
    </row>
    <row r="129" spans="3:13">
      <c r="C129" s="149" t="s">
        <v>72</v>
      </c>
      <c r="E129" s="139">
        <f>SUM(E105:E110)</f>
        <v>0</v>
      </c>
      <c r="F129" s="139">
        <f t="shared" ref="F129:J129" si="36">SUM(F105:F110)</f>
        <v>3547.2054899999953</v>
      </c>
      <c r="G129" s="139">
        <f t="shared" si="36"/>
        <v>9853.250134643029</v>
      </c>
      <c r="H129" s="139">
        <f t="shared" si="36"/>
        <v>16193.165903205718</v>
      </c>
      <c r="I129" s="139">
        <f t="shared" si="36"/>
        <v>21971.724336401239</v>
      </c>
      <c r="J129" s="139">
        <f t="shared" si="36"/>
        <v>26363.946585212128</v>
      </c>
      <c r="K129" s="148"/>
      <c r="L129" s="36"/>
      <c r="M129" s="36"/>
    </row>
    <row r="130" spans="3:13">
      <c r="C130" s="149" t="s">
        <v>67</v>
      </c>
      <c r="E130" s="139">
        <f>SUM(E117:E122)</f>
        <v>0</v>
      </c>
      <c r="F130" s="139">
        <f t="shared" ref="F130:J130" si="37">SUM(F117:F122)</f>
        <v>78.826788666666559</v>
      </c>
      <c r="G130" s="139">
        <f t="shared" si="37"/>
        <v>220.71282051799324</v>
      </c>
      <c r="H130" s="139">
        <f t="shared" si="37"/>
        <v>366.50456694200841</v>
      </c>
      <c r="I130" s="139">
        <f t="shared" si="37"/>
        <v>503.06152250062019</v>
      </c>
      <c r="J130" s="139">
        <f t="shared" si="37"/>
        <v>611.84560630754265</v>
      </c>
      <c r="K130" s="148"/>
      <c r="L130" s="36"/>
      <c r="M130" s="36"/>
    </row>
    <row r="131" spans="3:13" s="36" customFormat="1">
      <c r="C131" s="36" t="s">
        <v>73</v>
      </c>
      <c r="E131" s="139">
        <f>SUM(E123:E128)</f>
        <v>3547.2054899999953</v>
      </c>
      <c r="F131" s="139">
        <f t="shared" ref="F131:J131" si="38">SUM(F123:F128)</f>
        <v>9853.250134643029</v>
      </c>
      <c r="G131" s="139">
        <f t="shared" si="38"/>
        <v>16193.165903205718</v>
      </c>
      <c r="H131" s="139">
        <f t="shared" si="38"/>
        <v>21971.724336401239</v>
      </c>
      <c r="I131" s="139">
        <f t="shared" si="38"/>
        <v>26363.946585212128</v>
      </c>
      <c r="J131" s="139">
        <f t="shared" si="38"/>
        <v>30935.150408887435</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96926.546310644975</v>
      </c>
      <c r="F134" s="139">
        <f>E137</f>
        <v>93406.060916883056</v>
      </c>
      <c r="G134" s="139">
        <f t="shared" ref="G134:J134" si="39">F137</f>
        <v>89959.387945247305</v>
      </c>
      <c r="H134" s="139">
        <f t="shared" si="39"/>
        <v>86512.714973611553</v>
      </c>
      <c r="I134" s="139">
        <f t="shared" si="39"/>
        <v>83066.042001975802</v>
      </c>
      <c r="J134" s="139">
        <f t="shared" si="39"/>
        <v>79619.369030340051</v>
      </c>
      <c r="K134" s="148"/>
      <c r="L134" s="36"/>
      <c r="M134" s="36"/>
    </row>
    <row r="135" spans="3:13">
      <c r="C135" s="149" t="s">
        <v>41</v>
      </c>
      <c r="E135" s="139">
        <f t="shared" ref="E135:J135" si="40">E55</f>
        <v>71.185678717912296</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3449.2997150440096</v>
      </c>
      <c r="F136" s="139">
        <f t="shared" si="41"/>
        <v>3446.672971635754</v>
      </c>
      <c r="G136" s="139">
        <f t="shared" si="41"/>
        <v>3446.672971635754</v>
      </c>
      <c r="H136" s="139">
        <f t="shared" si="41"/>
        <v>3446.672971635754</v>
      </c>
      <c r="I136" s="139">
        <f t="shared" si="41"/>
        <v>3446.6729716357545</v>
      </c>
      <c r="J136" s="139">
        <f t="shared" si="41"/>
        <v>3446.6729716357545</v>
      </c>
      <c r="K136" s="148"/>
      <c r="L136" s="36"/>
      <c r="M136" s="36"/>
    </row>
    <row r="137" spans="3:13">
      <c r="C137" s="149" t="s">
        <v>66</v>
      </c>
      <c r="E137" s="139">
        <f t="shared" ref="E137:J137" si="42">E134-E135-E136</f>
        <v>93406.060916883056</v>
      </c>
      <c r="F137" s="139">
        <f t="shared" si="42"/>
        <v>89959.387945247305</v>
      </c>
      <c r="G137" s="139">
        <f t="shared" si="42"/>
        <v>86512.714973611553</v>
      </c>
      <c r="H137" s="139">
        <f t="shared" si="42"/>
        <v>83066.042001975802</v>
      </c>
      <c r="I137" s="139">
        <f t="shared" si="42"/>
        <v>79619.369030340051</v>
      </c>
      <c r="J137" s="139">
        <f t="shared" si="42"/>
        <v>76172.6960587043</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96926.546310644975</v>
      </c>
      <c r="F140" s="139">
        <f t="shared" si="43"/>
        <v>98622.457165860935</v>
      </c>
      <c r="G140" s="139">
        <f t="shared" si="43"/>
        <v>103374.16467606217</v>
      </c>
      <c r="H140" s="139">
        <f t="shared" si="43"/>
        <v>108648.1625788907</v>
      </c>
      <c r="I140" s="139">
        <f t="shared" si="43"/>
        <v>113384.96622272253</v>
      </c>
      <c r="J140" s="139">
        <f t="shared" si="43"/>
        <v>116748.32197838799</v>
      </c>
      <c r="K140" s="148"/>
      <c r="L140" s="36"/>
      <c r="M140" s="36"/>
    </row>
    <row r="141" spans="3:13">
      <c r="C141" s="149" t="s">
        <v>268</v>
      </c>
      <c r="E141" s="139">
        <f t="shared" ref="E141:J143" si="44">E60+E98</f>
        <v>1669.190758977888</v>
      </c>
      <c r="F141" s="139">
        <f t="shared" si="44"/>
        <v>1953.9287854137854</v>
      </c>
      <c r="G141" s="139">
        <f t="shared" si="44"/>
        <v>2516.1148284382321</v>
      </c>
      <c r="H141" s="139">
        <f t="shared" si="44"/>
        <v>2636.4322463504695</v>
      </c>
      <c r="I141" s="139">
        <f t="shared" si="44"/>
        <v>2751.3744743164589</v>
      </c>
      <c r="J141" s="139">
        <f t="shared" si="44"/>
        <v>2832.9889200623429</v>
      </c>
      <c r="K141" s="148"/>
      <c r="L141" s="36"/>
      <c r="M141" s="36"/>
    </row>
    <row r="142" spans="3:13">
      <c r="C142" s="149" t="s">
        <v>267</v>
      </c>
      <c r="E142" s="139">
        <f>E61+E99</f>
        <v>3449.2997150440096</v>
      </c>
      <c r="F142" s="139">
        <f t="shared" si="44"/>
        <v>3587.0927085222656</v>
      </c>
      <c r="G142" s="139">
        <f t="shared" si="44"/>
        <v>3802.7455146903767</v>
      </c>
      <c r="H142" s="139">
        <f t="shared" si="44"/>
        <v>4044.6916026561612</v>
      </c>
      <c r="I142" s="139">
        <f t="shared" si="44"/>
        <v>4283.3024899625216</v>
      </c>
      <c r="J142" s="139">
        <f t="shared" si="44"/>
        <v>4500.2736864663493</v>
      </c>
      <c r="K142" s="148"/>
      <c r="L142" s="36"/>
      <c r="M142" s="36"/>
    </row>
    <row r="143" spans="3:13">
      <c r="C143" s="149" t="s">
        <v>270</v>
      </c>
      <c r="E143" s="139">
        <f t="shared" si="44"/>
        <v>98622.457165860935</v>
      </c>
      <c r="F143" s="139">
        <f t="shared" si="44"/>
        <v>103374.16467606217</v>
      </c>
      <c r="G143" s="139">
        <f t="shared" si="44"/>
        <v>108648.1625788907</v>
      </c>
      <c r="H143" s="139">
        <f t="shared" si="44"/>
        <v>113384.96622272253</v>
      </c>
      <c r="I143" s="139">
        <f t="shared" si="44"/>
        <v>116748.32197838799</v>
      </c>
      <c r="J143" s="216">
        <f t="shared" si="44"/>
        <v>120264.08664196683</v>
      </c>
      <c r="K143" s="148"/>
      <c r="L143" s="36"/>
      <c r="M143" s="36"/>
    </row>
    <row r="144" spans="3:13">
      <c r="C144" s="149" t="s">
        <v>46</v>
      </c>
      <c r="E144" s="139">
        <f t="shared" ref="E144:J144" si="45">E130+E136</f>
        <v>3449.2997150440096</v>
      </c>
      <c r="F144" s="139">
        <f t="shared" si="45"/>
        <v>3525.4997603024208</v>
      </c>
      <c r="G144" s="139">
        <f t="shared" si="45"/>
        <v>3667.3857921537474</v>
      </c>
      <c r="H144" s="139">
        <f t="shared" si="45"/>
        <v>3813.1775385777623</v>
      </c>
      <c r="I144" s="139">
        <f t="shared" si="45"/>
        <v>3949.7344941363745</v>
      </c>
      <c r="J144" s="139">
        <f t="shared" si="45"/>
        <v>4058.5185779432973</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1.0174968666456004</v>
      </c>
      <c r="G148" s="308">
        <f t="shared" ref="G148:J148" si="46">G140/$E140</f>
        <v>1.0665206655022339</v>
      </c>
      <c r="H148" s="308">
        <f t="shared" si="46"/>
        <v>1.1209329818755587</v>
      </c>
      <c r="I148" s="308">
        <f t="shared" si="46"/>
        <v>1.1698030161863924</v>
      </c>
      <c r="J148" s="308">
        <f t="shared" si="46"/>
        <v>1.2045030636314551</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0.11277445079903284</v>
      </c>
      <c r="E152" s="36"/>
      <c r="F152" s="36"/>
      <c r="G152" s="36"/>
      <c r="H152" s="36"/>
      <c r="I152" s="36"/>
      <c r="J152" s="36"/>
      <c r="K152" s="148"/>
      <c r="L152" s="36"/>
      <c r="M152" s="36"/>
    </row>
    <row r="153" spans="1:13">
      <c r="C153" s="149" t="s">
        <v>282</v>
      </c>
      <c r="E153" s="135">
        <f>E16</f>
        <v>22714.435600000001</v>
      </c>
      <c r="F153" s="139">
        <f>E157</f>
        <v>23628.847411282084</v>
      </c>
      <c r="G153" s="139">
        <f t="shared" ref="G153:J153" si="48">F157</f>
        <v>27348.988554770302</v>
      </c>
      <c r="H153" s="139">
        <f t="shared" si="48"/>
        <v>30825.349979677729</v>
      </c>
      <c r="I153" s="139">
        <f t="shared" si="48"/>
        <v>33494.101065169125</v>
      </c>
      <c r="J153" s="139">
        <f t="shared" si="48"/>
        <v>34612.105983848887</v>
      </c>
      <c r="K153" s="148"/>
      <c r="L153" s="36"/>
      <c r="M153" s="36"/>
    </row>
    <row r="154" spans="1:13">
      <c r="C154" s="149" t="s">
        <v>35</v>
      </c>
      <c r="E154" s="135">
        <f>E15</f>
        <v>2561.6080000000002</v>
      </c>
      <c r="F154" s="139">
        <f t="shared" ref="F154:J154" si="49">F153*$D152</f>
        <v>2664.7302898214857</v>
      </c>
      <c r="G154" s="139">
        <f t="shared" si="49"/>
        <v>3084.2671641732554</v>
      </c>
      <c r="H154" s="139">
        <f t="shared" si="49"/>
        <v>3476.311914646134</v>
      </c>
      <c r="I154" s="139">
        <f t="shared" si="49"/>
        <v>3777.278852631749</v>
      </c>
      <c r="J154" s="139">
        <f t="shared" si="49"/>
        <v>3903.3612433264766</v>
      </c>
      <c r="K154" s="148"/>
      <c r="L154" s="36"/>
      <c r="M154" s="36"/>
    </row>
    <row r="155" spans="1:13">
      <c r="C155" s="149" t="s">
        <v>124</v>
      </c>
      <c r="E155" s="139">
        <f t="shared" ref="E155:J155" si="50">E25</f>
        <v>3547.2054899999953</v>
      </c>
      <c r="F155" s="139">
        <f t="shared" si="50"/>
        <v>6384.8714333097014</v>
      </c>
      <c r="G155" s="139">
        <f t="shared" si="50"/>
        <v>6560.6285890806821</v>
      </c>
      <c r="H155" s="139">
        <f t="shared" si="50"/>
        <v>6145.0630001375293</v>
      </c>
      <c r="I155" s="139">
        <f t="shared" si="50"/>
        <v>4895.2837713115132</v>
      </c>
      <c r="J155" s="139">
        <f t="shared" si="50"/>
        <v>5183.0494299828479</v>
      </c>
      <c r="K155" s="148"/>
      <c r="L155" s="309"/>
      <c r="M155" s="36"/>
    </row>
    <row r="156" spans="1:13">
      <c r="C156" s="149" t="s">
        <v>41</v>
      </c>
      <c r="E156" s="139">
        <f>E55</f>
        <v>71.185678717912296</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23628.847411282084</v>
      </c>
      <c r="F157" s="139">
        <f t="shared" ref="F157:J157" si="52">F153-F154+F155-F156</f>
        <v>27348.988554770302</v>
      </c>
      <c r="G157" s="139">
        <f t="shared" si="52"/>
        <v>30825.349979677729</v>
      </c>
      <c r="H157" s="139">
        <f t="shared" si="52"/>
        <v>33494.101065169125</v>
      </c>
      <c r="I157" s="139">
        <f t="shared" si="52"/>
        <v>34612.105983848887</v>
      </c>
      <c r="J157" s="139">
        <f t="shared" si="52"/>
        <v>35891.794170505258</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887.69171504400947</v>
      </c>
      <c r="F160" s="139">
        <f t="shared" si="53"/>
        <v>860.76947048093507</v>
      </c>
      <c r="G160" s="139">
        <f t="shared" si="53"/>
        <v>583.11862798049196</v>
      </c>
      <c r="H160" s="139">
        <f t="shared" si="53"/>
        <v>336.86562393162831</v>
      </c>
      <c r="I160" s="139">
        <f t="shared" si="53"/>
        <v>172.45564150462542</v>
      </c>
      <c r="J160" s="139">
        <f t="shared" si="53"/>
        <v>155.15733461682066</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-660.85048795095906</v>
      </c>
      <c r="G163" s="310">
        <f t="shared" ref="G163:J163" si="54">F166</f>
        <v>-1329.7776492708404</v>
      </c>
      <c r="H163" s="310">
        <f t="shared" si="54"/>
        <v>-2031.8519024028537</v>
      </c>
      <c r="I163" s="310">
        <f t="shared" si="54"/>
        <v>-2802.8769966685491</v>
      </c>
      <c r="J163" s="310">
        <f t="shared" si="54"/>
        <v>-3619.9368860138052</v>
      </c>
      <c r="K163" s="148"/>
      <c r="L163" s="36"/>
      <c r="M163" s="36"/>
    </row>
    <row r="164" spans="3:13">
      <c r="C164" s="149" t="s">
        <v>238</v>
      </c>
      <c r="E164" s="139">
        <f t="shared" ref="E164:J164" si="55">E160</f>
        <v>887.69171504400947</v>
      </c>
      <c r="F164" s="139">
        <f t="shared" si="55"/>
        <v>860.76947048093507</v>
      </c>
      <c r="G164" s="139">
        <f t="shared" si="55"/>
        <v>583.11862798049196</v>
      </c>
      <c r="H164" s="139">
        <f t="shared" si="55"/>
        <v>336.86562393162831</v>
      </c>
      <c r="I164" s="139">
        <f t="shared" si="55"/>
        <v>172.45564150462542</v>
      </c>
      <c r="J164" s="139">
        <f t="shared" si="55"/>
        <v>155.15733461682066</v>
      </c>
      <c r="K164" s="148"/>
      <c r="L164" s="36"/>
      <c r="M164" s="36"/>
    </row>
    <row r="165" spans="3:13">
      <c r="C165" s="149" t="s">
        <v>49</v>
      </c>
      <c r="E165" s="135">
        <f>(E11-E16)/E17</f>
        <v>3090.5266748805398</v>
      </c>
      <c r="F165" s="139">
        <f>E165</f>
        <v>3090.5266748805398</v>
      </c>
      <c r="G165" s="139">
        <f t="shared" ref="G165:J165" si="56">F165</f>
        <v>3090.5266748805398</v>
      </c>
      <c r="H165" s="139">
        <f t="shared" si="56"/>
        <v>3090.5266748805398</v>
      </c>
      <c r="I165" s="139">
        <f t="shared" si="56"/>
        <v>3090.5266748805398</v>
      </c>
      <c r="J165" s="139">
        <f t="shared" si="56"/>
        <v>3090.5266748805398</v>
      </c>
      <c r="K165" s="148"/>
      <c r="L165" s="36"/>
      <c r="M165" s="36"/>
    </row>
    <row r="166" spans="3:13">
      <c r="C166" s="149" t="s">
        <v>266</v>
      </c>
      <c r="E166" s="310">
        <f t="shared" ref="E166:J166" si="57">E163+(E164-E165)*E52</f>
        <v>-660.85048795095906</v>
      </c>
      <c r="F166" s="310">
        <f t="shared" si="57"/>
        <v>-1329.7776492708404</v>
      </c>
      <c r="G166" s="310">
        <f t="shared" si="57"/>
        <v>-2031.8519024028537</v>
      </c>
      <c r="H166" s="310">
        <f t="shared" si="57"/>
        <v>-2802.8769966685491</v>
      </c>
      <c r="I166" s="310">
        <f t="shared" si="57"/>
        <v>-3619.9368860138052</v>
      </c>
      <c r="J166" s="310">
        <f t="shared" si="57"/>
        <v>-4441.840301287647</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96926.546310644975</v>
      </c>
      <c r="F169" s="139">
        <f t="shared" si="58"/>
        <v>97961.606677909978</v>
      </c>
      <c r="G169" s="139">
        <f t="shared" si="58"/>
        <v>102044.38702679133</v>
      </c>
      <c r="H169" s="139">
        <f t="shared" si="58"/>
        <v>106616.31067648785</v>
      </c>
      <c r="I169" s="139">
        <f t="shared" si="58"/>
        <v>110582.08922605398</v>
      </c>
      <c r="J169" s="139">
        <f t="shared" si="58"/>
        <v>113128.38509237418</v>
      </c>
      <c r="K169" s="148"/>
      <c r="L169" s="36"/>
      <c r="M169" s="36"/>
    </row>
    <row r="170" spans="3:13">
      <c r="C170" s="149" t="s">
        <v>124</v>
      </c>
      <c r="E170" s="139">
        <f t="shared" ref="E170:J170" si="59">E25</f>
        <v>3547.2054899999953</v>
      </c>
      <c r="F170" s="139">
        <f t="shared" si="59"/>
        <v>6384.8714333097014</v>
      </c>
      <c r="G170" s="139">
        <f t="shared" si="59"/>
        <v>6560.6285890806821</v>
      </c>
      <c r="H170" s="139">
        <f t="shared" si="59"/>
        <v>6145.0630001375293</v>
      </c>
      <c r="I170" s="139">
        <f t="shared" si="59"/>
        <v>4895.2837713115132</v>
      </c>
      <c r="J170" s="139">
        <f t="shared" si="59"/>
        <v>5183.0494299828479</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1669.190758977888</v>
      </c>
      <c r="F172" s="95">
        <f t="shared" si="61"/>
        <v>1953.9287854137854</v>
      </c>
      <c r="G172" s="95">
        <f t="shared" si="61"/>
        <v>2516.1148284382321</v>
      </c>
      <c r="H172" s="95">
        <f t="shared" si="61"/>
        <v>2636.4322463504695</v>
      </c>
      <c r="I172" s="95">
        <f t="shared" si="61"/>
        <v>2751.3744743164589</v>
      </c>
      <c r="J172" s="95">
        <f t="shared" si="61"/>
        <v>2832.9889200623429</v>
      </c>
      <c r="K172" s="148"/>
      <c r="L172" s="36"/>
      <c r="M172" s="36"/>
    </row>
    <row r="173" spans="3:13">
      <c r="C173" s="149" t="s">
        <v>334</v>
      </c>
      <c r="E173" s="139">
        <f t="shared" ref="E173:J173" si="62">E169*WACC+E170*($D$46-1)+E171-E172</f>
        <v>6983.1178074477521</v>
      </c>
      <c r="F173" s="139">
        <f t="shared" si="62"/>
        <v>6910.6307247684272</v>
      </c>
      <c r="G173" s="139">
        <f t="shared" si="62"/>
        <v>6714.0284140231015</v>
      </c>
      <c r="H173" s="139">
        <f t="shared" si="62"/>
        <v>6976.8789713636115</v>
      </c>
      <c r="I173" s="139">
        <f t="shared" si="62"/>
        <v>7156.2343802225641</v>
      </c>
      <c r="J173" s="139">
        <f t="shared" si="62"/>
        <v>7310.2488907506622</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3381.9610538710244</v>
      </c>
      <c r="F176" s="310">
        <f t="shared" si="63"/>
        <v>3418.0763802056349</v>
      </c>
      <c r="G176" s="310">
        <f t="shared" si="63"/>
        <v>3560.5327521388031</v>
      </c>
      <c r="H176" s="310">
        <f t="shared" si="63"/>
        <v>3720.0563121240134</v>
      </c>
      <c r="I176" s="310">
        <f t="shared" si="63"/>
        <v>3858.4302572754755</v>
      </c>
      <c r="J176" s="310">
        <f t="shared" si="63"/>
        <v>3947.2756126431195</v>
      </c>
      <c r="K176" s="148"/>
      <c r="L176" s="36"/>
      <c r="M176" s="36"/>
    </row>
    <row r="177" spans="3:13">
      <c r="C177" s="149" t="s">
        <v>52</v>
      </c>
      <c r="E177" s="310">
        <f t="shared" ref="E177:J177" si="64">E142-E144</f>
        <v>0</v>
      </c>
      <c r="F177" s="310">
        <f t="shared" si="64"/>
        <v>61.592948219844857</v>
      </c>
      <c r="G177" s="310">
        <f t="shared" si="64"/>
        <v>135.35972253662931</v>
      </c>
      <c r="H177" s="310">
        <f t="shared" si="64"/>
        <v>231.51406407839886</v>
      </c>
      <c r="I177" s="310">
        <f t="shared" si="64"/>
        <v>333.56799582614713</v>
      </c>
      <c r="J177" s="310">
        <f t="shared" si="64"/>
        <v>441.75510852305206</v>
      </c>
      <c r="K177" s="148"/>
      <c r="L177" s="36"/>
      <c r="M177" s="36"/>
    </row>
    <row r="178" spans="3:13">
      <c r="C178" s="149" t="s">
        <v>53</v>
      </c>
      <c r="E178" s="310">
        <f t="shared" ref="E178:J178" si="65">E165+E177-E176</f>
        <v>-291.43437899048467</v>
      </c>
      <c r="F178" s="310">
        <f t="shared" si="65"/>
        <v>-265.95675710525029</v>
      </c>
      <c r="G178" s="310">
        <f t="shared" si="65"/>
        <v>-334.646354721634</v>
      </c>
      <c r="H178" s="310">
        <f t="shared" si="65"/>
        <v>-398.01557316507478</v>
      </c>
      <c r="I178" s="310">
        <f t="shared" si="65"/>
        <v>-434.33558656878859</v>
      </c>
      <c r="J178" s="310">
        <f t="shared" si="65"/>
        <v>-414.99382923952771</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3449.2997150440096</v>
      </c>
      <c r="F181" s="139">
        <f t="shared" si="66"/>
        <v>3587.0927085222656</v>
      </c>
      <c r="G181" s="139">
        <f t="shared" si="66"/>
        <v>3802.7455146903767</v>
      </c>
      <c r="H181" s="139">
        <f t="shared" si="66"/>
        <v>4044.6916026561612</v>
      </c>
      <c r="I181" s="139">
        <f t="shared" si="66"/>
        <v>4283.3024899625216</v>
      </c>
      <c r="J181" s="139">
        <f t="shared" si="66"/>
        <v>4500.2736864663493</v>
      </c>
      <c r="K181" s="148"/>
      <c r="L181" s="36"/>
      <c r="M181" s="36"/>
    </row>
    <row r="182" spans="3:13">
      <c r="C182" s="149" t="s">
        <v>275</v>
      </c>
      <c r="E182" s="139">
        <f>E55</f>
        <v>71.185678717912296</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3520.4853937619218</v>
      </c>
      <c r="F183" s="95">
        <f>F181+F182</f>
        <v>3587.0927085222656</v>
      </c>
      <c r="G183" s="95">
        <f t="shared" ref="G183:J183" si="68">G181+G182</f>
        <v>3802.7455146903767</v>
      </c>
      <c r="H183" s="95">
        <f t="shared" si="68"/>
        <v>4044.6916026561612</v>
      </c>
      <c r="I183" s="95">
        <f t="shared" si="68"/>
        <v>4283.3024899625216</v>
      </c>
      <c r="J183" s="95">
        <f t="shared" si="68"/>
        <v>4500.2736864663493</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103.27388907865001</v>
      </c>
      <c r="F186" s="139">
        <f t="shared" ref="F186:J186" si="69">F40</f>
        <v>107.88685221889965</v>
      </c>
      <c r="G186" s="139">
        <f t="shared" si="69"/>
        <v>109.58141010715462</v>
      </c>
      <c r="H186" s="139">
        <f t="shared" si="69"/>
        <v>111.6525364150218</v>
      </c>
      <c r="I186" s="139">
        <f t="shared" si="69"/>
        <v>114.00608903759814</v>
      </c>
      <c r="J186" s="139">
        <f t="shared" si="69"/>
        <v>116.5479258699806</v>
      </c>
      <c r="K186" s="148"/>
      <c r="L186" s="36"/>
      <c r="M186" s="36"/>
    </row>
    <row r="187" spans="3:13">
      <c r="E187" s="36"/>
      <c r="F187" s="95"/>
      <c r="G187" s="95"/>
      <c r="H187" s="95"/>
      <c r="I187" s="95"/>
      <c r="J187" s="95"/>
      <c r="K187" s="148"/>
      <c r="L187" s="36"/>
      <c r="M187" s="36"/>
    </row>
    <row r="188" spans="3:13" ht="15.75">
      <c r="C188" s="5" t="s">
        <v>297</v>
      </c>
      <c r="E188" s="139">
        <f t="shared" ref="E188:J188" si="70">E24</f>
        <v>6609.8113000000012</v>
      </c>
      <c r="F188" s="139">
        <f t="shared" si="70"/>
        <v>6776.4391822280313</v>
      </c>
      <c r="G188" s="139">
        <f t="shared" si="70"/>
        <v>6972.2674995273801</v>
      </c>
      <c r="H188" s="139">
        <f t="shared" si="70"/>
        <v>7132.7051871942531</v>
      </c>
      <c r="I188" s="139">
        <f t="shared" si="70"/>
        <v>7293.537184293551</v>
      </c>
      <c r="J188" s="139">
        <f t="shared" si="70"/>
        <v>7461.6545452404434</v>
      </c>
      <c r="K188" s="148"/>
      <c r="L188" s="309"/>
      <c r="M188" s="36"/>
    </row>
    <row r="189" spans="3:13">
      <c r="C189" s="149" t="s">
        <v>298</v>
      </c>
      <c r="E189" s="139">
        <f t="shared" ref="E189:J189" si="71">E188*$D$44</f>
        <v>6892.7672370271112</v>
      </c>
      <c r="F189" s="139">
        <f t="shared" si="71"/>
        <v>7066.5282046657157</v>
      </c>
      <c r="G189" s="139">
        <f t="shared" si="71"/>
        <v>7270.7396334493333</v>
      </c>
      <c r="H189" s="139">
        <f t="shared" si="71"/>
        <v>7438.0454137421248</v>
      </c>
      <c r="I189" s="139">
        <f t="shared" si="71"/>
        <v>7605.7623832525369</v>
      </c>
      <c r="J189" s="139">
        <f t="shared" si="71"/>
        <v>7781.0765919214291</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-660.85048795095906</v>
      </c>
      <c r="F192" s="310">
        <f t="shared" si="72"/>
        <v>-668.92716131988129</v>
      </c>
      <c r="G192" s="310">
        <f t="shared" si="72"/>
        <v>-702.07425313201338</v>
      </c>
      <c r="H192" s="310">
        <f t="shared" si="72"/>
        <v>-771.02509426569532</v>
      </c>
      <c r="I192" s="310">
        <f t="shared" si="72"/>
        <v>-817.05988934525612</v>
      </c>
      <c r="J192" s="310">
        <f t="shared" si="72"/>
        <v>-821.9034152738418</v>
      </c>
      <c r="K192" s="148"/>
      <c r="L192" s="309"/>
      <c r="M192" s="36"/>
    </row>
    <row r="193" spans="2:15">
      <c r="C193" s="149" t="s">
        <v>285</v>
      </c>
      <c r="E193" s="36"/>
      <c r="F193" s="310">
        <f>(F173+F183+F189+((F186-F188-F142+F178)*F52+F192)*$D45-F192-F186*$D47)/($D48-F52*$D45)</f>
        <v>19577.282259011256</v>
      </c>
      <c r="G193" s="310">
        <f>(G173+G183+G189+((G186-G188-G142+G178)*G52+G192)*$D45-G192-G186*$D47)/($D48-G52*$D45)</f>
        <v>19431.192010704246</v>
      </c>
      <c r="H193" s="310">
        <f>(H173+H183+H189+((H186-H188-H142+H178)*H52+H192)*$D45-H192-H186*$D47)/($D48-H52*$D45)</f>
        <v>20146.973274449836</v>
      </c>
      <c r="I193" s="310">
        <f>(I173+I183+I189+((I186-I188-I142+I178)*I52+I192)*$D45-I192-I186*$D47)/($D48-I52*$D45)</f>
        <v>20759.220471089859</v>
      </c>
      <c r="J193" s="310">
        <f>(J173+J183+J189+((J186-J188-J142+J178)*J52+J192)*$D45-J192-J186*$D47)/($D48-J52*$D45)</f>
        <v>21348.150156695974</v>
      </c>
      <c r="K193" s="148"/>
      <c r="L193" s="309"/>
      <c r="M193" s="36"/>
    </row>
    <row r="194" spans="2:15">
      <c r="C194" s="149" t="s">
        <v>293</v>
      </c>
      <c r="E194" s="36"/>
      <c r="F194" s="310">
        <f>(F193+F186-F188-F181+F178)*F52</f>
        <v>2716.7041390123832</v>
      </c>
      <c r="G194" s="310">
        <f>(G193+G186-G188-G181+G178)*G52</f>
        <v>2360.7119345241626</v>
      </c>
      <c r="H194" s="310">
        <f>(H193+H186-H188-H181+H178)*H52</f>
        <v>2431.2997653978232</v>
      </c>
      <c r="I194" s="310">
        <f>(I193+I186-I188-I181+I178)*I52</f>
        <v>2481.3743638047267</v>
      </c>
      <c r="J194" s="310">
        <f>(J193+J186-J188-J181+J178)*J52</f>
        <v>2544.5772860534985</v>
      </c>
      <c r="K194" s="148"/>
      <c r="L194" s="309"/>
      <c r="M194" s="36"/>
    </row>
    <row r="195" spans="2:15">
      <c r="C195" s="149" t="s">
        <v>277</v>
      </c>
      <c r="E195" s="36"/>
      <c r="F195" s="310">
        <f>IF(F194&lt;0,#N/A,F194)</f>
        <v>2716.7041390123832</v>
      </c>
      <c r="G195" s="310">
        <f t="shared" ref="G195:J195" si="73">IF(G194&lt;0,#N/A,G194)</f>
        <v>2360.7119345241626</v>
      </c>
      <c r="H195" s="310">
        <f t="shared" si="73"/>
        <v>2431.2997653978232</v>
      </c>
      <c r="I195" s="310">
        <f>IF(I194&lt;0,#N/A,I194)</f>
        <v>2481.3743638047267</v>
      </c>
      <c r="J195" s="310">
        <f t="shared" si="73"/>
        <v>2544.5772860534985</v>
      </c>
      <c r="K195" s="148"/>
      <c r="L195" s="309"/>
      <c r="M195" s="36"/>
    </row>
    <row r="196" spans="2:15">
      <c r="C196" s="149" t="s">
        <v>286</v>
      </c>
      <c r="E196" s="36"/>
      <c r="F196" s="310">
        <f>F173+F183+F189+(F195+F192)*$D$45-F192-F186*$D$47</f>
        <v>20256.112661290903</v>
      </c>
      <c r="G196" s="310">
        <f>G173+G183+G189+(G195+G192)*$D$45-G192-G186*$D$47</f>
        <v>20104.956822126322</v>
      </c>
      <c r="H196" s="310">
        <f>H173+H183+H189+(H195+H192)*$D$45-H192-H186*$D$47</f>
        <v>20845.5573675671</v>
      </c>
      <c r="I196" s="310">
        <f>I173+I183+I189+(I195+I192)*$D$45-I192-I186*$D$47</f>
        <v>21479.033864847075</v>
      </c>
      <c r="J196" s="310">
        <f>J173+J183+J189+(J195+J192)*$D$45-J192-J186*$D$47</f>
        <v>22088.38433052395</v>
      </c>
      <c r="K196" s="148"/>
      <c r="L196" s="309"/>
      <c r="M196" s="36"/>
    </row>
    <row r="197" spans="2:15">
      <c r="C197" s="149" t="s">
        <v>287</v>
      </c>
      <c r="E197" s="36"/>
      <c r="F197" s="310">
        <f>F196/$D$48</f>
        <v>19577.282259011256</v>
      </c>
      <c r="G197" s="310">
        <f t="shared" ref="G197:J197" si="74">G196/$D$48</f>
        <v>19431.192010704246</v>
      </c>
      <c r="H197" s="310">
        <f t="shared" si="74"/>
        <v>20146.973274449836</v>
      </c>
      <c r="I197" s="310">
        <f t="shared" si="74"/>
        <v>20759.220471089859</v>
      </c>
      <c r="J197" s="310">
        <f t="shared" si="74"/>
        <v>21348.150156695974</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2047.776977692502</v>
      </c>
      <c r="G199" s="310">
        <f t="shared" ref="G199:J199" si="75">G195+G192</f>
        <v>1658.6376813921493</v>
      </c>
      <c r="H199" s="310">
        <f t="shared" si="75"/>
        <v>1660.2746711321279</v>
      </c>
      <c r="I199" s="310">
        <f t="shared" si="75"/>
        <v>1664.3144744594706</v>
      </c>
      <c r="J199" s="310">
        <f t="shared" si="75"/>
        <v>1722.6738707796567</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20845.5573675671</v>
      </c>
      <c r="I204" s="310">
        <f>I196</f>
        <v>21479.033864847075</v>
      </c>
      <c r="J204" s="310">
        <f>J196</f>
        <v>22088.38433052395</v>
      </c>
      <c r="K204" s="148"/>
      <c r="L204" s="36"/>
      <c r="M204" s="36"/>
    </row>
    <row r="205" spans="2:15">
      <c r="B205" s="149" t="s">
        <v>247</v>
      </c>
      <c r="C205" s="149" t="s">
        <v>249</v>
      </c>
      <c r="D205" s="155"/>
      <c r="E205" s="36"/>
      <c r="F205" s="310"/>
      <c r="G205" s="310"/>
      <c r="H205" s="310">
        <f>H204/(1+WACC)^H$203</f>
        <v>19164.804052190037</v>
      </c>
      <c r="I205" s="310">
        <f>I204/(1+WACC)^I$203</f>
        <v>18155.009715984877</v>
      </c>
      <c r="J205" s="310">
        <f>J204/(1+WACC)^J$203</f>
        <v>17164.71372766202</v>
      </c>
      <c r="K205" s="148"/>
      <c r="L205" s="36"/>
      <c r="M205" s="36"/>
    </row>
    <row r="206" spans="2:15">
      <c r="B206" s="149" t="s">
        <v>247</v>
      </c>
      <c r="C206" s="149" t="s">
        <v>159</v>
      </c>
      <c r="D206" s="92">
        <f>SUM(H205:J205)</f>
        <v>54484.527495836934</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54484.527495836934</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1.0279190072711455</v>
      </c>
      <c r="J211" s="316">
        <f>I211*(1+J$31)*(1+J$26)*(1-X_industry_wide)</f>
        <v>1.0571204520636297</v>
      </c>
      <c r="K211" s="148"/>
      <c r="L211" s="36" t="s">
        <v>509</v>
      </c>
      <c r="M211" s="36"/>
    </row>
    <row r="212" spans="1:13">
      <c r="C212" s="149" t="s">
        <v>160</v>
      </c>
      <c r="D212" s="155"/>
      <c r="E212" s="36"/>
      <c r="F212" s="317"/>
      <c r="G212" s="316"/>
      <c r="H212" s="316">
        <f>H211/(1+WACC)^H$203</f>
        <v>0.91937115013330895</v>
      </c>
      <c r="I212" s="316">
        <f>I211/(1+WACC)^I$203</f>
        <v>0.86884166586261125</v>
      </c>
      <c r="J212" s="316">
        <f>J211/(1+WACC)^J$203</f>
        <v>0.82148017998102496</v>
      </c>
      <c r="K212" s="148"/>
      <c r="L212" s="36" t="s">
        <v>280</v>
      </c>
      <c r="M212" s="36"/>
    </row>
    <row r="213" spans="1:13">
      <c r="C213" s="149" t="s">
        <v>99</v>
      </c>
      <c r="D213" s="140">
        <f>SUM(H212:J212)</f>
        <v>2.6096929959769453</v>
      </c>
      <c r="E213" s="36"/>
      <c r="F213" s="317"/>
      <c r="G213" s="316"/>
      <c r="H213" s="316"/>
      <c r="I213" s="316"/>
      <c r="J213" s="316"/>
      <c r="K213" s="148"/>
      <c r="L213" s="36" t="s">
        <v>510</v>
      </c>
      <c r="M213" s="36"/>
    </row>
    <row r="214" spans="1:13">
      <c r="C214" s="149" t="s">
        <v>256</v>
      </c>
      <c r="D214" s="26">
        <f>D210/D213</f>
        <v>20877.753659081463</v>
      </c>
      <c r="E214" s="36"/>
      <c r="F214" s="317"/>
      <c r="G214" s="316"/>
      <c r="H214" s="310"/>
      <c r="I214" s="310"/>
      <c r="J214" s="310"/>
      <c r="K214" s="148"/>
      <c r="L214" s="36"/>
      <c r="M214" s="36"/>
    </row>
    <row r="215" spans="1:13">
      <c r="C215" s="149" t="s">
        <v>252</v>
      </c>
      <c r="D215" s="26"/>
      <c r="E215" s="36"/>
      <c r="F215" s="317"/>
      <c r="G215" s="316"/>
      <c r="H215" s="310">
        <f t="shared" ref="H215:J215" si="76">$D214*H211</f>
        <v>20877.753659081463</v>
      </c>
      <c r="I215" s="310">
        <f t="shared" si="76"/>
        <v>21460.639815294544</v>
      </c>
      <c r="J215" s="310">
        <f t="shared" si="76"/>
        <v>22070.300386161296</v>
      </c>
      <c r="K215" s="148"/>
      <c r="L215" s="36" t="s">
        <v>243</v>
      </c>
      <c r="M215" s="36"/>
    </row>
    <row r="216" spans="1:13">
      <c r="C216" s="149" t="s">
        <v>253</v>
      </c>
      <c r="D216" s="26"/>
      <c r="E216" s="36"/>
      <c r="F216" s="317"/>
      <c r="G216" s="316"/>
      <c r="H216" s="247">
        <f t="shared" ref="H216:J216" si="77">H215/$D$48</f>
        <v>20178.090591834953</v>
      </c>
      <c r="I216" s="247">
        <f t="shared" si="77"/>
        <v>20741.442849786225</v>
      </c>
      <c r="J216" s="247">
        <f t="shared" si="77"/>
        <v>21330.672248221439</v>
      </c>
      <c r="K216" s="148"/>
      <c r="L216" s="36" t="s">
        <v>245</v>
      </c>
      <c r="M216" s="36"/>
    </row>
    <row r="217" spans="1:13">
      <c r="C217" s="149" t="s">
        <v>252</v>
      </c>
      <c r="D217" s="26"/>
      <c r="E217" s="36"/>
      <c r="F217" s="317"/>
      <c r="G217" s="316"/>
      <c r="H217" s="247">
        <f>H216*$D$48</f>
        <v>20877.753659081463</v>
      </c>
      <c r="I217" s="247">
        <f t="shared" ref="I217:J217" si="78">I216*$D$48</f>
        <v>21460.639815294544</v>
      </c>
      <c r="J217" s="247">
        <f t="shared" si="78"/>
        <v>22070.300386161296</v>
      </c>
      <c r="K217" s="148"/>
      <c r="L217" s="36" t="s">
        <v>299</v>
      </c>
      <c r="M217" s="36"/>
    </row>
    <row r="218" spans="1:13">
      <c r="C218" s="149" t="s">
        <v>254</v>
      </c>
      <c r="D218" s="155"/>
      <c r="E218" s="36"/>
      <c r="F218" s="317"/>
      <c r="G218" s="316"/>
      <c r="H218" s="310">
        <f>H215/(1+WACC)^H$203</f>
        <v>19194.404393749624</v>
      </c>
      <c r="I218" s="310">
        <f>I215/(1+WACC)^I$203</f>
        <v>18139.462268625568</v>
      </c>
      <c r="J218" s="310">
        <f>J215/(1+WACC)^J$203</f>
        <v>17150.660833461741</v>
      </c>
      <c r="K218" s="148"/>
      <c r="L218" s="36" t="s">
        <v>246</v>
      </c>
      <c r="M218" s="36"/>
    </row>
    <row r="219" spans="1:13">
      <c r="C219" s="149" t="s">
        <v>255</v>
      </c>
      <c r="D219" s="26">
        <f>SUM(H218:J218)</f>
        <v>54484.527495836934</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35290.123102087309</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2.7722212322185513E-3</v>
      </c>
      <c r="G226" s="204">
        <f t="shared" ref="G226:J226" si="80">G$26</f>
        <v>-1.2982590241251743E-2</v>
      </c>
      <c r="H226" s="204">
        <f t="shared" si="80"/>
        <v>2.9853809306483628E-3</v>
      </c>
      <c r="I226" s="204">
        <f t="shared" si="80"/>
        <v>3.3843711906939721E-3</v>
      </c>
      <c r="J226" s="204">
        <f t="shared" si="80"/>
        <v>4.0443940394748103E-3</v>
      </c>
      <c r="K226" s="148"/>
      <c r="L226" s="36"/>
      <c r="M226" s="36"/>
    </row>
    <row r="227" spans="1:14">
      <c r="A227" s="19"/>
      <c r="B227" s="19" t="s">
        <v>263</v>
      </c>
      <c r="C227" s="149" t="s">
        <v>411</v>
      </c>
      <c r="E227" s="163">
        <f>E$8-E$9-E$10</f>
        <v>19430.380269999994</v>
      </c>
      <c r="F227" s="247">
        <f>E227*(1+F225)*(1+F226)*(1-X_industry_wide)</f>
        <v>19964.539856402356</v>
      </c>
      <c r="G227" s="247">
        <f>F227*(1+G225)*(1+G226)*(1-X_industry_wide)</f>
        <v>20056.334265742033</v>
      </c>
      <c r="H227" s="320">
        <f>G227*(1+H225)*(1+H226)*(1-X_industry_wide)</f>
        <v>21039.726980153762</v>
      </c>
      <c r="I227" s="247">
        <f>H227*(1+I225)*(1+I226)*(1-X_industry_wide)</f>
        <v>21627.135270695595</v>
      </c>
      <c r="J227" s="247">
        <f>I227*(1+J225)*(1+J226)*(1-X_industry_wide)</f>
        <v>22241.525696555498</v>
      </c>
      <c r="K227" s="148"/>
      <c r="L227" s="300"/>
      <c r="M227" s="36"/>
    </row>
    <row r="228" spans="1:14">
      <c r="A228" s="19"/>
      <c r="B228" s="19"/>
      <c r="C228" s="149" t="s">
        <v>358</v>
      </c>
      <c r="E228" s="215"/>
      <c r="F228" s="247"/>
      <c r="G228" s="320">
        <f>G227*$D$48</f>
        <v>20751.775506142087</v>
      </c>
      <c r="H228" s="320">
        <f>H227*$D$48</f>
        <v>21769.266767180008</v>
      </c>
      <c r="I228" s="320">
        <f>I227*$D$48</f>
        <v>22377.043084340417</v>
      </c>
      <c r="J228" s="320">
        <f>J227*$D$48</f>
        <v>23012.737126015087</v>
      </c>
      <c r="K228" s="148"/>
      <c r="L228" s="300"/>
      <c r="M228" s="36"/>
    </row>
    <row r="229" spans="1:14">
      <c r="A229" s="19"/>
      <c r="B229" s="19" t="s">
        <v>263</v>
      </c>
      <c r="C229" s="149" t="s">
        <v>335</v>
      </c>
      <c r="D229" s="92">
        <f>H227</f>
        <v>21039.726980153762</v>
      </c>
      <c r="E229" s="36"/>
      <c r="F229" s="247"/>
      <c r="G229" s="310"/>
      <c r="H229" s="310"/>
      <c r="I229" s="310"/>
      <c r="J229" s="310"/>
      <c r="K229" s="148"/>
      <c r="L229" s="300"/>
      <c r="M229" s="36"/>
    </row>
    <row r="230" spans="1:14">
      <c r="B230" s="19" t="s">
        <v>263</v>
      </c>
      <c r="C230" s="149" t="s">
        <v>336</v>
      </c>
      <c r="D230" s="92">
        <f>D214/D48</f>
        <v>20178.090591834953</v>
      </c>
      <c r="E230" s="36"/>
      <c r="F230" s="321"/>
      <c r="G230" s="310"/>
      <c r="H230" s="310"/>
      <c r="I230" s="310"/>
      <c r="J230" s="310"/>
      <c r="K230" s="148"/>
      <c r="L230" s="36"/>
      <c r="M230" s="36"/>
    </row>
    <row r="231" spans="1:14">
      <c r="B231" s="19" t="s">
        <v>263</v>
      </c>
      <c r="C231" s="149" t="s">
        <v>329</v>
      </c>
      <c r="D231" s="32">
        <f>(D230-D229)/D229</f>
        <v>-4.095283123833162E-2</v>
      </c>
      <c r="E231" s="36"/>
      <c r="F231" s="247"/>
      <c r="G231" s="310"/>
      <c r="H231" s="310"/>
      <c r="I231" s="310"/>
      <c r="J231" s="310"/>
      <c r="K231" s="310"/>
      <c r="L231" s="310"/>
      <c r="M231" s="310"/>
      <c r="N231" s="19"/>
    </row>
    <row r="232" spans="1:14">
      <c r="C232" s="149" t="s">
        <v>452</v>
      </c>
      <c r="D232" s="125">
        <f>NPV(WACC,H228:J228)</f>
        <v>56811.103009863349</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-861.63638831880962</v>
      </c>
      <c r="F235" s="36"/>
      <c r="G235" s="36"/>
      <c r="H235" s="36"/>
      <c r="I235" s="310"/>
      <c r="J235" s="310"/>
      <c r="K235" s="148"/>
      <c r="L235" s="36"/>
      <c r="M235" s="36"/>
    </row>
    <row r="236" spans="1:14">
      <c r="C236" s="149" t="s">
        <v>341</v>
      </c>
      <c r="D236" s="94"/>
      <c r="E236" s="310">
        <f>H217-H228</f>
        <v>-891.51310809854476</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35290.123102087309</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1.0284083128981207</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0.79916819727055999</v>
      </c>
      <c r="K245" s="148"/>
      <c r="L245" s="36" t="s">
        <v>280</v>
      </c>
      <c r="M245" s="36"/>
    </row>
    <row r="246" spans="1:13">
      <c r="A246" s="155"/>
      <c r="B246" s="155" t="s">
        <v>264</v>
      </c>
      <c r="C246" s="149" t="s">
        <v>99</v>
      </c>
      <c r="D246" s="140">
        <f>SUM(I245:J245)</f>
        <v>1.6444115089680031</v>
      </c>
      <c r="E246" s="36"/>
      <c r="F246" s="317"/>
      <c r="G246" s="316"/>
      <c r="H246" s="316"/>
      <c r="I246" s="316"/>
      <c r="J246" s="316"/>
      <c r="K246" s="148"/>
      <c r="L246" s="36" t="s">
        <v>510</v>
      </c>
      <c r="M246" s="36"/>
    </row>
    <row r="247" spans="1:13">
      <c r="A247" s="155"/>
      <c r="B247" s="155" t="s">
        <v>264</v>
      </c>
      <c r="C247" s="149" t="s">
        <v>256</v>
      </c>
      <c r="D247" s="26">
        <f>D242/D246</f>
        <v>21460.639815294544</v>
      </c>
      <c r="E247" s="36"/>
      <c r="F247" s="317"/>
      <c r="G247" s="316"/>
      <c r="H247" s="310"/>
      <c r="I247" s="310"/>
      <c r="J247" s="310"/>
      <c r="K247" s="148"/>
      <c r="L247" s="36"/>
      <c r="M247" s="36"/>
    </row>
    <row r="248" spans="1:13">
      <c r="A248" s="155"/>
      <c r="B248" s="155" t="s">
        <v>264</v>
      </c>
      <c r="C248" s="149" t="s">
        <v>252</v>
      </c>
      <c r="D248" s="26"/>
      <c r="E248" s="36"/>
      <c r="F248" s="317"/>
      <c r="G248" s="316"/>
      <c r="H248" s="163">
        <f>H215</f>
        <v>20877.753659081463</v>
      </c>
      <c r="I248" s="310">
        <f t="shared" ref="I248:J248" si="81">$D247*I244</f>
        <v>21460.639815294544</v>
      </c>
      <c r="J248" s="310">
        <f t="shared" si="81"/>
        <v>22070.3003861613</v>
      </c>
      <c r="K248" s="148"/>
      <c r="L248" s="36" t="s">
        <v>243</v>
      </c>
      <c r="M248" s="36"/>
    </row>
    <row r="249" spans="1:13">
      <c r="A249" s="155"/>
      <c r="B249" s="155" t="s">
        <v>264</v>
      </c>
      <c r="C249" s="149" t="s">
        <v>253</v>
      </c>
      <c r="D249" s="26"/>
      <c r="E249" s="36"/>
      <c r="F249" s="317"/>
      <c r="G249" s="316"/>
      <c r="H249" s="247">
        <f>H248/$D$48</f>
        <v>20178.090591834953</v>
      </c>
      <c r="I249" s="247">
        <f>I248/$D$48</f>
        <v>20741.442849786225</v>
      </c>
      <c r="J249" s="247">
        <f>J248/$D$48</f>
        <v>21330.672248221443</v>
      </c>
      <c r="K249" s="148"/>
      <c r="L249" s="36" t="s">
        <v>245</v>
      </c>
      <c r="M249" s="36"/>
    </row>
    <row r="250" spans="1:13">
      <c r="A250" s="155"/>
      <c r="B250" s="155" t="s">
        <v>264</v>
      </c>
      <c r="C250" s="149" t="s">
        <v>370</v>
      </c>
      <c r="D250" s="155"/>
      <c r="E250" s="36"/>
      <c r="F250" s="317"/>
      <c r="G250" s="316"/>
      <c r="H250" s="310"/>
      <c r="I250" s="310">
        <f>I248/(1+WACC)^I$203</f>
        <v>18139.462268625568</v>
      </c>
      <c r="J250" s="310">
        <f>J248/(1+WACC)^J$203</f>
        <v>17150.660833461745</v>
      </c>
      <c r="K250" s="148"/>
      <c r="L250" s="36" t="s">
        <v>299</v>
      </c>
      <c r="M250" s="36"/>
    </row>
    <row r="251" spans="1:13">
      <c r="A251" s="155"/>
      <c r="B251" s="155" t="s">
        <v>264</v>
      </c>
      <c r="C251" s="149" t="s">
        <v>255</v>
      </c>
      <c r="D251" s="26">
        <f>SUM(I250:J250)</f>
        <v>35290.123102087309</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2440.0126142656559</v>
      </c>
      <c r="I253" s="324">
        <f>(I249+I186-I$188-I$181+I$178)*I$52</f>
        <v>2476.3966298397095</v>
      </c>
      <c r="J253" s="324">
        <f>(J249+J186-J$188-J$181+J$178)*J$52</f>
        <v>2539.6834716806297</v>
      </c>
      <c r="K253" s="247"/>
      <c r="L253" s="36"/>
      <c r="M253" s="36"/>
    </row>
    <row r="254" spans="1:13">
      <c r="A254" s="155"/>
      <c r="B254" s="214" t="s">
        <v>264</v>
      </c>
      <c r="C254" s="143" t="s">
        <v>325</v>
      </c>
      <c r="D254" s="214"/>
      <c r="E254" s="36"/>
      <c r="F254" s="322"/>
      <c r="G254" s="323"/>
      <c r="H254" s="324">
        <f>H253+H192</f>
        <v>1668.9875199999606</v>
      </c>
      <c r="I254" s="324">
        <f>I253+I192</f>
        <v>1659.3367404944534</v>
      </c>
      <c r="J254" s="324">
        <f>J253+J192</f>
        <v>1717.7800564067879</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19146.935424912161</v>
      </c>
      <c r="G257" s="138">
        <f>H257/((1+H32)*(1+H26)*(1+X_industry_wide))</f>
        <v>19234.970593297527</v>
      </c>
      <c r="H257" s="310">
        <f>H249</f>
        <v>20178.090591834953</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1.0063798557585573</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21769.266767180008</v>
      </c>
      <c r="I266" s="334">
        <f>H266*(1+I$225)*(1+I$226)*(1+$E265)</f>
        <v>25733.599546991474</v>
      </c>
      <c r="J266" s="247">
        <f>I266*(1+J$225)*(1+J$226)*(1-$J243)</f>
        <v>26464.647694917345</v>
      </c>
      <c r="K266" s="36"/>
      <c r="L266" s="36"/>
      <c r="M266" s="36"/>
    </row>
    <row r="267" spans="3:14">
      <c r="C267" s="149" t="s">
        <v>409</v>
      </c>
      <c r="D267" s="94"/>
      <c r="E267" s="36"/>
      <c r="F267" s="36"/>
      <c r="G267" s="36"/>
      <c r="H267" s="247">
        <f>H266/$D$48</f>
        <v>21039.726980153762</v>
      </c>
      <c r="I267" s="247">
        <f t="shared" ref="I267:J267" si="82">I266/$D$48</f>
        <v>24871.205561299932</v>
      </c>
      <c r="J267" s="247">
        <f t="shared" si="82"/>
        <v>25577.754551038819</v>
      </c>
      <c r="K267" s="36"/>
      <c r="L267" s="36"/>
      <c r="M267" s="36"/>
    </row>
    <row r="268" spans="3:14">
      <c r="C268" s="149" t="s">
        <v>347</v>
      </c>
      <c r="D268" s="94"/>
      <c r="E268" s="36"/>
      <c r="F268" s="36"/>
      <c r="G268" s="36"/>
      <c r="H268" s="247">
        <f>H266/(1+WACC)^H$203</f>
        <v>20014.035825301104</v>
      </c>
      <c r="I268" s="247">
        <f>I266/(1+WACC)^I$203</f>
        <v>21751.152902994902</v>
      </c>
      <c r="J268" s="247">
        <f>J266/(1+WACC)^J$203</f>
        <v>20565.474359251675</v>
      </c>
      <c r="K268" s="36"/>
      <c r="L268" s="36"/>
      <c r="M268" s="36"/>
    </row>
    <row r="269" spans="3:14">
      <c r="C269" s="149" t="s">
        <v>348</v>
      </c>
      <c r="D269" s="94"/>
      <c r="E269" s="310">
        <f>SUM(H268:J268)</f>
        <v>62330.663087547684</v>
      </c>
      <c r="F269" s="36"/>
      <c r="G269" s="36"/>
      <c r="H269" s="36"/>
      <c r="I269" s="36"/>
      <c r="J269" s="36"/>
      <c r="K269" s="36"/>
      <c r="L269" s="36"/>
      <c r="M269" s="36"/>
    </row>
    <row r="270" spans="3:14">
      <c r="C270" s="149" t="str">
        <f>C206</f>
        <v>PV of BBAR before tax over the PV period</v>
      </c>
      <c r="E270" s="310">
        <f>D206</f>
        <v>54484.527495836934</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19146.935424912161</v>
      </c>
      <c r="G274" s="247">
        <f t="shared" ref="G274:H274" si="83">G257</f>
        <v>19234.970593297527</v>
      </c>
      <c r="H274" s="333">
        <f t="shared" si="83"/>
        <v>20178.090591834953</v>
      </c>
      <c r="I274" s="310">
        <f>I249</f>
        <v>20741.442849786225</v>
      </c>
      <c r="J274" s="310">
        <f>J249</f>
        <v>21330.672248221443</v>
      </c>
      <c r="K274" s="36"/>
      <c r="L274" s="36"/>
      <c r="M274" s="36"/>
    </row>
    <row r="275" spans="3:13">
      <c r="C275" s="149" t="s">
        <v>407</v>
      </c>
      <c r="D275" s="94"/>
      <c r="E275" s="36"/>
      <c r="F275" s="247">
        <f>F274</f>
        <v>19146.935424912161</v>
      </c>
      <c r="G275" s="247">
        <f t="shared" ref="G275:H275" si="84">G274</f>
        <v>19234.970593297527</v>
      </c>
      <c r="H275" s="333">
        <f t="shared" si="84"/>
        <v>20178.090591834953</v>
      </c>
      <c r="I275" s="247">
        <f>I267</f>
        <v>24871.205561299932</v>
      </c>
      <c r="J275" s="247">
        <f>J267</f>
        <v>25577.754551038819</v>
      </c>
      <c r="K275" s="36"/>
      <c r="L275" s="36"/>
      <c r="M275" s="36"/>
    </row>
    <row r="276" spans="3:13">
      <c r="C276" s="149" t="s">
        <v>408</v>
      </c>
      <c r="D276" s="94"/>
      <c r="E276" s="36"/>
      <c r="F276" s="247">
        <f>IF($E$22=-15%,F275,F274)</f>
        <v>19146.935424912161</v>
      </c>
      <c r="G276" s="247">
        <f t="shared" ref="G276:J276" si="85">IF($E$22=-15%,G275,G274)</f>
        <v>19234.970593297527</v>
      </c>
      <c r="H276" s="247">
        <f t="shared" si="85"/>
        <v>20178.090591834953</v>
      </c>
      <c r="I276" s="247">
        <f t="shared" si="85"/>
        <v>20741.442849786225</v>
      </c>
      <c r="J276" s="247">
        <f t="shared" si="85"/>
        <v>21330.672248221443</v>
      </c>
      <c r="K276" s="36"/>
      <c r="L276" s="36"/>
      <c r="M276" s="36"/>
    </row>
    <row r="277" spans="3:13">
      <c r="C277" s="149" t="s">
        <v>449</v>
      </c>
      <c r="D277" s="94"/>
      <c r="E277" s="328">
        <f>(I276/H267)/((1+I225)*(1+I226))-1</f>
        <v>-4.0952831238331711E-2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21627.135270695595</v>
      </c>
      <c r="E281" s="36"/>
      <c r="F281" s="313"/>
      <c r="G281" s="36"/>
      <c r="H281" s="36"/>
      <c r="I281" s="36"/>
      <c r="J281" s="36"/>
      <c r="K281" s="36"/>
      <c r="L281" s="36"/>
      <c r="M281" s="36"/>
    </row>
    <row r="282" spans="3:13">
      <c r="C282" s="149" t="s">
        <v>443</v>
      </c>
      <c r="D282" s="19">
        <f>I276</f>
        <v>20741.442849786225</v>
      </c>
      <c r="E282" s="36"/>
      <c r="F282" s="313"/>
      <c r="G282" s="36"/>
      <c r="H282" s="36"/>
      <c r="I282" s="36"/>
      <c r="J282" s="36"/>
      <c r="K282" s="36"/>
      <c r="L282" s="36"/>
      <c r="M282" s="36"/>
    </row>
    <row r="283" spans="3:13">
      <c r="C283" s="149" t="s">
        <v>445</v>
      </c>
      <c r="D283" s="152">
        <f>(D282-D281)/D281</f>
        <v>-4.0952831238331815E-2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56811.103009863349</v>
      </c>
      <c r="G286" s="36"/>
      <c r="H286" s="36"/>
      <c r="I286" s="36"/>
      <c r="J286" s="36"/>
      <c r="K286" s="36"/>
      <c r="L286" s="36"/>
      <c r="M286" s="36"/>
    </row>
    <row r="287" spans="3:13">
      <c r="C287" s="149" t="str">
        <f>C206</f>
        <v>PV of BBAR before tax over the PV period</v>
      </c>
      <c r="E287" s="36"/>
      <c r="F287" s="310">
        <f>D206</f>
        <v>54484.527495836934</v>
      </c>
      <c r="G287" s="36"/>
      <c r="H287" s="36"/>
      <c r="I287" s="36"/>
      <c r="J287" s="36"/>
      <c r="K287" s="36"/>
      <c r="L287" s="36"/>
      <c r="M287" s="36"/>
    </row>
    <row r="288" spans="3:13">
      <c r="C288" s="149" t="s">
        <v>405</v>
      </c>
      <c r="D288" s="94"/>
      <c r="E288" s="36"/>
      <c r="F288" s="247">
        <f>F286-F287</f>
        <v>2326.5755140264155</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-106616.31067648785</v>
      </c>
      <c r="F293" s="247"/>
      <c r="G293" s="310"/>
      <c r="H293" s="310"/>
      <c r="I293" s="310"/>
      <c r="J293" s="310"/>
      <c r="K293" s="310"/>
      <c r="L293" s="36"/>
      <c r="M293" s="36"/>
      <c r="N293" s="19">
        <f>J$143+J$166</f>
        <v>115822.24634067918</v>
      </c>
    </row>
    <row r="294" spans="3:14">
      <c r="C294" s="149" t="s">
        <v>57</v>
      </c>
      <c r="D294" s="19"/>
      <c r="E294" s="90"/>
      <c r="F294" s="247"/>
      <c r="G294" s="138">
        <f>H$249</f>
        <v>20178.090591834953</v>
      </c>
      <c r="H294" s="36">
        <v>0</v>
      </c>
      <c r="I294" s="36">
        <v>0</v>
      </c>
      <c r="J294" s="164">
        <f>I$249</f>
        <v>20741.442849786225</v>
      </c>
      <c r="K294" s="310">
        <v>0</v>
      </c>
      <c r="L294" s="138">
        <v>0</v>
      </c>
      <c r="M294" s="310">
        <f>J$249</f>
        <v>21330.672248221443</v>
      </c>
    </row>
    <row r="295" spans="3:14">
      <c r="C295" s="149" t="s">
        <v>234</v>
      </c>
      <c r="D295" s="19"/>
      <c r="E295" s="299"/>
      <c r="F295" s="320">
        <f>H186</f>
        <v>111.6525364150218</v>
      </c>
      <c r="G295" s="215"/>
      <c r="H295" s="300"/>
      <c r="I295" s="216">
        <f>I186</f>
        <v>114.00608903759814</v>
      </c>
      <c r="J295" s="215"/>
      <c r="K295" s="215"/>
      <c r="L295" s="215">
        <f>J186</f>
        <v>116.5479258699806</v>
      </c>
      <c r="M295" s="215"/>
    </row>
    <row r="296" spans="3:14">
      <c r="C296" s="149" t="s">
        <v>54</v>
      </c>
      <c r="D296" s="19"/>
      <c r="E296" s="299"/>
      <c r="F296" s="320">
        <f>-H$24</f>
        <v>-7132.7051871942531</v>
      </c>
      <c r="G296" s="300"/>
      <c r="H296" s="215"/>
      <c r="I296" s="215">
        <f>-I$24</f>
        <v>-7293.537184293551</v>
      </c>
      <c r="J296" s="300"/>
      <c r="K296" s="215"/>
      <c r="L296" s="215">
        <f>-J$24</f>
        <v>-7461.6545452404434</v>
      </c>
      <c r="M296" s="300"/>
    </row>
    <row r="297" spans="3:14">
      <c r="C297" s="149" t="s">
        <v>125</v>
      </c>
      <c r="D297" s="19"/>
      <c r="E297" s="299"/>
      <c r="F297" s="320">
        <f>-H$25</f>
        <v>-6145.0630001375293</v>
      </c>
      <c r="G297" s="300"/>
      <c r="H297" s="215"/>
      <c r="I297" s="215">
        <f>-I$25</f>
        <v>-4895.2837713115132</v>
      </c>
      <c r="J297" s="300"/>
      <c r="K297" s="215"/>
      <c r="L297" s="215">
        <f>-J$25</f>
        <v>-5183.0494299828479</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-1668.9875199999606</v>
      </c>
      <c r="G299" s="300">
        <v>0</v>
      </c>
      <c r="H299" s="300">
        <v>0</v>
      </c>
      <c r="I299" s="336">
        <f>-I$254</f>
        <v>-1659.3367404944534</v>
      </c>
      <c r="J299" s="215">
        <v>0</v>
      </c>
      <c r="K299" s="163">
        <v>0</v>
      </c>
      <c r="L299" s="215">
        <f>-J$254</f>
        <v>-1717.7800564067879</v>
      </c>
      <c r="M299" s="300"/>
    </row>
    <row r="300" spans="3:14" ht="15.75" thickBot="1">
      <c r="C300" s="149" t="s">
        <v>217</v>
      </c>
      <c r="D300" s="19"/>
      <c r="E300" s="332">
        <f>SUM(E293:E299)</f>
        <v>-106616.31067648785</v>
      </c>
      <c r="F300" s="332">
        <f t="shared" ref="F300:K300" si="87">SUM(F293:F299)</f>
        <v>-14835.10317091672</v>
      </c>
      <c r="G300" s="332">
        <f t="shared" si="87"/>
        <v>20178.090591834953</v>
      </c>
      <c r="H300" s="332">
        <f t="shared" si="87"/>
        <v>0</v>
      </c>
      <c r="I300" s="332">
        <f t="shared" si="87"/>
        <v>-13734.15160706192</v>
      </c>
      <c r="J300" s="332">
        <f t="shared" si="87"/>
        <v>20741.442849786225</v>
      </c>
      <c r="K300" s="332">
        <f t="shared" si="87"/>
        <v>0</v>
      </c>
      <c r="L300" s="332">
        <f>SUM(L293:L299)</f>
        <v>-14245.936105760098</v>
      </c>
      <c r="M300" s="332">
        <f>SUM(M293:M299)</f>
        <v>21330.672248221443</v>
      </c>
      <c r="N300" s="129">
        <f>SUM(N293:N299)</f>
        <v>115822.24634067918</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4.3655745685100555E-11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9"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3.xml><?xml version="1.0" encoding="utf-8"?>
<worksheet xmlns="http://schemas.openxmlformats.org/spreadsheetml/2006/main" xmlns:r="http://schemas.openxmlformats.org/officeDocument/2006/relationships">
  <sheetPr codeName="Sheet20">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Nelson Electricity </v>
      </c>
      <c r="D1" s="2"/>
      <c r="E1" s="2"/>
      <c r="F1" s="6" t="s">
        <v>169</v>
      </c>
      <c r="G1" s="7">
        <v>8</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8325.509</v>
      </c>
    </row>
    <row r="9" spans="1:16">
      <c r="A9" s="9">
        <f>A8+1</f>
        <v>2</v>
      </c>
      <c r="B9" s="9"/>
      <c r="C9" s="149" t="str">
        <f>Inputs!B21</f>
        <v>Pass-through costs</v>
      </c>
      <c r="E9" s="1">
        <f t="shared" si="0"/>
        <v>60</v>
      </c>
    </row>
    <row r="10" spans="1:16">
      <c r="A10" s="9">
        <f t="shared" ref="A10:A22" si="1">A9+1</f>
        <v>3</v>
      </c>
      <c r="B10" s="9"/>
      <c r="C10" s="149" t="str">
        <f>Inputs!B22</f>
        <v>Recoverable costs</v>
      </c>
      <c r="E10" s="1">
        <f t="shared" si="0"/>
        <v>2479</v>
      </c>
    </row>
    <row r="11" spans="1:16">
      <c r="A11" s="9">
        <f t="shared" si="1"/>
        <v>4</v>
      </c>
      <c r="B11" s="9"/>
      <c r="C11" s="155" t="str">
        <f>Inputs!B23</f>
        <v>Opening RAB</v>
      </c>
      <c r="E11" s="1">
        <f t="shared" si="0"/>
        <v>27046.149182690173</v>
      </c>
      <c r="L11" s="13"/>
    </row>
    <row r="12" spans="1:16">
      <c r="A12" s="9">
        <f t="shared" si="1"/>
        <v>5</v>
      </c>
      <c r="B12" s="9"/>
      <c r="C12" s="155" t="str">
        <f>Inputs!B24</f>
        <v>Total Depreciation</v>
      </c>
      <c r="E12" s="1">
        <f t="shared" si="0"/>
        <v>1084.6002031156527</v>
      </c>
      <c r="F12" s="161"/>
      <c r="G12" s="337" t="s">
        <v>511</v>
      </c>
    </row>
    <row r="13" spans="1:16">
      <c r="A13" s="9">
        <f t="shared" si="1"/>
        <v>6</v>
      </c>
      <c r="B13" s="9"/>
      <c r="C13" s="155" t="str">
        <f>Inputs!B25</f>
        <v>RAB of disposed assets</v>
      </c>
      <c r="E13" s="1">
        <f t="shared" si="0"/>
        <v>0</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608</v>
      </c>
      <c r="G15" s="23" t="s">
        <v>514</v>
      </c>
    </row>
    <row r="16" spans="1:16">
      <c r="A16" s="9">
        <f t="shared" si="1"/>
        <v>9</v>
      </c>
      <c r="B16" s="9"/>
      <c r="C16" s="155" t="str">
        <f>Inputs!B28</f>
        <v>Opening regulatory tax asset value</v>
      </c>
      <c r="E16" s="1">
        <f t="shared" si="0"/>
        <v>6448</v>
      </c>
    </row>
    <row r="17" spans="1:21">
      <c r="A17" s="9">
        <f t="shared" si="1"/>
        <v>10</v>
      </c>
      <c r="B17" s="9"/>
      <c r="C17" s="155" t="str">
        <f>Inputs!B29</f>
        <v>Weighted Average Remaining Life at year-end</v>
      </c>
      <c r="E17" s="1">
        <f t="shared" si="0"/>
        <v>31.242014055559167</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0</v>
      </c>
    </row>
    <row r="20" spans="1:21">
      <c r="A20" s="9">
        <f t="shared" si="1"/>
        <v>13</v>
      </c>
      <c r="B20" s="9"/>
      <c r="C20" s="155" t="str">
        <f>Inputs!B32</f>
        <v>Operating expenditure 2009/10</v>
      </c>
      <c r="E20" s="1">
        <f t="shared" si="0"/>
        <v>2092.9300000000003</v>
      </c>
    </row>
    <row r="21" spans="1:21">
      <c r="A21" s="9">
        <f t="shared" si="1"/>
        <v>14</v>
      </c>
      <c r="B21" s="9"/>
      <c r="C21" s="155" t="str">
        <f>Inputs!B33</f>
        <v>Other regulated income</v>
      </c>
      <c r="E21" s="1">
        <f t="shared" si="0"/>
        <v>0</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2092.9300000000003</v>
      </c>
      <c r="F24" s="39">
        <f>INDEX(OpexBlock,F7-1,$G$1)</f>
        <v>2160.1682791294652</v>
      </c>
      <c r="G24" s="39">
        <f>INDEX(OpexBlock,G7-1,$G$1)</f>
        <v>2258.5534185409369</v>
      </c>
      <c r="H24" s="39">
        <f>INDEX(OpexBlock,H7-1,$G$1)</f>
        <v>2333.9574369645511</v>
      </c>
      <c r="I24" s="39">
        <f>INDEX(OpexBlock,I7-1,$G$1)</f>
        <v>2421.060389412693</v>
      </c>
      <c r="J24" s="39">
        <f>INDEX(OpexBlock,J7-1,$G$1)</f>
        <v>2494.5688105225036</v>
      </c>
      <c r="K24" s="90"/>
      <c r="L24" s="36"/>
      <c r="M24" s="36"/>
    </row>
    <row r="25" spans="1:21">
      <c r="A25" s="9"/>
      <c r="B25" s="9"/>
      <c r="C25" s="149" t="s">
        <v>272</v>
      </c>
      <c r="D25" s="1"/>
      <c r="E25" s="39">
        <f t="shared" ref="E25:J25" si="2">INDEX(CommAssetsBlock,E7,$G$1)</f>
        <v>1524.37</v>
      </c>
      <c r="F25" s="39">
        <f t="shared" si="2"/>
        <v>6215.9612810442241</v>
      </c>
      <c r="G25" s="39">
        <f t="shared" si="2"/>
        <v>6391.0160258243131</v>
      </c>
      <c r="H25" s="39">
        <f t="shared" si="2"/>
        <v>1914.5304280239588</v>
      </c>
      <c r="I25" s="39">
        <f t="shared" si="2"/>
        <v>1569.2003166638272</v>
      </c>
      <c r="J25" s="39">
        <f t="shared" si="2"/>
        <v>1744.1084295222749</v>
      </c>
      <c r="K25" s="90"/>
      <c r="L25" s="36"/>
      <c r="M25" s="36"/>
    </row>
    <row r="26" spans="1:21">
      <c r="A26" s="9"/>
      <c r="B26" s="9"/>
      <c r="C26" s="149" t="s">
        <v>342</v>
      </c>
      <c r="D26" s="1"/>
      <c r="E26" s="90"/>
      <c r="F26" s="90">
        <f t="shared" ref="F26:J26" si="3">INDEX(ConstPriceRevGrwth,F$7-1,$G$1)</f>
        <v>9.1251032544817402E-3</v>
      </c>
      <c r="G26" s="90">
        <f t="shared" si="3"/>
        <v>-4.736700078992088E-3</v>
      </c>
      <c r="H26" s="90">
        <f t="shared" si="3"/>
        <v>1.2151984029714624E-2</v>
      </c>
      <c r="I26" s="90">
        <f t="shared" si="3"/>
        <v>6.1771497413273908E-3</v>
      </c>
      <c r="J26" s="90">
        <f t="shared" si="3"/>
        <v>7.0185246838569033E-3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0</v>
      </c>
      <c r="F40" s="295">
        <f>E40*(1+F39)</f>
        <v>0</v>
      </c>
      <c r="G40" s="295">
        <f t="shared" ref="G40:J40" si="5">F40*(1+G39)</f>
        <v>0</v>
      </c>
      <c r="H40" s="295">
        <f t="shared" si="5"/>
        <v>0</v>
      </c>
      <c r="I40" s="295">
        <f t="shared" si="5"/>
        <v>0</v>
      </c>
      <c r="J40" s="295">
        <f t="shared" si="5"/>
        <v>0</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24.936514952695614</v>
      </c>
      <c r="F53" s="45">
        <f>E53-1</f>
        <v>23.936514952695614</v>
      </c>
      <c r="G53" s="45">
        <f t="shared" ref="G53:J53" si="6">F53-1</f>
        <v>22.936514952695614</v>
      </c>
      <c r="H53" s="45">
        <f t="shared" si="6"/>
        <v>21.936514952695614</v>
      </c>
      <c r="I53" s="45">
        <f t="shared" si="6"/>
        <v>20.936514952695614</v>
      </c>
      <c r="J53" s="45">
        <f t="shared" si="6"/>
        <v>19.936514952695614</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0</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27046.149182690173</v>
      </c>
      <c r="F58" s="216">
        <f>E62</f>
        <v>26427.658258267373</v>
      </c>
      <c r="G58" s="216">
        <f t="shared" ref="G58:J58" si="9">F62</f>
        <v>25847.175628456054</v>
      </c>
      <c r="H58" s="216">
        <f t="shared" si="9"/>
        <v>25349.392059825925</v>
      </c>
      <c r="I58" s="216">
        <f t="shared" si="9"/>
        <v>24808.93506084054</v>
      </c>
      <c r="J58" s="216">
        <f t="shared" si="9"/>
        <v>24225.983073593947</v>
      </c>
      <c r="K58" s="148"/>
      <c r="L58" s="36"/>
      <c r="M58" s="36"/>
    </row>
    <row r="59" spans="3:16">
      <c r="C59" s="149" t="s">
        <v>41</v>
      </c>
      <c r="D59" s="153"/>
      <c r="E59" s="216">
        <f>E55</f>
        <v>0</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466.10927869285422</v>
      </c>
      <c r="F60" s="216">
        <f t="shared" si="11"/>
        <v>523.59030271435824</v>
      </c>
      <c r="G60" s="216">
        <f t="shared" si="11"/>
        <v>629.11716941849454</v>
      </c>
      <c r="H60" s="216">
        <f t="shared" si="11"/>
        <v>615.12273254854324</v>
      </c>
      <c r="I60" s="216">
        <f t="shared" si="11"/>
        <v>602.00812272846235</v>
      </c>
      <c r="J60" s="216">
        <f t="shared" si="11"/>
        <v>587.86233893635233</v>
      </c>
      <c r="K60" s="148"/>
      <c r="L60" s="36"/>
      <c r="M60" s="36"/>
    </row>
    <row r="61" spans="3:16">
      <c r="C61" s="149" t="s">
        <v>43</v>
      </c>
      <c r="E61" s="136">
        <f>E12</f>
        <v>1084.6002031156527</v>
      </c>
      <c r="F61" s="216">
        <f t="shared" ref="F61:J61" si="12">F58/F53</f>
        <v>1104.0729325256775</v>
      </c>
      <c r="G61" s="216">
        <f t="shared" si="12"/>
        <v>1126.9007380486269</v>
      </c>
      <c r="H61" s="216">
        <f t="shared" si="12"/>
        <v>1155.5797315339248</v>
      </c>
      <c r="I61" s="216">
        <f t="shared" si="12"/>
        <v>1184.9601099750532</v>
      </c>
      <c r="J61" s="216">
        <f t="shared" si="12"/>
        <v>1215.1563666506495</v>
      </c>
      <c r="K61" s="148"/>
      <c r="L61" s="36"/>
      <c r="M61" s="36"/>
    </row>
    <row r="62" spans="3:16">
      <c r="C62" s="149" t="s">
        <v>44</v>
      </c>
      <c r="E62" s="139">
        <f>E58-E59+E60-E61</f>
        <v>26427.658258267373</v>
      </c>
      <c r="F62" s="139">
        <f>F58-F59+F60-F61</f>
        <v>25847.175628456054</v>
      </c>
      <c r="G62" s="139">
        <f t="shared" ref="G62:J62" si="13">G58-G59+G60-G61</f>
        <v>25349.392059825925</v>
      </c>
      <c r="H62" s="139">
        <f t="shared" si="13"/>
        <v>24808.93506084054</v>
      </c>
      <c r="I62" s="216">
        <f t="shared" si="13"/>
        <v>24225.983073593947</v>
      </c>
      <c r="J62" s="216">
        <f t="shared" si="13"/>
        <v>23598.689045879652</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1524.37</v>
      </c>
      <c r="F66" s="139">
        <f t="shared" ref="F66:J66" si="15">F$25</f>
        <v>6215.9612810442241</v>
      </c>
      <c r="G66" s="139">
        <f t="shared" si="15"/>
        <v>6391.0160258243131</v>
      </c>
      <c r="H66" s="139">
        <f t="shared" si="15"/>
        <v>1914.5304280239588</v>
      </c>
      <c r="I66" s="139">
        <f t="shared" si="15"/>
        <v>1569.2003166638272</v>
      </c>
      <c r="J66" s="139">
        <f t="shared" si="15"/>
        <v>1744.1084295222749</v>
      </c>
      <c r="K66" s="148"/>
      <c r="L66" s="36"/>
      <c r="M66" s="36"/>
    </row>
    <row r="67" spans="1:13">
      <c r="A67" s="149">
        <v>1</v>
      </c>
      <c r="C67" s="149" t="s">
        <v>481</v>
      </c>
      <c r="E67" s="135">
        <v>0</v>
      </c>
      <c r="F67" s="139">
        <f>E91</f>
        <v>1524.37</v>
      </c>
      <c r="G67" s="139">
        <f t="shared" ref="G67:J67" si="16">F91</f>
        <v>1520.6962489474156</v>
      </c>
      <c r="H67" s="139">
        <f t="shared" si="16"/>
        <v>1523.1485357360705</v>
      </c>
      <c r="I67" s="139">
        <f t="shared" si="16"/>
        <v>1524.6868617391194</v>
      </c>
      <c r="J67" s="139">
        <f t="shared" si="16"/>
        <v>1525.3825072541624</v>
      </c>
      <c r="K67" s="148"/>
      <c r="L67" s="36"/>
      <c r="M67" s="36"/>
    </row>
    <row r="68" spans="1:13">
      <c r="A68" s="149">
        <v>2</v>
      </c>
      <c r="C68" s="149" t="s">
        <v>482</v>
      </c>
      <c r="E68" s="135">
        <v>0</v>
      </c>
      <c r="F68" s="139">
        <f t="shared" ref="F68:J71" si="17">E92</f>
        <v>0</v>
      </c>
      <c r="G68" s="139">
        <f t="shared" si="17"/>
        <v>6215.9612810442241</v>
      </c>
      <c r="H68" s="139">
        <f t="shared" si="17"/>
        <v>6229.1245637132624</v>
      </c>
      <c r="I68" s="139">
        <f t="shared" si="17"/>
        <v>6238.708107743576</v>
      </c>
      <c r="J68" s="139">
        <f t="shared" si="17"/>
        <v>6245.0089816783266</v>
      </c>
      <c r="K68" s="148"/>
      <c r="L68" s="36"/>
      <c r="M68" s="36"/>
    </row>
    <row r="69" spans="1:13">
      <c r="A69" s="149">
        <v>3</v>
      </c>
      <c r="C69" s="149" t="s">
        <v>483</v>
      </c>
      <c r="E69" s="135">
        <v>0</v>
      </c>
      <c r="F69" s="139">
        <f t="shared" si="17"/>
        <v>0</v>
      </c>
      <c r="G69" s="139">
        <f t="shared" si="17"/>
        <v>0</v>
      </c>
      <c r="H69" s="139">
        <f t="shared" si="17"/>
        <v>6391.0160258243131</v>
      </c>
      <c r="I69" s="139">
        <f t="shared" si="17"/>
        <v>6404.0764266734486</v>
      </c>
      <c r="J69" s="139">
        <f t="shared" si="17"/>
        <v>6413.92913515291</v>
      </c>
      <c r="K69" s="148"/>
      <c r="L69" s="36"/>
      <c r="M69" s="36"/>
    </row>
    <row r="70" spans="1:13">
      <c r="A70" s="149">
        <v>4</v>
      </c>
      <c r="C70" s="149" t="s">
        <v>484</v>
      </c>
      <c r="E70" s="135">
        <v>0</v>
      </c>
      <c r="F70" s="139">
        <f t="shared" si="17"/>
        <v>0</v>
      </c>
      <c r="G70" s="139">
        <f t="shared" si="17"/>
        <v>0</v>
      </c>
      <c r="H70" s="139">
        <f t="shared" si="17"/>
        <v>0</v>
      </c>
      <c r="I70" s="139">
        <f t="shared" si="17"/>
        <v>1914.5304280239588</v>
      </c>
      <c r="J70" s="139">
        <f t="shared" si="17"/>
        <v>1918.4428786776302</v>
      </c>
      <c r="K70" s="148"/>
      <c r="L70" s="36"/>
      <c r="M70" s="36"/>
    </row>
    <row r="71" spans="1:13">
      <c r="A71" s="149">
        <v>5</v>
      </c>
      <c r="C71" s="149" t="s">
        <v>485</v>
      </c>
      <c r="E71" s="135">
        <v>0</v>
      </c>
      <c r="F71" s="139">
        <f t="shared" si="17"/>
        <v>0</v>
      </c>
      <c r="G71" s="139">
        <f t="shared" si="17"/>
        <v>0</v>
      </c>
      <c r="H71" s="139">
        <f t="shared" si="17"/>
        <v>0</v>
      </c>
      <c r="I71" s="139">
        <f t="shared" si="17"/>
        <v>0</v>
      </c>
      <c r="J71" s="139">
        <f t="shared" si="17"/>
        <v>1569.2003166638272</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30.201137836304593</v>
      </c>
      <c r="G79" s="139">
        <f t="shared" si="20"/>
        <v>37.013565173823494</v>
      </c>
      <c r="H79" s="139">
        <f t="shared" si="20"/>
        <v>36.960384973655188</v>
      </c>
      <c r="I79" s="139">
        <f t="shared" si="20"/>
        <v>36.997713651688677</v>
      </c>
      <c r="J79" s="139">
        <f t="shared" si="20"/>
        <v>37.014594031663407</v>
      </c>
      <c r="K79" s="148"/>
      <c r="L79" s="36"/>
      <c r="M79" s="36"/>
    </row>
    <row r="80" spans="1:13">
      <c r="A80" s="149">
        <v>2</v>
      </c>
      <c r="C80" s="149" t="s">
        <v>488</v>
      </c>
      <c r="E80" s="139">
        <f t="shared" ref="E80:J84" si="21">E68*E$38</f>
        <v>0</v>
      </c>
      <c r="F80" s="139">
        <f t="shared" si="21"/>
        <v>0</v>
      </c>
      <c r="G80" s="139">
        <f t="shared" si="21"/>
        <v>151.29575558113285</v>
      </c>
      <c r="H80" s="139">
        <f t="shared" si="21"/>
        <v>151.15455684197843</v>
      </c>
      <c r="I80" s="139">
        <f t="shared" si="21"/>
        <v>151.38710899855533</v>
      </c>
      <c r="J80" s="139">
        <f t="shared" si="21"/>
        <v>151.5400046097416</v>
      </c>
      <c r="K80" s="148"/>
      <c r="L80" s="36"/>
      <c r="M80" s="36"/>
    </row>
    <row r="81" spans="1:13">
      <c r="A81" s="149">
        <v>3</v>
      </c>
      <c r="C81" s="149" t="s">
        <v>489</v>
      </c>
      <c r="E81" s="139">
        <f t="shared" si="21"/>
        <v>0</v>
      </c>
      <c r="F81" s="139">
        <f t="shared" si="21"/>
        <v>0</v>
      </c>
      <c r="G81" s="139">
        <f t="shared" si="21"/>
        <v>0</v>
      </c>
      <c r="H81" s="139">
        <f t="shared" si="21"/>
        <v>155.08297920078715</v>
      </c>
      <c r="I81" s="139">
        <f t="shared" si="21"/>
        <v>155.39989999476671</v>
      </c>
      <c r="J81" s="139">
        <f t="shared" si="21"/>
        <v>155.63898363624369</v>
      </c>
      <c r="K81" s="148"/>
      <c r="L81" s="36"/>
      <c r="M81" s="36"/>
    </row>
    <row r="82" spans="1:13">
      <c r="A82" s="149">
        <v>4</v>
      </c>
      <c r="C82" s="149" t="s">
        <v>490</v>
      </c>
      <c r="E82" s="139">
        <f t="shared" si="21"/>
        <v>0</v>
      </c>
      <c r="F82" s="139">
        <f t="shared" si="21"/>
        <v>0</v>
      </c>
      <c r="G82" s="139">
        <f t="shared" si="21"/>
        <v>0</v>
      </c>
      <c r="H82" s="139">
        <f t="shared" si="21"/>
        <v>0</v>
      </c>
      <c r="I82" s="139">
        <f t="shared" si="21"/>
        <v>46.45757127642598</v>
      </c>
      <c r="J82" s="139">
        <f t="shared" si="21"/>
        <v>46.55250993733619</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38.077867288661167</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33.87488888888889</v>
      </c>
      <c r="G85" s="216">
        <f t="shared" si="22"/>
        <v>34.561278385168535</v>
      </c>
      <c r="H85" s="216">
        <f t="shared" si="22"/>
        <v>35.422058970606287</v>
      </c>
      <c r="I85" s="216">
        <f t="shared" si="22"/>
        <v>36.302068136645701</v>
      </c>
      <c r="J85" s="216">
        <f t="shared" si="22"/>
        <v>37.204451396442984</v>
      </c>
      <c r="K85" s="148"/>
      <c r="L85" s="36"/>
      <c r="M85" s="36"/>
    </row>
    <row r="86" spans="1:13">
      <c r="A86" s="149">
        <v>2</v>
      </c>
      <c r="C86" s="149" t="s">
        <v>494</v>
      </c>
      <c r="E86" s="216">
        <f t="shared" si="22"/>
        <v>0</v>
      </c>
      <c r="F86" s="216">
        <f t="shared" si="22"/>
        <v>0</v>
      </c>
      <c r="G86" s="216">
        <f t="shared" si="22"/>
        <v>138.13247291209387</v>
      </c>
      <c r="H86" s="216">
        <f t="shared" si="22"/>
        <v>141.57101281166504</v>
      </c>
      <c r="I86" s="216">
        <f t="shared" si="22"/>
        <v>145.08623506380408</v>
      </c>
      <c r="J86" s="216">
        <f t="shared" si="22"/>
        <v>148.69069003996015</v>
      </c>
      <c r="K86" s="148"/>
      <c r="L86" s="36"/>
      <c r="M86" s="36"/>
    </row>
    <row r="87" spans="1:13">
      <c r="A87" s="149">
        <v>3</v>
      </c>
      <c r="C87" s="149" t="s">
        <v>495</v>
      </c>
      <c r="E87" s="216">
        <f t="shared" si="22"/>
        <v>0</v>
      </c>
      <c r="F87" s="216">
        <f t="shared" si="22"/>
        <v>0</v>
      </c>
      <c r="G87" s="216">
        <f t="shared" si="22"/>
        <v>0</v>
      </c>
      <c r="H87" s="216">
        <f t="shared" si="22"/>
        <v>142.02257835165139</v>
      </c>
      <c r="I87" s="216">
        <f t="shared" si="22"/>
        <v>145.54719151530566</v>
      </c>
      <c r="J87" s="216">
        <f t="shared" si="22"/>
        <v>149.16114267797465</v>
      </c>
      <c r="K87" s="148"/>
      <c r="L87" s="36"/>
      <c r="M87" s="36"/>
    </row>
    <row r="88" spans="1:13">
      <c r="A88" s="149">
        <v>4</v>
      </c>
      <c r="C88" s="149" t="s">
        <v>496</v>
      </c>
      <c r="E88" s="216">
        <f t="shared" si="22"/>
        <v>0</v>
      </c>
      <c r="F88" s="216">
        <f t="shared" si="22"/>
        <v>0</v>
      </c>
      <c r="G88" s="216">
        <f t="shared" si="22"/>
        <v>0</v>
      </c>
      <c r="H88" s="216">
        <f t="shared" si="22"/>
        <v>0</v>
      </c>
      <c r="I88" s="216">
        <f t="shared" si="22"/>
        <v>42.545120622754638</v>
      </c>
      <c r="J88" s="216">
        <f t="shared" si="22"/>
        <v>43.600974515400686</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34.871118148085046</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1524.37</v>
      </c>
      <c r="F91" s="139">
        <f t="shared" si="23"/>
        <v>1520.6962489474156</v>
      </c>
      <c r="G91" s="139">
        <f t="shared" si="23"/>
        <v>1523.1485357360705</v>
      </c>
      <c r="H91" s="139">
        <f t="shared" si="23"/>
        <v>1524.6868617391194</v>
      </c>
      <c r="I91" s="139">
        <f t="shared" si="23"/>
        <v>1525.3825072541624</v>
      </c>
      <c r="J91" s="216">
        <f t="shared" si="23"/>
        <v>1525.1926498893829</v>
      </c>
      <c r="K91" s="148"/>
      <c r="L91" s="36"/>
      <c r="M91" s="36"/>
    </row>
    <row r="92" spans="1:13">
      <c r="A92" s="149">
        <v>2</v>
      </c>
      <c r="C92" s="149" t="s">
        <v>500</v>
      </c>
      <c r="E92" s="139">
        <f t="shared" si="23"/>
        <v>0</v>
      </c>
      <c r="F92" s="139">
        <f t="shared" si="23"/>
        <v>6215.9612810442241</v>
      </c>
      <c r="G92" s="139">
        <f t="shared" si="23"/>
        <v>6229.1245637132624</v>
      </c>
      <c r="H92" s="139">
        <f t="shared" si="23"/>
        <v>6238.708107743576</v>
      </c>
      <c r="I92" s="139">
        <f t="shared" si="23"/>
        <v>6245.0089816783266</v>
      </c>
      <c r="J92" s="216">
        <f t="shared" si="23"/>
        <v>6247.8582962481087</v>
      </c>
      <c r="K92" s="148"/>
      <c r="L92" s="36"/>
      <c r="M92" s="36"/>
    </row>
    <row r="93" spans="1:13">
      <c r="A93" s="149">
        <v>3</v>
      </c>
      <c r="C93" s="149" t="s">
        <v>501</v>
      </c>
      <c r="E93" s="139">
        <f t="shared" si="23"/>
        <v>0</v>
      </c>
      <c r="F93" s="139">
        <f t="shared" si="23"/>
        <v>0</v>
      </c>
      <c r="G93" s="139">
        <f t="shared" si="23"/>
        <v>6391.0160258243131</v>
      </c>
      <c r="H93" s="139">
        <f t="shared" si="23"/>
        <v>6404.0764266734486</v>
      </c>
      <c r="I93" s="139">
        <f t="shared" si="23"/>
        <v>6413.92913515291</v>
      </c>
      <c r="J93" s="216">
        <f t="shared" si="23"/>
        <v>6420.4069761111796</v>
      </c>
      <c r="K93" s="148"/>
      <c r="L93" s="36"/>
      <c r="M93" s="36"/>
    </row>
    <row r="94" spans="1:13">
      <c r="A94" s="149">
        <v>4</v>
      </c>
      <c r="C94" s="149" t="s">
        <v>502</v>
      </c>
      <c r="E94" s="139">
        <f t="shared" si="23"/>
        <v>0</v>
      </c>
      <c r="F94" s="139">
        <f t="shared" si="23"/>
        <v>0</v>
      </c>
      <c r="G94" s="139">
        <f t="shared" si="23"/>
        <v>0</v>
      </c>
      <c r="H94" s="139">
        <f t="shared" si="23"/>
        <v>1914.5304280239588</v>
      </c>
      <c r="I94" s="139">
        <f t="shared" si="23"/>
        <v>1918.4428786776302</v>
      </c>
      <c r="J94" s="216">
        <f t="shared" si="23"/>
        <v>1921.3944140995659</v>
      </c>
      <c r="K94" s="148"/>
      <c r="L94" s="36"/>
      <c r="M94" s="36"/>
    </row>
    <row r="95" spans="1:13">
      <c r="A95" s="149">
        <v>5</v>
      </c>
      <c r="C95" s="149" t="s">
        <v>503</v>
      </c>
      <c r="E95" s="139">
        <f t="shared" si="23"/>
        <v>0</v>
      </c>
      <c r="F95" s="139">
        <f t="shared" si="23"/>
        <v>0</v>
      </c>
      <c r="G95" s="139">
        <f t="shared" si="23"/>
        <v>0</v>
      </c>
      <c r="H95" s="139">
        <f t="shared" si="23"/>
        <v>0</v>
      </c>
      <c r="I95" s="139">
        <f t="shared" si="23"/>
        <v>1569.2003166638272</v>
      </c>
      <c r="J95" s="216">
        <f t="shared" si="23"/>
        <v>1572.4070658044031</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1744.1084295222749</v>
      </c>
      <c r="K96" s="148"/>
      <c r="L96" s="36"/>
      <c r="M96" s="36"/>
    </row>
    <row r="97" spans="1:13">
      <c r="C97" s="149" t="s">
        <v>260</v>
      </c>
      <c r="E97" s="139">
        <f t="shared" ref="E97:J97" si="24">SUM(E67:E72)</f>
        <v>0</v>
      </c>
      <c r="F97" s="139">
        <f t="shared" si="24"/>
        <v>1524.37</v>
      </c>
      <c r="G97" s="139">
        <f t="shared" si="24"/>
        <v>7736.6575299916394</v>
      </c>
      <c r="H97" s="139">
        <f t="shared" si="24"/>
        <v>14143.289125273646</v>
      </c>
      <c r="I97" s="139">
        <f t="shared" si="24"/>
        <v>16082.001824180101</v>
      </c>
      <c r="J97" s="216">
        <f t="shared" si="24"/>
        <v>17671.963819426855</v>
      </c>
      <c r="K97" s="148"/>
      <c r="L97" s="36"/>
      <c r="M97" s="36"/>
    </row>
    <row r="98" spans="1:13">
      <c r="C98" s="149" t="s">
        <v>261</v>
      </c>
      <c r="E98" s="139">
        <f t="shared" ref="E98:J98" si="25">SUM(E79:E84)</f>
        <v>0</v>
      </c>
      <c r="F98" s="139">
        <f t="shared" si="25"/>
        <v>30.201137836304593</v>
      </c>
      <c r="G98" s="139">
        <f t="shared" si="25"/>
        <v>188.30932075495633</v>
      </c>
      <c r="H98" s="139">
        <f t="shared" si="25"/>
        <v>343.19792101642076</v>
      </c>
      <c r="I98" s="139">
        <f t="shared" si="25"/>
        <v>390.24229392143673</v>
      </c>
      <c r="J98" s="216">
        <f t="shared" si="25"/>
        <v>428.82395950364605</v>
      </c>
      <c r="K98" s="148"/>
      <c r="L98" s="36"/>
      <c r="M98" s="36"/>
    </row>
    <row r="99" spans="1:13">
      <c r="C99" s="149" t="s">
        <v>75</v>
      </c>
      <c r="E99" s="139">
        <f t="shared" ref="E99:J99" si="26">SUM(E85:E90)</f>
        <v>0</v>
      </c>
      <c r="F99" s="139">
        <f t="shared" si="26"/>
        <v>33.87488888888889</v>
      </c>
      <c r="G99" s="139">
        <f t="shared" si="26"/>
        <v>172.69375129726239</v>
      </c>
      <c r="H99" s="139">
        <f t="shared" si="26"/>
        <v>319.01565013392269</v>
      </c>
      <c r="I99" s="216">
        <f t="shared" si="26"/>
        <v>369.48061533851012</v>
      </c>
      <c r="J99" s="216">
        <f t="shared" si="26"/>
        <v>413.52837677786351</v>
      </c>
      <c r="K99" s="148"/>
      <c r="L99" s="36"/>
      <c r="M99" s="36"/>
    </row>
    <row r="100" spans="1:13">
      <c r="C100" s="149" t="s">
        <v>262</v>
      </c>
      <c r="E100" s="139">
        <f t="shared" ref="E100:J100" si="27">SUM(E91:E96)</f>
        <v>1524.37</v>
      </c>
      <c r="F100" s="139">
        <f t="shared" si="27"/>
        <v>7736.6575299916394</v>
      </c>
      <c r="G100" s="139">
        <f t="shared" si="27"/>
        <v>14143.289125273646</v>
      </c>
      <c r="H100" s="139">
        <f t="shared" si="27"/>
        <v>16082.001824180101</v>
      </c>
      <c r="I100" s="216">
        <f t="shared" si="27"/>
        <v>17671.963819426855</v>
      </c>
      <c r="J100" s="216">
        <f t="shared" si="27"/>
        <v>19431.367831674917</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1524.37</v>
      </c>
      <c r="F104" s="139">
        <f t="shared" ref="F104:J104" si="28">F$25</f>
        <v>6215.9612810442241</v>
      </c>
      <c r="G104" s="139">
        <f t="shared" si="28"/>
        <v>6391.0160258243131</v>
      </c>
      <c r="H104" s="139">
        <f t="shared" si="28"/>
        <v>1914.5304280239588</v>
      </c>
      <c r="I104" s="139">
        <f t="shared" si="28"/>
        <v>1569.2003166638272</v>
      </c>
      <c r="J104" s="139">
        <f t="shared" si="28"/>
        <v>1744.1084295222749</v>
      </c>
      <c r="K104" s="148"/>
      <c r="L104" s="36"/>
      <c r="M104" s="36"/>
    </row>
    <row r="105" spans="1:13">
      <c r="A105" s="149">
        <v>1</v>
      </c>
      <c r="C105" s="149" t="s">
        <v>457</v>
      </c>
      <c r="E105" s="135">
        <v>0</v>
      </c>
      <c r="F105" s="139">
        <f>E123</f>
        <v>1524.37</v>
      </c>
      <c r="G105" s="139">
        <f t="shared" ref="G105:J105" si="29">F123</f>
        <v>1490.4951111111111</v>
      </c>
      <c r="H105" s="139">
        <f t="shared" si="29"/>
        <v>1456.6202222222223</v>
      </c>
      <c r="I105" s="139">
        <f t="shared" si="29"/>
        <v>1422.7453333333335</v>
      </c>
      <c r="J105" s="139">
        <f t="shared" si="29"/>
        <v>1388.8704444444447</v>
      </c>
      <c r="K105" s="148"/>
      <c r="L105" s="36"/>
      <c r="M105" s="36"/>
    </row>
    <row r="106" spans="1:13">
      <c r="A106" s="149">
        <v>2</v>
      </c>
      <c r="C106" s="149" t="s">
        <v>458</v>
      </c>
      <c r="E106" s="135">
        <v>0</v>
      </c>
      <c r="F106" s="139">
        <f t="shared" ref="F106:J109" si="30">E124</f>
        <v>0</v>
      </c>
      <c r="G106" s="139">
        <f t="shared" si="30"/>
        <v>6215.9612810442241</v>
      </c>
      <c r="H106" s="139">
        <f t="shared" si="30"/>
        <v>6077.8288081321298</v>
      </c>
      <c r="I106" s="139">
        <f t="shared" si="30"/>
        <v>5939.6963352200355</v>
      </c>
      <c r="J106" s="139">
        <f t="shared" si="30"/>
        <v>5801.5638623079412</v>
      </c>
      <c r="K106" s="148"/>
      <c r="L106" s="36"/>
      <c r="M106" s="36"/>
    </row>
    <row r="107" spans="1:13">
      <c r="A107" s="149">
        <v>3</v>
      </c>
      <c r="C107" s="149" t="s">
        <v>459</v>
      </c>
      <c r="E107" s="135">
        <v>0</v>
      </c>
      <c r="F107" s="139">
        <f t="shared" si="30"/>
        <v>0</v>
      </c>
      <c r="G107" s="139">
        <f t="shared" si="30"/>
        <v>0</v>
      </c>
      <c r="H107" s="139">
        <f t="shared" si="30"/>
        <v>6391.0160258243131</v>
      </c>
      <c r="I107" s="139">
        <f t="shared" si="30"/>
        <v>6248.9934474726615</v>
      </c>
      <c r="J107" s="139">
        <f t="shared" si="30"/>
        <v>6106.9708691210099</v>
      </c>
      <c r="K107" s="148"/>
      <c r="L107" s="36"/>
      <c r="M107" s="36"/>
    </row>
    <row r="108" spans="1:13">
      <c r="A108" s="149">
        <v>4</v>
      </c>
      <c r="C108" s="149" t="s">
        <v>460</v>
      </c>
      <c r="E108" s="135">
        <v>0</v>
      </c>
      <c r="F108" s="139">
        <f t="shared" si="30"/>
        <v>0</v>
      </c>
      <c r="G108" s="139">
        <f t="shared" si="30"/>
        <v>0</v>
      </c>
      <c r="H108" s="139">
        <f t="shared" si="30"/>
        <v>0</v>
      </c>
      <c r="I108" s="139">
        <f t="shared" si="30"/>
        <v>1914.5304280239588</v>
      </c>
      <c r="J108" s="139">
        <f t="shared" si="30"/>
        <v>1871.9853074012042</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1569.2003166638272</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33.87488888888889</v>
      </c>
      <c r="G117" s="139">
        <f t="shared" si="33"/>
        <v>33.87488888888889</v>
      </c>
      <c r="H117" s="139">
        <f t="shared" si="33"/>
        <v>33.87488888888889</v>
      </c>
      <c r="I117" s="139">
        <f t="shared" si="33"/>
        <v>33.87488888888889</v>
      </c>
      <c r="J117" s="139">
        <f t="shared" si="33"/>
        <v>33.874888888888897</v>
      </c>
      <c r="K117" s="148"/>
      <c r="L117" s="36"/>
      <c r="M117" s="36"/>
    </row>
    <row r="118" spans="1:13">
      <c r="A118" s="149">
        <v>2</v>
      </c>
      <c r="C118" s="149" t="s">
        <v>470</v>
      </c>
      <c r="E118" s="139">
        <f t="shared" si="33"/>
        <v>0</v>
      </c>
      <c r="F118" s="139">
        <f t="shared" si="33"/>
        <v>0</v>
      </c>
      <c r="G118" s="139">
        <f t="shared" si="33"/>
        <v>138.13247291209387</v>
      </c>
      <c r="H118" s="139">
        <f t="shared" si="33"/>
        <v>138.13247291209385</v>
      </c>
      <c r="I118" s="139">
        <f t="shared" si="33"/>
        <v>138.13247291209385</v>
      </c>
      <c r="J118" s="139">
        <f t="shared" si="33"/>
        <v>138.13247291209385</v>
      </c>
      <c r="K118" s="148"/>
      <c r="L118" s="36"/>
      <c r="M118" s="36"/>
    </row>
    <row r="119" spans="1:13">
      <c r="A119" s="149">
        <v>3</v>
      </c>
      <c r="C119" s="149" t="s">
        <v>471</v>
      </c>
      <c r="E119" s="139">
        <f t="shared" si="33"/>
        <v>0</v>
      </c>
      <c r="F119" s="139">
        <f t="shared" si="33"/>
        <v>0</v>
      </c>
      <c r="G119" s="139">
        <f t="shared" si="33"/>
        <v>0</v>
      </c>
      <c r="H119" s="139">
        <f t="shared" si="33"/>
        <v>142.02257835165139</v>
      </c>
      <c r="I119" s="139">
        <f t="shared" si="33"/>
        <v>142.02257835165139</v>
      </c>
      <c r="J119" s="139">
        <f t="shared" si="33"/>
        <v>142.02257835165139</v>
      </c>
      <c r="K119" s="148"/>
      <c r="L119" s="36"/>
      <c r="M119" s="36"/>
    </row>
    <row r="120" spans="1:13">
      <c r="A120" s="149">
        <v>4</v>
      </c>
      <c r="C120" s="149" t="s">
        <v>472</v>
      </c>
      <c r="E120" s="139">
        <f t="shared" si="33"/>
        <v>0</v>
      </c>
      <c r="F120" s="139">
        <f t="shared" si="33"/>
        <v>0</v>
      </c>
      <c r="G120" s="139">
        <f t="shared" si="33"/>
        <v>0</v>
      </c>
      <c r="H120" s="139">
        <f t="shared" si="33"/>
        <v>0</v>
      </c>
      <c r="I120" s="139">
        <f t="shared" si="33"/>
        <v>42.545120622754638</v>
      </c>
      <c r="J120" s="139">
        <f t="shared" si="33"/>
        <v>42.545120622754638</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34.871118148085046</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1524.37</v>
      </c>
      <c r="F123" s="139">
        <f t="shared" ref="F123:J123" si="34">F105-F117+IF($A123=F$103,F$104,0)</f>
        <v>1490.4951111111111</v>
      </c>
      <c r="G123" s="139">
        <f t="shared" si="34"/>
        <v>1456.6202222222223</v>
      </c>
      <c r="H123" s="139">
        <f t="shared" si="34"/>
        <v>1422.7453333333335</v>
      </c>
      <c r="I123" s="139">
        <f t="shared" si="34"/>
        <v>1388.8704444444447</v>
      </c>
      <c r="J123" s="139">
        <f t="shared" si="34"/>
        <v>1354.9955555555559</v>
      </c>
      <c r="K123" s="148"/>
      <c r="L123" s="36"/>
      <c r="M123" s="36"/>
    </row>
    <row r="124" spans="1:13">
      <c r="A124" s="149">
        <v>2</v>
      </c>
      <c r="C124" s="149" t="s">
        <v>476</v>
      </c>
      <c r="E124" s="139">
        <f t="shared" ref="E124:J128" si="35">E106-E118+IF($A124=E$103,E$104,0)</f>
        <v>0</v>
      </c>
      <c r="F124" s="139">
        <f t="shared" si="35"/>
        <v>6215.9612810442241</v>
      </c>
      <c r="G124" s="139">
        <f t="shared" si="35"/>
        <v>6077.8288081321298</v>
      </c>
      <c r="H124" s="139">
        <f t="shared" si="35"/>
        <v>5939.6963352200355</v>
      </c>
      <c r="I124" s="139">
        <f t="shared" si="35"/>
        <v>5801.5638623079412</v>
      </c>
      <c r="J124" s="139">
        <f t="shared" si="35"/>
        <v>5663.431389395847</v>
      </c>
      <c r="K124" s="148"/>
      <c r="L124" s="36"/>
      <c r="M124" s="36"/>
    </row>
    <row r="125" spans="1:13">
      <c r="A125" s="149">
        <v>3</v>
      </c>
      <c r="C125" s="149" t="s">
        <v>477</v>
      </c>
      <c r="E125" s="139">
        <f t="shared" si="35"/>
        <v>0</v>
      </c>
      <c r="F125" s="139">
        <f t="shared" si="35"/>
        <v>0</v>
      </c>
      <c r="G125" s="139">
        <f t="shared" si="35"/>
        <v>6391.0160258243131</v>
      </c>
      <c r="H125" s="139">
        <f t="shared" si="35"/>
        <v>6248.9934474726615</v>
      </c>
      <c r="I125" s="139">
        <f t="shared" si="35"/>
        <v>6106.9708691210099</v>
      </c>
      <c r="J125" s="139">
        <f t="shared" si="35"/>
        <v>5964.9482907693582</v>
      </c>
      <c r="K125" s="148"/>
      <c r="L125" s="36"/>
      <c r="M125" s="36"/>
    </row>
    <row r="126" spans="1:13">
      <c r="A126" s="149">
        <v>4</v>
      </c>
      <c r="C126" s="149" t="s">
        <v>478</v>
      </c>
      <c r="E126" s="139">
        <f t="shared" si="35"/>
        <v>0</v>
      </c>
      <c r="F126" s="139">
        <f t="shared" si="35"/>
        <v>0</v>
      </c>
      <c r="G126" s="139">
        <f t="shared" si="35"/>
        <v>0</v>
      </c>
      <c r="H126" s="139">
        <f t="shared" si="35"/>
        <v>1914.5304280239588</v>
      </c>
      <c r="I126" s="139">
        <f t="shared" si="35"/>
        <v>1871.9853074012042</v>
      </c>
      <c r="J126" s="139">
        <f t="shared" si="35"/>
        <v>1829.4401867784495</v>
      </c>
      <c r="K126" s="148"/>
      <c r="L126" s="36"/>
      <c r="M126" s="36"/>
    </row>
    <row r="127" spans="1:13">
      <c r="A127" s="149">
        <v>5</v>
      </c>
      <c r="C127" s="149" t="s">
        <v>479</v>
      </c>
      <c r="E127" s="139">
        <f t="shared" si="35"/>
        <v>0</v>
      </c>
      <c r="F127" s="139">
        <f t="shared" si="35"/>
        <v>0</v>
      </c>
      <c r="G127" s="139">
        <f t="shared" si="35"/>
        <v>0</v>
      </c>
      <c r="H127" s="139">
        <f t="shared" si="35"/>
        <v>0</v>
      </c>
      <c r="I127" s="139">
        <f t="shared" si="35"/>
        <v>1569.2003166638272</v>
      </c>
      <c r="J127" s="139">
        <f t="shared" si="35"/>
        <v>1534.3291985157421</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1744.1084295222749</v>
      </c>
      <c r="K128" s="148"/>
      <c r="L128" s="36"/>
      <c r="M128" s="36"/>
    </row>
    <row r="129" spans="3:13">
      <c r="C129" s="149" t="s">
        <v>72</v>
      </c>
      <c r="E129" s="139">
        <f>SUM(E105:E110)</f>
        <v>0</v>
      </c>
      <c r="F129" s="139">
        <f t="shared" ref="F129:J129" si="36">SUM(F105:F110)</f>
        <v>1524.37</v>
      </c>
      <c r="G129" s="139">
        <f t="shared" si="36"/>
        <v>7706.4563921553354</v>
      </c>
      <c r="H129" s="139">
        <f t="shared" si="36"/>
        <v>13925.465056178666</v>
      </c>
      <c r="I129" s="139">
        <f t="shared" si="36"/>
        <v>15525.965544049988</v>
      </c>
      <c r="J129" s="139">
        <f t="shared" si="36"/>
        <v>16738.590799938425</v>
      </c>
      <c r="K129" s="148"/>
      <c r="L129" s="36"/>
      <c r="M129" s="36"/>
    </row>
    <row r="130" spans="3:13">
      <c r="C130" s="149" t="s">
        <v>67</v>
      </c>
      <c r="E130" s="139">
        <f>SUM(E117:E122)</f>
        <v>0</v>
      </c>
      <c r="F130" s="139">
        <f t="shared" ref="F130:J130" si="37">SUM(F117:F122)</f>
        <v>33.87488888888889</v>
      </c>
      <c r="G130" s="139">
        <f t="shared" si="37"/>
        <v>172.00736180098278</v>
      </c>
      <c r="H130" s="139">
        <f t="shared" si="37"/>
        <v>314.02994015263414</v>
      </c>
      <c r="I130" s="139">
        <f t="shared" si="37"/>
        <v>356.57506077538881</v>
      </c>
      <c r="J130" s="139">
        <f t="shared" si="37"/>
        <v>391.44617892347384</v>
      </c>
      <c r="K130" s="148"/>
      <c r="L130" s="36"/>
      <c r="M130" s="36"/>
    </row>
    <row r="131" spans="3:13" s="36" customFormat="1">
      <c r="C131" s="36" t="s">
        <v>73</v>
      </c>
      <c r="E131" s="139">
        <f>SUM(E123:E128)</f>
        <v>1524.37</v>
      </c>
      <c r="F131" s="139">
        <f t="shared" ref="F131:J131" si="38">SUM(F123:F128)</f>
        <v>7706.4563921553354</v>
      </c>
      <c r="G131" s="139">
        <f t="shared" si="38"/>
        <v>13925.465056178666</v>
      </c>
      <c r="H131" s="139">
        <f t="shared" si="38"/>
        <v>15525.965544049988</v>
      </c>
      <c r="I131" s="139">
        <f t="shared" si="38"/>
        <v>16738.590799938425</v>
      </c>
      <c r="J131" s="139">
        <f t="shared" si="38"/>
        <v>18091.253050537227</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27046.149182690173</v>
      </c>
      <c r="F134" s="139">
        <f>E137</f>
        <v>25961.54897957452</v>
      </c>
      <c r="G134" s="139">
        <f t="shared" ref="G134:J134" si="39">F137</f>
        <v>24876.948776458867</v>
      </c>
      <c r="H134" s="139">
        <f t="shared" si="39"/>
        <v>23792.348573343214</v>
      </c>
      <c r="I134" s="139">
        <f t="shared" si="39"/>
        <v>22707.74837022756</v>
      </c>
      <c r="J134" s="139">
        <f t="shared" si="39"/>
        <v>21623.148167111907</v>
      </c>
      <c r="K134" s="148"/>
      <c r="L134" s="36"/>
      <c r="M134" s="36"/>
    </row>
    <row r="135" spans="3:13">
      <c r="C135" s="149" t="s">
        <v>41</v>
      </c>
      <c r="E135" s="139">
        <f t="shared" ref="E135:J135" si="40">E55</f>
        <v>0</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1084.6002031156527</v>
      </c>
      <c r="F136" s="139">
        <f t="shared" si="41"/>
        <v>1084.6002031156527</v>
      </c>
      <c r="G136" s="139">
        <f t="shared" si="41"/>
        <v>1084.6002031156527</v>
      </c>
      <c r="H136" s="139">
        <f t="shared" si="41"/>
        <v>1084.6002031156527</v>
      </c>
      <c r="I136" s="139">
        <f t="shared" si="41"/>
        <v>1084.6002031156527</v>
      </c>
      <c r="J136" s="139">
        <f t="shared" si="41"/>
        <v>1084.6002031156527</v>
      </c>
      <c r="K136" s="148"/>
      <c r="L136" s="36"/>
      <c r="M136" s="36"/>
    </row>
    <row r="137" spans="3:13">
      <c r="C137" s="149" t="s">
        <v>66</v>
      </c>
      <c r="E137" s="139">
        <f t="shared" ref="E137:J137" si="42">E134-E135-E136</f>
        <v>25961.54897957452</v>
      </c>
      <c r="F137" s="139">
        <f t="shared" si="42"/>
        <v>24876.948776458867</v>
      </c>
      <c r="G137" s="139">
        <f t="shared" si="42"/>
        <v>23792.348573343214</v>
      </c>
      <c r="H137" s="139">
        <f t="shared" si="42"/>
        <v>22707.74837022756</v>
      </c>
      <c r="I137" s="139">
        <f t="shared" si="42"/>
        <v>21623.148167111907</v>
      </c>
      <c r="J137" s="139">
        <f t="shared" si="42"/>
        <v>20538.547963996254</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27046.149182690173</v>
      </c>
      <c r="F140" s="139">
        <f t="shared" si="43"/>
        <v>27952.028258267372</v>
      </c>
      <c r="G140" s="139">
        <f t="shared" si="43"/>
        <v>33583.833158447691</v>
      </c>
      <c r="H140" s="139">
        <f t="shared" si="43"/>
        <v>39492.681185099573</v>
      </c>
      <c r="I140" s="139">
        <f t="shared" si="43"/>
        <v>40890.936885020637</v>
      </c>
      <c r="J140" s="139">
        <f t="shared" si="43"/>
        <v>41897.946893020802</v>
      </c>
      <c r="K140" s="148"/>
      <c r="L140" s="36"/>
      <c r="M140" s="36"/>
    </row>
    <row r="141" spans="3:13">
      <c r="C141" s="149" t="s">
        <v>268</v>
      </c>
      <c r="E141" s="139">
        <f t="shared" ref="E141:J143" si="44">E60+E98</f>
        <v>466.10927869285422</v>
      </c>
      <c r="F141" s="139">
        <f t="shared" si="44"/>
        <v>553.79144055066286</v>
      </c>
      <c r="G141" s="139">
        <f t="shared" si="44"/>
        <v>817.42649017345093</v>
      </c>
      <c r="H141" s="139">
        <f t="shared" si="44"/>
        <v>958.320653564964</v>
      </c>
      <c r="I141" s="139">
        <f t="shared" si="44"/>
        <v>992.25041664989908</v>
      </c>
      <c r="J141" s="139">
        <f t="shared" si="44"/>
        <v>1016.6862984399984</v>
      </c>
      <c r="K141" s="148"/>
      <c r="L141" s="36"/>
      <c r="M141" s="36"/>
    </row>
    <row r="142" spans="3:13">
      <c r="C142" s="149" t="s">
        <v>267</v>
      </c>
      <c r="E142" s="139">
        <f>E61+E99</f>
        <v>1084.6002031156527</v>
      </c>
      <c r="F142" s="139">
        <f t="shared" si="44"/>
        <v>1137.9478214145663</v>
      </c>
      <c r="G142" s="139">
        <f t="shared" si="44"/>
        <v>1299.5944893458893</v>
      </c>
      <c r="H142" s="139">
        <f t="shared" si="44"/>
        <v>1474.5953816678475</v>
      </c>
      <c r="I142" s="139">
        <f t="shared" si="44"/>
        <v>1554.4407253135632</v>
      </c>
      <c r="J142" s="139">
        <f t="shared" si="44"/>
        <v>1628.684743428513</v>
      </c>
      <c r="K142" s="148"/>
      <c r="L142" s="36"/>
      <c r="M142" s="36"/>
    </row>
    <row r="143" spans="3:13">
      <c r="C143" s="149" t="s">
        <v>270</v>
      </c>
      <c r="E143" s="139">
        <f t="shared" si="44"/>
        <v>27952.028258267372</v>
      </c>
      <c r="F143" s="139">
        <f t="shared" si="44"/>
        <v>33583.833158447691</v>
      </c>
      <c r="G143" s="139">
        <f t="shared" si="44"/>
        <v>39492.681185099573</v>
      </c>
      <c r="H143" s="139">
        <f t="shared" si="44"/>
        <v>40890.936885020637</v>
      </c>
      <c r="I143" s="139">
        <f t="shared" si="44"/>
        <v>41897.946893020802</v>
      </c>
      <c r="J143" s="216">
        <f t="shared" si="44"/>
        <v>43030.056877554569</v>
      </c>
      <c r="K143" s="148"/>
      <c r="L143" s="36"/>
      <c r="M143" s="36"/>
    </row>
    <row r="144" spans="3:13">
      <c r="C144" s="149" t="s">
        <v>46</v>
      </c>
      <c r="E144" s="139">
        <f t="shared" ref="E144:J144" si="45">E130+E136</f>
        <v>1084.6002031156527</v>
      </c>
      <c r="F144" s="139">
        <f t="shared" si="45"/>
        <v>1118.4750920045415</v>
      </c>
      <c r="G144" s="139">
        <f t="shared" si="45"/>
        <v>1256.6075649166355</v>
      </c>
      <c r="H144" s="139">
        <f t="shared" si="45"/>
        <v>1398.6301432682867</v>
      </c>
      <c r="I144" s="139">
        <f t="shared" si="45"/>
        <v>1441.1752638910416</v>
      </c>
      <c r="J144" s="139">
        <f t="shared" si="45"/>
        <v>1476.0463820391265</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1.0334938282510462</v>
      </c>
      <c r="G148" s="308">
        <f t="shared" ref="G148:J148" si="46">G140/$E140</f>
        <v>1.2417232831038922</v>
      </c>
      <c r="H148" s="308">
        <f t="shared" si="46"/>
        <v>1.4601960862648542</v>
      </c>
      <c r="I148" s="308">
        <f t="shared" si="46"/>
        <v>1.5118949691807246</v>
      </c>
      <c r="J148" s="308">
        <f t="shared" si="46"/>
        <v>1.5491279963742839</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9.4292803970223327E-2</v>
      </c>
      <c r="E152" s="36"/>
      <c r="F152" s="36"/>
      <c r="G152" s="36"/>
      <c r="H152" s="36"/>
      <c r="I152" s="36"/>
      <c r="J152" s="36"/>
      <c r="K152" s="148"/>
      <c r="L152" s="36"/>
      <c r="M152" s="36"/>
    </row>
    <row r="153" spans="1:13">
      <c r="C153" s="149" t="s">
        <v>282</v>
      </c>
      <c r="E153" s="135">
        <f>E16</f>
        <v>6448</v>
      </c>
      <c r="F153" s="139">
        <f>E157</f>
        <v>7364.37</v>
      </c>
      <c r="G153" s="139">
        <f t="shared" ref="G153:J153" si="48">F157</f>
        <v>12885.92418427003</v>
      </c>
      <c r="H153" s="139">
        <f t="shared" si="48"/>
        <v>18061.890287011811</v>
      </c>
      <c r="I153" s="139">
        <f t="shared" si="48"/>
        <v>18273.314434870885</v>
      </c>
      <c r="J153" s="139">
        <f t="shared" si="48"/>
        <v>18119.47269564118</v>
      </c>
      <c r="K153" s="148"/>
      <c r="L153" s="36"/>
      <c r="M153" s="36"/>
    </row>
    <row r="154" spans="1:13">
      <c r="C154" s="149" t="s">
        <v>35</v>
      </c>
      <c r="E154" s="135">
        <f>E15</f>
        <v>608</v>
      </c>
      <c r="F154" s="139">
        <f t="shared" ref="F154:J154" si="49">F153*$D152</f>
        <v>694.40709677419352</v>
      </c>
      <c r="G154" s="139">
        <f t="shared" si="49"/>
        <v>1215.049923082534</v>
      </c>
      <c r="H154" s="139">
        <f t="shared" si="49"/>
        <v>1703.1062801648854</v>
      </c>
      <c r="I154" s="139">
        <f t="shared" si="49"/>
        <v>1723.0420558935325</v>
      </c>
      <c r="J154" s="139">
        <f t="shared" si="49"/>
        <v>1708.5358869339077</v>
      </c>
      <c r="K154" s="148"/>
      <c r="L154" s="36"/>
      <c r="M154" s="36"/>
    </row>
    <row r="155" spans="1:13">
      <c r="C155" s="149" t="s">
        <v>124</v>
      </c>
      <c r="E155" s="139">
        <f t="shared" ref="E155:J155" si="50">E25</f>
        <v>1524.37</v>
      </c>
      <c r="F155" s="139">
        <f t="shared" si="50"/>
        <v>6215.9612810442241</v>
      </c>
      <c r="G155" s="139">
        <f t="shared" si="50"/>
        <v>6391.0160258243131</v>
      </c>
      <c r="H155" s="139">
        <f t="shared" si="50"/>
        <v>1914.5304280239588</v>
      </c>
      <c r="I155" s="139">
        <f t="shared" si="50"/>
        <v>1569.2003166638272</v>
      </c>
      <c r="J155" s="139">
        <f t="shared" si="50"/>
        <v>1744.1084295222749</v>
      </c>
      <c r="K155" s="148"/>
      <c r="L155" s="309"/>
      <c r="M155" s="36"/>
    </row>
    <row r="156" spans="1:13">
      <c r="C156" s="149" t="s">
        <v>41</v>
      </c>
      <c r="E156" s="139">
        <f>E55</f>
        <v>0</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7364.37</v>
      </c>
      <c r="F157" s="139">
        <f t="shared" ref="F157:J157" si="52">F153-F154+F155-F156</f>
        <v>12885.92418427003</v>
      </c>
      <c r="G157" s="139">
        <f t="shared" si="52"/>
        <v>18061.890287011811</v>
      </c>
      <c r="H157" s="139">
        <f t="shared" si="52"/>
        <v>18273.314434870885</v>
      </c>
      <c r="I157" s="139">
        <f t="shared" si="52"/>
        <v>18119.47269564118</v>
      </c>
      <c r="J157" s="139">
        <f t="shared" si="52"/>
        <v>18155.045238229548</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476.60020311565268</v>
      </c>
      <c r="F160" s="139">
        <f t="shared" si="53"/>
        <v>424.06799523034795</v>
      </c>
      <c r="G160" s="139">
        <f t="shared" si="53"/>
        <v>41.55764183410156</v>
      </c>
      <c r="H160" s="139">
        <f t="shared" si="53"/>
        <v>-304.47613689659875</v>
      </c>
      <c r="I160" s="139">
        <f t="shared" si="53"/>
        <v>-281.86679200249091</v>
      </c>
      <c r="J160" s="139">
        <f t="shared" si="53"/>
        <v>-232.48950489478125</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-54.812717207515171</v>
      </c>
      <c r="G163" s="310">
        <f t="shared" ref="G163:J163" si="54">F166</f>
        <v>-125.38509678062175</v>
      </c>
      <c r="H163" s="310">
        <f t="shared" si="54"/>
        <v>-298.35554999980354</v>
      </c>
      <c r="I163" s="310">
        <f t="shared" si="54"/>
        <v>-568.21546126358146</v>
      </c>
      <c r="J163" s="310">
        <f t="shared" si="54"/>
        <v>-831.74475595700915</v>
      </c>
      <c r="K163" s="148"/>
      <c r="L163" s="36"/>
      <c r="M163" s="36"/>
    </row>
    <row r="164" spans="3:13">
      <c r="C164" s="149" t="s">
        <v>238</v>
      </c>
      <c r="E164" s="139">
        <f t="shared" ref="E164:J164" si="55">E160</f>
        <v>476.60020311565268</v>
      </c>
      <c r="F164" s="139">
        <f t="shared" si="55"/>
        <v>424.06799523034795</v>
      </c>
      <c r="G164" s="139">
        <f t="shared" si="55"/>
        <v>41.55764183410156</v>
      </c>
      <c r="H164" s="139">
        <f t="shared" si="55"/>
        <v>-304.47613689659875</v>
      </c>
      <c r="I164" s="139">
        <f t="shared" si="55"/>
        <v>-281.86679200249091</v>
      </c>
      <c r="J164" s="139">
        <f t="shared" si="55"/>
        <v>-232.48950489478125</v>
      </c>
      <c r="K164" s="148"/>
      <c r="L164" s="36"/>
      <c r="M164" s="36"/>
    </row>
    <row r="165" spans="3:13">
      <c r="C165" s="149" t="s">
        <v>49</v>
      </c>
      <c r="E165" s="135">
        <f>(E11-E16)/E17</f>
        <v>659.30926047403659</v>
      </c>
      <c r="F165" s="139">
        <f>E165</f>
        <v>659.30926047403659</v>
      </c>
      <c r="G165" s="139">
        <f t="shared" ref="G165:J165" si="56">F165</f>
        <v>659.30926047403659</v>
      </c>
      <c r="H165" s="139">
        <f t="shared" si="56"/>
        <v>659.30926047403659</v>
      </c>
      <c r="I165" s="139">
        <f t="shared" si="56"/>
        <v>659.30926047403659</v>
      </c>
      <c r="J165" s="139">
        <f t="shared" si="56"/>
        <v>659.30926047403659</v>
      </c>
      <c r="K165" s="148"/>
      <c r="L165" s="36"/>
      <c r="M165" s="36"/>
    </row>
    <row r="166" spans="3:13">
      <c r="C166" s="149" t="s">
        <v>266</v>
      </c>
      <c r="E166" s="310">
        <f t="shared" ref="E166:J166" si="57">E163+(E164-E165)*E52</f>
        <v>-54.812717207515171</v>
      </c>
      <c r="F166" s="310">
        <f t="shared" si="57"/>
        <v>-125.38509678062175</v>
      </c>
      <c r="G166" s="310">
        <f t="shared" si="57"/>
        <v>-298.35554999980354</v>
      </c>
      <c r="H166" s="310">
        <f t="shared" si="57"/>
        <v>-568.21546126358146</v>
      </c>
      <c r="I166" s="310">
        <f t="shared" si="57"/>
        <v>-831.74475595700915</v>
      </c>
      <c r="J166" s="310">
        <f t="shared" si="57"/>
        <v>-1081.4484102602783</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27046.149182690173</v>
      </c>
      <c r="F169" s="139">
        <f t="shared" si="58"/>
        <v>27897.215541059857</v>
      </c>
      <c r="G169" s="139">
        <f t="shared" si="58"/>
        <v>33458.44806166707</v>
      </c>
      <c r="H169" s="139">
        <f t="shared" si="58"/>
        <v>39194.325635099769</v>
      </c>
      <c r="I169" s="139">
        <f t="shared" si="58"/>
        <v>40322.721423757059</v>
      </c>
      <c r="J169" s="139">
        <f t="shared" si="58"/>
        <v>41066.202137063796</v>
      </c>
      <c r="K169" s="148"/>
      <c r="L169" s="36"/>
      <c r="M169" s="36"/>
    </row>
    <row r="170" spans="3:13">
      <c r="C170" s="149" t="s">
        <v>124</v>
      </c>
      <c r="E170" s="139">
        <f t="shared" ref="E170:J170" si="59">E25</f>
        <v>1524.37</v>
      </c>
      <c r="F170" s="139">
        <f t="shared" si="59"/>
        <v>6215.9612810442241</v>
      </c>
      <c r="G170" s="139">
        <f t="shared" si="59"/>
        <v>6391.0160258243131</v>
      </c>
      <c r="H170" s="139">
        <f t="shared" si="59"/>
        <v>1914.5304280239588</v>
      </c>
      <c r="I170" s="139">
        <f t="shared" si="59"/>
        <v>1569.2003166638272</v>
      </c>
      <c r="J170" s="139">
        <f t="shared" si="59"/>
        <v>1744.1084295222749</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466.10927869285422</v>
      </c>
      <c r="F172" s="95">
        <f t="shared" si="61"/>
        <v>553.79144055066286</v>
      </c>
      <c r="G172" s="95">
        <f t="shared" si="61"/>
        <v>817.42649017345093</v>
      </c>
      <c r="H172" s="95">
        <f t="shared" si="61"/>
        <v>958.320653564964</v>
      </c>
      <c r="I172" s="95">
        <f t="shared" si="61"/>
        <v>992.25041664989908</v>
      </c>
      <c r="J172" s="95">
        <f t="shared" si="61"/>
        <v>1016.6862984399984</v>
      </c>
      <c r="K172" s="148"/>
      <c r="L172" s="36"/>
      <c r="M172" s="36"/>
    </row>
    <row r="173" spans="3:13">
      <c r="C173" s="149" t="s">
        <v>334</v>
      </c>
      <c r="E173" s="139">
        <f t="shared" ref="E173:J173" si="62">E169*WACC+E170*($D$46-1)+E171-E172</f>
        <v>1971.0939585662186</v>
      </c>
      <c r="F173" s="139">
        <f t="shared" si="62"/>
        <v>2158.8901810210245</v>
      </c>
      <c r="G173" s="139">
        <f t="shared" si="62"/>
        <v>2390.4690499948783</v>
      </c>
      <c r="H173" s="139">
        <f t="shared" si="62"/>
        <v>2560.9798312182966</v>
      </c>
      <c r="I173" s="139">
        <f t="shared" si="62"/>
        <v>2611.2273236085757</v>
      </c>
      <c r="J173" s="139">
        <f t="shared" si="62"/>
        <v>2659.4822498260201</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943.69423728242543</v>
      </c>
      <c r="F176" s="310">
        <f t="shared" si="63"/>
        <v>973.38964465866059</v>
      </c>
      <c r="G176" s="310">
        <f t="shared" si="63"/>
        <v>1167.4321697676874</v>
      </c>
      <c r="H176" s="310">
        <f t="shared" si="63"/>
        <v>1367.5684100599012</v>
      </c>
      <c r="I176" s="310">
        <f t="shared" si="63"/>
        <v>1406.9403959177312</v>
      </c>
      <c r="J176" s="310">
        <f t="shared" si="63"/>
        <v>1432.8819249664298</v>
      </c>
      <c r="K176" s="148"/>
      <c r="L176" s="36"/>
      <c r="M176" s="36"/>
    </row>
    <row r="177" spans="3:13">
      <c r="C177" s="149" t="s">
        <v>52</v>
      </c>
      <c r="E177" s="310">
        <f t="shared" ref="E177:J177" si="64">E142-E144</f>
        <v>0</v>
      </c>
      <c r="F177" s="310">
        <f t="shared" si="64"/>
        <v>19.47272941002484</v>
      </c>
      <c r="G177" s="310">
        <f t="shared" si="64"/>
        <v>42.986924429253804</v>
      </c>
      <c r="H177" s="310">
        <f t="shared" si="64"/>
        <v>75.965238399560803</v>
      </c>
      <c r="I177" s="310">
        <f t="shared" si="64"/>
        <v>113.26546142252164</v>
      </c>
      <c r="J177" s="310">
        <f t="shared" si="64"/>
        <v>152.63836138938655</v>
      </c>
      <c r="K177" s="148"/>
      <c r="L177" s="36"/>
      <c r="M177" s="36"/>
    </row>
    <row r="178" spans="3:13">
      <c r="C178" s="149" t="s">
        <v>53</v>
      </c>
      <c r="E178" s="310">
        <f t="shared" ref="E178:J178" si="65">E165+E177-E176</f>
        <v>-284.38497680838884</v>
      </c>
      <c r="F178" s="310">
        <f t="shared" si="65"/>
        <v>-294.60765477459915</v>
      </c>
      <c r="G178" s="310">
        <f t="shared" si="65"/>
        <v>-465.13598486439696</v>
      </c>
      <c r="H178" s="310">
        <f t="shared" si="65"/>
        <v>-632.29391118630383</v>
      </c>
      <c r="I178" s="310">
        <f t="shared" si="65"/>
        <v>-634.36567402117294</v>
      </c>
      <c r="J178" s="310">
        <f t="shared" si="65"/>
        <v>-620.93430310300664</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1084.6002031156527</v>
      </c>
      <c r="F181" s="139">
        <f t="shared" si="66"/>
        <v>1137.9478214145663</v>
      </c>
      <c r="G181" s="139">
        <f t="shared" si="66"/>
        <v>1299.5944893458893</v>
      </c>
      <c r="H181" s="139">
        <f t="shared" si="66"/>
        <v>1474.5953816678475</v>
      </c>
      <c r="I181" s="139">
        <f t="shared" si="66"/>
        <v>1554.4407253135632</v>
      </c>
      <c r="J181" s="139">
        <f t="shared" si="66"/>
        <v>1628.684743428513</v>
      </c>
      <c r="K181" s="148"/>
      <c r="L181" s="36"/>
      <c r="M181" s="36"/>
    </row>
    <row r="182" spans="3:13">
      <c r="C182" s="149" t="s">
        <v>275</v>
      </c>
      <c r="E182" s="139">
        <f>E55</f>
        <v>0</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1084.6002031156527</v>
      </c>
      <c r="F183" s="95">
        <f>F181+F182</f>
        <v>1137.9478214145663</v>
      </c>
      <c r="G183" s="95">
        <f t="shared" ref="G183:J183" si="68">G181+G182</f>
        <v>1299.5944893458893</v>
      </c>
      <c r="H183" s="95">
        <f t="shared" si="68"/>
        <v>1474.5953816678475</v>
      </c>
      <c r="I183" s="95">
        <f t="shared" si="68"/>
        <v>1554.4407253135632</v>
      </c>
      <c r="J183" s="95">
        <f t="shared" si="68"/>
        <v>1628.684743428513</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0</v>
      </c>
      <c r="F186" s="139">
        <f t="shared" ref="F186:J186" si="69">F40</f>
        <v>0</v>
      </c>
      <c r="G186" s="139">
        <f t="shared" si="69"/>
        <v>0</v>
      </c>
      <c r="H186" s="139">
        <f t="shared" si="69"/>
        <v>0</v>
      </c>
      <c r="I186" s="139">
        <f t="shared" si="69"/>
        <v>0</v>
      </c>
      <c r="J186" s="139">
        <f t="shared" si="69"/>
        <v>0</v>
      </c>
      <c r="K186" s="148"/>
      <c r="L186" s="36"/>
      <c r="M186" s="36"/>
    </row>
    <row r="187" spans="3:13">
      <c r="E187" s="36"/>
      <c r="F187" s="95"/>
      <c r="G187" s="95"/>
      <c r="H187" s="95"/>
      <c r="I187" s="95"/>
      <c r="J187" s="95"/>
      <c r="K187" s="148"/>
      <c r="L187" s="36"/>
      <c r="M187" s="36"/>
    </row>
    <row r="188" spans="3:13" ht="15.75">
      <c r="C188" s="5" t="s">
        <v>297</v>
      </c>
      <c r="E188" s="139">
        <f t="shared" ref="E188:J188" si="70">E24</f>
        <v>2092.9300000000003</v>
      </c>
      <c r="F188" s="139">
        <f t="shared" si="70"/>
        <v>2160.1682791294652</v>
      </c>
      <c r="G188" s="139">
        <f t="shared" si="70"/>
        <v>2258.5534185409369</v>
      </c>
      <c r="H188" s="139">
        <f t="shared" si="70"/>
        <v>2333.9574369645511</v>
      </c>
      <c r="I188" s="139">
        <f t="shared" si="70"/>
        <v>2421.060389412693</v>
      </c>
      <c r="J188" s="139">
        <f t="shared" si="70"/>
        <v>2494.5688105225036</v>
      </c>
      <c r="K188" s="148"/>
      <c r="L188" s="309"/>
      <c r="M188" s="36"/>
    </row>
    <row r="189" spans="3:13">
      <c r="C189" s="149" t="s">
        <v>298</v>
      </c>
      <c r="E189" s="139">
        <f t="shared" ref="E189:J189" si="71">E188*$D$44</f>
        <v>2182.5251400733864</v>
      </c>
      <c r="F189" s="139">
        <f t="shared" si="71"/>
        <v>2252.6417873455498</v>
      </c>
      <c r="G189" s="139">
        <f t="shared" si="71"/>
        <v>2355.2386444669833</v>
      </c>
      <c r="H189" s="139">
        <f t="shared" si="71"/>
        <v>2433.8705938738408</v>
      </c>
      <c r="I189" s="139">
        <f t="shared" si="71"/>
        <v>2524.7022908215108</v>
      </c>
      <c r="J189" s="139">
        <f t="shared" si="71"/>
        <v>2601.357495285713</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-54.812717207515171</v>
      </c>
      <c r="F192" s="310">
        <f t="shared" si="72"/>
        <v>-70.572379573106588</v>
      </c>
      <c r="G192" s="310">
        <f t="shared" si="72"/>
        <v>-172.97045321918179</v>
      </c>
      <c r="H192" s="310">
        <f t="shared" si="72"/>
        <v>-269.85991126377792</v>
      </c>
      <c r="I192" s="310">
        <f t="shared" si="72"/>
        <v>-263.52929469342769</v>
      </c>
      <c r="J192" s="310">
        <f t="shared" si="72"/>
        <v>-249.7036543032691</v>
      </c>
      <c r="K192" s="148"/>
      <c r="L192" s="309"/>
      <c r="M192" s="36"/>
    </row>
    <row r="193" spans="2:15">
      <c r="C193" s="149" t="s">
        <v>285</v>
      </c>
      <c r="E193" s="36"/>
      <c r="F193" s="310">
        <f>(F173+F183+F189+((F186-F188-F142+F178)*F52+F192)*$D45-F192-F186*$D47)/($D48-F52*$D45)</f>
        <v>6126.7757149395011</v>
      </c>
      <c r="G193" s="310">
        <f>(G173+G183+G189+((G186-G188-G142+G178)*G52+G192)*$D45-G192-G186*$D47)/($D48-G52*$D45)</f>
        <v>6548.0435552117342</v>
      </c>
      <c r="H193" s="310">
        <f>(H173+H183+H189+((H186-H188-H142+H178)*H52+H192)*$D45-H192-H186*$D47)/($D48-H52*$D45)</f>
        <v>6949.3874119620814</v>
      </c>
      <c r="I193" s="310">
        <f>(I173+I183+I189+((I186-I188-I142+I178)*I52+I192)*$D45-I192-I186*$D47)/($D48-I52*$D45)</f>
        <v>7180.7685277646297</v>
      </c>
      <c r="J193" s="310">
        <f>(J173+J183+J189+((J186-J188-J142+J178)*J52+J192)*$D45-J192-J186*$D47)/($D48-J52*$D45)</f>
        <v>7396.9105378927916</v>
      </c>
      <c r="K193" s="148"/>
      <c r="L193" s="309"/>
      <c r="M193" s="36"/>
    </row>
    <row r="194" spans="2:15">
      <c r="C194" s="149" t="s">
        <v>293</v>
      </c>
      <c r="E194" s="36"/>
      <c r="F194" s="310">
        <f>(F193+F186-F188-F181+F178)*F52</f>
        <v>760.21558788626101</v>
      </c>
      <c r="G194" s="310">
        <f>(G193+G186-G188-G181+G178)*G52</f>
        <v>706.93270548894316</v>
      </c>
      <c r="H194" s="310">
        <f>(H193+H186-H188-H181+H178)*H52</f>
        <v>702.39139100014631</v>
      </c>
      <c r="I194" s="310">
        <f>(I193+I186-I188-I181+I178)*I52</f>
        <v>719.85248692481616</v>
      </c>
      <c r="J194" s="310">
        <f>(J193+J186-J188-J181+J178)*J52</f>
        <v>742.76235063485524</v>
      </c>
      <c r="K194" s="148"/>
      <c r="L194" s="309"/>
      <c r="M194" s="36"/>
    </row>
    <row r="195" spans="2:15">
      <c r="C195" s="149" t="s">
        <v>277</v>
      </c>
      <c r="E195" s="36"/>
      <c r="F195" s="310">
        <f>IF(F194&lt;0,#N/A,F194)</f>
        <v>760.21558788626101</v>
      </c>
      <c r="G195" s="310">
        <f t="shared" ref="G195:J195" si="73">IF(G194&lt;0,#N/A,G194)</f>
        <v>706.93270548894316</v>
      </c>
      <c r="H195" s="310">
        <f t="shared" si="73"/>
        <v>702.39139100014631</v>
      </c>
      <c r="I195" s="310">
        <f>IF(I194&lt;0,#N/A,I194)</f>
        <v>719.85248692481616</v>
      </c>
      <c r="J195" s="310">
        <f t="shared" si="73"/>
        <v>742.76235063485524</v>
      </c>
      <c r="K195" s="148"/>
      <c r="L195" s="309"/>
      <c r="M195" s="36"/>
    </row>
    <row r="196" spans="2:15">
      <c r="C196" s="149" t="s">
        <v>286</v>
      </c>
      <c r="E196" s="36"/>
      <c r="F196" s="310">
        <f>F173+F183+F189+(F195+F192)*$D$45-F192-F186*$D$47</f>
        <v>6339.2179512123721</v>
      </c>
      <c r="G196" s="310">
        <f>G173+G183+G189+(G195+G192)*$D$45-G192-G186*$D$47</f>
        <v>6775.0929986391038</v>
      </c>
      <c r="H196" s="310">
        <f>H173+H183+H189+(H195+H192)*$D$45-H192-H186*$D$47</f>
        <v>7190.3532104854148</v>
      </c>
      <c r="I196" s="310">
        <f>I173+I183+I189+(I195+I192)*$D$45-I192-I186*$D$47</f>
        <v>7429.7573263061531</v>
      </c>
      <c r="J196" s="310">
        <f>J173+J183+J189+(J195+J192)*$D$45-J192-J186*$D$47</f>
        <v>7653.3939296952003</v>
      </c>
      <c r="K196" s="148"/>
      <c r="L196" s="309"/>
      <c r="M196" s="36"/>
    </row>
    <row r="197" spans="2:15">
      <c r="C197" s="149" t="s">
        <v>287</v>
      </c>
      <c r="E197" s="36"/>
      <c r="F197" s="310">
        <f>F196/$D$48</f>
        <v>6126.7757149395011</v>
      </c>
      <c r="G197" s="310">
        <f t="shared" ref="G197:J197" si="74">G196/$D$48</f>
        <v>6548.0435552117333</v>
      </c>
      <c r="H197" s="310">
        <f t="shared" si="74"/>
        <v>6949.3874119620805</v>
      </c>
      <c r="I197" s="310">
        <f t="shared" si="74"/>
        <v>7180.7685277646297</v>
      </c>
      <c r="J197" s="310">
        <f t="shared" si="74"/>
        <v>7396.9105378927916</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689.64320831315445</v>
      </c>
      <c r="G199" s="310">
        <f t="shared" ref="G199:J199" si="75">G195+G192</f>
        <v>533.96225226976139</v>
      </c>
      <c r="H199" s="310">
        <f t="shared" si="75"/>
        <v>432.5314797363684</v>
      </c>
      <c r="I199" s="310">
        <f t="shared" si="75"/>
        <v>456.32319223138848</v>
      </c>
      <c r="J199" s="310">
        <f t="shared" si="75"/>
        <v>493.05869633158613</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7190.3532104854148</v>
      </c>
      <c r="I204" s="310">
        <f>I196</f>
        <v>7429.7573263061531</v>
      </c>
      <c r="J204" s="310">
        <f>J196</f>
        <v>7653.3939296952003</v>
      </c>
      <c r="K204" s="148"/>
      <c r="L204" s="36"/>
      <c r="M204" s="36"/>
    </row>
    <row r="205" spans="2:15">
      <c r="B205" s="149" t="s">
        <v>247</v>
      </c>
      <c r="C205" s="149" t="s">
        <v>249</v>
      </c>
      <c r="D205" s="155"/>
      <c r="E205" s="36"/>
      <c r="F205" s="310"/>
      <c r="G205" s="310"/>
      <c r="H205" s="310">
        <f>H204/(1+WACC)^H$203</f>
        <v>6610.603300988706</v>
      </c>
      <c r="I205" s="310">
        <f>I204/(1+WACC)^I$203</f>
        <v>6279.9526875953543</v>
      </c>
      <c r="J205" s="310">
        <f>J204/(1+WACC)^J$203</f>
        <v>5947.3936111617923</v>
      </c>
      <c r="K205" s="148"/>
      <c r="L205" s="36"/>
      <c r="M205" s="36"/>
    </row>
    <row r="206" spans="2:15">
      <c r="B206" s="149" t="s">
        <v>247</v>
      </c>
      <c r="C206" s="149" t="s">
        <v>159</v>
      </c>
      <c r="D206" s="92">
        <f>SUM(H205:J205)</f>
        <v>18837.949599745851</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18837.949599745851</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1.0307800745128932</v>
      </c>
      <c r="J211" s="316">
        <f>I211*(1+J$31)*(1+J$26)*(1-X_industry_wide)</f>
        <v>1.0632028629869688</v>
      </c>
      <c r="K211" s="148"/>
      <c r="L211" s="36" t="s">
        <v>509</v>
      </c>
      <c r="M211" s="36"/>
    </row>
    <row r="212" spans="1:13">
      <c r="C212" s="149" t="s">
        <v>160</v>
      </c>
      <c r="D212" s="155"/>
      <c r="E212" s="36"/>
      <c r="F212" s="317"/>
      <c r="G212" s="316"/>
      <c r="H212" s="316">
        <f>H211/(1+WACC)^H$203</f>
        <v>0.91937115013330895</v>
      </c>
      <c r="I212" s="316">
        <f>I211/(1+WACC)^I$203</f>
        <v>0.87125996381301518</v>
      </c>
      <c r="J212" s="316">
        <f>J211/(1+WACC)^J$203</f>
        <v>0.82620677476998128</v>
      </c>
      <c r="K212" s="148"/>
      <c r="L212" s="36" t="s">
        <v>280</v>
      </c>
      <c r="M212" s="36"/>
    </row>
    <row r="213" spans="1:13">
      <c r="C213" s="149" t="s">
        <v>99</v>
      </c>
      <c r="D213" s="140">
        <f>SUM(H212:J212)</f>
        <v>2.6168378887163053</v>
      </c>
      <c r="E213" s="36"/>
      <c r="F213" s="317"/>
      <c r="G213" s="316"/>
      <c r="H213" s="316"/>
      <c r="I213" s="316"/>
      <c r="J213" s="316"/>
      <c r="K213" s="148"/>
      <c r="L213" s="36" t="s">
        <v>510</v>
      </c>
      <c r="M213" s="36"/>
    </row>
    <row r="214" spans="1:13">
      <c r="C214" s="149" t="s">
        <v>256</v>
      </c>
      <c r="D214" s="26">
        <f>D210/D213</f>
        <v>7198.7453563609333</v>
      </c>
      <c r="E214" s="36"/>
      <c r="F214" s="317"/>
      <c r="G214" s="316"/>
      <c r="H214" s="310"/>
      <c r="I214" s="310"/>
      <c r="J214" s="310"/>
      <c r="K214" s="148"/>
      <c r="L214" s="36"/>
      <c r="M214" s="36"/>
    </row>
    <row r="215" spans="1:13">
      <c r="C215" s="149" t="s">
        <v>252</v>
      </c>
      <c r="D215" s="26"/>
      <c r="E215" s="36"/>
      <c r="F215" s="317"/>
      <c r="G215" s="316"/>
      <c r="H215" s="310">
        <f t="shared" ref="H215:J215" si="76">$D214*H211</f>
        <v>7198.7453563609333</v>
      </c>
      <c r="I215" s="310">
        <f t="shared" si="76"/>
        <v>7420.3232748290666</v>
      </c>
      <c r="J215" s="310">
        <f t="shared" si="76"/>
        <v>7653.7266727970909</v>
      </c>
      <c r="K215" s="148"/>
      <c r="L215" s="36" t="s">
        <v>243</v>
      </c>
      <c r="M215" s="36"/>
    </row>
    <row r="216" spans="1:13">
      <c r="C216" s="149" t="s">
        <v>253</v>
      </c>
      <c r="D216" s="26"/>
      <c r="E216" s="36"/>
      <c r="F216" s="317"/>
      <c r="G216" s="316"/>
      <c r="H216" s="247">
        <f t="shared" ref="H216:J216" si="77">H215/$D$48</f>
        <v>6957.4983171150616</v>
      </c>
      <c r="I216" s="247">
        <f t="shared" si="77"/>
        <v>7171.650633739192</v>
      </c>
      <c r="J216" s="247">
        <f t="shared" si="77"/>
        <v>7397.2321299837504</v>
      </c>
      <c r="K216" s="148"/>
      <c r="L216" s="36" t="s">
        <v>245</v>
      </c>
      <c r="M216" s="36"/>
    </row>
    <row r="217" spans="1:13">
      <c r="C217" s="149" t="s">
        <v>252</v>
      </c>
      <c r="D217" s="26"/>
      <c r="E217" s="36"/>
      <c r="F217" s="317"/>
      <c r="G217" s="316"/>
      <c r="H217" s="247">
        <f>H216*$D$48</f>
        <v>7198.7453563609333</v>
      </c>
      <c r="I217" s="247">
        <f t="shared" ref="I217:J217" si="78">I216*$D$48</f>
        <v>7420.3232748290666</v>
      </c>
      <c r="J217" s="247">
        <f t="shared" si="78"/>
        <v>7653.7266727970909</v>
      </c>
      <c r="K217" s="148"/>
      <c r="L217" s="36" t="s">
        <v>299</v>
      </c>
      <c r="M217" s="36"/>
    </row>
    <row r="218" spans="1:13">
      <c r="C218" s="149" t="s">
        <v>254</v>
      </c>
      <c r="D218" s="155"/>
      <c r="E218" s="36"/>
      <c r="F218" s="317"/>
      <c r="G218" s="316"/>
      <c r="H218" s="310">
        <f>H215/(1+WACC)^H$203</f>
        <v>6618.318797794368</v>
      </c>
      <c r="I218" s="310">
        <f>I215/(1+WACC)^I$203</f>
        <v>6271.9786186821375</v>
      </c>
      <c r="J218" s="310">
        <f>J215/(1+WACC)^J$203</f>
        <v>5947.6521832693461</v>
      </c>
      <c r="K218" s="148"/>
      <c r="L218" s="36" t="s">
        <v>246</v>
      </c>
      <c r="M218" s="36"/>
    </row>
    <row r="219" spans="1:13">
      <c r="C219" s="149" t="s">
        <v>255</v>
      </c>
      <c r="D219" s="26">
        <f>SUM(H218:J218)</f>
        <v>18837.949599745851</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12219.630801951484</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9.1251032544817402E-3</v>
      </c>
      <c r="G226" s="204">
        <f t="shared" ref="G226:J226" si="80">G$26</f>
        <v>-4.736700078992088E-3</v>
      </c>
      <c r="H226" s="204">
        <f t="shared" si="80"/>
        <v>1.2151984029714624E-2</v>
      </c>
      <c r="I226" s="204">
        <f t="shared" si="80"/>
        <v>6.1771497413273908E-3</v>
      </c>
      <c r="J226" s="204">
        <f t="shared" si="80"/>
        <v>7.0185246838569033E-3</v>
      </c>
      <c r="K226" s="148"/>
      <c r="L226" s="36"/>
      <c r="M226" s="36"/>
    </row>
    <row r="227" spans="1:14">
      <c r="A227" s="19"/>
      <c r="B227" s="19" t="s">
        <v>263</v>
      </c>
      <c r="C227" s="149" t="s">
        <v>411</v>
      </c>
      <c r="E227" s="163">
        <f>E$8-E$9-E$10</f>
        <v>5786.509</v>
      </c>
      <c r="F227" s="247">
        <f>E227*(1+F225)*(1+F226)*(1-X_industry_wide)</f>
        <v>5983.2528040727248</v>
      </c>
      <c r="G227" s="247">
        <f>F227*(1+G225)*(1+G226)*(1-X_industry_wide)</f>
        <v>6060.9790636570424</v>
      </c>
      <c r="H227" s="320">
        <f>G227*(1+H225)*(1+H226)*(1-X_industry_wide)</f>
        <v>6416.267361910649</v>
      </c>
      <c r="I227" s="247">
        <f>H227*(1+I225)*(1+I226)*(1-X_industry_wide)</f>
        <v>6613.7605494049039</v>
      </c>
      <c r="J227" s="247">
        <f>I227*(1+J225)*(1+J226)*(1-X_industry_wide)</f>
        <v>6821.7938288732475</v>
      </c>
      <c r="K227" s="148"/>
      <c r="L227" s="300"/>
      <c r="M227" s="36"/>
    </row>
    <row r="228" spans="1:14">
      <c r="A228" s="19"/>
      <c r="B228" s="19"/>
      <c r="C228" s="149" t="s">
        <v>358</v>
      </c>
      <c r="E228" s="215"/>
      <c r="F228" s="247"/>
      <c r="G228" s="320">
        <f>G227*$D$48</f>
        <v>6271.139840906756</v>
      </c>
      <c r="H228" s="320">
        <f>H227*$D$48</f>
        <v>6638.7475456662241</v>
      </c>
      <c r="I228" s="320">
        <f>I227*$D$48</f>
        <v>6843.0886897941182</v>
      </c>
      <c r="J228" s="320">
        <f>J227*$D$48</f>
        <v>7058.3353972000423</v>
      </c>
      <c r="K228" s="148"/>
      <c r="L228" s="300"/>
      <c r="M228" s="36"/>
    </row>
    <row r="229" spans="1:14">
      <c r="A229" s="19"/>
      <c r="B229" s="19" t="s">
        <v>263</v>
      </c>
      <c r="C229" s="149" t="s">
        <v>335</v>
      </c>
      <c r="D229" s="92">
        <f>H227</f>
        <v>6416.267361910649</v>
      </c>
      <c r="E229" s="36"/>
      <c r="F229" s="247"/>
      <c r="G229" s="310"/>
      <c r="H229" s="310"/>
      <c r="I229" s="310"/>
      <c r="J229" s="310"/>
      <c r="K229" s="148"/>
      <c r="L229" s="300"/>
      <c r="M229" s="36"/>
    </row>
    <row r="230" spans="1:14">
      <c r="B230" s="19" t="s">
        <v>263</v>
      </c>
      <c r="C230" s="149" t="s">
        <v>336</v>
      </c>
      <c r="D230" s="92">
        <f>D214/D48</f>
        <v>6957.4983171150616</v>
      </c>
      <c r="E230" s="36"/>
      <c r="F230" s="321"/>
      <c r="G230" s="310"/>
      <c r="H230" s="310"/>
      <c r="I230" s="310"/>
      <c r="J230" s="310"/>
      <c r="K230" s="148"/>
      <c r="L230" s="36"/>
      <c r="M230" s="36"/>
    </row>
    <row r="231" spans="1:14">
      <c r="B231" s="19" t="s">
        <v>263</v>
      </c>
      <c r="C231" s="149" t="s">
        <v>329</v>
      </c>
      <c r="D231" s="32">
        <f>(D230-D229)/D229</f>
        <v>8.4352930555444267E-2</v>
      </c>
      <c r="E231" s="36"/>
      <c r="F231" s="247"/>
      <c r="G231" s="310"/>
      <c r="H231" s="310"/>
      <c r="I231" s="310"/>
      <c r="J231" s="310"/>
      <c r="K231" s="310"/>
      <c r="L231" s="310"/>
      <c r="M231" s="310"/>
      <c r="N231" s="19"/>
    </row>
    <row r="232" spans="1:14">
      <c r="C232" s="149" t="s">
        <v>452</v>
      </c>
      <c r="D232" s="125">
        <f>NPV(WACC,H228:J228)</f>
        <v>17372.526111121755</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541.23095520441257</v>
      </c>
      <c r="F235" s="36"/>
      <c r="G235" s="36"/>
      <c r="H235" s="36"/>
      <c r="I235" s="310"/>
      <c r="J235" s="310"/>
      <c r="K235" s="148"/>
      <c r="L235" s="36"/>
      <c r="M235" s="36"/>
    </row>
    <row r="236" spans="1:14">
      <c r="C236" s="149" t="s">
        <v>341</v>
      </c>
      <c r="D236" s="94"/>
      <c r="E236" s="310">
        <f>H217-H228</f>
        <v>559.99781069470919</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12219.630801951484</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1.0314546131379161</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0.80153545377796953</v>
      </c>
      <c r="K245" s="148"/>
      <c r="L245" s="36" t="s">
        <v>280</v>
      </c>
      <c r="M245" s="36"/>
    </row>
    <row r="246" spans="1:13">
      <c r="A246" s="155"/>
      <c r="B246" s="155" t="s">
        <v>264</v>
      </c>
      <c r="C246" s="149" t="s">
        <v>99</v>
      </c>
      <c r="D246" s="140">
        <f>SUM(I245:J245)</f>
        <v>1.6467787654754127</v>
      </c>
      <c r="E246" s="36"/>
      <c r="F246" s="317"/>
      <c r="G246" s="316"/>
      <c r="H246" s="316"/>
      <c r="I246" s="316"/>
      <c r="J246" s="316"/>
      <c r="K246" s="148"/>
      <c r="L246" s="36" t="s">
        <v>510</v>
      </c>
      <c r="M246" s="36"/>
    </row>
    <row r="247" spans="1:13">
      <c r="A247" s="155"/>
      <c r="B247" s="155" t="s">
        <v>264</v>
      </c>
      <c r="C247" s="149" t="s">
        <v>256</v>
      </c>
      <c r="D247" s="26">
        <f>D242/D246</f>
        <v>7420.3232748290675</v>
      </c>
      <c r="E247" s="36"/>
      <c r="F247" s="317"/>
      <c r="G247" s="316"/>
      <c r="H247" s="310"/>
      <c r="I247" s="310"/>
      <c r="J247" s="310"/>
      <c r="K247" s="148"/>
      <c r="L247" s="36"/>
      <c r="M247" s="36"/>
    </row>
    <row r="248" spans="1:13">
      <c r="A248" s="155"/>
      <c r="B248" s="155" t="s">
        <v>264</v>
      </c>
      <c r="C248" s="149" t="s">
        <v>252</v>
      </c>
      <c r="D248" s="26"/>
      <c r="E248" s="36"/>
      <c r="F248" s="317"/>
      <c r="G248" s="316"/>
      <c r="H248" s="163">
        <f>H215</f>
        <v>7198.7453563609333</v>
      </c>
      <c r="I248" s="310">
        <f t="shared" ref="I248:J248" si="81">$D247*I244</f>
        <v>7420.3232748290675</v>
      </c>
      <c r="J248" s="310">
        <f t="shared" si="81"/>
        <v>7653.72667279709</v>
      </c>
      <c r="K248" s="148"/>
      <c r="L248" s="36" t="s">
        <v>243</v>
      </c>
      <c r="M248" s="36"/>
    </row>
    <row r="249" spans="1:13">
      <c r="A249" s="155"/>
      <c r="B249" s="155" t="s">
        <v>264</v>
      </c>
      <c r="C249" s="149" t="s">
        <v>253</v>
      </c>
      <c r="D249" s="26"/>
      <c r="E249" s="36"/>
      <c r="F249" s="317"/>
      <c r="G249" s="316"/>
      <c r="H249" s="247">
        <f>H248/$D$48</f>
        <v>6957.4983171150616</v>
      </c>
      <c r="I249" s="247">
        <f>I248/$D$48</f>
        <v>7171.6506337391929</v>
      </c>
      <c r="J249" s="247">
        <f>J248/$D$48</f>
        <v>7397.2321299837495</v>
      </c>
      <c r="K249" s="148"/>
      <c r="L249" s="36" t="s">
        <v>245</v>
      </c>
      <c r="M249" s="36"/>
    </row>
    <row r="250" spans="1:13">
      <c r="A250" s="155"/>
      <c r="B250" s="155" t="s">
        <v>264</v>
      </c>
      <c r="C250" s="149" t="s">
        <v>370</v>
      </c>
      <c r="D250" s="155"/>
      <c r="E250" s="36"/>
      <c r="F250" s="317"/>
      <c r="G250" s="316"/>
      <c r="H250" s="310"/>
      <c r="I250" s="310">
        <f>I248/(1+WACC)^I$203</f>
        <v>6271.9786186821384</v>
      </c>
      <c r="J250" s="310">
        <f>J248/(1+WACC)^J$203</f>
        <v>5947.6521832693452</v>
      </c>
      <c r="K250" s="148"/>
      <c r="L250" s="36" t="s">
        <v>299</v>
      </c>
      <c r="M250" s="36"/>
    </row>
    <row r="251" spans="1:13">
      <c r="A251" s="155"/>
      <c r="B251" s="155" t="s">
        <v>264</v>
      </c>
      <c r="C251" s="149" t="s">
        <v>255</v>
      </c>
      <c r="D251" s="26">
        <f>SUM(I250:J250)</f>
        <v>12219.630801951484</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704.6624444429807</v>
      </c>
      <c r="I253" s="324">
        <f>(I249+I186-I$188-I$181+I$178)*I$52</f>
        <v>717.29947659769414</v>
      </c>
      <c r="J253" s="324">
        <f>(J249+J186-J$188-J$181+J$178)*J$52</f>
        <v>742.85239642032354</v>
      </c>
      <c r="K253" s="247"/>
      <c r="L253" s="36"/>
      <c r="M253" s="36"/>
    </row>
    <row r="254" spans="1:13">
      <c r="A254" s="155"/>
      <c r="B254" s="214" t="s">
        <v>264</v>
      </c>
      <c r="C254" s="143" t="s">
        <v>325</v>
      </c>
      <c r="D254" s="214"/>
      <c r="E254" s="36"/>
      <c r="F254" s="322"/>
      <c r="G254" s="323"/>
      <c r="H254" s="324">
        <f>H253+H192</f>
        <v>434.80253317920278</v>
      </c>
      <c r="I254" s="324">
        <f>I253+I192</f>
        <v>453.77018190426645</v>
      </c>
      <c r="J254" s="324">
        <f>J253+J192</f>
        <v>493.14874211705444</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6487.9577123503377</v>
      </c>
      <c r="G257" s="138">
        <f>H257/((1+H32)*(1+H26)*(1+X_industry_wide))</f>
        <v>6572.240409711706</v>
      </c>
      <c r="H257" s="310">
        <f>H249</f>
        <v>6957.4983171150616</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1.0184041983960479</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6638.7475456662241</v>
      </c>
      <c r="I266" s="334">
        <f>H266*(1+I$225)*(1+I$226)*(1+$E265)</f>
        <v>7869.5519932632351</v>
      </c>
      <c r="J266" s="247">
        <f>I266*(1+J$225)*(1+J$226)*(1-$J243)</f>
        <v>8117.0857067800471</v>
      </c>
      <c r="K266" s="36"/>
      <c r="L266" s="36"/>
      <c r="M266" s="36"/>
    </row>
    <row r="267" spans="3:14">
      <c r="C267" s="149" t="s">
        <v>409</v>
      </c>
      <c r="D267" s="94"/>
      <c r="E267" s="36"/>
      <c r="F267" s="36"/>
      <c r="G267" s="36"/>
      <c r="H267" s="247">
        <f>H266/$D$48</f>
        <v>6416.267361910649</v>
      </c>
      <c r="I267" s="247">
        <f t="shared" ref="I267:J267" si="82">I266/$D$48</f>
        <v>7605.8246318156389</v>
      </c>
      <c r="J267" s="247">
        <f t="shared" si="82"/>
        <v>7845.0629032042334</v>
      </c>
      <c r="K267" s="36"/>
      <c r="L267" s="36"/>
      <c r="M267" s="36"/>
    </row>
    <row r="268" spans="3:14">
      <c r="C268" s="149" t="s">
        <v>347</v>
      </c>
      <c r="D268" s="94"/>
      <c r="E268" s="36"/>
      <c r="F268" s="36"/>
      <c r="G268" s="36"/>
      <c r="H268" s="247">
        <f>H266/(1+WACC)^H$203</f>
        <v>6103.4729665038385</v>
      </c>
      <c r="I268" s="247">
        <f>I266/(1+WACC)^I$203</f>
        <v>6651.6861883610327</v>
      </c>
      <c r="J268" s="247">
        <f>J266/(1+WACC)^J$203</f>
        <v>6307.7249279495727</v>
      </c>
      <c r="K268" s="36"/>
      <c r="L268" s="36"/>
      <c r="M268" s="36"/>
    </row>
    <row r="269" spans="3:14">
      <c r="C269" s="149" t="s">
        <v>348</v>
      </c>
      <c r="D269" s="94"/>
      <c r="E269" s="310">
        <f>SUM(H268:J268)</f>
        <v>19062.884082814446</v>
      </c>
      <c r="F269" s="36"/>
      <c r="G269" s="36"/>
      <c r="H269" s="36"/>
      <c r="I269" s="36"/>
      <c r="J269" s="36"/>
      <c r="K269" s="36"/>
      <c r="L269" s="36"/>
      <c r="M269" s="36"/>
    </row>
    <row r="270" spans="3:14">
      <c r="C270" s="149" t="str">
        <f>C206</f>
        <v>PV of BBAR before tax over the PV period</v>
      </c>
      <c r="E270" s="310">
        <f>D206</f>
        <v>18837.949599745851</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6487.9577123503377</v>
      </c>
      <c r="G274" s="247">
        <f t="shared" ref="G274:H274" si="83">G257</f>
        <v>6572.240409711706</v>
      </c>
      <c r="H274" s="333">
        <f t="shared" si="83"/>
        <v>6957.4983171150616</v>
      </c>
      <c r="I274" s="310">
        <f>I249</f>
        <v>7171.6506337391929</v>
      </c>
      <c r="J274" s="310">
        <f>J249</f>
        <v>7397.2321299837495</v>
      </c>
      <c r="K274" s="36"/>
      <c r="L274" s="36"/>
      <c r="M274" s="36"/>
    </row>
    <row r="275" spans="3:13">
      <c r="C275" s="149" t="s">
        <v>407</v>
      </c>
      <c r="D275" s="94"/>
      <c r="E275" s="36"/>
      <c r="F275" s="247">
        <f>F274</f>
        <v>6487.9577123503377</v>
      </c>
      <c r="G275" s="247">
        <f t="shared" ref="G275:H275" si="84">G274</f>
        <v>6572.240409711706</v>
      </c>
      <c r="H275" s="333">
        <f t="shared" si="84"/>
        <v>6957.4983171150616</v>
      </c>
      <c r="I275" s="247">
        <f>I267</f>
        <v>7605.8246318156389</v>
      </c>
      <c r="J275" s="247">
        <f>J267</f>
        <v>7845.0629032042334</v>
      </c>
      <c r="K275" s="36"/>
      <c r="L275" s="36"/>
      <c r="M275" s="36"/>
    </row>
    <row r="276" spans="3:13">
      <c r="C276" s="149" t="s">
        <v>408</v>
      </c>
      <c r="D276" s="94"/>
      <c r="E276" s="36"/>
      <c r="F276" s="247">
        <f>IF($E$22=-15%,F275,F274)</f>
        <v>6487.9577123503377</v>
      </c>
      <c r="G276" s="247">
        <f t="shared" ref="G276:J276" si="85">IF($E$22=-15%,G275,G274)</f>
        <v>6572.240409711706</v>
      </c>
      <c r="H276" s="247">
        <f t="shared" si="85"/>
        <v>6957.4983171150616</v>
      </c>
      <c r="I276" s="247">
        <f t="shared" si="85"/>
        <v>7171.6506337391929</v>
      </c>
      <c r="J276" s="247">
        <f t="shared" si="85"/>
        <v>7397.2321299837495</v>
      </c>
      <c r="K276" s="36"/>
      <c r="L276" s="36"/>
      <c r="M276" s="36"/>
    </row>
    <row r="277" spans="3:13">
      <c r="C277" s="149" t="s">
        <v>449</v>
      </c>
      <c r="D277" s="94"/>
      <c r="E277" s="328">
        <f>(I276/H267)/((1+I225)*(1+I226))-1</f>
        <v>8.4352930555444239E-2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6613.7605494049039</v>
      </c>
      <c r="E281" s="36"/>
      <c r="F281" s="313"/>
      <c r="G281" s="36"/>
      <c r="H281" s="36"/>
      <c r="I281" s="36"/>
      <c r="J281" s="36"/>
      <c r="K281" s="36"/>
      <c r="L281" s="36"/>
      <c r="M281" s="36"/>
    </row>
    <row r="282" spans="3:13">
      <c r="C282" s="149" t="s">
        <v>443</v>
      </c>
      <c r="D282" s="19">
        <f>I276</f>
        <v>7171.6506337391929</v>
      </c>
      <c r="E282" s="36"/>
      <c r="F282" s="313"/>
      <c r="G282" s="36"/>
      <c r="H282" s="36"/>
      <c r="I282" s="36"/>
      <c r="J282" s="36"/>
      <c r="K282" s="36"/>
      <c r="L282" s="36"/>
      <c r="M282" s="36"/>
    </row>
    <row r="283" spans="3:13">
      <c r="C283" s="149" t="s">
        <v>445</v>
      </c>
      <c r="D283" s="152">
        <f>(D282-D281)/D281</f>
        <v>8.4352930555444294E-2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17372.526111121755</v>
      </c>
      <c r="G286" s="36"/>
      <c r="H286" s="36"/>
      <c r="I286" s="36"/>
      <c r="J286" s="36"/>
      <c r="K286" s="36"/>
      <c r="L286" s="36"/>
      <c r="M286" s="36"/>
    </row>
    <row r="287" spans="3:13">
      <c r="C287" s="149" t="str">
        <f>C206</f>
        <v>PV of BBAR before tax over the PV period</v>
      </c>
      <c r="E287" s="36"/>
      <c r="F287" s="310">
        <f>D206</f>
        <v>18837.949599745851</v>
      </c>
      <c r="G287" s="36"/>
      <c r="H287" s="36"/>
      <c r="I287" s="36"/>
      <c r="J287" s="36"/>
      <c r="K287" s="36"/>
      <c r="L287" s="36"/>
      <c r="M287" s="36"/>
    </row>
    <row r="288" spans="3:13">
      <c r="C288" s="149" t="s">
        <v>405</v>
      </c>
      <c r="D288" s="94"/>
      <c r="E288" s="36"/>
      <c r="F288" s="247">
        <f>F286-F287</f>
        <v>-1465.4234886240956</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-39194.325635099769</v>
      </c>
      <c r="F293" s="247"/>
      <c r="G293" s="310"/>
      <c r="H293" s="310"/>
      <c r="I293" s="310"/>
      <c r="J293" s="310"/>
      <c r="K293" s="310"/>
      <c r="L293" s="36"/>
      <c r="M293" s="36"/>
      <c r="N293" s="19">
        <f>J$143+J$166</f>
        <v>41948.608467294289</v>
      </c>
    </row>
    <row r="294" spans="3:14">
      <c r="C294" s="149" t="s">
        <v>57</v>
      </c>
      <c r="D294" s="19"/>
      <c r="E294" s="90"/>
      <c r="F294" s="247"/>
      <c r="G294" s="138">
        <f>H$249</f>
        <v>6957.4983171150616</v>
      </c>
      <c r="H294" s="36">
        <v>0</v>
      </c>
      <c r="I294" s="36">
        <v>0</v>
      </c>
      <c r="J294" s="164">
        <f>I$249</f>
        <v>7171.6506337391929</v>
      </c>
      <c r="K294" s="310">
        <v>0</v>
      </c>
      <c r="L294" s="138">
        <v>0</v>
      </c>
      <c r="M294" s="310">
        <f>J$249</f>
        <v>7397.2321299837495</v>
      </c>
    </row>
    <row r="295" spans="3:14">
      <c r="C295" s="149" t="s">
        <v>234</v>
      </c>
      <c r="D295" s="19"/>
      <c r="E295" s="299"/>
      <c r="F295" s="320">
        <f>H186</f>
        <v>0</v>
      </c>
      <c r="G295" s="215"/>
      <c r="H295" s="300"/>
      <c r="I295" s="216">
        <f>I186</f>
        <v>0</v>
      </c>
      <c r="J295" s="215"/>
      <c r="K295" s="215"/>
      <c r="L295" s="215">
        <f>J186</f>
        <v>0</v>
      </c>
      <c r="M295" s="215"/>
    </row>
    <row r="296" spans="3:14">
      <c r="C296" s="149" t="s">
        <v>54</v>
      </c>
      <c r="D296" s="19"/>
      <c r="E296" s="299"/>
      <c r="F296" s="320">
        <f>-H$24</f>
        <v>-2333.9574369645511</v>
      </c>
      <c r="G296" s="300"/>
      <c r="H296" s="215"/>
      <c r="I296" s="215">
        <f>-I$24</f>
        <v>-2421.060389412693</v>
      </c>
      <c r="J296" s="300"/>
      <c r="K296" s="215"/>
      <c r="L296" s="215">
        <f>-J$24</f>
        <v>-2494.5688105225036</v>
      </c>
      <c r="M296" s="300"/>
    </row>
    <row r="297" spans="3:14">
      <c r="C297" s="149" t="s">
        <v>125</v>
      </c>
      <c r="D297" s="19"/>
      <c r="E297" s="299"/>
      <c r="F297" s="320">
        <f>-H$25</f>
        <v>-1914.5304280239588</v>
      </c>
      <c r="G297" s="300"/>
      <c r="H297" s="215"/>
      <c r="I297" s="215">
        <f>-I$25</f>
        <v>-1569.2003166638272</v>
      </c>
      <c r="J297" s="300"/>
      <c r="K297" s="215"/>
      <c r="L297" s="215">
        <f>-J$25</f>
        <v>-1744.1084295222749</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-434.80253317920278</v>
      </c>
      <c r="G299" s="300">
        <v>0</v>
      </c>
      <c r="H299" s="300">
        <v>0</v>
      </c>
      <c r="I299" s="336">
        <f>-I$254</f>
        <v>-453.77018190426645</v>
      </c>
      <c r="J299" s="215">
        <v>0</v>
      </c>
      <c r="K299" s="163">
        <v>0</v>
      </c>
      <c r="L299" s="215">
        <f>-J$254</f>
        <v>-493.14874211705444</v>
      </c>
      <c r="M299" s="300"/>
    </row>
    <row r="300" spans="3:14" ht="15.75" thickBot="1">
      <c r="C300" s="149" t="s">
        <v>217</v>
      </c>
      <c r="D300" s="19"/>
      <c r="E300" s="332">
        <f>SUM(E293:E299)</f>
        <v>-39194.325635099769</v>
      </c>
      <c r="F300" s="332">
        <f t="shared" ref="F300:K300" si="87">SUM(F293:F299)</f>
        <v>-4683.2903981677136</v>
      </c>
      <c r="G300" s="332">
        <f t="shared" si="87"/>
        <v>6957.4983171150616</v>
      </c>
      <c r="H300" s="332">
        <f t="shared" si="87"/>
        <v>0</v>
      </c>
      <c r="I300" s="332">
        <f t="shared" si="87"/>
        <v>-4444.0308879807872</v>
      </c>
      <c r="J300" s="332">
        <f t="shared" si="87"/>
        <v>7171.6506337391929</v>
      </c>
      <c r="K300" s="332">
        <f t="shared" si="87"/>
        <v>0</v>
      </c>
      <c r="L300" s="332">
        <f>SUM(L293:L299)</f>
        <v>-4731.8259821618331</v>
      </c>
      <c r="M300" s="332">
        <f>SUM(M293:M299)</f>
        <v>7397.2321299837495</v>
      </c>
      <c r="N300" s="129">
        <f>SUM(N293:N299)</f>
        <v>41948.608467294289</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3.637978807091713E-12</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8"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4.xml><?xml version="1.0" encoding="utf-8"?>
<worksheet xmlns="http://schemas.openxmlformats.org/spreadsheetml/2006/main" xmlns:r="http://schemas.openxmlformats.org/officeDocument/2006/relationships">
  <sheetPr codeName="Sheet19">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Network Tasman </v>
      </c>
      <c r="D1" s="2"/>
      <c r="E1" s="2"/>
      <c r="F1" s="6" t="s">
        <v>169</v>
      </c>
      <c r="G1" s="7">
        <v>9</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35470.417659999999</v>
      </c>
    </row>
    <row r="9" spans="1:16">
      <c r="A9" s="9">
        <f>A8+1</f>
        <v>2</v>
      </c>
      <c r="B9" s="9"/>
      <c r="C9" s="149" t="str">
        <f>Inputs!B21</f>
        <v>Pass-through costs</v>
      </c>
      <c r="E9" s="1">
        <f t="shared" si="0"/>
        <v>171</v>
      </c>
    </row>
    <row r="10" spans="1:16">
      <c r="A10" s="9">
        <f t="shared" ref="A10:A22" si="1">A9+1</f>
        <v>3</v>
      </c>
      <c r="B10" s="9"/>
      <c r="C10" s="149" t="str">
        <f>Inputs!B22</f>
        <v>Recoverable costs</v>
      </c>
      <c r="E10" s="1">
        <f t="shared" si="0"/>
        <v>12369.402769999999</v>
      </c>
    </row>
    <row r="11" spans="1:16">
      <c r="A11" s="9">
        <f t="shared" si="1"/>
        <v>4</v>
      </c>
      <c r="B11" s="9"/>
      <c r="C11" s="155" t="str">
        <f>Inputs!B23</f>
        <v>Opening RAB</v>
      </c>
      <c r="E11" s="1">
        <f t="shared" si="0"/>
        <v>149225.17999136192</v>
      </c>
      <c r="L11" s="13"/>
    </row>
    <row r="12" spans="1:16">
      <c r="A12" s="9">
        <f t="shared" si="1"/>
        <v>5</v>
      </c>
      <c r="B12" s="9"/>
      <c r="C12" s="155" t="str">
        <f>Inputs!B24</f>
        <v>Total Depreciation</v>
      </c>
      <c r="E12" s="1">
        <f t="shared" si="0"/>
        <v>6387.6247468541751</v>
      </c>
      <c r="F12" s="161"/>
      <c r="G12" s="337" t="s">
        <v>511</v>
      </c>
    </row>
    <row r="13" spans="1:16">
      <c r="A13" s="9">
        <f t="shared" si="1"/>
        <v>6</v>
      </c>
      <c r="B13" s="9"/>
      <c r="C13" s="155" t="str">
        <f>Inputs!B25</f>
        <v>RAB of disposed assets</v>
      </c>
      <c r="E13" s="1">
        <f t="shared" si="0"/>
        <v>0</v>
      </c>
      <c r="G13" s="23" t="s">
        <v>512</v>
      </c>
    </row>
    <row r="14" spans="1:16">
      <c r="A14" s="9">
        <f t="shared" si="1"/>
        <v>7</v>
      </c>
      <c r="B14" s="9"/>
      <c r="C14" s="155" t="str">
        <f>Inputs!B26</f>
        <v>Discretionary discounts &amp;  rebates</v>
      </c>
      <c r="E14" s="1">
        <f t="shared" si="0"/>
        <v>6080.5233600000001</v>
      </c>
      <c r="G14" s="23" t="s">
        <v>513</v>
      </c>
    </row>
    <row r="15" spans="1:16">
      <c r="A15" s="9">
        <f t="shared" si="1"/>
        <v>8</v>
      </c>
      <c r="B15" s="9"/>
      <c r="C15" s="155" t="str">
        <f>Inputs!B27</f>
        <v>Tax Depreciation</v>
      </c>
      <c r="E15" s="1">
        <f t="shared" si="0"/>
        <v>3793.4187615999958</v>
      </c>
      <c r="G15" s="23" t="s">
        <v>514</v>
      </c>
    </row>
    <row r="16" spans="1:16">
      <c r="A16" s="9">
        <f t="shared" si="1"/>
        <v>9</v>
      </c>
      <c r="B16" s="9"/>
      <c r="C16" s="155" t="str">
        <f>Inputs!B28</f>
        <v>Opening regulatory tax asset value</v>
      </c>
      <c r="E16" s="1">
        <f t="shared" si="0"/>
        <v>41922.555983600039</v>
      </c>
    </row>
    <row r="17" spans="1:21">
      <c r="A17" s="9">
        <f t="shared" si="1"/>
        <v>10</v>
      </c>
      <c r="B17" s="9"/>
      <c r="C17" s="155" t="str">
        <f>Inputs!B29</f>
        <v>Weighted Average Remaining Life at year-end</v>
      </c>
      <c r="E17" s="1">
        <f t="shared" si="0"/>
        <v>32.956331175965794</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278.37527999999998</v>
      </c>
    </row>
    <row r="20" spans="1:21">
      <c r="A20" s="9">
        <f t="shared" si="1"/>
        <v>13</v>
      </c>
      <c r="B20" s="9"/>
      <c r="C20" s="155" t="str">
        <f>Inputs!B32</f>
        <v>Operating expenditure 2009/10</v>
      </c>
      <c r="E20" s="1">
        <f t="shared" si="0"/>
        <v>7258.5558799999999</v>
      </c>
    </row>
    <row r="21" spans="1:21">
      <c r="A21" s="9">
        <f t="shared" si="1"/>
        <v>14</v>
      </c>
      <c r="B21" s="9"/>
      <c r="C21" s="155" t="str">
        <f>Inputs!B33</f>
        <v>Other regulated income</v>
      </c>
      <c r="E21" s="1">
        <f t="shared" si="0"/>
        <v>288.34864584099455</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7258.5558799999999</v>
      </c>
      <c r="F24" s="39">
        <f>INDEX(OpexBlock,F7-1,$G$1)</f>
        <v>7484.3299427154088</v>
      </c>
      <c r="G24" s="39">
        <f>INDEX(OpexBlock,G7-1,$G$1)</f>
        <v>7734.4514747602188</v>
      </c>
      <c r="H24" s="39">
        <f>INDEX(OpexBlock,H7-1,$G$1)</f>
        <v>7972.9790268414881</v>
      </c>
      <c r="I24" s="39">
        <f>INDEX(OpexBlock,I7-1,$G$1)</f>
        <v>8214.4114583558749</v>
      </c>
      <c r="J24" s="39">
        <f>INDEX(OpexBlock,J7-1,$G$1)</f>
        <v>8461.7563853807715</v>
      </c>
      <c r="K24" s="90"/>
      <c r="L24" s="36"/>
      <c r="M24" s="36"/>
    </row>
    <row r="25" spans="1:21">
      <c r="A25" s="9"/>
      <c r="B25" s="9"/>
      <c r="C25" s="149" t="s">
        <v>272</v>
      </c>
      <c r="D25" s="1"/>
      <c r="E25" s="39">
        <f t="shared" ref="E25:J25" si="2">INDEX(CommAssetsBlock,E7,$G$1)</f>
        <v>4090.9649899999999</v>
      </c>
      <c r="F25" s="39">
        <f t="shared" si="2"/>
        <v>8697.5539292101366</v>
      </c>
      <c r="G25" s="39">
        <f t="shared" si="2"/>
        <v>7656.8983850775576</v>
      </c>
      <c r="H25" s="39">
        <f t="shared" si="2"/>
        <v>6421.5812734771134</v>
      </c>
      <c r="I25" s="39">
        <f t="shared" si="2"/>
        <v>5671.6501682890885</v>
      </c>
      <c r="J25" s="39">
        <f t="shared" si="2"/>
        <v>6461.05576373642</v>
      </c>
      <c r="K25" s="90"/>
      <c r="L25" s="36"/>
      <c r="M25" s="36"/>
    </row>
    <row r="26" spans="1:21">
      <c r="A26" s="9"/>
      <c r="B26" s="9"/>
      <c r="C26" s="149" t="s">
        <v>342</v>
      </c>
      <c r="D26" s="1"/>
      <c r="E26" s="90"/>
      <c r="F26" s="90">
        <f t="shared" ref="F26:J26" si="3">INDEX(ConstPriceRevGrwth,F$7-1,$G$1)</f>
        <v>9.6523513182640262E-3</v>
      </c>
      <c r="G26" s="90">
        <f t="shared" si="3"/>
        <v>-3.620324520162678E-3</v>
      </c>
      <c r="H26" s="90">
        <f t="shared" si="3"/>
        <v>1.2550589474205589E-2</v>
      </c>
      <c r="I26" s="90">
        <f t="shared" si="3"/>
        <v>6.8296860109036588E-3</v>
      </c>
      <c r="J26" s="90">
        <f t="shared" si="3"/>
        <v>7.6353024665780844E-3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288.34864584099455</v>
      </c>
      <c r="F40" s="295">
        <f>E40*(1+F39)</f>
        <v>301.22839392322675</v>
      </c>
      <c r="G40" s="295">
        <f t="shared" ref="G40:J40" si="5">F40*(1+G39)</f>
        <v>305.95972995343453</v>
      </c>
      <c r="H40" s="295">
        <f t="shared" si="5"/>
        <v>311.74247399035511</v>
      </c>
      <c r="I40" s="295">
        <f t="shared" si="5"/>
        <v>318.31377403231028</v>
      </c>
      <c r="J40" s="295">
        <f t="shared" si="5"/>
        <v>325.4107780776219</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23.361607155281536</v>
      </c>
      <c r="F53" s="45">
        <f>E53-1</f>
        <v>22.361607155281536</v>
      </c>
      <c r="G53" s="45">
        <f t="shared" ref="G53:J53" si="6">F53-1</f>
        <v>21.361607155281536</v>
      </c>
      <c r="H53" s="45">
        <f t="shared" si="6"/>
        <v>20.361607155281536</v>
      </c>
      <c r="I53" s="45">
        <f t="shared" si="6"/>
        <v>19.361607155281536</v>
      </c>
      <c r="J53" s="45">
        <f t="shared" si="6"/>
        <v>18.361607155281536</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0</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149225.17999136192</v>
      </c>
      <c r="F58" s="216">
        <f>E62</f>
        <v>145409.27961601646</v>
      </c>
      <c r="G58" s="216">
        <f t="shared" ref="G58:J58" si="9">F62</f>
        <v>141787.52774350319</v>
      </c>
      <c r="H58" s="216">
        <f t="shared" si="9"/>
        <v>138601.12578569431</v>
      </c>
      <c r="I58" s="216">
        <f t="shared" si="9"/>
        <v>135157.40641163196</v>
      </c>
      <c r="J58" s="216">
        <f t="shared" si="9"/>
        <v>131456.41460104918</v>
      </c>
      <c r="K58" s="148"/>
      <c r="L58" s="36"/>
      <c r="M58" s="36"/>
    </row>
    <row r="59" spans="3:16">
      <c r="C59" s="149" t="s">
        <v>41</v>
      </c>
      <c r="D59" s="153"/>
      <c r="E59" s="216">
        <f>E55</f>
        <v>0</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2571.7243715087229</v>
      </c>
      <c r="F60" s="216">
        <f t="shared" si="11"/>
        <v>2880.8791148875071</v>
      </c>
      <c r="G60" s="216">
        <f t="shared" si="11"/>
        <v>3451.091500095451</v>
      </c>
      <c r="H60" s="216">
        <f t="shared" si="11"/>
        <v>3363.2642166088344</v>
      </c>
      <c r="I60" s="216">
        <f t="shared" si="11"/>
        <v>3279.699685100376</v>
      </c>
      <c r="J60" s="216">
        <f t="shared" si="11"/>
        <v>3189.8922376360483</v>
      </c>
      <c r="K60" s="148"/>
      <c r="L60" s="36"/>
      <c r="M60" s="36"/>
    </row>
    <row r="61" spans="3:16">
      <c r="C61" s="149" t="s">
        <v>43</v>
      </c>
      <c r="E61" s="136">
        <f>E12</f>
        <v>6387.6247468541751</v>
      </c>
      <c r="F61" s="216">
        <f t="shared" ref="F61:J61" si="12">F58/F53</f>
        <v>6502.6309874007684</v>
      </c>
      <c r="G61" s="216">
        <f t="shared" si="12"/>
        <v>6637.4934579043147</v>
      </c>
      <c r="H61" s="216">
        <f t="shared" si="12"/>
        <v>6806.9835906711805</v>
      </c>
      <c r="I61" s="216">
        <f t="shared" si="12"/>
        <v>6980.6914956831561</v>
      </c>
      <c r="J61" s="216">
        <f t="shared" si="12"/>
        <v>7159.3087407513258</v>
      </c>
      <c r="K61" s="148"/>
      <c r="L61" s="36"/>
      <c r="M61" s="36"/>
    </row>
    <row r="62" spans="3:16">
      <c r="C62" s="149" t="s">
        <v>44</v>
      </c>
      <c r="E62" s="139">
        <f>E58-E59+E60-E61</f>
        <v>145409.27961601646</v>
      </c>
      <c r="F62" s="139">
        <f>F58-F59+F60-F61</f>
        <v>141787.52774350319</v>
      </c>
      <c r="G62" s="139">
        <f t="shared" ref="G62:J62" si="13">G58-G59+G60-G61</f>
        <v>138601.12578569431</v>
      </c>
      <c r="H62" s="139">
        <f t="shared" si="13"/>
        <v>135157.40641163196</v>
      </c>
      <c r="I62" s="216">
        <f t="shared" si="13"/>
        <v>131456.41460104918</v>
      </c>
      <c r="J62" s="216">
        <f t="shared" si="13"/>
        <v>127486.99809793392</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4090.9649899999999</v>
      </c>
      <c r="F66" s="139">
        <f t="shared" ref="F66:J66" si="15">F$25</f>
        <v>8697.5539292101366</v>
      </c>
      <c r="G66" s="139">
        <f t="shared" si="15"/>
        <v>7656.8983850775576</v>
      </c>
      <c r="H66" s="139">
        <f t="shared" si="15"/>
        <v>6421.5812734771134</v>
      </c>
      <c r="I66" s="139">
        <f t="shared" si="15"/>
        <v>5671.6501682890885</v>
      </c>
      <c r="J66" s="139">
        <f t="shared" si="15"/>
        <v>6461.05576373642</v>
      </c>
      <c r="K66" s="148"/>
      <c r="L66" s="36"/>
      <c r="M66" s="36"/>
    </row>
    <row r="67" spans="1:13">
      <c r="A67" s="149">
        <v>1</v>
      </c>
      <c r="C67" s="149" t="s">
        <v>481</v>
      </c>
      <c r="E67" s="135">
        <v>0</v>
      </c>
      <c r="F67" s="139">
        <f>E91</f>
        <v>4090.9649899999999</v>
      </c>
      <c r="G67" s="139">
        <f t="shared" ref="G67:J67" si="16">F91</f>
        <v>4081.105712437402</v>
      </c>
      <c r="H67" s="139">
        <f t="shared" si="16"/>
        <v>4087.6869357610226</v>
      </c>
      <c r="I67" s="139">
        <f t="shared" si="16"/>
        <v>4091.8153545974465</v>
      </c>
      <c r="J67" s="139">
        <f t="shared" si="16"/>
        <v>4093.6822644995641</v>
      </c>
      <c r="K67" s="148"/>
      <c r="L67" s="36"/>
      <c r="M67" s="36"/>
    </row>
    <row r="68" spans="1:13">
      <c r="A68" s="149">
        <v>2</v>
      </c>
      <c r="C68" s="149" t="s">
        <v>482</v>
      </c>
      <c r="E68" s="135">
        <v>0</v>
      </c>
      <c r="F68" s="139">
        <f t="shared" ref="F68:J71" si="17">E92</f>
        <v>0</v>
      </c>
      <c r="G68" s="139">
        <f t="shared" si="17"/>
        <v>8697.5539292101366</v>
      </c>
      <c r="H68" s="139">
        <f t="shared" si="17"/>
        <v>8715.972377415168</v>
      </c>
      <c r="I68" s="139">
        <f t="shared" si="17"/>
        <v>8729.3819511348102</v>
      </c>
      <c r="J68" s="139">
        <f t="shared" si="17"/>
        <v>8738.1983173203225</v>
      </c>
      <c r="K68" s="148"/>
      <c r="L68" s="36"/>
      <c r="M68" s="36"/>
    </row>
    <row r="69" spans="1:13">
      <c r="A69" s="149">
        <v>3</v>
      </c>
      <c r="C69" s="149" t="s">
        <v>483</v>
      </c>
      <c r="E69" s="135">
        <v>0</v>
      </c>
      <c r="F69" s="139">
        <f t="shared" si="17"/>
        <v>0</v>
      </c>
      <c r="G69" s="139">
        <f t="shared" si="17"/>
        <v>0</v>
      </c>
      <c r="H69" s="139">
        <f t="shared" si="17"/>
        <v>7656.8983850775576</v>
      </c>
      <c r="I69" s="139">
        <f t="shared" si="17"/>
        <v>7672.5456877546485</v>
      </c>
      <c r="J69" s="139">
        <f t="shared" si="17"/>
        <v>7684.349943500556</v>
      </c>
      <c r="K69" s="148"/>
      <c r="L69" s="36"/>
      <c r="M69" s="36"/>
    </row>
    <row r="70" spans="1:13">
      <c r="A70" s="149">
        <v>4</v>
      </c>
      <c r="C70" s="149" t="s">
        <v>484</v>
      </c>
      <c r="E70" s="135">
        <v>0</v>
      </c>
      <c r="F70" s="139">
        <f t="shared" si="17"/>
        <v>0</v>
      </c>
      <c r="G70" s="139">
        <f t="shared" si="17"/>
        <v>0</v>
      </c>
      <c r="H70" s="139">
        <f t="shared" si="17"/>
        <v>0</v>
      </c>
      <c r="I70" s="139">
        <f t="shared" si="17"/>
        <v>6421.5812734771134</v>
      </c>
      <c r="J70" s="139">
        <f t="shared" si="17"/>
        <v>6434.7041361296288</v>
      </c>
      <c r="K70" s="148"/>
      <c r="L70" s="36"/>
      <c r="M70" s="36"/>
    </row>
    <row r="71" spans="1:13">
      <c r="A71" s="149">
        <v>5</v>
      </c>
      <c r="C71" s="149" t="s">
        <v>485</v>
      </c>
      <c r="E71" s="135">
        <v>0</v>
      </c>
      <c r="F71" s="139">
        <f t="shared" si="17"/>
        <v>0</v>
      </c>
      <c r="G71" s="139">
        <f t="shared" si="17"/>
        <v>0</v>
      </c>
      <c r="H71" s="139">
        <f t="shared" si="17"/>
        <v>0</v>
      </c>
      <c r="I71" s="139">
        <f t="shared" si="17"/>
        <v>0</v>
      </c>
      <c r="J71" s="139">
        <f t="shared" si="17"/>
        <v>5671.6501682890885</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81.051055548512792</v>
      </c>
      <c r="G79" s="139">
        <f t="shared" si="20"/>
        <v>99.333625879015727</v>
      </c>
      <c r="H79" s="139">
        <f t="shared" si="20"/>
        <v>99.190905714587331</v>
      </c>
      <c r="I79" s="139">
        <f t="shared" si="20"/>
        <v>99.291085011580819</v>
      </c>
      <c r="J79" s="139">
        <f t="shared" si="20"/>
        <v>99.336387033724094</v>
      </c>
      <c r="K79" s="148"/>
      <c r="L79" s="36"/>
      <c r="M79" s="36"/>
    </row>
    <row r="80" spans="1:13">
      <c r="A80" s="149">
        <v>2</v>
      </c>
      <c r="C80" s="149" t="s">
        <v>488</v>
      </c>
      <c r="E80" s="139">
        <f t="shared" ref="E80:J84" si="21">E68*E$38</f>
        <v>0</v>
      </c>
      <c r="F80" s="139">
        <f t="shared" si="21"/>
        <v>0</v>
      </c>
      <c r="G80" s="139">
        <f t="shared" si="21"/>
        <v>211.69742440970273</v>
      </c>
      <c r="H80" s="139">
        <f t="shared" si="21"/>
        <v>211.49985502453339</v>
      </c>
      <c r="I80" s="139">
        <f t="shared" si="21"/>
        <v>211.82524877004298</v>
      </c>
      <c r="J80" s="139">
        <f t="shared" si="21"/>
        <v>212.03918475897643</v>
      </c>
      <c r="K80" s="148"/>
      <c r="L80" s="36"/>
      <c r="M80" s="36"/>
    </row>
    <row r="81" spans="1:13">
      <c r="A81" s="149">
        <v>3</v>
      </c>
      <c r="C81" s="149" t="s">
        <v>489</v>
      </c>
      <c r="E81" s="139">
        <f t="shared" si="21"/>
        <v>0</v>
      </c>
      <c r="F81" s="139">
        <f t="shared" si="21"/>
        <v>0</v>
      </c>
      <c r="G81" s="139">
        <f t="shared" si="21"/>
        <v>0</v>
      </c>
      <c r="H81" s="139">
        <f t="shared" si="21"/>
        <v>185.80060012325907</v>
      </c>
      <c r="I81" s="139">
        <f t="shared" si="21"/>
        <v>186.18029410396798</v>
      </c>
      <c r="J81" s="139">
        <f t="shared" si="21"/>
        <v>186.4667335591229</v>
      </c>
      <c r="K81" s="148"/>
      <c r="L81" s="36"/>
      <c r="M81" s="36"/>
    </row>
    <row r="82" spans="1:13">
      <c r="A82" s="149">
        <v>4</v>
      </c>
      <c r="C82" s="149" t="s">
        <v>490</v>
      </c>
      <c r="E82" s="139">
        <f t="shared" si="21"/>
        <v>0</v>
      </c>
      <c r="F82" s="139">
        <f t="shared" si="21"/>
        <v>0</v>
      </c>
      <c r="G82" s="139">
        <f t="shared" si="21"/>
        <v>0</v>
      </c>
      <c r="H82" s="139">
        <f t="shared" si="21"/>
        <v>0</v>
      </c>
      <c r="I82" s="139">
        <f t="shared" si="21"/>
        <v>155.82466872978418</v>
      </c>
      <c r="J82" s="139">
        <f t="shared" si="21"/>
        <v>156.14310520804858</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137.62700664945837</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90.910333111111115</v>
      </c>
      <c r="G85" s="216">
        <f t="shared" si="22"/>
        <v>92.752402555395506</v>
      </c>
      <c r="H85" s="216">
        <f t="shared" si="22"/>
        <v>95.062486878163313</v>
      </c>
      <c r="I85" s="216">
        <f t="shared" si="22"/>
        <v>97.424175109463008</v>
      </c>
      <c r="J85" s="216">
        <f t="shared" si="22"/>
        <v>99.845908890233275</v>
      </c>
      <c r="K85" s="148"/>
      <c r="L85" s="36"/>
      <c r="M85" s="36"/>
    </row>
    <row r="86" spans="1:13">
      <c r="A86" s="149">
        <v>2</v>
      </c>
      <c r="C86" s="149" t="s">
        <v>494</v>
      </c>
      <c r="E86" s="216">
        <f t="shared" si="22"/>
        <v>0</v>
      </c>
      <c r="F86" s="216">
        <f t="shared" si="22"/>
        <v>0</v>
      </c>
      <c r="G86" s="216">
        <f t="shared" si="22"/>
        <v>193.2789762046697</v>
      </c>
      <c r="H86" s="216">
        <f t="shared" si="22"/>
        <v>198.09028130489017</v>
      </c>
      <c r="I86" s="216">
        <f t="shared" si="22"/>
        <v>203.00888258453048</v>
      </c>
      <c r="J86" s="216">
        <f t="shared" si="22"/>
        <v>208.0523408885791</v>
      </c>
      <c r="K86" s="148"/>
      <c r="L86" s="36"/>
      <c r="M86" s="36"/>
    </row>
    <row r="87" spans="1:13">
      <c r="A87" s="149">
        <v>3</v>
      </c>
      <c r="C87" s="149" t="s">
        <v>495</v>
      </c>
      <c r="E87" s="216">
        <f t="shared" si="22"/>
        <v>0</v>
      </c>
      <c r="F87" s="216">
        <f t="shared" si="22"/>
        <v>0</v>
      </c>
      <c r="G87" s="216">
        <f t="shared" si="22"/>
        <v>0</v>
      </c>
      <c r="H87" s="216">
        <f t="shared" si="22"/>
        <v>170.15329744616795</v>
      </c>
      <c r="I87" s="216">
        <f t="shared" si="22"/>
        <v>174.37603835806019</v>
      </c>
      <c r="J87" s="216">
        <f t="shared" si="22"/>
        <v>178.70581263954782</v>
      </c>
      <c r="K87" s="148"/>
      <c r="L87" s="36"/>
      <c r="M87" s="36"/>
    </row>
    <row r="88" spans="1:13">
      <c r="A88" s="149">
        <v>4</v>
      </c>
      <c r="C88" s="149" t="s">
        <v>496</v>
      </c>
      <c r="E88" s="216">
        <f t="shared" si="22"/>
        <v>0</v>
      </c>
      <c r="F88" s="216">
        <f t="shared" si="22"/>
        <v>0</v>
      </c>
      <c r="G88" s="216">
        <f t="shared" si="22"/>
        <v>0</v>
      </c>
      <c r="H88" s="216">
        <f t="shared" si="22"/>
        <v>0</v>
      </c>
      <c r="I88" s="216">
        <f t="shared" si="22"/>
        <v>142.7018060772692</v>
      </c>
      <c r="J88" s="216">
        <f t="shared" si="22"/>
        <v>146.24327582112792</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126.03667040642419</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4090.9649899999999</v>
      </c>
      <c r="F91" s="139">
        <f t="shared" si="23"/>
        <v>4081.105712437402</v>
      </c>
      <c r="G91" s="139">
        <f t="shared" si="23"/>
        <v>4087.6869357610226</v>
      </c>
      <c r="H91" s="139">
        <f t="shared" si="23"/>
        <v>4091.8153545974465</v>
      </c>
      <c r="I91" s="139">
        <f t="shared" si="23"/>
        <v>4093.6822644995641</v>
      </c>
      <c r="J91" s="216">
        <f t="shared" si="23"/>
        <v>4093.1727426430548</v>
      </c>
      <c r="K91" s="148"/>
      <c r="L91" s="36"/>
      <c r="M91" s="36"/>
    </row>
    <row r="92" spans="1:13">
      <c r="A92" s="149">
        <v>2</v>
      </c>
      <c r="C92" s="149" t="s">
        <v>500</v>
      </c>
      <c r="E92" s="139">
        <f t="shared" si="23"/>
        <v>0</v>
      </c>
      <c r="F92" s="139">
        <f t="shared" si="23"/>
        <v>8697.5539292101366</v>
      </c>
      <c r="G92" s="139">
        <f t="shared" si="23"/>
        <v>8715.972377415168</v>
      </c>
      <c r="H92" s="139">
        <f t="shared" si="23"/>
        <v>8729.3819511348102</v>
      </c>
      <c r="I92" s="139">
        <f t="shared" si="23"/>
        <v>8738.1983173203225</v>
      </c>
      <c r="J92" s="216">
        <f t="shared" si="23"/>
        <v>8742.1851611907205</v>
      </c>
      <c r="K92" s="148"/>
      <c r="L92" s="36"/>
      <c r="M92" s="36"/>
    </row>
    <row r="93" spans="1:13">
      <c r="A93" s="149">
        <v>3</v>
      </c>
      <c r="C93" s="149" t="s">
        <v>501</v>
      </c>
      <c r="E93" s="139">
        <f t="shared" si="23"/>
        <v>0</v>
      </c>
      <c r="F93" s="139">
        <f t="shared" si="23"/>
        <v>0</v>
      </c>
      <c r="G93" s="139">
        <f t="shared" si="23"/>
        <v>7656.8983850775576</v>
      </c>
      <c r="H93" s="139">
        <f t="shared" si="23"/>
        <v>7672.5456877546485</v>
      </c>
      <c r="I93" s="139">
        <f t="shared" si="23"/>
        <v>7684.349943500556</v>
      </c>
      <c r="J93" s="216">
        <f t="shared" si="23"/>
        <v>7692.1108644201313</v>
      </c>
      <c r="K93" s="148"/>
      <c r="L93" s="36"/>
      <c r="M93" s="36"/>
    </row>
    <row r="94" spans="1:13">
      <c r="A94" s="149">
        <v>4</v>
      </c>
      <c r="C94" s="149" t="s">
        <v>502</v>
      </c>
      <c r="E94" s="139">
        <f t="shared" si="23"/>
        <v>0</v>
      </c>
      <c r="F94" s="139">
        <f t="shared" si="23"/>
        <v>0</v>
      </c>
      <c r="G94" s="139">
        <f t="shared" si="23"/>
        <v>0</v>
      </c>
      <c r="H94" s="139">
        <f t="shared" si="23"/>
        <v>6421.5812734771134</v>
      </c>
      <c r="I94" s="139">
        <f t="shared" si="23"/>
        <v>6434.7041361296288</v>
      </c>
      <c r="J94" s="216">
        <f t="shared" si="23"/>
        <v>6444.6039655165496</v>
      </c>
      <c r="K94" s="148"/>
      <c r="L94" s="36"/>
      <c r="M94" s="36"/>
    </row>
    <row r="95" spans="1:13">
      <c r="A95" s="149">
        <v>5</v>
      </c>
      <c r="C95" s="149" t="s">
        <v>503</v>
      </c>
      <c r="E95" s="139">
        <f t="shared" si="23"/>
        <v>0</v>
      </c>
      <c r="F95" s="139">
        <f t="shared" si="23"/>
        <v>0</v>
      </c>
      <c r="G95" s="139">
        <f t="shared" si="23"/>
        <v>0</v>
      </c>
      <c r="H95" s="139">
        <f t="shared" si="23"/>
        <v>0</v>
      </c>
      <c r="I95" s="139">
        <f t="shared" si="23"/>
        <v>5671.6501682890885</v>
      </c>
      <c r="J95" s="216">
        <f t="shared" si="23"/>
        <v>5683.240504532122</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6461.05576373642</v>
      </c>
      <c r="K96" s="148"/>
      <c r="L96" s="36"/>
      <c r="M96" s="36"/>
    </row>
    <row r="97" spans="1:13">
      <c r="C97" s="149" t="s">
        <v>260</v>
      </c>
      <c r="E97" s="139">
        <f t="shared" ref="E97:J97" si="24">SUM(E67:E72)</f>
        <v>0</v>
      </c>
      <c r="F97" s="139">
        <f t="shared" si="24"/>
        <v>4090.9649899999999</v>
      </c>
      <c r="G97" s="139">
        <f t="shared" si="24"/>
        <v>12778.659641647539</v>
      </c>
      <c r="H97" s="139">
        <f t="shared" si="24"/>
        <v>20460.55769825375</v>
      </c>
      <c r="I97" s="139">
        <f t="shared" si="24"/>
        <v>26915.32426696402</v>
      </c>
      <c r="J97" s="216">
        <f t="shared" si="24"/>
        <v>32622.58482973916</v>
      </c>
      <c r="K97" s="148"/>
      <c r="L97" s="36"/>
      <c r="M97" s="36"/>
    </row>
    <row r="98" spans="1:13">
      <c r="C98" s="149" t="s">
        <v>261</v>
      </c>
      <c r="E98" s="139">
        <f t="shared" ref="E98:J98" si="25">SUM(E79:E84)</f>
        <v>0</v>
      </c>
      <c r="F98" s="139">
        <f t="shared" si="25"/>
        <v>81.051055548512792</v>
      </c>
      <c r="G98" s="139">
        <f t="shared" si="25"/>
        <v>311.03105028871846</v>
      </c>
      <c r="H98" s="139">
        <f t="shared" si="25"/>
        <v>496.49136086237979</v>
      </c>
      <c r="I98" s="139">
        <f t="shared" si="25"/>
        <v>653.12129661537597</v>
      </c>
      <c r="J98" s="216">
        <f t="shared" si="25"/>
        <v>791.61241720933037</v>
      </c>
      <c r="K98" s="148"/>
      <c r="L98" s="36"/>
      <c r="M98" s="36"/>
    </row>
    <row r="99" spans="1:13">
      <c r="C99" s="149" t="s">
        <v>75</v>
      </c>
      <c r="E99" s="139">
        <f t="shared" ref="E99:J99" si="26">SUM(E85:E90)</f>
        <v>0</v>
      </c>
      <c r="F99" s="139">
        <f t="shared" si="26"/>
        <v>90.910333111111115</v>
      </c>
      <c r="G99" s="139">
        <f t="shared" si="26"/>
        <v>286.03137876006519</v>
      </c>
      <c r="H99" s="139">
        <f t="shared" si="26"/>
        <v>463.30606562922139</v>
      </c>
      <c r="I99" s="216">
        <f t="shared" si="26"/>
        <v>617.51090212932286</v>
      </c>
      <c r="J99" s="216">
        <f t="shared" si="26"/>
        <v>758.88400864591222</v>
      </c>
      <c r="K99" s="148"/>
      <c r="L99" s="36"/>
      <c r="M99" s="36"/>
    </row>
    <row r="100" spans="1:13">
      <c r="C100" s="149" t="s">
        <v>262</v>
      </c>
      <c r="E100" s="139">
        <f t="shared" ref="E100:J100" si="27">SUM(E91:E96)</f>
        <v>4090.9649899999999</v>
      </c>
      <c r="F100" s="139">
        <f t="shared" si="27"/>
        <v>12778.659641647539</v>
      </c>
      <c r="G100" s="139">
        <f t="shared" si="27"/>
        <v>20460.55769825375</v>
      </c>
      <c r="H100" s="139">
        <f t="shared" si="27"/>
        <v>26915.32426696402</v>
      </c>
      <c r="I100" s="216">
        <f t="shared" si="27"/>
        <v>32622.58482973916</v>
      </c>
      <c r="J100" s="216">
        <f t="shared" si="27"/>
        <v>39116.369002038999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4090.9649899999999</v>
      </c>
      <c r="F104" s="139">
        <f t="shared" ref="F104:J104" si="28">F$25</f>
        <v>8697.5539292101366</v>
      </c>
      <c r="G104" s="139">
        <f t="shared" si="28"/>
        <v>7656.8983850775576</v>
      </c>
      <c r="H104" s="139">
        <f t="shared" si="28"/>
        <v>6421.5812734771134</v>
      </c>
      <c r="I104" s="139">
        <f t="shared" si="28"/>
        <v>5671.6501682890885</v>
      </c>
      <c r="J104" s="139">
        <f t="shared" si="28"/>
        <v>6461.05576373642</v>
      </c>
      <c r="K104" s="148"/>
      <c r="L104" s="36"/>
      <c r="M104" s="36"/>
    </row>
    <row r="105" spans="1:13">
      <c r="A105" s="149">
        <v>1</v>
      </c>
      <c r="C105" s="149" t="s">
        <v>457</v>
      </c>
      <c r="E105" s="135">
        <v>0</v>
      </c>
      <c r="F105" s="139">
        <f>E123</f>
        <v>4090.9649899999999</v>
      </c>
      <c r="G105" s="139">
        <f t="shared" ref="G105:J105" si="29">F123</f>
        <v>4000.054656888889</v>
      </c>
      <c r="H105" s="139">
        <f t="shared" si="29"/>
        <v>3909.144323777778</v>
      </c>
      <c r="I105" s="139">
        <f t="shared" si="29"/>
        <v>3818.2339906666671</v>
      </c>
      <c r="J105" s="139">
        <f t="shared" si="29"/>
        <v>3727.3236575555561</v>
      </c>
      <c r="K105" s="148"/>
      <c r="L105" s="36"/>
      <c r="M105" s="36"/>
    </row>
    <row r="106" spans="1:13">
      <c r="A106" s="149">
        <v>2</v>
      </c>
      <c r="C106" s="149" t="s">
        <v>458</v>
      </c>
      <c r="E106" s="135">
        <v>0</v>
      </c>
      <c r="F106" s="139">
        <f t="shared" ref="F106:J109" si="30">E124</f>
        <v>0</v>
      </c>
      <c r="G106" s="139">
        <f t="shared" si="30"/>
        <v>8697.5539292101366</v>
      </c>
      <c r="H106" s="139">
        <f t="shared" si="30"/>
        <v>8504.2749530054662</v>
      </c>
      <c r="I106" s="139">
        <f t="shared" si="30"/>
        <v>8310.9959768007957</v>
      </c>
      <c r="J106" s="139">
        <f t="shared" si="30"/>
        <v>8117.7170005961261</v>
      </c>
      <c r="K106" s="148"/>
      <c r="L106" s="36"/>
      <c r="M106" s="36"/>
    </row>
    <row r="107" spans="1:13">
      <c r="A107" s="149">
        <v>3</v>
      </c>
      <c r="C107" s="149" t="s">
        <v>459</v>
      </c>
      <c r="E107" s="135">
        <v>0</v>
      </c>
      <c r="F107" s="139">
        <f t="shared" si="30"/>
        <v>0</v>
      </c>
      <c r="G107" s="139">
        <f t="shared" si="30"/>
        <v>0</v>
      </c>
      <c r="H107" s="139">
        <f t="shared" si="30"/>
        <v>7656.8983850775576</v>
      </c>
      <c r="I107" s="139">
        <f t="shared" si="30"/>
        <v>7486.7450876313897</v>
      </c>
      <c r="J107" s="139">
        <f t="shared" si="30"/>
        <v>7316.5917901852217</v>
      </c>
      <c r="K107" s="148"/>
      <c r="L107" s="36"/>
      <c r="M107" s="36"/>
    </row>
    <row r="108" spans="1:13">
      <c r="A108" s="149">
        <v>4</v>
      </c>
      <c r="C108" s="149" t="s">
        <v>460</v>
      </c>
      <c r="E108" s="135">
        <v>0</v>
      </c>
      <c r="F108" s="139">
        <f t="shared" si="30"/>
        <v>0</v>
      </c>
      <c r="G108" s="139">
        <f t="shared" si="30"/>
        <v>0</v>
      </c>
      <c r="H108" s="139">
        <f t="shared" si="30"/>
        <v>0</v>
      </c>
      <c r="I108" s="139">
        <f t="shared" si="30"/>
        <v>6421.5812734771134</v>
      </c>
      <c r="J108" s="139">
        <f t="shared" si="30"/>
        <v>6278.8794673998445</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5671.6501682890885</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90.910333111111115</v>
      </c>
      <c r="G117" s="139">
        <f t="shared" si="33"/>
        <v>90.910333111111115</v>
      </c>
      <c r="H117" s="139">
        <f t="shared" si="33"/>
        <v>90.910333111111115</v>
      </c>
      <c r="I117" s="139">
        <f t="shared" si="33"/>
        <v>90.910333111111115</v>
      </c>
      <c r="J117" s="139">
        <f t="shared" si="33"/>
        <v>90.910333111111129</v>
      </c>
      <c r="K117" s="148"/>
      <c r="L117" s="36"/>
      <c r="M117" s="36"/>
    </row>
    <row r="118" spans="1:13">
      <c r="A118" s="149">
        <v>2</v>
      </c>
      <c r="C118" s="149" t="s">
        <v>470</v>
      </c>
      <c r="E118" s="139">
        <f t="shared" si="33"/>
        <v>0</v>
      </c>
      <c r="F118" s="139">
        <f t="shared" si="33"/>
        <v>0</v>
      </c>
      <c r="G118" s="139">
        <f t="shared" si="33"/>
        <v>193.2789762046697</v>
      </c>
      <c r="H118" s="139">
        <f t="shared" si="33"/>
        <v>193.27897620466968</v>
      </c>
      <c r="I118" s="139">
        <f t="shared" si="33"/>
        <v>193.27897620466968</v>
      </c>
      <c r="J118" s="139">
        <f t="shared" si="33"/>
        <v>193.27897620466968</v>
      </c>
      <c r="K118" s="148"/>
      <c r="L118" s="36"/>
      <c r="M118" s="36"/>
    </row>
    <row r="119" spans="1:13">
      <c r="A119" s="149">
        <v>3</v>
      </c>
      <c r="C119" s="149" t="s">
        <v>471</v>
      </c>
      <c r="E119" s="139">
        <f t="shared" si="33"/>
        <v>0</v>
      </c>
      <c r="F119" s="139">
        <f t="shared" si="33"/>
        <v>0</v>
      </c>
      <c r="G119" s="139">
        <f t="shared" si="33"/>
        <v>0</v>
      </c>
      <c r="H119" s="139">
        <f t="shared" si="33"/>
        <v>170.15329744616795</v>
      </c>
      <c r="I119" s="139">
        <f t="shared" si="33"/>
        <v>170.15329744616795</v>
      </c>
      <c r="J119" s="139">
        <f t="shared" si="33"/>
        <v>170.15329744616795</v>
      </c>
      <c r="K119" s="148"/>
      <c r="L119" s="36"/>
      <c r="M119" s="36"/>
    </row>
    <row r="120" spans="1:13">
      <c r="A120" s="149">
        <v>4</v>
      </c>
      <c r="C120" s="149" t="s">
        <v>472</v>
      </c>
      <c r="E120" s="139">
        <f t="shared" si="33"/>
        <v>0</v>
      </c>
      <c r="F120" s="139">
        <f t="shared" si="33"/>
        <v>0</v>
      </c>
      <c r="G120" s="139">
        <f t="shared" si="33"/>
        <v>0</v>
      </c>
      <c r="H120" s="139">
        <f t="shared" si="33"/>
        <v>0</v>
      </c>
      <c r="I120" s="139">
        <f t="shared" si="33"/>
        <v>142.7018060772692</v>
      </c>
      <c r="J120" s="139">
        <f t="shared" si="33"/>
        <v>142.7018060772692</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126.03667040642419</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4090.9649899999999</v>
      </c>
      <c r="F123" s="139">
        <f t="shared" ref="F123:J123" si="34">F105-F117+IF($A123=F$103,F$104,0)</f>
        <v>4000.054656888889</v>
      </c>
      <c r="G123" s="139">
        <f t="shared" si="34"/>
        <v>3909.144323777778</v>
      </c>
      <c r="H123" s="139">
        <f t="shared" si="34"/>
        <v>3818.2339906666671</v>
      </c>
      <c r="I123" s="139">
        <f t="shared" si="34"/>
        <v>3727.3236575555561</v>
      </c>
      <c r="J123" s="139">
        <f t="shared" si="34"/>
        <v>3636.4133244444452</v>
      </c>
      <c r="K123" s="148"/>
      <c r="L123" s="36"/>
      <c r="M123" s="36"/>
    </row>
    <row r="124" spans="1:13">
      <c r="A124" s="149">
        <v>2</v>
      </c>
      <c r="C124" s="149" t="s">
        <v>476</v>
      </c>
      <c r="E124" s="139">
        <f t="shared" ref="E124:J128" si="35">E106-E118+IF($A124=E$103,E$104,0)</f>
        <v>0</v>
      </c>
      <c r="F124" s="139">
        <f t="shared" si="35"/>
        <v>8697.5539292101366</v>
      </c>
      <c r="G124" s="139">
        <f t="shared" si="35"/>
        <v>8504.2749530054662</v>
      </c>
      <c r="H124" s="139">
        <f t="shared" si="35"/>
        <v>8310.9959768007957</v>
      </c>
      <c r="I124" s="139">
        <f t="shared" si="35"/>
        <v>8117.7170005961261</v>
      </c>
      <c r="J124" s="139">
        <f t="shared" si="35"/>
        <v>7924.4380243914566</v>
      </c>
      <c r="K124" s="148"/>
      <c r="L124" s="36"/>
      <c r="M124" s="36"/>
    </row>
    <row r="125" spans="1:13">
      <c r="A125" s="149">
        <v>3</v>
      </c>
      <c r="C125" s="149" t="s">
        <v>477</v>
      </c>
      <c r="E125" s="139">
        <f t="shared" si="35"/>
        <v>0</v>
      </c>
      <c r="F125" s="139">
        <f t="shared" si="35"/>
        <v>0</v>
      </c>
      <c r="G125" s="139">
        <f t="shared" si="35"/>
        <v>7656.8983850775576</v>
      </c>
      <c r="H125" s="139">
        <f t="shared" si="35"/>
        <v>7486.7450876313897</v>
      </c>
      <c r="I125" s="139">
        <f t="shared" si="35"/>
        <v>7316.5917901852217</v>
      </c>
      <c r="J125" s="139">
        <f t="shared" si="35"/>
        <v>7146.4384927390538</v>
      </c>
      <c r="K125" s="148"/>
      <c r="L125" s="36"/>
      <c r="M125" s="36"/>
    </row>
    <row r="126" spans="1:13">
      <c r="A126" s="149">
        <v>4</v>
      </c>
      <c r="C126" s="149" t="s">
        <v>478</v>
      </c>
      <c r="E126" s="139">
        <f t="shared" si="35"/>
        <v>0</v>
      </c>
      <c r="F126" s="139">
        <f t="shared" si="35"/>
        <v>0</v>
      </c>
      <c r="G126" s="139">
        <f t="shared" si="35"/>
        <v>0</v>
      </c>
      <c r="H126" s="139">
        <f t="shared" si="35"/>
        <v>6421.5812734771134</v>
      </c>
      <c r="I126" s="139">
        <f t="shared" si="35"/>
        <v>6278.8794673998445</v>
      </c>
      <c r="J126" s="139">
        <f t="shared" si="35"/>
        <v>6136.1776613225757</v>
      </c>
      <c r="K126" s="148"/>
      <c r="L126" s="36"/>
      <c r="M126" s="36"/>
    </row>
    <row r="127" spans="1:13">
      <c r="A127" s="149">
        <v>5</v>
      </c>
      <c r="C127" s="149" t="s">
        <v>479</v>
      </c>
      <c r="E127" s="139">
        <f t="shared" si="35"/>
        <v>0</v>
      </c>
      <c r="F127" s="139">
        <f t="shared" si="35"/>
        <v>0</v>
      </c>
      <c r="G127" s="139">
        <f t="shared" si="35"/>
        <v>0</v>
      </c>
      <c r="H127" s="139">
        <f t="shared" si="35"/>
        <v>0</v>
      </c>
      <c r="I127" s="139">
        <f t="shared" si="35"/>
        <v>5671.6501682890885</v>
      </c>
      <c r="J127" s="139">
        <f t="shared" si="35"/>
        <v>5545.613497882664</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6461.05576373642</v>
      </c>
      <c r="K128" s="148"/>
      <c r="L128" s="36"/>
      <c r="M128" s="36"/>
    </row>
    <row r="129" spans="3:13">
      <c r="C129" s="149" t="s">
        <v>72</v>
      </c>
      <c r="E129" s="139">
        <f>SUM(E105:E110)</f>
        <v>0</v>
      </c>
      <c r="F129" s="139">
        <f t="shared" ref="F129:J129" si="36">SUM(F105:F110)</f>
        <v>4090.9649899999999</v>
      </c>
      <c r="G129" s="139">
        <f t="shared" si="36"/>
        <v>12697.608586099026</v>
      </c>
      <c r="H129" s="139">
        <f t="shared" si="36"/>
        <v>20070.317661860801</v>
      </c>
      <c r="I129" s="139">
        <f t="shared" si="36"/>
        <v>26037.556328575967</v>
      </c>
      <c r="J129" s="139">
        <f t="shared" si="36"/>
        <v>31112.162084025837</v>
      </c>
      <c r="K129" s="148"/>
      <c r="L129" s="36"/>
      <c r="M129" s="36"/>
    </row>
    <row r="130" spans="3:13">
      <c r="C130" s="149" t="s">
        <v>67</v>
      </c>
      <c r="E130" s="139">
        <f>SUM(E117:E122)</f>
        <v>0</v>
      </c>
      <c r="F130" s="139">
        <f t="shared" ref="F130:J130" si="37">SUM(F117:F122)</f>
        <v>90.910333111111115</v>
      </c>
      <c r="G130" s="139">
        <f t="shared" si="37"/>
        <v>284.1893093157808</v>
      </c>
      <c r="H130" s="139">
        <f t="shared" si="37"/>
        <v>454.34260676194879</v>
      </c>
      <c r="I130" s="139">
        <f t="shared" si="37"/>
        <v>597.04441283921801</v>
      </c>
      <c r="J130" s="139">
        <f t="shared" si="37"/>
        <v>723.08108324564216</v>
      </c>
      <c r="K130" s="148"/>
      <c r="L130" s="36"/>
      <c r="M130" s="36"/>
    </row>
    <row r="131" spans="3:13" s="36" customFormat="1">
      <c r="C131" s="36" t="s">
        <v>73</v>
      </c>
      <c r="E131" s="139">
        <f>SUM(E123:E128)</f>
        <v>4090.9649899999999</v>
      </c>
      <c r="F131" s="139">
        <f t="shared" ref="F131:J131" si="38">SUM(F123:F128)</f>
        <v>12697.608586099026</v>
      </c>
      <c r="G131" s="139">
        <f t="shared" si="38"/>
        <v>20070.317661860801</v>
      </c>
      <c r="H131" s="139">
        <f t="shared" si="38"/>
        <v>26037.556328575967</v>
      </c>
      <c r="I131" s="139">
        <f t="shared" si="38"/>
        <v>31112.162084025837</v>
      </c>
      <c r="J131" s="139">
        <f t="shared" si="38"/>
        <v>36850.136764516617</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149225.17999136192</v>
      </c>
      <c r="F134" s="139">
        <f>E137</f>
        <v>142837.55524450773</v>
      </c>
      <c r="G134" s="139">
        <f t="shared" ref="G134:J134" si="39">F137</f>
        <v>136449.93049765355</v>
      </c>
      <c r="H134" s="139">
        <f t="shared" si="39"/>
        <v>130062.30575079938</v>
      </c>
      <c r="I134" s="139">
        <f t="shared" si="39"/>
        <v>123674.68100394521</v>
      </c>
      <c r="J134" s="139">
        <f t="shared" si="39"/>
        <v>117287.05625709104</v>
      </c>
      <c r="K134" s="148"/>
      <c r="L134" s="36"/>
      <c r="M134" s="36"/>
    </row>
    <row r="135" spans="3:13">
      <c r="C135" s="149" t="s">
        <v>41</v>
      </c>
      <c r="E135" s="139">
        <f t="shared" ref="E135:J135" si="40">E55</f>
        <v>0</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6387.6247468541751</v>
      </c>
      <c r="F136" s="139">
        <f t="shared" si="41"/>
        <v>6387.6247468541751</v>
      </c>
      <c r="G136" s="139">
        <f t="shared" si="41"/>
        <v>6387.6247468541751</v>
      </c>
      <c r="H136" s="139">
        <f t="shared" si="41"/>
        <v>6387.6247468541751</v>
      </c>
      <c r="I136" s="139">
        <f t="shared" si="41"/>
        <v>6387.6247468541751</v>
      </c>
      <c r="J136" s="139">
        <f t="shared" si="41"/>
        <v>6387.6247468541751</v>
      </c>
      <c r="K136" s="148"/>
      <c r="L136" s="36"/>
      <c r="M136" s="36"/>
    </row>
    <row r="137" spans="3:13">
      <c r="C137" s="149" t="s">
        <v>66</v>
      </c>
      <c r="E137" s="139">
        <f t="shared" ref="E137:J137" si="42">E134-E135-E136</f>
        <v>142837.55524450773</v>
      </c>
      <c r="F137" s="139">
        <f t="shared" si="42"/>
        <v>136449.93049765355</v>
      </c>
      <c r="G137" s="139">
        <f t="shared" si="42"/>
        <v>130062.30575079938</v>
      </c>
      <c r="H137" s="139">
        <f t="shared" si="42"/>
        <v>123674.68100394521</v>
      </c>
      <c r="I137" s="139">
        <f t="shared" si="42"/>
        <v>117287.05625709104</v>
      </c>
      <c r="J137" s="139">
        <f t="shared" si="42"/>
        <v>110899.43151023687</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149225.17999136192</v>
      </c>
      <c r="F140" s="139">
        <f t="shared" si="43"/>
        <v>149500.24460601647</v>
      </c>
      <c r="G140" s="139">
        <f t="shared" si="43"/>
        <v>154566.18738515073</v>
      </c>
      <c r="H140" s="139">
        <f t="shared" si="43"/>
        <v>159061.68348394806</v>
      </c>
      <c r="I140" s="139">
        <f t="shared" si="43"/>
        <v>162072.73067859598</v>
      </c>
      <c r="J140" s="139">
        <f t="shared" si="43"/>
        <v>164078.99943078833</v>
      </c>
      <c r="K140" s="148"/>
      <c r="L140" s="36"/>
      <c r="M140" s="36"/>
    </row>
    <row r="141" spans="3:13">
      <c r="C141" s="149" t="s">
        <v>268</v>
      </c>
      <c r="E141" s="139">
        <f t="shared" ref="E141:J143" si="44">E60+E98</f>
        <v>2571.7243715087229</v>
      </c>
      <c r="F141" s="139">
        <f t="shared" si="44"/>
        <v>2961.93017043602</v>
      </c>
      <c r="G141" s="139">
        <f t="shared" si="44"/>
        <v>3762.1225503841697</v>
      </c>
      <c r="H141" s="139">
        <f t="shared" si="44"/>
        <v>3859.7555774712141</v>
      </c>
      <c r="I141" s="139">
        <f t="shared" si="44"/>
        <v>3932.8209817157522</v>
      </c>
      <c r="J141" s="139">
        <f t="shared" si="44"/>
        <v>3981.5046548453788</v>
      </c>
      <c r="K141" s="148"/>
      <c r="L141" s="36"/>
      <c r="M141" s="36"/>
    </row>
    <row r="142" spans="3:13">
      <c r="C142" s="149" t="s">
        <v>267</v>
      </c>
      <c r="E142" s="139">
        <f>E61+E99</f>
        <v>6387.6247468541751</v>
      </c>
      <c r="F142" s="139">
        <f t="shared" si="44"/>
        <v>6593.5413205118793</v>
      </c>
      <c r="G142" s="139">
        <f t="shared" si="44"/>
        <v>6923.52483666438</v>
      </c>
      <c r="H142" s="139">
        <f t="shared" si="44"/>
        <v>7270.2896563004015</v>
      </c>
      <c r="I142" s="139">
        <f t="shared" si="44"/>
        <v>7598.2023978124789</v>
      </c>
      <c r="J142" s="139">
        <f t="shared" si="44"/>
        <v>7918.192749397238</v>
      </c>
      <c r="K142" s="148"/>
      <c r="L142" s="36"/>
      <c r="M142" s="36"/>
    </row>
    <row r="143" spans="3:13">
      <c r="C143" s="149" t="s">
        <v>270</v>
      </c>
      <c r="E143" s="139">
        <f t="shared" si="44"/>
        <v>149500.24460601647</v>
      </c>
      <c r="F143" s="139">
        <f t="shared" si="44"/>
        <v>154566.18738515073</v>
      </c>
      <c r="G143" s="139">
        <f t="shared" si="44"/>
        <v>159061.68348394806</v>
      </c>
      <c r="H143" s="139">
        <f t="shared" si="44"/>
        <v>162072.73067859598</v>
      </c>
      <c r="I143" s="139">
        <f t="shared" si="44"/>
        <v>164078.99943078833</v>
      </c>
      <c r="J143" s="216">
        <f t="shared" si="44"/>
        <v>166603.36709997291</v>
      </c>
      <c r="K143" s="148"/>
      <c r="L143" s="36"/>
      <c r="M143" s="36"/>
    </row>
    <row r="144" spans="3:13">
      <c r="C144" s="149" t="s">
        <v>46</v>
      </c>
      <c r="E144" s="139">
        <f t="shared" ref="E144:J144" si="45">E130+E136</f>
        <v>6387.6247468541751</v>
      </c>
      <c r="F144" s="139">
        <f t="shared" si="45"/>
        <v>6478.5350799652861</v>
      </c>
      <c r="G144" s="139">
        <f t="shared" si="45"/>
        <v>6671.8140561699556</v>
      </c>
      <c r="H144" s="139">
        <f t="shared" si="45"/>
        <v>6841.9673536161235</v>
      </c>
      <c r="I144" s="139">
        <f t="shared" si="45"/>
        <v>6984.6691596933933</v>
      </c>
      <c r="J144" s="139">
        <f t="shared" si="45"/>
        <v>7110.7058300998169</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1.0018432855277539</v>
      </c>
      <c r="G148" s="308">
        <f t="shared" ref="G148:J148" si="46">G140/$E140</f>
        <v>1.035791596258071</v>
      </c>
      <c r="H148" s="308">
        <f t="shared" si="46"/>
        <v>1.0659171829657403</v>
      </c>
      <c r="I148" s="308">
        <f t="shared" si="46"/>
        <v>1.0860950590776821</v>
      </c>
      <c r="J148" s="308">
        <f t="shared" si="46"/>
        <v>1.0995396315842021</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9.0486342557070429E-2</v>
      </c>
      <c r="E152" s="36"/>
      <c r="F152" s="36"/>
      <c r="G152" s="36"/>
      <c r="H152" s="36"/>
      <c r="I152" s="36"/>
      <c r="J152" s="36"/>
      <c r="K152" s="148"/>
      <c r="L152" s="36"/>
      <c r="M152" s="36"/>
    </row>
    <row r="153" spans="1:13">
      <c r="C153" s="149" t="s">
        <v>282</v>
      </c>
      <c r="E153" s="135">
        <f>E16</f>
        <v>41922.555983600039</v>
      </c>
      <c r="F153" s="139">
        <f>E157</f>
        <v>42220.102212000042</v>
      </c>
      <c r="G153" s="139">
        <f t="shared" ref="G153:J153" si="48">F157</f>
        <v>47097.31350966062</v>
      </c>
      <c r="H153" s="139">
        <f t="shared" si="48"/>
        <v>50492.548250985281</v>
      </c>
      <c r="I153" s="139">
        <f t="shared" si="48"/>
        <v>52345.24350684433</v>
      </c>
      <c r="J153" s="139">
        <f t="shared" si="48"/>
        <v>53280.364039939835</v>
      </c>
      <c r="K153" s="148"/>
      <c r="L153" s="36"/>
      <c r="M153" s="36"/>
    </row>
    <row r="154" spans="1:13">
      <c r="C154" s="149" t="s">
        <v>35</v>
      </c>
      <c r="E154" s="135">
        <f>E15</f>
        <v>3793.4187615999958</v>
      </c>
      <c r="F154" s="139">
        <f t="shared" ref="F154:J154" si="49">F153*$D152</f>
        <v>3820.3426315495626</v>
      </c>
      <c r="G154" s="139">
        <f t="shared" si="49"/>
        <v>4261.6636437528914</v>
      </c>
      <c r="H154" s="139">
        <f t="shared" si="49"/>
        <v>4568.8860176180615</v>
      </c>
      <c r="I154" s="139">
        <f t="shared" si="49"/>
        <v>4736.5296351935831</v>
      </c>
      <c r="J154" s="139">
        <f t="shared" si="49"/>
        <v>4821.1452720834131</v>
      </c>
      <c r="K154" s="148"/>
      <c r="L154" s="36"/>
      <c r="M154" s="36"/>
    </row>
    <row r="155" spans="1:13">
      <c r="C155" s="149" t="s">
        <v>124</v>
      </c>
      <c r="E155" s="139">
        <f t="shared" ref="E155:J155" si="50">E25</f>
        <v>4090.9649899999999</v>
      </c>
      <c r="F155" s="139">
        <f t="shared" si="50"/>
        <v>8697.5539292101366</v>
      </c>
      <c r="G155" s="139">
        <f t="shared" si="50"/>
        <v>7656.8983850775576</v>
      </c>
      <c r="H155" s="139">
        <f t="shared" si="50"/>
        <v>6421.5812734771134</v>
      </c>
      <c r="I155" s="139">
        <f t="shared" si="50"/>
        <v>5671.6501682890885</v>
      </c>
      <c r="J155" s="139">
        <f t="shared" si="50"/>
        <v>6461.05576373642</v>
      </c>
      <c r="K155" s="148"/>
      <c r="L155" s="309"/>
      <c r="M155" s="36"/>
    </row>
    <row r="156" spans="1:13">
      <c r="C156" s="149" t="s">
        <v>41</v>
      </c>
      <c r="E156" s="139">
        <f>E55</f>
        <v>0</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42220.102212000042</v>
      </c>
      <c r="F157" s="139">
        <f t="shared" ref="F157:J157" si="52">F153-F154+F155-F156</f>
        <v>47097.31350966062</v>
      </c>
      <c r="G157" s="139">
        <f t="shared" si="52"/>
        <v>50492.548250985281</v>
      </c>
      <c r="H157" s="139">
        <f t="shared" si="52"/>
        <v>52345.24350684433</v>
      </c>
      <c r="I157" s="139">
        <f t="shared" si="52"/>
        <v>53280.364039939835</v>
      </c>
      <c r="J157" s="139">
        <f t="shared" si="52"/>
        <v>54920.274531592841</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2594.2059852541793</v>
      </c>
      <c r="F160" s="139">
        <f t="shared" si="53"/>
        <v>2658.1924484157234</v>
      </c>
      <c r="G160" s="139">
        <f t="shared" si="53"/>
        <v>2410.1504124170642</v>
      </c>
      <c r="H160" s="139">
        <f t="shared" si="53"/>
        <v>2273.0813359980621</v>
      </c>
      <c r="I160" s="139">
        <f t="shared" si="53"/>
        <v>2248.1395244998102</v>
      </c>
      <c r="J160" s="139">
        <f t="shared" si="53"/>
        <v>2289.5605580164038</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-198.50916325561033</v>
      </c>
      <c r="G163" s="310">
        <f t="shared" ref="G163:J163" si="54">F166</f>
        <v>-377.8223875627574</v>
      </c>
      <c r="H163" s="310">
        <f t="shared" si="54"/>
        <v>-614.63316699571931</v>
      </c>
      <c r="I163" s="310">
        <f t="shared" si="54"/>
        <v>-889.82328782600177</v>
      </c>
      <c r="J163" s="310">
        <f t="shared" si="54"/>
        <v>-1171.9971158757949</v>
      </c>
      <c r="K163" s="148"/>
      <c r="L163" s="36"/>
      <c r="M163" s="36"/>
    </row>
    <row r="164" spans="3:13">
      <c r="C164" s="149" t="s">
        <v>238</v>
      </c>
      <c r="E164" s="139">
        <f t="shared" ref="E164:J164" si="55">E160</f>
        <v>2594.2059852541793</v>
      </c>
      <c r="F164" s="139">
        <f t="shared" si="55"/>
        <v>2658.1924484157234</v>
      </c>
      <c r="G164" s="139">
        <f t="shared" si="55"/>
        <v>2410.1504124170642</v>
      </c>
      <c r="H164" s="139">
        <f t="shared" si="55"/>
        <v>2273.0813359980621</v>
      </c>
      <c r="I164" s="139">
        <f t="shared" si="55"/>
        <v>2248.1395244998102</v>
      </c>
      <c r="J164" s="139">
        <f t="shared" si="55"/>
        <v>2289.5605580164038</v>
      </c>
      <c r="K164" s="148"/>
      <c r="L164" s="36"/>
      <c r="M164" s="36"/>
    </row>
    <row r="165" spans="3:13">
      <c r="C165" s="149" t="s">
        <v>49</v>
      </c>
      <c r="E165" s="135">
        <f>(E11-E16)/E17</f>
        <v>3255.9031961062137</v>
      </c>
      <c r="F165" s="139">
        <f>E165</f>
        <v>3255.9031961062137</v>
      </c>
      <c r="G165" s="139">
        <f t="shared" ref="G165:J165" si="56">F165</f>
        <v>3255.9031961062137</v>
      </c>
      <c r="H165" s="139">
        <f t="shared" si="56"/>
        <v>3255.9031961062137</v>
      </c>
      <c r="I165" s="139">
        <f t="shared" si="56"/>
        <v>3255.9031961062137</v>
      </c>
      <c r="J165" s="139">
        <f t="shared" si="56"/>
        <v>3255.9031961062137</v>
      </c>
      <c r="K165" s="148"/>
      <c r="L165" s="36"/>
      <c r="M165" s="36"/>
    </row>
    <row r="166" spans="3:13">
      <c r="C166" s="149" t="s">
        <v>266</v>
      </c>
      <c r="E166" s="310">
        <f t="shared" ref="E166:J166" si="57">E163+(E164-E165)*E52</f>
        <v>-198.50916325561033</v>
      </c>
      <c r="F166" s="310">
        <f t="shared" si="57"/>
        <v>-377.8223875627574</v>
      </c>
      <c r="G166" s="310">
        <f t="shared" si="57"/>
        <v>-614.63316699571931</v>
      </c>
      <c r="H166" s="310">
        <f t="shared" si="57"/>
        <v>-889.82328782600177</v>
      </c>
      <c r="I166" s="310">
        <f t="shared" si="57"/>
        <v>-1171.9971158757949</v>
      </c>
      <c r="J166" s="310">
        <f t="shared" si="57"/>
        <v>-1442.5730545409417</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149225.17999136192</v>
      </c>
      <c r="F169" s="139">
        <f t="shared" si="58"/>
        <v>149301.73544276087</v>
      </c>
      <c r="G169" s="139">
        <f t="shared" si="58"/>
        <v>154188.36499758798</v>
      </c>
      <c r="H169" s="139">
        <f t="shared" si="58"/>
        <v>158447.05031695234</v>
      </c>
      <c r="I169" s="139">
        <f t="shared" si="58"/>
        <v>161182.90739076998</v>
      </c>
      <c r="J169" s="139">
        <f t="shared" si="58"/>
        <v>162907.00231491253</v>
      </c>
      <c r="K169" s="148"/>
      <c r="L169" s="36"/>
      <c r="M169" s="36"/>
    </row>
    <row r="170" spans="3:13">
      <c r="C170" s="149" t="s">
        <v>124</v>
      </c>
      <c r="E170" s="139">
        <f t="shared" ref="E170:J170" si="59">E25</f>
        <v>4090.9649899999999</v>
      </c>
      <c r="F170" s="139">
        <f t="shared" si="59"/>
        <v>8697.5539292101366</v>
      </c>
      <c r="G170" s="139">
        <f t="shared" si="59"/>
        <v>7656.8983850775576</v>
      </c>
      <c r="H170" s="139">
        <f t="shared" si="59"/>
        <v>6421.5812734771134</v>
      </c>
      <c r="I170" s="139">
        <f t="shared" si="59"/>
        <v>5671.6501682890885</v>
      </c>
      <c r="J170" s="139">
        <f t="shared" si="59"/>
        <v>6461.05576373642</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2571.7243715087229</v>
      </c>
      <c r="F172" s="95">
        <f t="shared" si="61"/>
        <v>2961.93017043602</v>
      </c>
      <c r="G172" s="95">
        <f t="shared" si="61"/>
        <v>3762.1225503841697</v>
      </c>
      <c r="H172" s="95">
        <f t="shared" si="61"/>
        <v>3859.7555774712141</v>
      </c>
      <c r="I172" s="95">
        <f t="shared" si="61"/>
        <v>3932.8209817157522</v>
      </c>
      <c r="J172" s="95">
        <f t="shared" si="61"/>
        <v>3981.5046548453788</v>
      </c>
      <c r="K172" s="148"/>
      <c r="L172" s="36"/>
      <c r="M172" s="36"/>
    </row>
    <row r="173" spans="3:13">
      <c r="C173" s="149" t="s">
        <v>334</v>
      </c>
      <c r="E173" s="139">
        <f t="shared" ref="E173:J173" si="62">E169*WACC+E170*($D$46-1)+E171-E172</f>
        <v>10690.451883285672</v>
      </c>
      <c r="F173" s="139">
        <f t="shared" si="62"/>
        <v>10504.161041565569</v>
      </c>
      <c r="G173" s="139">
        <f t="shared" si="62"/>
        <v>10087.977197481141</v>
      </c>
      <c r="H173" s="139">
        <f t="shared" si="62"/>
        <v>10310.948832103617</v>
      </c>
      <c r="I173" s="139">
        <f t="shared" si="62"/>
        <v>10445.714686805193</v>
      </c>
      <c r="J173" s="139">
        <f t="shared" si="62"/>
        <v>10582.027387651517</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5206.7649802586002</v>
      </c>
      <c r="F176" s="310">
        <f t="shared" si="63"/>
        <v>5209.436153068812</v>
      </c>
      <c r="G176" s="310">
        <f t="shared" si="63"/>
        <v>5379.9404314958401</v>
      </c>
      <c r="H176" s="310">
        <f t="shared" si="63"/>
        <v>5528.5344796591007</v>
      </c>
      <c r="I176" s="310">
        <f t="shared" si="63"/>
        <v>5623.9940046787451</v>
      </c>
      <c r="J176" s="310">
        <f t="shared" si="63"/>
        <v>5684.1511247719272</v>
      </c>
      <c r="K176" s="148"/>
      <c r="L176" s="36"/>
      <c r="M176" s="36"/>
    </row>
    <row r="177" spans="3:13">
      <c r="C177" s="149" t="s">
        <v>52</v>
      </c>
      <c r="E177" s="310">
        <f t="shared" ref="E177:J177" si="64">E142-E144</f>
        <v>0</v>
      </c>
      <c r="F177" s="310">
        <f t="shared" si="64"/>
        <v>115.00624054659329</v>
      </c>
      <c r="G177" s="310">
        <f t="shared" si="64"/>
        <v>251.7107804944244</v>
      </c>
      <c r="H177" s="310">
        <f t="shared" si="64"/>
        <v>428.32230268427793</v>
      </c>
      <c r="I177" s="310">
        <f t="shared" si="64"/>
        <v>613.53323811908558</v>
      </c>
      <c r="J177" s="310">
        <f t="shared" si="64"/>
        <v>807.48691929742108</v>
      </c>
      <c r="K177" s="148"/>
      <c r="L177" s="36"/>
      <c r="M177" s="36"/>
    </row>
    <row r="178" spans="3:13">
      <c r="C178" s="149" t="s">
        <v>53</v>
      </c>
      <c r="E178" s="310">
        <f t="shared" ref="E178:J178" si="65">E165+E177-E176</f>
        <v>-1950.8617841523865</v>
      </c>
      <c r="F178" s="310">
        <f t="shared" si="65"/>
        <v>-1838.526716416005</v>
      </c>
      <c r="G178" s="310">
        <f t="shared" si="65"/>
        <v>-1872.326454895202</v>
      </c>
      <c r="H178" s="310">
        <f t="shared" si="65"/>
        <v>-1844.3089808686091</v>
      </c>
      <c r="I178" s="310">
        <f t="shared" si="65"/>
        <v>-1754.5575704534458</v>
      </c>
      <c r="J178" s="310">
        <f t="shared" si="65"/>
        <v>-1620.7610093682924</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6387.6247468541751</v>
      </c>
      <c r="F181" s="139">
        <f t="shared" si="66"/>
        <v>6593.5413205118793</v>
      </c>
      <c r="G181" s="139">
        <f t="shared" si="66"/>
        <v>6923.52483666438</v>
      </c>
      <c r="H181" s="139">
        <f t="shared" si="66"/>
        <v>7270.2896563004015</v>
      </c>
      <c r="I181" s="139">
        <f t="shared" si="66"/>
        <v>7598.2023978124789</v>
      </c>
      <c r="J181" s="139">
        <f t="shared" si="66"/>
        <v>7918.192749397238</v>
      </c>
      <c r="K181" s="148"/>
      <c r="L181" s="36"/>
      <c r="M181" s="36"/>
    </row>
    <row r="182" spans="3:13">
      <c r="C182" s="149" t="s">
        <v>275</v>
      </c>
      <c r="E182" s="139">
        <f>E55</f>
        <v>0</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6387.6247468541751</v>
      </c>
      <c r="F183" s="95">
        <f>F181+F182</f>
        <v>6593.5413205118793</v>
      </c>
      <c r="G183" s="95">
        <f t="shared" ref="G183:J183" si="68">G181+G182</f>
        <v>6923.52483666438</v>
      </c>
      <c r="H183" s="95">
        <f t="shared" si="68"/>
        <v>7270.2896563004015</v>
      </c>
      <c r="I183" s="95">
        <f t="shared" si="68"/>
        <v>7598.2023978124789</v>
      </c>
      <c r="J183" s="95">
        <f t="shared" si="68"/>
        <v>7918.192749397238</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288.34864584099455</v>
      </c>
      <c r="F186" s="139">
        <f t="shared" ref="F186:J186" si="69">F40</f>
        <v>301.22839392322675</v>
      </c>
      <c r="G186" s="139">
        <f t="shared" si="69"/>
        <v>305.95972995343453</v>
      </c>
      <c r="H186" s="139">
        <f t="shared" si="69"/>
        <v>311.74247399035511</v>
      </c>
      <c r="I186" s="139">
        <f t="shared" si="69"/>
        <v>318.31377403231028</v>
      </c>
      <c r="J186" s="139">
        <f t="shared" si="69"/>
        <v>325.4107780776219</v>
      </c>
      <c r="K186" s="148"/>
      <c r="L186" s="36"/>
      <c r="M186" s="36"/>
    </row>
    <row r="187" spans="3:13">
      <c r="E187" s="36"/>
      <c r="F187" s="95"/>
      <c r="G187" s="95"/>
      <c r="H187" s="95"/>
      <c r="I187" s="95"/>
      <c r="J187" s="95"/>
      <c r="K187" s="148"/>
      <c r="L187" s="36"/>
      <c r="M187" s="36"/>
    </row>
    <row r="188" spans="3:13" ht="15.75">
      <c r="C188" s="5" t="s">
        <v>297</v>
      </c>
      <c r="E188" s="139">
        <f t="shared" ref="E188:J188" si="70">E24</f>
        <v>7258.5558799999999</v>
      </c>
      <c r="F188" s="139">
        <f t="shared" si="70"/>
        <v>7484.3299427154088</v>
      </c>
      <c r="G188" s="139">
        <f t="shared" si="70"/>
        <v>7734.4514747602188</v>
      </c>
      <c r="H188" s="139">
        <f t="shared" si="70"/>
        <v>7972.9790268414881</v>
      </c>
      <c r="I188" s="139">
        <f t="shared" si="70"/>
        <v>8214.4114583558749</v>
      </c>
      <c r="J188" s="139">
        <f t="shared" si="70"/>
        <v>8461.7563853807715</v>
      </c>
      <c r="K188" s="148"/>
      <c r="L188" s="309"/>
      <c r="M188" s="36"/>
    </row>
    <row r="189" spans="3:13">
      <c r="C189" s="149" t="s">
        <v>298</v>
      </c>
      <c r="E189" s="139">
        <f t="shared" ref="E189:J189" si="71">E188*$D$44</f>
        <v>7569.283582693879</v>
      </c>
      <c r="F189" s="139">
        <f t="shared" si="71"/>
        <v>7804.7226885659747</v>
      </c>
      <c r="G189" s="139">
        <f t="shared" si="71"/>
        <v>8065.5515417820252</v>
      </c>
      <c r="H189" s="139">
        <f t="shared" si="71"/>
        <v>8314.2900944414705</v>
      </c>
      <c r="I189" s="139">
        <f t="shared" si="71"/>
        <v>8566.0578799905325</v>
      </c>
      <c r="J189" s="139">
        <f t="shared" si="71"/>
        <v>8823.9912659620895</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-198.50916325561033</v>
      </c>
      <c r="F192" s="310">
        <f t="shared" si="72"/>
        <v>-179.31322430714707</v>
      </c>
      <c r="G192" s="310">
        <f t="shared" si="72"/>
        <v>-236.81077943296191</v>
      </c>
      <c r="H192" s="310">
        <f t="shared" si="72"/>
        <v>-275.19012083028247</v>
      </c>
      <c r="I192" s="310">
        <f t="shared" si="72"/>
        <v>-282.17382804979309</v>
      </c>
      <c r="J192" s="310">
        <f t="shared" si="72"/>
        <v>-270.57593866514685</v>
      </c>
      <c r="K192" s="148"/>
      <c r="L192" s="309"/>
      <c r="M192" s="36"/>
    </row>
    <row r="193" spans="2:15">
      <c r="C193" s="149" t="s">
        <v>285</v>
      </c>
      <c r="E193" s="36"/>
      <c r="F193" s="310">
        <f>(F173+F183+F189+((F186-F188-F142+F178)*F52+F192)*$D45-F192-F186*$D47)/($D48-F52*$D45)</f>
        <v>27285.490380798354</v>
      </c>
      <c r="G193" s="310">
        <f>(G173+G183+G189+((G186-G188-G142+G178)*G52+G192)*$D45-G192-G186*$D47)/($D48-G52*$D45)</f>
        <v>26943.44195396642</v>
      </c>
      <c r="H193" s="310">
        <f>(H173+H183+H189+((H186-H188-H142+H178)*H52+H192)*$D45-H192-H186*$D47)/($D48-H52*$D45)</f>
        <v>27818.33630945921</v>
      </c>
      <c r="I193" s="310">
        <f>(I173+I183+I189+((I186-I188-I142+I178)*I52+I192)*$D45-I192-I186*$D47)/($D48-I52*$D45)</f>
        <v>28584.7128808415</v>
      </c>
      <c r="J193" s="310">
        <f>(J173+J183+J189+((J186-J188-J142+J178)*J52+J192)*$D45-J192-J186*$D47)/($D48-J52*$D45)</f>
        <v>29369.452804569224</v>
      </c>
      <c r="K193" s="148"/>
      <c r="L193" s="309"/>
      <c r="M193" s="36"/>
    </row>
    <row r="194" spans="2:15">
      <c r="C194" s="149" t="s">
        <v>293</v>
      </c>
      <c r="E194" s="36"/>
      <c r="F194" s="310">
        <f>(F193+F186-F188-F181+F178)*F52</f>
        <v>3501.0962385234861</v>
      </c>
      <c r="G194" s="310">
        <f>(G193+G186-G188-G181+G178)*G52</f>
        <v>3001.3476969280155</v>
      </c>
      <c r="H194" s="310">
        <f>(H193+H186-H188-H181+H178)*H52</f>
        <v>3091.900313442939</v>
      </c>
      <c r="I194" s="310">
        <f>(I193+I186-I188-I181+I178)*I52</f>
        <v>3174.0394639105643</v>
      </c>
      <c r="J194" s="310">
        <f>(J193+J186-J188-J181+J178)*J52</f>
        <v>3274.362962780152</v>
      </c>
      <c r="K194" s="148"/>
      <c r="L194" s="309"/>
      <c r="M194" s="36"/>
    </row>
    <row r="195" spans="2:15">
      <c r="C195" s="149" t="s">
        <v>277</v>
      </c>
      <c r="E195" s="36"/>
      <c r="F195" s="310">
        <f>IF(F194&lt;0,#N/A,F194)</f>
        <v>3501.0962385234861</v>
      </c>
      <c r="G195" s="310">
        <f t="shared" ref="G195:J195" si="73">IF(G194&lt;0,#N/A,G194)</f>
        <v>3001.3476969280155</v>
      </c>
      <c r="H195" s="310">
        <f t="shared" si="73"/>
        <v>3091.900313442939</v>
      </c>
      <c r="I195" s="310">
        <f>IF(I194&lt;0,#N/A,I194)</f>
        <v>3174.0394639105643</v>
      </c>
      <c r="J195" s="310">
        <f t="shared" si="73"/>
        <v>3274.362962780152</v>
      </c>
      <c r="K195" s="148"/>
      <c r="L195" s="309"/>
      <c r="M195" s="36"/>
    </row>
    <row r="196" spans="2:15">
      <c r="C196" s="149" t="s">
        <v>286</v>
      </c>
      <c r="E196" s="36"/>
      <c r="F196" s="310">
        <f>F173+F183+F189+(F195+F192)*$D$45-F192-F186*$D$47</f>
        <v>28231.598230015741</v>
      </c>
      <c r="G196" s="310">
        <f>G173+G183+G189+(G195+G192)*$D$45-G192-G186*$D$47</f>
        <v>27877.689481198686</v>
      </c>
      <c r="H196" s="310">
        <f>H173+H183+H189+(H195+H192)*$D$45-H192-H186*$D$47</f>
        <v>28782.920268451202</v>
      </c>
      <c r="I196" s="310">
        <f>I173+I183+I189+(I195+I192)*$D$45-I192-I186*$D$47</f>
        <v>29575.870483169998</v>
      </c>
      <c r="J196" s="310">
        <f>J173+J183+J189+(J195+J192)*$D$45-J192-J186*$D$47</f>
        <v>30387.820788352165</v>
      </c>
      <c r="K196" s="148"/>
      <c r="L196" s="309"/>
      <c r="M196" s="36"/>
    </row>
    <row r="197" spans="2:15">
      <c r="C197" s="149" t="s">
        <v>287</v>
      </c>
      <c r="E197" s="36"/>
      <c r="F197" s="310">
        <f>F196/$D$48</f>
        <v>27285.490380798354</v>
      </c>
      <c r="G197" s="310">
        <f t="shared" ref="G197:J197" si="74">G196/$D$48</f>
        <v>26943.44195396642</v>
      </c>
      <c r="H197" s="310">
        <f t="shared" si="74"/>
        <v>27818.33630945921</v>
      </c>
      <c r="I197" s="310">
        <f t="shared" si="74"/>
        <v>28584.712880841496</v>
      </c>
      <c r="J197" s="310">
        <f t="shared" si="74"/>
        <v>29369.45280456922</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3321.7830142163389</v>
      </c>
      <c r="G199" s="310">
        <f t="shared" ref="G199:J199" si="75">G195+G192</f>
        <v>2764.5369174950538</v>
      </c>
      <c r="H199" s="310">
        <f t="shared" si="75"/>
        <v>2816.7101926126566</v>
      </c>
      <c r="I199" s="310">
        <f t="shared" si="75"/>
        <v>2891.8656358607714</v>
      </c>
      <c r="J199" s="310">
        <f t="shared" si="75"/>
        <v>3003.7870241150049</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28782.920268451202</v>
      </c>
      <c r="I204" s="310">
        <f>I196</f>
        <v>29575.870483169998</v>
      </c>
      <c r="J204" s="310">
        <f>J196</f>
        <v>30387.820788352165</v>
      </c>
      <c r="K204" s="148"/>
      <c r="L204" s="36"/>
      <c r="M204" s="36"/>
    </row>
    <row r="205" spans="2:15">
      <c r="B205" s="149" t="s">
        <v>247</v>
      </c>
      <c r="C205" s="149" t="s">
        <v>249</v>
      </c>
      <c r="D205" s="155"/>
      <c r="E205" s="36"/>
      <c r="F205" s="310"/>
      <c r="G205" s="310"/>
      <c r="H205" s="310">
        <f>H204/(1+WACC)^H$203</f>
        <v>26462.186511401309</v>
      </c>
      <c r="I205" s="310">
        <f>I204/(1+WACC)^I$203</f>
        <v>24998.806713529269</v>
      </c>
      <c r="J205" s="310">
        <f>J204/(1+WACC)^J$203</f>
        <v>23614.14202299825</v>
      </c>
      <c r="K205" s="148"/>
      <c r="L205" s="36"/>
      <c r="M205" s="36"/>
    </row>
    <row r="206" spans="2:15">
      <c r="B206" s="149" t="s">
        <v>247</v>
      </c>
      <c r="C206" s="149" t="s">
        <v>159</v>
      </c>
      <c r="D206" s="92">
        <f>SUM(H205:J205)</f>
        <v>75075.135247928833</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75075.135247928833</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1.0314485665222268</v>
      </c>
      <c r="J211" s="316">
        <f>I211*(1+J$31)*(1+J$26)*(1-X_industry_wide)</f>
        <v>1.0645439939846417</v>
      </c>
      <c r="K211" s="148"/>
      <c r="L211" s="36" t="s">
        <v>509</v>
      </c>
      <c r="M211" s="36"/>
    </row>
    <row r="212" spans="1:13">
      <c r="C212" s="149" t="s">
        <v>160</v>
      </c>
      <c r="D212" s="155"/>
      <c r="E212" s="36"/>
      <c r="F212" s="317"/>
      <c r="G212" s="316"/>
      <c r="H212" s="316">
        <f>H211/(1+WACC)^H$203</f>
        <v>0.91937115013330895</v>
      </c>
      <c r="I212" s="316">
        <f>I211/(1+WACC)^I$203</f>
        <v>0.87182500221282766</v>
      </c>
      <c r="J212" s="316">
        <f>J211/(1+WACC)^J$203</f>
        <v>0.8272489573625097</v>
      </c>
      <c r="K212" s="148"/>
      <c r="L212" s="36" t="s">
        <v>280</v>
      </c>
      <c r="M212" s="36"/>
    </row>
    <row r="213" spans="1:13">
      <c r="C213" s="149" t="s">
        <v>99</v>
      </c>
      <c r="D213" s="140">
        <f>SUM(H212:J212)</f>
        <v>2.6184451097086461</v>
      </c>
      <c r="E213" s="36"/>
      <c r="F213" s="317"/>
      <c r="G213" s="316"/>
      <c r="H213" s="316"/>
      <c r="I213" s="316"/>
      <c r="J213" s="316"/>
      <c r="K213" s="148"/>
      <c r="L213" s="36" t="s">
        <v>510</v>
      </c>
      <c r="M213" s="36"/>
    </row>
    <row r="214" spans="1:13">
      <c r="C214" s="149" t="s">
        <v>256</v>
      </c>
      <c r="D214" s="26">
        <f>D210/D213</f>
        <v>28671.647524542695</v>
      </c>
      <c r="E214" s="36"/>
      <c r="F214" s="317"/>
      <c r="G214" s="316"/>
      <c r="H214" s="310"/>
      <c r="I214" s="310"/>
      <c r="J214" s="310"/>
      <c r="K214" s="148"/>
      <c r="L214" s="36"/>
      <c r="M214" s="36"/>
    </row>
    <row r="215" spans="1:13">
      <c r="C215" s="149" t="s">
        <v>252</v>
      </c>
      <c r="D215" s="26"/>
      <c r="E215" s="36"/>
      <c r="F215" s="317"/>
      <c r="G215" s="316"/>
      <c r="H215" s="310">
        <f t="shared" ref="H215:J215" si="76">$D214*H211</f>
        <v>28671.647524542695</v>
      </c>
      <c r="I215" s="310">
        <f t="shared" si="76"/>
        <v>29573.329739020115</v>
      </c>
      <c r="J215" s="310">
        <f t="shared" si="76"/>
        <v>30522.230169896546</v>
      </c>
      <c r="K215" s="148"/>
      <c r="L215" s="36" t="s">
        <v>243</v>
      </c>
      <c r="M215" s="36"/>
    </row>
    <row r="216" spans="1:13">
      <c r="C216" s="149" t="s">
        <v>253</v>
      </c>
      <c r="D216" s="26"/>
      <c r="E216" s="36"/>
      <c r="F216" s="317"/>
      <c r="G216" s="316"/>
      <c r="H216" s="247">
        <f t="shared" ref="H216:J216" si="77">H215/$D$48</f>
        <v>27710.79257924515</v>
      </c>
      <c r="I216" s="247">
        <f t="shared" si="77"/>
        <v>28582.25728305717</v>
      </c>
      <c r="J216" s="247">
        <f t="shared" si="77"/>
        <v>29499.357808789602</v>
      </c>
      <c r="K216" s="148"/>
      <c r="L216" s="36" t="s">
        <v>245</v>
      </c>
      <c r="M216" s="36"/>
    </row>
    <row r="217" spans="1:13">
      <c r="C217" s="149" t="s">
        <v>252</v>
      </c>
      <c r="D217" s="26"/>
      <c r="E217" s="36"/>
      <c r="F217" s="317"/>
      <c r="G217" s="316"/>
      <c r="H217" s="247">
        <f>H216*$D$48</f>
        <v>28671.647524542695</v>
      </c>
      <c r="I217" s="247">
        <f t="shared" ref="I217:J217" si="78">I216*$D$48</f>
        <v>29573.329739020115</v>
      </c>
      <c r="J217" s="247">
        <f t="shared" si="78"/>
        <v>30522.230169896546</v>
      </c>
      <c r="K217" s="148"/>
      <c r="L217" s="36" t="s">
        <v>299</v>
      </c>
      <c r="M217" s="36"/>
    </row>
    <row r="218" spans="1:13">
      <c r="C218" s="149" t="s">
        <v>254</v>
      </c>
      <c r="D218" s="155"/>
      <c r="E218" s="36"/>
      <c r="F218" s="317"/>
      <c r="G218" s="316"/>
      <c r="H218" s="310">
        <f>H215/(1+WACC)^H$203</f>
        <v>26359.885560855659</v>
      </c>
      <c r="I218" s="310">
        <f>I215/(1+WACC)^I$203</f>
        <v>24996.659166529847</v>
      </c>
      <c r="J218" s="310">
        <f>J215/(1+WACC)^J$203</f>
        <v>23718.590520543326</v>
      </c>
      <c r="K218" s="148"/>
      <c r="L218" s="36" t="s">
        <v>246</v>
      </c>
      <c r="M218" s="36"/>
    </row>
    <row r="219" spans="1:13">
      <c r="C219" s="149" t="s">
        <v>255</v>
      </c>
      <c r="D219" s="26">
        <f>SUM(H218:J218)</f>
        <v>75075.135247928833</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48715.24968707317</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9.6523513182640262E-3</v>
      </c>
      <c r="G226" s="204">
        <f t="shared" ref="G226:J226" si="80">G$26</f>
        <v>-3.620324520162678E-3</v>
      </c>
      <c r="H226" s="204">
        <f t="shared" si="80"/>
        <v>1.2550589474205589E-2</v>
      </c>
      <c r="I226" s="204">
        <f t="shared" si="80"/>
        <v>6.8296860109036588E-3</v>
      </c>
      <c r="J226" s="204">
        <f t="shared" si="80"/>
        <v>7.6353024665780844E-3</v>
      </c>
      <c r="K226" s="148"/>
      <c r="L226" s="36"/>
      <c r="M226" s="36"/>
    </row>
    <row r="227" spans="1:14">
      <c r="A227" s="19"/>
      <c r="B227" s="19" t="s">
        <v>263</v>
      </c>
      <c r="C227" s="149" t="s">
        <v>411</v>
      </c>
      <c r="E227" s="163">
        <f>E$8-E$9-E$10</f>
        <v>22930.014889999999</v>
      </c>
      <c r="F227" s="247">
        <f>E227*(1+F225)*(1+F226)*(1-X_industry_wide)</f>
        <v>23722.03311969139</v>
      </c>
      <c r="G227" s="247">
        <f>F227*(1+G225)*(1+G226)*(1-X_industry_wide)</f>
        <v>24057.15181834103</v>
      </c>
      <c r="H227" s="320">
        <f>G227*(1+H225)*(1+H226)*(1-X_industry_wide)</f>
        <v>25477.386622335256</v>
      </c>
      <c r="I227" s="247">
        <f>H227*(1+I225)*(1+I226)*(1-X_industry_wide)</f>
        <v>26278.613910340257</v>
      </c>
      <c r="J227" s="247">
        <f>I227*(1+J225)*(1+J226)*(1-X_industry_wide)</f>
        <v>27121.798911231646</v>
      </c>
      <c r="K227" s="148"/>
      <c r="L227" s="300"/>
      <c r="M227" s="36"/>
    </row>
    <row r="228" spans="1:14">
      <c r="A228" s="19"/>
      <c r="B228" s="19"/>
      <c r="C228" s="149" t="s">
        <v>358</v>
      </c>
      <c r="E228" s="215"/>
      <c r="F228" s="247"/>
      <c r="G228" s="320">
        <f>G227*$D$48</f>
        <v>24891.318983654801</v>
      </c>
      <c r="H228" s="320">
        <f>H227*$D$48</f>
        <v>26360.799569089566</v>
      </c>
      <c r="I228" s="320">
        <f>I227*$D$48</f>
        <v>27189.808927917165</v>
      </c>
      <c r="J228" s="320">
        <f>J227*$D$48</f>
        <v>28062.23085790722</v>
      </c>
      <c r="K228" s="148"/>
      <c r="L228" s="300"/>
      <c r="M228" s="36"/>
    </row>
    <row r="229" spans="1:14">
      <c r="A229" s="19"/>
      <c r="B229" s="19" t="s">
        <v>263</v>
      </c>
      <c r="C229" s="149" t="s">
        <v>335</v>
      </c>
      <c r="D229" s="92">
        <f>H227</f>
        <v>25477.386622335256</v>
      </c>
      <c r="E229" s="36"/>
      <c r="F229" s="247"/>
      <c r="G229" s="310"/>
      <c r="H229" s="310"/>
      <c r="I229" s="310"/>
      <c r="J229" s="310"/>
      <c r="K229" s="148"/>
      <c r="L229" s="300"/>
      <c r="M229" s="36"/>
    </row>
    <row r="230" spans="1:14">
      <c r="B230" s="19" t="s">
        <v>263</v>
      </c>
      <c r="C230" s="149" t="s">
        <v>336</v>
      </c>
      <c r="D230" s="92">
        <f>D214/D48</f>
        <v>27710.79257924515</v>
      </c>
      <c r="E230" s="36"/>
      <c r="F230" s="321"/>
      <c r="G230" s="310"/>
      <c r="H230" s="310"/>
      <c r="I230" s="310"/>
      <c r="J230" s="310"/>
      <c r="K230" s="148"/>
      <c r="L230" s="36"/>
      <c r="M230" s="36"/>
    </row>
    <row r="231" spans="1:14">
      <c r="B231" s="19" t="s">
        <v>263</v>
      </c>
      <c r="C231" s="149" t="s">
        <v>329</v>
      </c>
      <c r="D231" s="32">
        <f>(D230-D229)/D229</f>
        <v>8.7662286168391154E-2</v>
      </c>
      <c r="E231" s="36"/>
      <c r="F231" s="247"/>
      <c r="G231" s="310"/>
      <c r="H231" s="310"/>
      <c r="I231" s="310"/>
      <c r="J231" s="310"/>
      <c r="K231" s="310"/>
      <c r="L231" s="310"/>
      <c r="M231" s="310"/>
      <c r="N231" s="19"/>
    </row>
    <row r="232" spans="1:14">
      <c r="C232" s="149" t="s">
        <v>452</v>
      </c>
      <c r="D232" s="125">
        <f>NPV(WACC,H228:J228)</f>
        <v>69024.306719692351</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2233.4059569098936</v>
      </c>
      <c r="F235" s="36"/>
      <c r="G235" s="36"/>
      <c r="H235" s="36"/>
      <c r="I235" s="310"/>
      <c r="J235" s="310"/>
      <c r="K235" s="148"/>
      <c r="L235" s="36"/>
      <c r="M235" s="36"/>
    </row>
    <row r="236" spans="1:14">
      <c r="C236" s="149" t="s">
        <v>341</v>
      </c>
      <c r="D236" s="94"/>
      <c r="E236" s="310">
        <f>H217-H228</f>
        <v>2310.8479554531295</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48715.24968707317</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1.0320863575136896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0.80202637747781791</v>
      </c>
      <c r="K245" s="148"/>
      <c r="L245" s="36" t="s">
        <v>280</v>
      </c>
      <c r="M245" s="36"/>
    </row>
    <row r="246" spans="1:13">
      <c r="A246" s="155"/>
      <c r="B246" s="155" t="s">
        <v>264</v>
      </c>
      <c r="C246" s="149" t="s">
        <v>99</v>
      </c>
      <c r="D246" s="140">
        <f>SUM(I245:J245)</f>
        <v>1.6472696891752612</v>
      </c>
      <c r="E246" s="36"/>
      <c r="F246" s="317"/>
      <c r="G246" s="316"/>
      <c r="H246" s="316"/>
      <c r="I246" s="316"/>
      <c r="J246" s="316"/>
      <c r="K246" s="148"/>
      <c r="L246" s="36" t="s">
        <v>510</v>
      </c>
      <c r="M246" s="36"/>
    </row>
    <row r="247" spans="1:13">
      <c r="A247" s="155"/>
      <c r="B247" s="155" t="s">
        <v>264</v>
      </c>
      <c r="C247" s="149" t="s">
        <v>256</v>
      </c>
      <c r="D247" s="26">
        <f>D242/D246</f>
        <v>29573.329739020115</v>
      </c>
      <c r="E247" s="36"/>
      <c r="F247" s="317"/>
      <c r="G247" s="316"/>
      <c r="H247" s="310"/>
      <c r="I247" s="310"/>
      <c r="J247" s="310"/>
      <c r="K247" s="148"/>
      <c r="L247" s="36"/>
      <c r="M247" s="36"/>
    </row>
    <row r="248" spans="1:13">
      <c r="A248" s="155"/>
      <c r="B248" s="155" t="s">
        <v>264</v>
      </c>
      <c r="C248" s="149" t="s">
        <v>252</v>
      </c>
      <c r="D248" s="26"/>
      <c r="E248" s="36"/>
      <c r="F248" s="317"/>
      <c r="G248" s="316"/>
      <c r="H248" s="163">
        <f>H215</f>
        <v>28671.647524542695</v>
      </c>
      <c r="I248" s="310">
        <f t="shared" ref="I248:J248" si="81">$D247*I244</f>
        <v>29573.329739020115</v>
      </c>
      <c r="J248" s="310">
        <f t="shared" si="81"/>
        <v>30522.230169896542</v>
      </c>
      <c r="K248" s="148"/>
      <c r="L248" s="36" t="s">
        <v>243</v>
      </c>
      <c r="M248" s="36"/>
    </row>
    <row r="249" spans="1:13">
      <c r="A249" s="155"/>
      <c r="B249" s="155" t="s">
        <v>264</v>
      </c>
      <c r="C249" s="149" t="s">
        <v>253</v>
      </c>
      <c r="D249" s="26"/>
      <c r="E249" s="36"/>
      <c r="F249" s="317"/>
      <c r="G249" s="316"/>
      <c r="H249" s="247">
        <f>H248/$D$48</f>
        <v>27710.79257924515</v>
      </c>
      <c r="I249" s="247">
        <f>I248/$D$48</f>
        <v>28582.25728305717</v>
      </c>
      <c r="J249" s="247">
        <f>J248/$D$48</f>
        <v>29499.357808789598</v>
      </c>
      <c r="K249" s="148"/>
      <c r="L249" s="36" t="s">
        <v>245</v>
      </c>
      <c r="M249" s="36"/>
    </row>
    <row r="250" spans="1:13">
      <c r="A250" s="155"/>
      <c r="B250" s="155" t="s">
        <v>264</v>
      </c>
      <c r="C250" s="149" t="s">
        <v>370</v>
      </c>
      <c r="D250" s="155"/>
      <c r="E250" s="36"/>
      <c r="F250" s="317"/>
      <c r="G250" s="316"/>
      <c r="H250" s="310"/>
      <c r="I250" s="310">
        <f>I248/(1+WACC)^I$203</f>
        <v>24996.659166529847</v>
      </c>
      <c r="J250" s="310">
        <f>J248/(1+WACC)^J$203</f>
        <v>23718.590520543323</v>
      </c>
      <c r="K250" s="148"/>
      <c r="L250" s="36" t="s">
        <v>299</v>
      </c>
      <c r="M250" s="36"/>
    </row>
    <row r="251" spans="1:13">
      <c r="A251" s="155"/>
      <c r="B251" s="155" t="s">
        <v>264</v>
      </c>
      <c r="C251" s="149" t="s">
        <v>255</v>
      </c>
      <c r="D251" s="26">
        <f>SUM(I250:J250)</f>
        <v>48715.24968707317</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3061.7880689830022</v>
      </c>
      <c r="I253" s="324">
        <f>(I249+I186-I$188-I$181+I$178)*I$52</f>
        <v>3173.3518965309509</v>
      </c>
      <c r="J253" s="324">
        <f>(J249+J186-J$188-J$181+J$178)*J$52</f>
        <v>3310.7363639618566</v>
      </c>
      <c r="K253" s="247"/>
      <c r="L253" s="36"/>
      <c r="M253" s="36"/>
    </row>
    <row r="254" spans="1:13">
      <c r="A254" s="155"/>
      <c r="B254" s="214" t="s">
        <v>264</v>
      </c>
      <c r="C254" s="143" t="s">
        <v>325</v>
      </c>
      <c r="D254" s="214"/>
      <c r="E254" s="36"/>
      <c r="F254" s="322"/>
      <c r="G254" s="323"/>
      <c r="H254" s="324">
        <f>H253+H192</f>
        <v>2786.5979481527197</v>
      </c>
      <c r="I254" s="324">
        <f>I253+I192</f>
        <v>2891.1780684811579</v>
      </c>
      <c r="J254" s="324">
        <f>J253+J192</f>
        <v>3040.1604252967099</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25801.560775525832</v>
      </c>
      <c r="G257" s="138">
        <f>H257/((1+H32)*(1+H26)*(1+X_industry_wide))</f>
        <v>26166.056745436876</v>
      </c>
      <c r="H257" s="310">
        <f>H249</f>
        <v>27710.79257924515</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1.0194659920704696</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26360.799569089566</v>
      </c>
      <c r="I266" s="334">
        <f>H266*(1+I$225)*(1+I$226)*(1+$E265)</f>
        <v>31268.280267104743</v>
      </c>
      <c r="J266" s="247">
        <f>I266*(1+J$225)*(1+J$226)*(1-$J243)</f>
        <v>32271.56548659331</v>
      </c>
      <c r="K266" s="36"/>
      <c r="L266" s="36"/>
      <c r="M266" s="36"/>
    </row>
    <row r="267" spans="3:14">
      <c r="C267" s="149" t="s">
        <v>409</v>
      </c>
      <c r="D267" s="94"/>
      <c r="E267" s="36"/>
      <c r="F267" s="36"/>
      <c r="G267" s="36"/>
      <c r="H267" s="247">
        <f>H266/$D$48</f>
        <v>25477.386622335256</v>
      </c>
      <c r="I267" s="247">
        <f t="shared" ref="I267:J267" si="82">I266/$D$48</f>
        <v>30220.405996891299</v>
      </c>
      <c r="J267" s="247">
        <f t="shared" si="82"/>
        <v>31190.068747916401</v>
      </c>
      <c r="K267" s="36"/>
      <c r="L267" s="36"/>
      <c r="M267" s="36"/>
    </row>
    <row r="268" spans="3:14">
      <c r="C268" s="149" t="s">
        <v>347</v>
      </c>
      <c r="D268" s="94"/>
      <c r="E268" s="36"/>
      <c r="F268" s="36"/>
      <c r="G268" s="36"/>
      <c r="H268" s="247">
        <f>H266/(1+WACC)^H$203</f>
        <v>24235.35861826751</v>
      </c>
      <c r="I268" s="247">
        <f>I266/(1+WACC)^I$203</f>
        <v>26429.304764051431</v>
      </c>
      <c r="J268" s="247">
        <f>J266/(1+WACC)^J$203</f>
        <v>25077.985552587154</v>
      </c>
      <c r="K268" s="36"/>
      <c r="L268" s="36"/>
      <c r="M268" s="36"/>
    </row>
    <row r="269" spans="3:14">
      <c r="C269" s="149" t="s">
        <v>348</v>
      </c>
      <c r="D269" s="94"/>
      <c r="E269" s="310">
        <f>SUM(H268:J268)</f>
        <v>75742.648934906087</v>
      </c>
      <c r="F269" s="36"/>
      <c r="G269" s="36"/>
      <c r="H269" s="36"/>
      <c r="I269" s="36"/>
      <c r="J269" s="36"/>
      <c r="K269" s="36"/>
      <c r="L269" s="36"/>
      <c r="M269" s="36"/>
    </row>
    <row r="270" spans="3:14">
      <c r="C270" s="149" t="str">
        <f>C206</f>
        <v>PV of BBAR before tax over the PV period</v>
      </c>
      <c r="E270" s="310">
        <f>D206</f>
        <v>75075.135247928833</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25801.560775525832</v>
      </c>
      <c r="G274" s="247">
        <f t="shared" ref="G274:H274" si="83">G257</f>
        <v>26166.056745436876</v>
      </c>
      <c r="H274" s="333">
        <f t="shared" si="83"/>
        <v>27710.79257924515</v>
      </c>
      <c r="I274" s="310">
        <f>I249</f>
        <v>28582.25728305717</v>
      </c>
      <c r="J274" s="310">
        <f>J249</f>
        <v>29499.357808789598</v>
      </c>
      <c r="K274" s="36"/>
      <c r="L274" s="36"/>
      <c r="M274" s="36"/>
    </row>
    <row r="275" spans="3:13">
      <c r="C275" s="149" t="s">
        <v>407</v>
      </c>
      <c r="D275" s="94"/>
      <c r="E275" s="36"/>
      <c r="F275" s="247">
        <f>F274</f>
        <v>25801.560775525832</v>
      </c>
      <c r="G275" s="247">
        <f t="shared" ref="G275:H275" si="84">G274</f>
        <v>26166.056745436876</v>
      </c>
      <c r="H275" s="333">
        <f t="shared" si="84"/>
        <v>27710.79257924515</v>
      </c>
      <c r="I275" s="247">
        <f>I267</f>
        <v>30220.405996891299</v>
      </c>
      <c r="J275" s="247">
        <f>J267</f>
        <v>31190.068747916401</v>
      </c>
      <c r="K275" s="36"/>
      <c r="L275" s="36"/>
      <c r="M275" s="36"/>
    </row>
    <row r="276" spans="3:13">
      <c r="C276" s="149" t="s">
        <v>408</v>
      </c>
      <c r="D276" s="94"/>
      <c r="E276" s="36"/>
      <c r="F276" s="247">
        <f>IF($E$22=-15%,F275,F274)</f>
        <v>25801.560775525832</v>
      </c>
      <c r="G276" s="247">
        <f t="shared" ref="G276:J276" si="85">IF($E$22=-15%,G275,G274)</f>
        <v>26166.056745436876</v>
      </c>
      <c r="H276" s="247">
        <f t="shared" si="85"/>
        <v>27710.79257924515</v>
      </c>
      <c r="I276" s="247">
        <f t="shared" si="85"/>
        <v>28582.25728305717</v>
      </c>
      <c r="J276" s="247">
        <f t="shared" si="85"/>
        <v>29499.357808789598</v>
      </c>
      <c r="K276" s="36"/>
      <c r="L276" s="36"/>
      <c r="M276" s="36"/>
    </row>
    <row r="277" spans="3:13">
      <c r="C277" s="149" t="s">
        <v>449</v>
      </c>
      <c r="D277" s="94"/>
      <c r="E277" s="328">
        <f>(I276/H267)/((1+I225)*(1+I226))-1</f>
        <v>8.7662286168391113E-2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26278.613910340257</v>
      </c>
      <c r="E281" s="36"/>
      <c r="F281" s="313"/>
      <c r="G281" s="36"/>
      <c r="H281" s="36"/>
      <c r="I281" s="36"/>
      <c r="J281" s="36"/>
      <c r="K281" s="36"/>
      <c r="L281" s="36"/>
      <c r="M281" s="36"/>
    </row>
    <row r="282" spans="3:13">
      <c r="C282" s="149" t="s">
        <v>443</v>
      </c>
      <c r="D282" s="19">
        <f>I276</f>
        <v>28582.25728305717</v>
      </c>
      <c r="E282" s="36"/>
      <c r="F282" s="313"/>
      <c r="G282" s="36"/>
      <c r="H282" s="36"/>
      <c r="I282" s="36"/>
      <c r="J282" s="36"/>
      <c r="K282" s="36"/>
      <c r="L282" s="36"/>
      <c r="M282" s="36"/>
    </row>
    <row r="283" spans="3:13">
      <c r="C283" s="149" t="s">
        <v>445</v>
      </c>
      <c r="D283" s="152">
        <f>(D282-D281)/D281</f>
        <v>8.7662286168391196E-2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69024.306719692351</v>
      </c>
      <c r="G286" s="36"/>
      <c r="H286" s="36"/>
      <c r="I286" s="36"/>
      <c r="J286" s="36"/>
      <c r="K286" s="36"/>
      <c r="L286" s="36"/>
      <c r="M286" s="36"/>
    </row>
    <row r="287" spans="3:13">
      <c r="C287" s="149" t="str">
        <f>C206</f>
        <v>PV of BBAR before tax over the PV period</v>
      </c>
      <c r="E287" s="36"/>
      <c r="F287" s="310">
        <f>D206</f>
        <v>75075.135247928833</v>
      </c>
      <c r="G287" s="36"/>
      <c r="H287" s="36"/>
      <c r="I287" s="36"/>
      <c r="J287" s="36"/>
      <c r="K287" s="36"/>
      <c r="L287" s="36"/>
      <c r="M287" s="36"/>
    </row>
    <row r="288" spans="3:13">
      <c r="C288" s="149" t="s">
        <v>405</v>
      </c>
      <c r="D288" s="94"/>
      <c r="E288" s="36"/>
      <c r="F288" s="247">
        <f>F286-F287</f>
        <v>-6050.8285282364814</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-158447.05031695234</v>
      </c>
      <c r="F293" s="247"/>
      <c r="G293" s="310"/>
      <c r="H293" s="310"/>
      <c r="I293" s="310"/>
      <c r="J293" s="310"/>
      <c r="K293" s="310"/>
      <c r="L293" s="36"/>
      <c r="M293" s="36"/>
      <c r="N293" s="19">
        <f>J$143+J$166</f>
        <v>165160.79404543198</v>
      </c>
    </row>
    <row r="294" spans="3:14">
      <c r="C294" s="149" t="s">
        <v>57</v>
      </c>
      <c r="D294" s="19"/>
      <c r="E294" s="90"/>
      <c r="F294" s="247"/>
      <c r="G294" s="138">
        <f>H$249</f>
        <v>27710.79257924515</v>
      </c>
      <c r="H294" s="36">
        <v>0</v>
      </c>
      <c r="I294" s="36">
        <v>0</v>
      </c>
      <c r="J294" s="164">
        <f>I$249</f>
        <v>28582.25728305717</v>
      </c>
      <c r="K294" s="310">
        <v>0</v>
      </c>
      <c r="L294" s="138">
        <v>0</v>
      </c>
      <c r="M294" s="310">
        <f>J$249</f>
        <v>29499.357808789598</v>
      </c>
    </row>
    <row r="295" spans="3:14">
      <c r="C295" s="149" t="s">
        <v>234</v>
      </c>
      <c r="D295" s="19"/>
      <c r="E295" s="299"/>
      <c r="F295" s="320">
        <f>H186</f>
        <v>311.74247399035511</v>
      </c>
      <c r="G295" s="215"/>
      <c r="H295" s="300"/>
      <c r="I295" s="216">
        <f>I186</f>
        <v>318.31377403231028</v>
      </c>
      <c r="J295" s="215"/>
      <c r="K295" s="215"/>
      <c r="L295" s="215">
        <f>J186</f>
        <v>325.4107780776219</v>
      </c>
      <c r="M295" s="215"/>
    </row>
    <row r="296" spans="3:14">
      <c r="C296" s="149" t="s">
        <v>54</v>
      </c>
      <c r="D296" s="19"/>
      <c r="E296" s="299"/>
      <c r="F296" s="320">
        <f>-H$24</f>
        <v>-7972.9790268414881</v>
      </c>
      <c r="G296" s="300"/>
      <c r="H296" s="215"/>
      <c r="I296" s="215">
        <f>-I$24</f>
        <v>-8214.4114583558749</v>
      </c>
      <c r="J296" s="300"/>
      <c r="K296" s="215"/>
      <c r="L296" s="215">
        <f>-J$24</f>
        <v>-8461.7563853807715</v>
      </c>
      <c r="M296" s="300"/>
    </row>
    <row r="297" spans="3:14">
      <c r="C297" s="149" t="s">
        <v>125</v>
      </c>
      <c r="D297" s="19"/>
      <c r="E297" s="299"/>
      <c r="F297" s="320">
        <f>-H$25</f>
        <v>-6421.5812734771134</v>
      </c>
      <c r="G297" s="300"/>
      <c r="H297" s="215"/>
      <c r="I297" s="215">
        <f>-I$25</f>
        <v>-5671.6501682890885</v>
      </c>
      <c r="J297" s="300"/>
      <c r="K297" s="215"/>
      <c r="L297" s="215">
        <f>-J$25</f>
        <v>-6461.05576373642</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-2786.5979481527197</v>
      </c>
      <c r="G299" s="300">
        <v>0</v>
      </c>
      <c r="H299" s="300">
        <v>0</v>
      </c>
      <c r="I299" s="336">
        <f>-I$254</f>
        <v>-2891.1780684811579</v>
      </c>
      <c r="J299" s="215">
        <v>0</v>
      </c>
      <c r="K299" s="163">
        <v>0</v>
      </c>
      <c r="L299" s="215">
        <f>-J$254</f>
        <v>-3040.1604252967099</v>
      </c>
      <c r="M299" s="300"/>
    </row>
    <row r="300" spans="3:14" ht="15.75" thickBot="1">
      <c r="C300" s="149" t="s">
        <v>217</v>
      </c>
      <c r="D300" s="19"/>
      <c r="E300" s="332">
        <f>SUM(E293:E299)</f>
        <v>-158447.05031695234</v>
      </c>
      <c r="F300" s="332">
        <f t="shared" ref="F300:K300" si="87">SUM(F293:F299)</f>
        <v>-16869.415774480967</v>
      </c>
      <c r="G300" s="332">
        <f t="shared" si="87"/>
        <v>27710.79257924515</v>
      </c>
      <c r="H300" s="332">
        <f t="shared" si="87"/>
        <v>0</v>
      </c>
      <c r="I300" s="332">
        <f t="shared" si="87"/>
        <v>-16458.925921093811</v>
      </c>
      <c r="J300" s="332">
        <f t="shared" si="87"/>
        <v>28582.25728305717</v>
      </c>
      <c r="K300" s="332">
        <f t="shared" si="87"/>
        <v>0</v>
      </c>
      <c r="L300" s="332">
        <f>SUM(L293:L299)</f>
        <v>-17637.561796336282</v>
      </c>
      <c r="M300" s="332">
        <f>SUM(M293:M299)</f>
        <v>29499.357808789598</v>
      </c>
      <c r="N300" s="129">
        <f>SUM(N293:N299)</f>
        <v>165160.79404543198</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4.3655745685100555E-11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7"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5.xml><?xml version="1.0" encoding="utf-8"?>
<worksheet xmlns="http://schemas.openxmlformats.org/spreadsheetml/2006/main" xmlns:r="http://schemas.openxmlformats.org/officeDocument/2006/relationships">
  <sheetPr codeName="Sheet18">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OtagoNet </v>
      </c>
      <c r="D1" s="2"/>
      <c r="E1" s="2"/>
      <c r="F1" s="6" t="s">
        <v>169</v>
      </c>
      <c r="G1" s="7">
        <v>10</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25337</v>
      </c>
    </row>
    <row r="9" spans="1:16">
      <c r="A9" s="9">
        <f>A8+1</f>
        <v>2</v>
      </c>
      <c r="B9" s="9"/>
      <c r="C9" s="149" t="str">
        <f>Inputs!B21</f>
        <v>Pass-through costs</v>
      </c>
      <c r="E9" s="1">
        <f t="shared" si="0"/>
        <v>164</v>
      </c>
    </row>
    <row r="10" spans="1:16">
      <c r="A10" s="9">
        <f t="shared" ref="A10:A22" si="1">A9+1</f>
        <v>3</v>
      </c>
      <c r="B10" s="9"/>
      <c r="C10" s="149" t="str">
        <f>Inputs!B22</f>
        <v>Recoverable costs</v>
      </c>
      <c r="E10" s="1">
        <f t="shared" si="0"/>
        <v>5924</v>
      </c>
    </row>
    <row r="11" spans="1:16">
      <c r="A11" s="9">
        <f t="shared" si="1"/>
        <v>4</v>
      </c>
      <c r="B11" s="9"/>
      <c r="C11" s="155" t="str">
        <f>Inputs!B23</f>
        <v>Opening RAB</v>
      </c>
      <c r="E11" s="1">
        <f t="shared" si="0"/>
        <v>131086</v>
      </c>
      <c r="L11" s="13"/>
    </row>
    <row r="12" spans="1:16">
      <c r="A12" s="9">
        <f t="shared" si="1"/>
        <v>5</v>
      </c>
      <c r="B12" s="9"/>
      <c r="C12" s="155" t="str">
        <f>Inputs!B24</f>
        <v>Total Depreciation</v>
      </c>
      <c r="E12" s="1">
        <f t="shared" si="0"/>
        <v>6279</v>
      </c>
      <c r="F12" s="161"/>
      <c r="G12" s="337" t="s">
        <v>511</v>
      </c>
    </row>
    <row r="13" spans="1:16">
      <c r="A13" s="9">
        <f t="shared" si="1"/>
        <v>6</v>
      </c>
      <c r="B13" s="9"/>
      <c r="C13" s="155" t="str">
        <f>Inputs!B25</f>
        <v>RAB of disposed assets</v>
      </c>
      <c r="E13" s="1">
        <f t="shared" si="0"/>
        <v>0</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7144</v>
      </c>
      <c r="G15" s="23" t="s">
        <v>514</v>
      </c>
    </row>
    <row r="16" spans="1:16">
      <c r="A16" s="9">
        <f t="shared" si="1"/>
        <v>9</v>
      </c>
      <c r="B16" s="9"/>
      <c r="C16" s="155" t="str">
        <f>Inputs!B28</f>
        <v>Opening regulatory tax asset value</v>
      </c>
      <c r="E16" s="1">
        <f t="shared" si="0"/>
        <v>88066</v>
      </c>
    </row>
    <row r="17" spans="1:21">
      <c r="A17" s="9">
        <f t="shared" si="1"/>
        <v>10</v>
      </c>
      <c r="B17" s="9"/>
      <c r="C17" s="155" t="str">
        <f>Inputs!B29</f>
        <v>Weighted Average Remaining Life at year-end</v>
      </c>
      <c r="E17" s="1">
        <f t="shared" si="0"/>
        <v>22.41</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317</v>
      </c>
    </row>
    <row r="20" spans="1:21">
      <c r="A20" s="9">
        <f t="shared" si="1"/>
        <v>13</v>
      </c>
      <c r="B20" s="9"/>
      <c r="C20" s="155" t="str">
        <f>Inputs!B32</f>
        <v>Operating expenditure 2009/10</v>
      </c>
      <c r="E20" s="1">
        <f t="shared" si="0"/>
        <v>4855</v>
      </c>
    </row>
    <row r="21" spans="1:21">
      <c r="A21" s="9">
        <f t="shared" si="1"/>
        <v>14</v>
      </c>
      <c r="B21" s="9"/>
      <c r="C21" s="155" t="str">
        <f>Inputs!B33</f>
        <v>Other regulated income</v>
      </c>
      <c r="E21" s="1">
        <f t="shared" si="0"/>
        <v>304.0805752321744</v>
      </c>
      <c r="K21" s="90"/>
    </row>
    <row r="22" spans="1:21">
      <c r="A22" s="9">
        <f t="shared" si="1"/>
        <v>15</v>
      </c>
      <c r="C22" s="155" t="str">
        <f>Inputs!B34</f>
        <v>Alternate X value to 2014/15</v>
      </c>
      <c r="D22" s="90"/>
      <c r="E22" s="126">
        <f t="shared" si="0"/>
        <v>-0.11</v>
      </c>
      <c r="K22" s="90"/>
    </row>
    <row r="23" spans="1:21">
      <c r="C23" s="155"/>
      <c r="K23" s="90"/>
    </row>
    <row r="24" spans="1:21">
      <c r="A24" s="9"/>
      <c r="B24" s="9"/>
      <c r="C24" s="149" t="s">
        <v>31</v>
      </c>
      <c r="E24" s="161">
        <f>E20</f>
        <v>4855</v>
      </c>
      <c r="F24" s="39">
        <f>INDEX(OpexBlock,F7-1,$G$1)</f>
        <v>4990.9326075642084</v>
      </c>
      <c r="G24" s="39">
        <f>INDEX(OpexBlock,G7-1,$G$1)</f>
        <v>5149.4058387456189</v>
      </c>
      <c r="H24" s="39">
        <f>INDEX(OpexBlock,H7-1,$G$1)</f>
        <v>5283.6425668126813</v>
      </c>
      <c r="I24" s="39">
        <f>INDEX(OpexBlock,I7-1,$G$1)</f>
        <v>5422.5419919285596</v>
      </c>
      <c r="J24" s="39">
        <f>INDEX(OpexBlock,J7-1,$G$1)</f>
        <v>5560.0096270061176</v>
      </c>
      <c r="K24" s="90"/>
      <c r="L24" s="36"/>
      <c r="M24" s="36"/>
    </row>
    <row r="25" spans="1:21">
      <c r="A25" s="9"/>
      <c r="B25" s="9"/>
      <c r="C25" s="149" t="s">
        <v>272</v>
      </c>
      <c r="D25" s="1"/>
      <c r="E25" s="39">
        <f t="shared" ref="E25:J25" si="2">INDEX(CommAssetsBlock,E7,$G$1)</f>
        <v>6426</v>
      </c>
      <c r="F25" s="39">
        <f t="shared" si="2"/>
        <v>10627.027745571009</v>
      </c>
      <c r="G25" s="39">
        <f t="shared" si="2"/>
        <v>10666.110240379299</v>
      </c>
      <c r="H25" s="39">
        <f t="shared" si="2"/>
        <v>11176.57898605604</v>
      </c>
      <c r="I25" s="39">
        <f t="shared" si="2"/>
        <v>11160.321156208976</v>
      </c>
      <c r="J25" s="39">
        <f t="shared" si="2"/>
        <v>11064.037947122311</v>
      </c>
      <c r="K25" s="90"/>
      <c r="L25" s="36"/>
      <c r="M25" s="36"/>
    </row>
    <row r="26" spans="1:21">
      <c r="A26" s="9"/>
      <c r="B26" s="9"/>
      <c r="C26" s="149" t="s">
        <v>342</v>
      </c>
      <c r="D26" s="1"/>
      <c r="E26" s="90"/>
      <c r="F26" s="90">
        <f t="shared" ref="F26:J26" si="3">INDEX(ConstPriceRevGrwth,F$7-1,$G$1)</f>
        <v>8.9442842320783516E-3</v>
      </c>
      <c r="G26" s="90">
        <f t="shared" si="3"/>
        <v>-2.0207764359848047E-2</v>
      </c>
      <c r="H26" s="90">
        <f t="shared" si="3"/>
        <v>-1.2522416571907728E-3</v>
      </c>
      <c r="I26" s="90">
        <f t="shared" si="3"/>
        <v>-6.4998923631088439E-4</v>
      </c>
      <c r="J26" s="90">
        <f t="shared" si="3"/>
        <v>-4.4616694975357376E-4</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304.0805752321744</v>
      </c>
      <c r="F40" s="295">
        <f>E40*(1+F39)</f>
        <v>317.66302572112289</v>
      </c>
      <c r="G40" s="295">
        <f t="shared" ref="G40:J40" si="5">F40*(1+G39)</f>
        <v>322.65249732930812</v>
      </c>
      <c r="H40" s="295">
        <f t="shared" si="5"/>
        <v>328.75074040597889</v>
      </c>
      <c r="I40" s="295">
        <f t="shared" si="5"/>
        <v>335.68056208401384</v>
      </c>
      <c r="J40" s="295">
        <f t="shared" si="5"/>
        <v>343.16476949629163</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20.876891224717312</v>
      </c>
      <c r="F53" s="45">
        <f>E53-1</f>
        <v>19.876891224717312</v>
      </c>
      <c r="G53" s="45">
        <f t="shared" ref="G53:J53" si="6">F53-1</f>
        <v>18.876891224717312</v>
      </c>
      <c r="H53" s="45">
        <f t="shared" si="6"/>
        <v>17.876891224717312</v>
      </c>
      <c r="I53" s="45">
        <f t="shared" si="6"/>
        <v>16.876891224717312</v>
      </c>
      <c r="J53" s="45">
        <f t="shared" si="6"/>
        <v>15.876891224717312</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0</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131086</v>
      </c>
      <c r="F58" s="216">
        <f>E62</f>
        <v>127066.11646401169</v>
      </c>
      <c r="G58" s="216">
        <f t="shared" ref="G58:J58" si="9">F62</f>
        <v>123190.92156495606</v>
      </c>
      <c r="H58" s="216">
        <f t="shared" si="9"/>
        <v>119663.35643891683</v>
      </c>
      <c r="I58" s="216">
        <f t="shared" si="9"/>
        <v>115873.33564928282</v>
      </c>
      <c r="J58" s="216">
        <f t="shared" si="9"/>
        <v>111819.29377415741</v>
      </c>
      <c r="K58" s="148"/>
      <c r="L58" s="36"/>
      <c r="M58" s="36"/>
    </row>
    <row r="59" spans="3:16">
      <c r="C59" s="149" t="s">
        <v>41</v>
      </c>
      <c r="D59" s="153"/>
      <c r="E59" s="216">
        <f>E55</f>
        <v>0</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2259.1164640116831</v>
      </c>
      <c r="F60" s="216">
        <f t="shared" si="11"/>
        <v>2517.4605231364758</v>
      </c>
      <c r="G60" s="216">
        <f t="shared" si="11"/>
        <v>2998.4523255870481</v>
      </c>
      <c r="H60" s="216">
        <f t="shared" si="11"/>
        <v>2903.7245005686464</v>
      </c>
      <c r="I60" s="216">
        <f t="shared" si="11"/>
        <v>2811.7566956195806</v>
      </c>
      <c r="J60" s="216">
        <f t="shared" si="11"/>
        <v>2713.3822134936181</v>
      </c>
      <c r="K60" s="148"/>
      <c r="L60" s="36"/>
      <c r="M60" s="36"/>
    </row>
    <row r="61" spans="3:16">
      <c r="C61" s="149" t="s">
        <v>43</v>
      </c>
      <c r="E61" s="136">
        <f>E12</f>
        <v>6279</v>
      </c>
      <c r="F61" s="216">
        <f t="shared" ref="F61:J61" si="12">F58/F53</f>
        <v>6392.6554221920996</v>
      </c>
      <c r="G61" s="216">
        <f t="shared" si="12"/>
        <v>6526.017451626275</v>
      </c>
      <c r="H61" s="216">
        <f t="shared" si="12"/>
        <v>6693.7452902026635</v>
      </c>
      <c r="I61" s="216">
        <f t="shared" si="12"/>
        <v>6865.7985707449916</v>
      </c>
      <c r="J61" s="216">
        <f t="shared" si="12"/>
        <v>7042.8960047339715</v>
      </c>
      <c r="K61" s="148"/>
      <c r="L61" s="36"/>
      <c r="M61" s="36"/>
    </row>
    <row r="62" spans="3:16">
      <c r="C62" s="149" t="s">
        <v>44</v>
      </c>
      <c r="E62" s="139">
        <f>E58-E59+E60-E61</f>
        <v>127066.11646401169</v>
      </c>
      <c r="F62" s="139">
        <f>F58-F59+F60-F61</f>
        <v>123190.92156495606</v>
      </c>
      <c r="G62" s="139">
        <f t="shared" ref="G62:J62" si="13">G58-G59+G60-G61</f>
        <v>119663.35643891683</v>
      </c>
      <c r="H62" s="139">
        <f t="shared" si="13"/>
        <v>115873.33564928282</v>
      </c>
      <c r="I62" s="216">
        <f t="shared" si="13"/>
        <v>111819.29377415741</v>
      </c>
      <c r="J62" s="216">
        <f t="shared" si="13"/>
        <v>107489.77998291707</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6426</v>
      </c>
      <c r="F66" s="139">
        <f t="shared" ref="F66:J66" si="15">F$25</f>
        <v>10627.027745571009</v>
      </c>
      <c r="G66" s="139">
        <f t="shared" si="15"/>
        <v>10666.110240379299</v>
      </c>
      <c r="H66" s="139">
        <f t="shared" si="15"/>
        <v>11176.57898605604</v>
      </c>
      <c r="I66" s="139">
        <f t="shared" si="15"/>
        <v>11160.321156208976</v>
      </c>
      <c r="J66" s="139">
        <f t="shared" si="15"/>
        <v>11064.037947122311</v>
      </c>
      <c r="K66" s="148"/>
      <c r="L66" s="36"/>
      <c r="M66" s="36"/>
    </row>
    <row r="67" spans="1:13">
      <c r="A67" s="149">
        <v>1</v>
      </c>
      <c r="C67" s="149" t="s">
        <v>481</v>
      </c>
      <c r="E67" s="135">
        <v>0</v>
      </c>
      <c r="F67" s="139">
        <f>E91</f>
        <v>6426</v>
      </c>
      <c r="G67" s="139">
        <f t="shared" ref="G67:J67" si="16">F91</f>
        <v>6410.5132584189487</v>
      </c>
      <c r="H67" s="139">
        <f t="shared" si="16"/>
        <v>6420.850902759822</v>
      </c>
      <c r="I67" s="139">
        <f t="shared" si="16"/>
        <v>6427.3357344578953</v>
      </c>
      <c r="J67" s="139">
        <f t="shared" si="16"/>
        <v>6430.2682364617831</v>
      </c>
      <c r="K67" s="148"/>
      <c r="L67" s="36"/>
      <c r="M67" s="36"/>
    </row>
    <row r="68" spans="1:13">
      <c r="A68" s="149">
        <v>2</v>
      </c>
      <c r="C68" s="149" t="s">
        <v>482</v>
      </c>
      <c r="E68" s="135">
        <v>0</v>
      </c>
      <c r="F68" s="139">
        <f t="shared" ref="F68:J71" si="17">E92</f>
        <v>0</v>
      </c>
      <c r="G68" s="139">
        <f t="shared" si="17"/>
        <v>10627.027745571009</v>
      </c>
      <c r="H68" s="139">
        <f t="shared" si="17"/>
        <v>10649.53216022579</v>
      </c>
      <c r="I68" s="139">
        <f t="shared" si="17"/>
        <v>10665.916526811472</v>
      </c>
      <c r="J68" s="139">
        <f t="shared" si="17"/>
        <v>10676.688724239752</v>
      </c>
      <c r="K68" s="148"/>
      <c r="L68" s="36"/>
      <c r="M68" s="36"/>
    </row>
    <row r="69" spans="1:13">
      <c r="A69" s="149">
        <v>3</v>
      </c>
      <c r="C69" s="149" t="s">
        <v>483</v>
      </c>
      <c r="E69" s="135">
        <v>0</v>
      </c>
      <c r="F69" s="139">
        <f t="shared" si="17"/>
        <v>0</v>
      </c>
      <c r="G69" s="139">
        <f t="shared" si="17"/>
        <v>0</v>
      </c>
      <c r="H69" s="139">
        <f t="shared" si="17"/>
        <v>10666.110240379299</v>
      </c>
      <c r="I69" s="139">
        <f t="shared" si="17"/>
        <v>10687.907036800641</v>
      </c>
      <c r="J69" s="139">
        <f t="shared" si="17"/>
        <v>10704.350443355032</v>
      </c>
      <c r="K69" s="148"/>
      <c r="L69" s="36"/>
      <c r="M69" s="36"/>
    </row>
    <row r="70" spans="1:13">
      <c r="A70" s="149">
        <v>4</v>
      </c>
      <c r="C70" s="149" t="s">
        <v>484</v>
      </c>
      <c r="E70" s="135">
        <v>0</v>
      </c>
      <c r="F70" s="139">
        <f t="shared" si="17"/>
        <v>0</v>
      </c>
      <c r="G70" s="139">
        <f t="shared" si="17"/>
        <v>0</v>
      </c>
      <c r="H70" s="139">
        <f t="shared" si="17"/>
        <v>0</v>
      </c>
      <c r="I70" s="139">
        <f t="shared" si="17"/>
        <v>11176.57898605604</v>
      </c>
      <c r="J70" s="139">
        <f t="shared" si="17"/>
        <v>11199.418954081482</v>
      </c>
      <c r="K70" s="148"/>
      <c r="L70" s="36"/>
      <c r="M70" s="36"/>
    </row>
    <row r="71" spans="1:13">
      <c r="A71" s="149">
        <v>5</v>
      </c>
      <c r="C71" s="149" t="s">
        <v>485</v>
      </c>
      <c r="E71" s="135">
        <v>0</v>
      </c>
      <c r="F71" s="139">
        <f t="shared" si="17"/>
        <v>0</v>
      </c>
      <c r="G71" s="139">
        <f t="shared" si="17"/>
        <v>0</v>
      </c>
      <c r="H71" s="139">
        <f t="shared" si="17"/>
        <v>0</v>
      </c>
      <c r="I71" s="139">
        <f t="shared" si="17"/>
        <v>0</v>
      </c>
      <c r="J71" s="139">
        <f t="shared" si="17"/>
        <v>11160.321156208976</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127.31325841894902</v>
      </c>
      <c r="G79" s="139">
        <f t="shared" si="20"/>
        <v>156.03112748675832</v>
      </c>
      <c r="H79" s="139">
        <f t="shared" si="20"/>
        <v>155.80694571574372</v>
      </c>
      <c r="I79" s="139">
        <f t="shared" si="20"/>
        <v>155.96430520526607</v>
      </c>
      <c r="J79" s="139">
        <f t="shared" si="20"/>
        <v>156.03546464931026</v>
      </c>
      <c r="K79" s="148"/>
      <c r="L79" s="36"/>
      <c r="M79" s="36"/>
    </row>
    <row r="80" spans="1:13">
      <c r="A80" s="149">
        <v>2</v>
      </c>
      <c r="C80" s="149" t="s">
        <v>488</v>
      </c>
      <c r="E80" s="139">
        <f t="shared" ref="E80:J84" si="21">E68*E$38</f>
        <v>0</v>
      </c>
      <c r="F80" s="139">
        <f t="shared" si="21"/>
        <v>0</v>
      </c>
      <c r="G80" s="139">
        <f t="shared" si="21"/>
        <v>258.66058677857933</v>
      </c>
      <c r="H80" s="139">
        <f t="shared" si="21"/>
        <v>258.4191884089966</v>
      </c>
      <c r="I80" s="139">
        <f t="shared" si="21"/>
        <v>258.81676781924347</v>
      </c>
      <c r="J80" s="139">
        <f t="shared" si="21"/>
        <v>259.07816357587535</v>
      </c>
      <c r="K80" s="148"/>
      <c r="L80" s="36"/>
      <c r="M80" s="36"/>
    </row>
    <row r="81" spans="1:13">
      <c r="A81" s="149">
        <v>3</v>
      </c>
      <c r="C81" s="149" t="s">
        <v>489</v>
      </c>
      <c r="E81" s="139">
        <f t="shared" si="21"/>
        <v>0</v>
      </c>
      <c r="F81" s="139">
        <f t="shared" si="21"/>
        <v>0</v>
      </c>
      <c r="G81" s="139">
        <f t="shared" si="21"/>
        <v>0</v>
      </c>
      <c r="H81" s="139">
        <f t="shared" si="21"/>
        <v>258.82146842977062</v>
      </c>
      <c r="I81" s="139">
        <f t="shared" si="21"/>
        <v>259.35038466349562</v>
      </c>
      <c r="J81" s="139">
        <f t="shared" si="21"/>
        <v>259.74939672454508</v>
      </c>
      <c r="K81" s="148"/>
      <c r="L81" s="36"/>
      <c r="M81" s="36"/>
    </row>
    <row r="82" spans="1:13">
      <c r="A82" s="149">
        <v>4</v>
      </c>
      <c r="C82" s="149" t="s">
        <v>490</v>
      </c>
      <c r="E82" s="139">
        <f t="shared" si="21"/>
        <v>0</v>
      </c>
      <c r="F82" s="139">
        <f t="shared" si="21"/>
        <v>0</v>
      </c>
      <c r="G82" s="139">
        <f t="shared" si="21"/>
        <v>0</v>
      </c>
      <c r="H82" s="139">
        <f t="shared" si="21"/>
        <v>0</v>
      </c>
      <c r="I82" s="139">
        <f t="shared" si="21"/>
        <v>271.2083899377991</v>
      </c>
      <c r="J82" s="139">
        <f t="shared" si="21"/>
        <v>271.76261954259496</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270.8138810400223</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142.80000000000001</v>
      </c>
      <c r="G85" s="216">
        <f t="shared" si="22"/>
        <v>145.69348314588521</v>
      </c>
      <c r="H85" s="216">
        <f t="shared" si="22"/>
        <v>149.32211401767029</v>
      </c>
      <c r="I85" s="216">
        <f t="shared" si="22"/>
        <v>153.03180320137847</v>
      </c>
      <c r="J85" s="216">
        <f t="shared" si="22"/>
        <v>156.83581064540934</v>
      </c>
      <c r="K85" s="148"/>
      <c r="L85" s="36"/>
      <c r="M85" s="36"/>
    </row>
    <row r="86" spans="1:13">
      <c r="A86" s="149">
        <v>2</v>
      </c>
      <c r="C86" s="149" t="s">
        <v>494</v>
      </c>
      <c r="E86" s="216">
        <f t="shared" si="22"/>
        <v>0</v>
      </c>
      <c r="F86" s="216">
        <f t="shared" si="22"/>
        <v>0</v>
      </c>
      <c r="G86" s="216">
        <f t="shared" si="22"/>
        <v>236.15617212380022</v>
      </c>
      <c r="H86" s="216">
        <f t="shared" si="22"/>
        <v>242.03482182331342</v>
      </c>
      <c r="I86" s="216">
        <f t="shared" si="22"/>
        <v>248.04457039096448</v>
      </c>
      <c r="J86" s="216">
        <f t="shared" si="22"/>
        <v>254.20687438666076</v>
      </c>
      <c r="K86" s="148"/>
      <c r="L86" s="36"/>
      <c r="M86" s="36"/>
    </row>
    <row r="87" spans="1:13">
      <c r="A87" s="149">
        <v>3</v>
      </c>
      <c r="C87" s="149" t="s">
        <v>495</v>
      </c>
      <c r="E87" s="216">
        <f t="shared" si="22"/>
        <v>0</v>
      </c>
      <c r="F87" s="216">
        <f t="shared" si="22"/>
        <v>0</v>
      </c>
      <c r="G87" s="216">
        <f t="shared" si="22"/>
        <v>0</v>
      </c>
      <c r="H87" s="216">
        <f t="shared" si="22"/>
        <v>237.02467200842887</v>
      </c>
      <c r="I87" s="216">
        <f t="shared" si="22"/>
        <v>242.90697810910549</v>
      </c>
      <c r="J87" s="216">
        <f t="shared" si="22"/>
        <v>248.93838240360537</v>
      </c>
      <c r="K87" s="148"/>
      <c r="L87" s="36"/>
      <c r="M87" s="36"/>
    </row>
    <row r="88" spans="1:13">
      <c r="A88" s="149">
        <v>4</v>
      </c>
      <c r="C88" s="149" t="s">
        <v>496</v>
      </c>
      <c r="E88" s="216">
        <f t="shared" si="22"/>
        <v>0</v>
      </c>
      <c r="F88" s="216">
        <f t="shared" si="22"/>
        <v>0</v>
      </c>
      <c r="G88" s="216">
        <f t="shared" si="22"/>
        <v>0</v>
      </c>
      <c r="H88" s="216">
        <f t="shared" si="22"/>
        <v>0</v>
      </c>
      <c r="I88" s="216">
        <f t="shared" si="22"/>
        <v>248.36842191235644</v>
      </c>
      <c r="J88" s="216">
        <f t="shared" si="22"/>
        <v>254.53224895639732</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248.00713680464392</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6426</v>
      </c>
      <c r="F91" s="139">
        <f t="shared" si="23"/>
        <v>6410.5132584189487</v>
      </c>
      <c r="G91" s="139">
        <f t="shared" si="23"/>
        <v>6420.850902759822</v>
      </c>
      <c r="H91" s="139">
        <f t="shared" si="23"/>
        <v>6427.3357344578953</v>
      </c>
      <c r="I91" s="139">
        <f t="shared" si="23"/>
        <v>6430.2682364617831</v>
      </c>
      <c r="J91" s="216">
        <f t="shared" si="23"/>
        <v>6429.4678904656839</v>
      </c>
      <c r="K91" s="148"/>
      <c r="L91" s="36"/>
      <c r="M91" s="36"/>
    </row>
    <row r="92" spans="1:13">
      <c r="A92" s="149">
        <v>2</v>
      </c>
      <c r="C92" s="149" t="s">
        <v>500</v>
      </c>
      <c r="E92" s="139">
        <f t="shared" si="23"/>
        <v>0</v>
      </c>
      <c r="F92" s="139">
        <f t="shared" si="23"/>
        <v>10627.027745571009</v>
      </c>
      <c r="G92" s="139">
        <f t="shared" si="23"/>
        <v>10649.53216022579</v>
      </c>
      <c r="H92" s="139">
        <f t="shared" si="23"/>
        <v>10665.916526811472</v>
      </c>
      <c r="I92" s="139">
        <f t="shared" si="23"/>
        <v>10676.688724239752</v>
      </c>
      <c r="J92" s="216">
        <f t="shared" si="23"/>
        <v>10681.560013428967</v>
      </c>
      <c r="K92" s="148"/>
      <c r="L92" s="36"/>
      <c r="M92" s="36"/>
    </row>
    <row r="93" spans="1:13">
      <c r="A93" s="149">
        <v>3</v>
      </c>
      <c r="C93" s="149" t="s">
        <v>501</v>
      </c>
      <c r="E93" s="139">
        <f t="shared" si="23"/>
        <v>0</v>
      </c>
      <c r="F93" s="139">
        <f t="shared" si="23"/>
        <v>0</v>
      </c>
      <c r="G93" s="139">
        <f t="shared" si="23"/>
        <v>10666.110240379299</v>
      </c>
      <c r="H93" s="139">
        <f t="shared" si="23"/>
        <v>10687.907036800641</v>
      </c>
      <c r="I93" s="139">
        <f t="shared" si="23"/>
        <v>10704.350443355032</v>
      </c>
      <c r="J93" s="216">
        <f t="shared" si="23"/>
        <v>10715.161457675971</v>
      </c>
      <c r="K93" s="148"/>
      <c r="L93" s="36"/>
      <c r="M93" s="36"/>
    </row>
    <row r="94" spans="1:13">
      <c r="A94" s="149">
        <v>4</v>
      </c>
      <c r="C94" s="149" t="s">
        <v>502</v>
      </c>
      <c r="E94" s="139">
        <f t="shared" si="23"/>
        <v>0</v>
      </c>
      <c r="F94" s="139">
        <f t="shared" si="23"/>
        <v>0</v>
      </c>
      <c r="G94" s="139">
        <f t="shared" si="23"/>
        <v>0</v>
      </c>
      <c r="H94" s="139">
        <f t="shared" si="23"/>
        <v>11176.57898605604</v>
      </c>
      <c r="I94" s="139">
        <f t="shared" si="23"/>
        <v>11199.418954081482</v>
      </c>
      <c r="J94" s="216">
        <f t="shared" si="23"/>
        <v>11216.64932466768</v>
      </c>
      <c r="K94" s="148"/>
      <c r="L94" s="36"/>
      <c r="M94" s="36"/>
    </row>
    <row r="95" spans="1:13">
      <c r="A95" s="149">
        <v>5</v>
      </c>
      <c r="C95" s="149" t="s">
        <v>503</v>
      </c>
      <c r="E95" s="139">
        <f t="shared" si="23"/>
        <v>0</v>
      </c>
      <c r="F95" s="139">
        <f t="shared" si="23"/>
        <v>0</v>
      </c>
      <c r="G95" s="139">
        <f t="shared" si="23"/>
        <v>0</v>
      </c>
      <c r="H95" s="139">
        <f t="shared" si="23"/>
        <v>0</v>
      </c>
      <c r="I95" s="139">
        <f t="shared" si="23"/>
        <v>11160.321156208976</v>
      </c>
      <c r="J95" s="216">
        <f t="shared" si="23"/>
        <v>11183.127900444353</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11064.037947122311</v>
      </c>
      <c r="K96" s="148"/>
      <c r="L96" s="36"/>
      <c r="M96" s="36"/>
    </row>
    <row r="97" spans="1:13">
      <c r="C97" s="149" t="s">
        <v>260</v>
      </c>
      <c r="E97" s="139">
        <f t="shared" ref="E97:J97" si="24">SUM(E67:E72)</f>
        <v>0</v>
      </c>
      <c r="F97" s="139">
        <f t="shared" si="24"/>
        <v>6426</v>
      </c>
      <c r="G97" s="139">
        <f t="shared" si="24"/>
        <v>17037.541003989958</v>
      </c>
      <c r="H97" s="139">
        <f t="shared" si="24"/>
        <v>27736.493303364914</v>
      </c>
      <c r="I97" s="139">
        <f t="shared" si="24"/>
        <v>38957.738284126048</v>
      </c>
      <c r="J97" s="216">
        <f t="shared" si="24"/>
        <v>50171.047514347032</v>
      </c>
      <c r="K97" s="148"/>
      <c r="L97" s="36"/>
      <c r="M97" s="36"/>
    </row>
    <row r="98" spans="1:13">
      <c r="C98" s="149" t="s">
        <v>261</v>
      </c>
      <c r="E98" s="139">
        <f t="shared" ref="E98:J98" si="25">SUM(E79:E84)</f>
        <v>0</v>
      </c>
      <c r="F98" s="139">
        <f t="shared" si="25"/>
        <v>127.31325841894902</v>
      </c>
      <c r="G98" s="139">
        <f t="shared" si="25"/>
        <v>414.69171426533762</v>
      </c>
      <c r="H98" s="139">
        <f t="shared" si="25"/>
        <v>673.04760255451095</v>
      </c>
      <c r="I98" s="139">
        <f t="shared" si="25"/>
        <v>945.33984762580428</v>
      </c>
      <c r="J98" s="216">
        <f t="shared" si="25"/>
        <v>1217.4395255323479</v>
      </c>
      <c r="K98" s="148"/>
      <c r="L98" s="36"/>
      <c r="M98" s="36"/>
    </row>
    <row r="99" spans="1:13">
      <c r="C99" s="149" t="s">
        <v>75</v>
      </c>
      <c r="E99" s="139">
        <f t="shared" ref="E99:J99" si="26">SUM(E85:E90)</f>
        <v>0</v>
      </c>
      <c r="F99" s="139">
        <f t="shared" si="26"/>
        <v>142.80000000000001</v>
      </c>
      <c r="G99" s="139">
        <f t="shared" si="26"/>
        <v>381.8496552696854</v>
      </c>
      <c r="H99" s="139">
        <f t="shared" si="26"/>
        <v>628.3816078494126</v>
      </c>
      <c r="I99" s="216">
        <f t="shared" si="26"/>
        <v>892.35177361380488</v>
      </c>
      <c r="J99" s="216">
        <f t="shared" si="26"/>
        <v>1162.5204531967167</v>
      </c>
      <c r="K99" s="148"/>
      <c r="L99" s="36"/>
      <c r="M99" s="36"/>
    </row>
    <row r="100" spans="1:13">
      <c r="C100" s="149" t="s">
        <v>262</v>
      </c>
      <c r="E100" s="139">
        <f t="shared" ref="E100:J100" si="27">SUM(E91:E96)</f>
        <v>6426</v>
      </c>
      <c r="F100" s="139">
        <f t="shared" si="27"/>
        <v>17037.541003989958</v>
      </c>
      <c r="G100" s="139">
        <f t="shared" si="27"/>
        <v>27736.493303364914</v>
      </c>
      <c r="H100" s="139">
        <f t="shared" si="27"/>
        <v>38957.738284126048</v>
      </c>
      <c r="I100" s="216">
        <f t="shared" si="27"/>
        <v>50171.047514347032</v>
      </c>
      <c r="J100" s="216">
        <f t="shared" si="27"/>
        <v>61290.004533804968</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6426</v>
      </c>
      <c r="F104" s="139">
        <f t="shared" ref="F104:J104" si="28">F$25</f>
        <v>10627.027745571009</v>
      </c>
      <c r="G104" s="139">
        <f t="shared" si="28"/>
        <v>10666.110240379299</v>
      </c>
      <c r="H104" s="139">
        <f t="shared" si="28"/>
        <v>11176.57898605604</v>
      </c>
      <c r="I104" s="139">
        <f t="shared" si="28"/>
        <v>11160.321156208976</v>
      </c>
      <c r="J104" s="139">
        <f t="shared" si="28"/>
        <v>11064.037947122311</v>
      </c>
      <c r="K104" s="148"/>
      <c r="L104" s="36"/>
      <c r="M104" s="36"/>
    </row>
    <row r="105" spans="1:13">
      <c r="A105" s="149">
        <v>1</v>
      </c>
      <c r="C105" s="149" t="s">
        <v>457</v>
      </c>
      <c r="E105" s="135">
        <v>0</v>
      </c>
      <c r="F105" s="139">
        <f>E123</f>
        <v>6426</v>
      </c>
      <c r="G105" s="139">
        <f t="shared" ref="G105:J105" si="29">F123</f>
        <v>6283.2</v>
      </c>
      <c r="H105" s="139">
        <f t="shared" si="29"/>
        <v>6140.4</v>
      </c>
      <c r="I105" s="139">
        <f t="shared" si="29"/>
        <v>5997.5999999999995</v>
      </c>
      <c r="J105" s="139">
        <f t="shared" si="29"/>
        <v>5854.7999999999993</v>
      </c>
      <c r="K105" s="148"/>
      <c r="L105" s="36"/>
      <c r="M105" s="36"/>
    </row>
    <row r="106" spans="1:13">
      <c r="A106" s="149">
        <v>2</v>
      </c>
      <c r="C106" s="149" t="s">
        <v>458</v>
      </c>
      <c r="E106" s="135">
        <v>0</v>
      </c>
      <c r="F106" s="139">
        <f t="shared" ref="F106:J109" si="30">E124</f>
        <v>0</v>
      </c>
      <c r="G106" s="139">
        <f t="shared" si="30"/>
        <v>10627.027745571009</v>
      </c>
      <c r="H106" s="139">
        <f t="shared" si="30"/>
        <v>10390.87157344721</v>
      </c>
      <c r="I106" s="139">
        <f t="shared" si="30"/>
        <v>10154.71540132341</v>
      </c>
      <c r="J106" s="139">
        <f t="shared" si="30"/>
        <v>9918.5592291996109</v>
      </c>
      <c r="K106" s="148"/>
      <c r="L106" s="36"/>
      <c r="M106" s="36"/>
    </row>
    <row r="107" spans="1:13">
      <c r="A107" s="149">
        <v>3</v>
      </c>
      <c r="C107" s="149" t="s">
        <v>459</v>
      </c>
      <c r="E107" s="135">
        <v>0</v>
      </c>
      <c r="F107" s="139">
        <f t="shared" si="30"/>
        <v>0</v>
      </c>
      <c r="G107" s="139">
        <f t="shared" si="30"/>
        <v>0</v>
      </c>
      <c r="H107" s="139">
        <f t="shared" si="30"/>
        <v>10666.110240379299</v>
      </c>
      <c r="I107" s="139">
        <f t="shared" si="30"/>
        <v>10429.085568370871</v>
      </c>
      <c r="J107" s="139">
        <f t="shared" si="30"/>
        <v>10192.060896362442</v>
      </c>
      <c r="K107" s="148"/>
      <c r="L107" s="36"/>
      <c r="M107" s="36"/>
    </row>
    <row r="108" spans="1:13">
      <c r="A108" s="149">
        <v>4</v>
      </c>
      <c r="C108" s="149" t="s">
        <v>460</v>
      </c>
      <c r="E108" s="135">
        <v>0</v>
      </c>
      <c r="F108" s="139">
        <f t="shared" si="30"/>
        <v>0</v>
      </c>
      <c r="G108" s="139">
        <f t="shared" si="30"/>
        <v>0</v>
      </c>
      <c r="H108" s="139">
        <f t="shared" si="30"/>
        <v>0</v>
      </c>
      <c r="I108" s="139">
        <f t="shared" si="30"/>
        <v>11176.57898605604</v>
      </c>
      <c r="J108" s="139">
        <f t="shared" si="30"/>
        <v>10928.210564143683</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11160.321156208976</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142.80000000000001</v>
      </c>
      <c r="G117" s="139">
        <f t="shared" si="33"/>
        <v>142.79999999999998</v>
      </c>
      <c r="H117" s="139">
        <f t="shared" si="33"/>
        <v>142.79999999999998</v>
      </c>
      <c r="I117" s="139">
        <f t="shared" si="33"/>
        <v>142.79999999999998</v>
      </c>
      <c r="J117" s="139">
        <f t="shared" si="33"/>
        <v>142.79999999999998</v>
      </c>
      <c r="K117" s="148"/>
      <c r="L117" s="36"/>
      <c r="M117" s="36"/>
    </row>
    <row r="118" spans="1:13">
      <c r="A118" s="149">
        <v>2</v>
      </c>
      <c r="C118" s="149" t="s">
        <v>470</v>
      </c>
      <c r="E118" s="139">
        <f t="shared" si="33"/>
        <v>0</v>
      </c>
      <c r="F118" s="139">
        <f t="shared" si="33"/>
        <v>0</v>
      </c>
      <c r="G118" s="139">
        <f t="shared" si="33"/>
        <v>236.15617212380022</v>
      </c>
      <c r="H118" s="139">
        <f t="shared" si="33"/>
        <v>236.15617212380022</v>
      </c>
      <c r="I118" s="139">
        <f t="shared" si="33"/>
        <v>236.15617212380025</v>
      </c>
      <c r="J118" s="139">
        <f t="shared" si="33"/>
        <v>236.15617212380025</v>
      </c>
      <c r="K118" s="148"/>
      <c r="L118" s="36"/>
      <c r="M118" s="36"/>
    </row>
    <row r="119" spans="1:13">
      <c r="A119" s="149">
        <v>3</v>
      </c>
      <c r="C119" s="149" t="s">
        <v>471</v>
      </c>
      <c r="E119" s="139">
        <f t="shared" si="33"/>
        <v>0</v>
      </c>
      <c r="F119" s="139">
        <f t="shared" si="33"/>
        <v>0</v>
      </c>
      <c r="G119" s="139">
        <f t="shared" si="33"/>
        <v>0</v>
      </c>
      <c r="H119" s="139">
        <f t="shared" si="33"/>
        <v>237.02467200842887</v>
      </c>
      <c r="I119" s="139">
        <f t="shared" si="33"/>
        <v>237.02467200842887</v>
      </c>
      <c r="J119" s="139">
        <f t="shared" si="33"/>
        <v>237.02467200842887</v>
      </c>
      <c r="K119" s="148"/>
      <c r="L119" s="36"/>
      <c r="M119" s="36"/>
    </row>
    <row r="120" spans="1:13">
      <c r="A120" s="149">
        <v>4</v>
      </c>
      <c r="C120" s="149" t="s">
        <v>472</v>
      </c>
      <c r="E120" s="139">
        <f t="shared" si="33"/>
        <v>0</v>
      </c>
      <c r="F120" s="139">
        <f t="shared" si="33"/>
        <v>0</v>
      </c>
      <c r="G120" s="139">
        <f t="shared" si="33"/>
        <v>0</v>
      </c>
      <c r="H120" s="139">
        <f t="shared" si="33"/>
        <v>0</v>
      </c>
      <c r="I120" s="139">
        <f t="shared" si="33"/>
        <v>248.36842191235644</v>
      </c>
      <c r="J120" s="139">
        <f t="shared" si="33"/>
        <v>248.36842191235644</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248.00713680464392</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6426</v>
      </c>
      <c r="F123" s="139">
        <f t="shared" ref="F123:J123" si="34">F105-F117+IF($A123=F$103,F$104,0)</f>
        <v>6283.2</v>
      </c>
      <c r="G123" s="139">
        <f t="shared" si="34"/>
        <v>6140.4</v>
      </c>
      <c r="H123" s="139">
        <f t="shared" si="34"/>
        <v>5997.5999999999995</v>
      </c>
      <c r="I123" s="139">
        <f t="shared" si="34"/>
        <v>5854.7999999999993</v>
      </c>
      <c r="J123" s="139">
        <f t="shared" si="34"/>
        <v>5711.9999999999991</v>
      </c>
      <c r="K123" s="148"/>
      <c r="L123" s="36"/>
      <c r="M123" s="36"/>
    </row>
    <row r="124" spans="1:13">
      <c r="A124" s="149">
        <v>2</v>
      </c>
      <c r="C124" s="149" t="s">
        <v>476</v>
      </c>
      <c r="E124" s="139">
        <f t="shared" ref="E124:J128" si="35">E106-E118+IF($A124=E$103,E$104,0)</f>
        <v>0</v>
      </c>
      <c r="F124" s="139">
        <f t="shared" si="35"/>
        <v>10627.027745571009</v>
      </c>
      <c r="G124" s="139">
        <f t="shared" si="35"/>
        <v>10390.87157344721</v>
      </c>
      <c r="H124" s="139">
        <f t="shared" si="35"/>
        <v>10154.71540132341</v>
      </c>
      <c r="I124" s="139">
        <f t="shared" si="35"/>
        <v>9918.5592291996109</v>
      </c>
      <c r="J124" s="139">
        <f t="shared" si="35"/>
        <v>9682.4030570758114</v>
      </c>
      <c r="K124" s="148"/>
      <c r="L124" s="36"/>
      <c r="M124" s="36"/>
    </row>
    <row r="125" spans="1:13">
      <c r="A125" s="149">
        <v>3</v>
      </c>
      <c r="C125" s="149" t="s">
        <v>477</v>
      </c>
      <c r="E125" s="139">
        <f t="shared" si="35"/>
        <v>0</v>
      </c>
      <c r="F125" s="139">
        <f t="shared" si="35"/>
        <v>0</v>
      </c>
      <c r="G125" s="139">
        <f t="shared" si="35"/>
        <v>10666.110240379299</v>
      </c>
      <c r="H125" s="139">
        <f t="shared" si="35"/>
        <v>10429.085568370871</v>
      </c>
      <c r="I125" s="139">
        <f t="shared" si="35"/>
        <v>10192.060896362442</v>
      </c>
      <c r="J125" s="139">
        <f t="shared" si="35"/>
        <v>9955.036224354013</v>
      </c>
      <c r="K125" s="148"/>
      <c r="L125" s="36"/>
      <c r="M125" s="36"/>
    </row>
    <row r="126" spans="1:13">
      <c r="A126" s="149">
        <v>4</v>
      </c>
      <c r="C126" s="149" t="s">
        <v>478</v>
      </c>
      <c r="E126" s="139">
        <f t="shared" si="35"/>
        <v>0</v>
      </c>
      <c r="F126" s="139">
        <f t="shared" si="35"/>
        <v>0</v>
      </c>
      <c r="G126" s="139">
        <f t="shared" si="35"/>
        <v>0</v>
      </c>
      <c r="H126" s="139">
        <f t="shared" si="35"/>
        <v>11176.57898605604</v>
      </c>
      <c r="I126" s="139">
        <f t="shared" si="35"/>
        <v>10928.210564143683</v>
      </c>
      <c r="J126" s="139">
        <f t="shared" si="35"/>
        <v>10679.842142231326</v>
      </c>
      <c r="K126" s="148"/>
      <c r="L126" s="36"/>
      <c r="M126" s="36"/>
    </row>
    <row r="127" spans="1:13">
      <c r="A127" s="149">
        <v>5</v>
      </c>
      <c r="C127" s="149" t="s">
        <v>479</v>
      </c>
      <c r="E127" s="139">
        <f t="shared" si="35"/>
        <v>0</v>
      </c>
      <c r="F127" s="139">
        <f t="shared" si="35"/>
        <v>0</v>
      </c>
      <c r="G127" s="139">
        <f t="shared" si="35"/>
        <v>0</v>
      </c>
      <c r="H127" s="139">
        <f t="shared" si="35"/>
        <v>0</v>
      </c>
      <c r="I127" s="139">
        <f t="shared" si="35"/>
        <v>11160.321156208976</v>
      </c>
      <c r="J127" s="139">
        <f t="shared" si="35"/>
        <v>10912.314019404332</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11064.037947122311</v>
      </c>
      <c r="K128" s="148"/>
      <c r="L128" s="36"/>
      <c r="M128" s="36"/>
    </row>
    <row r="129" spans="3:13">
      <c r="C129" s="149" t="s">
        <v>72</v>
      </c>
      <c r="E129" s="139">
        <f>SUM(E105:E110)</f>
        <v>0</v>
      </c>
      <c r="F129" s="139">
        <f t="shared" ref="F129:J129" si="36">SUM(F105:F110)</f>
        <v>6426</v>
      </c>
      <c r="G129" s="139">
        <f t="shared" si="36"/>
        <v>16910.22774557101</v>
      </c>
      <c r="H129" s="139">
        <f t="shared" si="36"/>
        <v>27197.381813826505</v>
      </c>
      <c r="I129" s="139">
        <f t="shared" si="36"/>
        <v>37757.979955750321</v>
      </c>
      <c r="J129" s="139">
        <f t="shared" si="36"/>
        <v>48053.951845914715</v>
      </c>
      <c r="K129" s="148"/>
      <c r="L129" s="36"/>
      <c r="M129" s="36"/>
    </row>
    <row r="130" spans="3:13">
      <c r="C130" s="149" t="s">
        <v>67</v>
      </c>
      <c r="E130" s="139">
        <f>SUM(E117:E122)</f>
        <v>0</v>
      </c>
      <c r="F130" s="139">
        <f t="shared" ref="F130:J130" si="37">SUM(F117:F122)</f>
        <v>142.80000000000001</v>
      </c>
      <c r="G130" s="139">
        <f t="shared" si="37"/>
        <v>378.95617212380023</v>
      </c>
      <c r="H130" s="139">
        <f t="shared" si="37"/>
        <v>615.98084413222909</v>
      </c>
      <c r="I130" s="139">
        <f t="shared" si="37"/>
        <v>864.34926604458553</v>
      </c>
      <c r="J130" s="139">
        <f t="shared" si="37"/>
        <v>1112.3564028492294</v>
      </c>
      <c r="K130" s="148"/>
      <c r="L130" s="36"/>
      <c r="M130" s="36"/>
    </row>
    <row r="131" spans="3:13" s="36" customFormat="1">
      <c r="C131" s="36" t="s">
        <v>73</v>
      </c>
      <c r="E131" s="139">
        <f>SUM(E123:E128)</f>
        <v>6426</v>
      </c>
      <c r="F131" s="139">
        <f t="shared" ref="F131:J131" si="38">SUM(F123:F128)</f>
        <v>16910.22774557101</v>
      </c>
      <c r="G131" s="139">
        <f t="shared" si="38"/>
        <v>27197.381813826505</v>
      </c>
      <c r="H131" s="139">
        <f t="shared" si="38"/>
        <v>37757.979955750321</v>
      </c>
      <c r="I131" s="139">
        <f t="shared" si="38"/>
        <v>48053.951845914715</v>
      </c>
      <c r="J131" s="139">
        <f t="shared" si="38"/>
        <v>58005.633390187795</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131086</v>
      </c>
      <c r="F134" s="139">
        <f>E137</f>
        <v>124807</v>
      </c>
      <c r="G134" s="139">
        <f t="shared" ref="G134:J134" si="39">F137</f>
        <v>118528</v>
      </c>
      <c r="H134" s="139">
        <f t="shared" si="39"/>
        <v>112249</v>
      </c>
      <c r="I134" s="139">
        <f t="shared" si="39"/>
        <v>105970</v>
      </c>
      <c r="J134" s="139">
        <f t="shared" si="39"/>
        <v>99691</v>
      </c>
      <c r="K134" s="148"/>
      <c r="L134" s="36"/>
      <c r="M134" s="36"/>
    </row>
    <row r="135" spans="3:13">
      <c r="C135" s="149" t="s">
        <v>41</v>
      </c>
      <c r="E135" s="139">
        <f t="shared" ref="E135:J135" si="40">E55</f>
        <v>0</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6279</v>
      </c>
      <c r="F136" s="139">
        <f t="shared" si="41"/>
        <v>6279</v>
      </c>
      <c r="G136" s="139">
        <f t="shared" si="41"/>
        <v>6279</v>
      </c>
      <c r="H136" s="139">
        <f t="shared" si="41"/>
        <v>6279</v>
      </c>
      <c r="I136" s="139">
        <f t="shared" si="41"/>
        <v>6279</v>
      </c>
      <c r="J136" s="139">
        <f t="shared" si="41"/>
        <v>6279</v>
      </c>
      <c r="K136" s="148"/>
      <c r="L136" s="36"/>
      <c r="M136" s="36"/>
    </row>
    <row r="137" spans="3:13">
      <c r="C137" s="149" t="s">
        <v>66</v>
      </c>
      <c r="E137" s="139">
        <f t="shared" ref="E137:J137" si="42">E134-E135-E136</f>
        <v>124807</v>
      </c>
      <c r="F137" s="139">
        <f t="shared" si="42"/>
        <v>118528</v>
      </c>
      <c r="G137" s="139">
        <f t="shared" si="42"/>
        <v>112249</v>
      </c>
      <c r="H137" s="139">
        <f t="shared" si="42"/>
        <v>105970</v>
      </c>
      <c r="I137" s="139">
        <f t="shared" si="42"/>
        <v>99691</v>
      </c>
      <c r="J137" s="139">
        <f t="shared" si="42"/>
        <v>93412</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131086</v>
      </c>
      <c r="F140" s="139">
        <f t="shared" si="43"/>
        <v>133492.11646401169</v>
      </c>
      <c r="G140" s="139">
        <f t="shared" si="43"/>
        <v>140228.46256894601</v>
      </c>
      <c r="H140" s="139">
        <f t="shared" si="43"/>
        <v>147399.84974228175</v>
      </c>
      <c r="I140" s="139">
        <f t="shared" si="43"/>
        <v>154831.07393340886</v>
      </c>
      <c r="J140" s="139">
        <f t="shared" si="43"/>
        <v>161990.34128850445</v>
      </c>
      <c r="K140" s="148"/>
      <c r="L140" s="36"/>
      <c r="M140" s="36"/>
    </row>
    <row r="141" spans="3:13">
      <c r="C141" s="149" t="s">
        <v>268</v>
      </c>
      <c r="E141" s="139">
        <f t="shared" ref="E141:J143" si="44">E60+E98</f>
        <v>2259.1164640116831</v>
      </c>
      <c r="F141" s="139">
        <f t="shared" si="44"/>
        <v>2644.7737815554246</v>
      </c>
      <c r="G141" s="139">
        <f t="shared" si="44"/>
        <v>3413.1440398523855</v>
      </c>
      <c r="H141" s="139">
        <f t="shared" si="44"/>
        <v>3576.7721031231572</v>
      </c>
      <c r="I141" s="139">
        <f t="shared" si="44"/>
        <v>3757.096543245385</v>
      </c>
      <c r="J141" s="139">
        <f t="shared" si="44"/>
        <v>3930.8217390259661</v>
      </c>
      <c r="K141" s="148"/>
      <c r="L141" s="36"/>
      <c r="M141" s="36"/>
    </row>
    <row r="142" spans="3:13">
      <c r="C142" s="149" t="s">
        <v>267</v>
      </c>
      <c r="E142" s="139">
        <f>E61+E99</f>
        <v>6279</v>
      </c>
      <c r="F142" s="139">
        <f t="shared" si="44"/>
        <v>6535.4554221920998</v>
      </c>
      <c r="G142" s="139">
        <f t="shared" si="44"/>
        <v>6907.8671068959602</v>
      </c>
      <c r="H142" s="139">
        <f t="shared" si="44"/>
        <v>7322.1268980520763</v>
      </c>
      <c r="I142" s="139">
        <f t="shared" si="44"/>
        <v>7758.1503443587962</v>
      </c>
      <c r="J142" s="139">
        <f t="shared" si="44"/>
        <v>8205.4164579306889</v>
      </c>
      <c r="K142" s="148"/>
      <c r="L142" s="36"/>
      <c r="M142" s="36"/>
    </row>
    <row r="143" spans="3:13">
      <c r="C143" s="149" t="s">
        <v>270</v>
      </c>
      <c r="E143" s="139">
        <f t="shared" si="44"/>
        <v>133492.11646401169</v>
      </c>
      <c r="F143" s="139">
        <f t="shared" si="44"/>
        <v>140228.46256894601</v>
      </c>
      <c r="G143" s="139">
        <f t="shared" si="44"/>
        <v>147399.84974228175</v>
      </c>
      <c r="H143" s="139">
        <f t="shared" si="44"/>
        <v>154831.07393340886</v>
      </c>
      <c r="I143" s="139">
        <f t="shared" si="44"/>
        <v>161990.34128850445</v>
      </c>
      <c r="J143" s="216">
        <f t="shared" si="44"/>
        <v>168779.78451672202</v>
      </c>
      <c r="K143" s="148"/>
      <c r="L143" s="36"/>
      <c r="M143" s="36"/>
    </row>
    <row r="144" spans="3:13">
      <c r="C144" s="149" t="s">
        <v>46</v>
      </c>
      <c r="E144" s="139">
        <f t="shared" ref="E144:J144" si="45">E130+E136</f>
        <v>6279</v>
      </c>
      <c r="F144" s="139">
        <f t="shared" si="45"/>
        <v>6421.8</v>
      </c>
      <c r="G144" s="139">
        <f t="shared" si="45"/>
        <v>6657.9561721238006</v>
      </c>
      <c r="H144" s="139">
        <f t="shared" si="45"/>
        <v>6894.9808441322293</v>
      </c>
      <c r="I144" s="139">
        <f t="shared" si="45"/>
        <v>7143.3492660445854</v>
      </c>
      <c r="J144" s="139">
        <f t="shared" si="45"/>
        <v>7391.3564028492292</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1.0183552512397334</v>
      </c>
      <c r="G148" s="308">
        <f t="shared" ref="G148:J148" si="46">G140/$E140</f>
        <v>1.0697440044623072</v>
      </c>
      <c r="H148" s="308">
        <f t="shared" si="46"/>
        <v>1.1244515031527527</v>
      </c>
      <c r="I148" s="308">
        <f t="shared" si="46"/>
        <v>1.1811411892452959</v>
      </c>
      <c r="J148" s="308">
        <f t="shared" si="46"/>
        <v>1.2357562309362133</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8.1120977448731632E-2</v>
      </c>
      <c r="E152" s="36"/>
      <c r="F152" s="36"/>
      <c r="G152" s="36"/>
      <c r="H152" s="36"/>
      <c r="I152" s="36"/>
      <c r="J152" s="36"/>
      <c r="K152" s="148"/>
      <c r="L152" s="36"/>
      <c r="M152" s="36"/>
    </row>
    <row r="153" spans="1:13">
      <c r="C153" s="149" t="s">
        <v>282</v>
      </c>
      <c r="E153" s="135">
        <f>E16</f>
        <v>88066</v>
      </c>
      <c r="F153" s="139">
        <f>E157</f>
        <v>87348</v>
      </c>
      <c r="G153" s="139">
        <f t="shared" ref="G153:J153" si="48">F157</f>
        <v>90889.272607379186</v>
      </c>
      <c r="H153" s="139">
        <f t="shared" si="48"/>
        <v>94182.356214243657</v>
      </c>
      <c r="I153" s="139">
        <f t="shared" si="48"/>
        <v>97718.770405775635</v>
      </c>
      <c r="J153" s="139">
        <f t="shared" si="48"/>
        <v>100952.0493915799</v>
      </c>
      <c r="K153" s="148"/>
      <c r="L153" s="36"/>
      <c r="M153" s="36"/>
    </row>
    <row r="154" spans="1:13">
      <c r="C154" s="149" t="s">
        <v>35</v>
      </c>
      <c r="E154" s="135">
        <f>E15</f>
        <v>7144</v>
      </c>
      <c r="F154" s="139">
        <f t="shared" ref="F154:J154" si="49">F153*$D152</f>
        <v>7085.7551381918101</v>
      </c>
      <c r="G154" s="139">
        <f t="shared" si="49"/>
        <v>7373.026633514829</v>
      </c>
      <c r="H154" s="139">
        <f t="shared" si="49"/>
        <v>7640.1647945240693</v>
      </c>
      <c r="I154" s="139">
        <f t="shared" si="49"/>
        <v>7927.0421704047094</v>
      </c>
      <c r="J154" s="139">
        <f t="shared" si="49"/>
        <v>8189.3289220975948</v>
      </c>
      <c r="K154" s="148"/>
      <c r="L154" s="36"/>
      <c r="M154" s="36"/>
    </row>
    <row r="155" spans="1:13">
      <c r="C155" s="149" t="s">
        <v>124</v>
      </c>
      <c r="E155" s="139">
        <f t="shared" ref="E155:J155" si="50">E25</f>
        <v>6426</v>
      </c>
      <c r="F155" s="139">
        <f t="shared" si="50"/>
        <v>10627.027745571009</v>
      </c>
      <c r="G155" s="139">
        <f t="shared" si="50"/>
        <v>10666.110240379299</v>
      </c>
      <c r="H155" s="139">
        <f t="shared" si="50"/>
        <v>11176.57898605604</v>
      </c>
      <c r="I155" s="139">
        <f t="shared" si="50"/>
        <v>11160.321156208976</v>
      </c>
      <c r="J155" s="139">
        <f t="shared" si="50"/>
        <v>11064.037947122311</v>
      </c>
      <c r="K155" s="148"/>
      <c r="L155" s="309"/>
      <c r="M155" s="36"/>
    </row>
    <row r="156" spans="1:13">
      <c r="C156" s="149" t="s">
        <v>41</v>
      </c>
      <c r="E156" s="139">
        <f>E55</f>
        <v>0</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87348</v>
      </c>
      <c r="F157" s="139">
        <f t="shared" ref="F157:J157" si="52">F153-F154+F155-F156</f>
        <v>90889.272607379186</v>
      </c>
      <c r="G157" s="139">
        <f t="shared" si="52"/>
        <v>94182.356214243657</v>
      </c>
      <c r="H157" s="139">
        <f t="shared" si="52"/>
        <v>97718.770405775635</v>
      </c>
      <c r="I157" s="139">
        <f t="shared" si="52"/>
        <v>100952.0493915799</v>
      </c>
      <c r="J157" s="139">
        <f t="shared" si="52"/>
        <v>103826.75841660461</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-865</v>
      </c>
      <c r="F160" s="139">
        <f t="shared" si="53"/>
        <v>-663.95513819180997</v>
      </c>
      <c r="G160" s="139">
        <f t="shared" si="53"/>
        <v>-715.0704613910284</v>
      </c>
      <c r="H160" s="139">
        <f t="shared" si="53"/>
        <v>-745.18395039183997</v>
      </c>
      <c r="I160" s="139">
        <f t="shared" si="53"/>
        <v>-783.69290436012398</v>
      </c>
      <c r="J160" s="139">
        <f t="shared" si="53"/>
        <v>-797.97251924836564</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-835.40361445783128</v>
      </c>
      <c r="G163" s="310">
        <f t="shared" ref="G163:J163" si="54">F166</f>
        <v>-1610.4937703732055</v>
      </c>
      <c r="H163" s="310">
        <f t="shared" si="54"/>
        <v>-2348.2235397233362</v>
      </c>
      <c r="I163" s="310">
        <f t="shared" si="54"/>
        <v>-3094.3850859936938</v>
      </c>
      <c r="J163" s="310">
        <f t="shared" si="54"/>
        <v>-3851.3291393751711</v>
      </c>
      <c r="K163" s="148"/>
      <c r="L163" s="36"/>
      <c r="M163" s="36"/>
    </row>
    <row r="164" spans="3:13">
      <c r="C164" s="149" t="s">
        <v>238</v>
      </c>
      <c r="E164" s="139">
        <f t="shared" ref="E164:J164" si="55">E160</f>
        <v>-865</v>
      </c>
      <c r="F164" s="139">
        <f t="shared" si="55"/>
        <v>-663.95513819180997</v>
      </c>
      <c r="G164" s="139">
        <f t="shared" si="55"/>
        <v>-715.0704613910284</v>
      </c>
      <c r="H164" s="139">
        <f t="shared" si="55"/>
        <v>-745.18395039183997</v>
      </c>
      <c r="I164" s="139">
        <f t="shared" si="55"/>
        <v>-783.69290436012398</v>
      </c>
      <c r="J164" s="139">
        <f t="shared" si="55"/>
        <v>-797.97251924836564</v>
      </c>
      <c r="K164" s="148"/>
      <c r="L164" s="36"/>
      <c r="M164" s="36"/>
    </row>
    <row r="165" spans="3:13">
      <c r="C165" s="149" t="s">
        <v>49</v>
      </c>
      <c r="E165" s="135">
        <f>(E11-E16)/E17</f>
        <v>1919.6787148594378</v>
      </c>
      <c r="F165" s="139">
        <f>E165</f>
        <v>1919.6787148594378</v>
      </c>
      <c r="G165" s="139">
        <f t="shared" ref="G165:J165" si="56">F165</f>
        <v>1919.6787148594378</v>
      </c>
      <c r="H165" s="139">
        <f t="shared" si="56"/>
        <v>1919.6787148594378</v>
      </c>
      <c r="I165" s="139">
        <f t="shared" si="56"/>
        <v>1919.6787148594378</v>
      </c>
      <c r="J165" s="139">
        <f t="shared" si="56"/>
        <v>1919.6787148594378</v>
      </c>
      <c r="K165" s="148"/>
      <c r="L165" s="36"/>
      <c r="M165" s="36"/>
    </row>
    <row r="166" spans="3:13">
      <c r="C166" s="149" t="s">
        <v>266</v>
      </c>
      <c r="E166" s="310">
        <f t="shared" ref="E166:J166" si="57">E163+(E164-E165)*E52</f>
        <v>-835.40361445783128</v>
      </c>
      <c r="F166" s="310">
        <f t="shared" si="57"/>
        <v>-1610.4937703732055</v>
      </c>
      <c r="G166" s="310">
        <f t="shared" si="57"/>
        <v>-2348.2235397233362</v>
      </c>
      <c r="H166" s="310">
        <f t="shared" si="57"/>
        <v>-3094.3850859936938</v>
      </c>
      <c r="I166" s="310">
        <f t="shared" si="57"/>
        <v>-3851.3291393751711</v>
      </c>
      <c r="J166" s="310">
        <f t="shared" si="57"/>
        <v>-4612.2714849253562</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131086</v>
      </c>
      <c r="F169" s="139">
        <f t="shared" si="58"/>
        <v>132656.71284955385</v>
      </c>
      <c r="G169" s="139">
        <f t="shared" si="58"/>
        <v>138617.96879857281</v>
      </c>
      <c r="H169" s="139">
        <f t="shared" si="58"/>
        <v>145051.6262025584</v>
      </c>
      <c r="I169" s="139">
        <f t="shared" si="58"/>
        <v>151736.68884741515</v>
      </c>
      <c r="J169" s="139">
        <f t="shared" si="58"/>
        <v>158139.0121491293</v>
      </c>
      <c r="K169" s="148"/>
      <c r="L169" s="36"/>
      <c r="M169" s="36"/>
    </row>
    <row r="170" spans="3:13">
      <c r="C170" s="149" t="s">
        <v>124</v>
      </c>
      <c r="E170" s="139">
        <f t="shared" ref="E170:J170" si="59">E25</f>
        <v>6426</v>
      </c>
      <c r="F170" s="139">
        <f t="shared" si="59"/>
        <v>10627.027745571009</v>
      </c>
      <c r="G170" s="139">
        <f t="shared" si="59"/>
        <v>10666.110240379299</v>
      </c>
      <c r="H170" s="139">
        <f t="shared" si="59"/>
        <v>11176.57898605604</v>
      </c>
      <c r="I170" s="139">
        <f t="shared" si="59"/>
        <v>11160.321156208976</v>
      </c>
      <c r="J170" s="139">
        <f t="shared" si="59"/>
        <v>11064.037947122311</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2259.1164640116831</v>
      </c>
      <c r="F172" s="95">
        <f t="shared" si="61"/>
        <v>2644.7737815554246</v>
      </c>
      <c r="G172" s="95">
        <f t="shared" si="61"/>
        <v>3413.1440398523855</v>
      </c>
      <c r="H172" s="95">
        <f t="shared" si="61"/>
        <v>3576.7721031231572</v>
      </c>
      <c r="I172" s="95">
        <f t="shared" si="61"/>
        <v>3757.096543245385</v>
      </c>
      <c r="J172" s="95">
        <f t="shared" si="61"/>
        <v>3930.8217390259661</v>
      </c>
      <c r="K172" s="148"/>
      <c r="L172" s="36"/>
      <c r="M172" s="36"/>
    </row>
    <row r="173" spans="3:13">
      <c r="C173" s="149" t="s">
        <v>334</v>
      </c>
      <c r="E173" s="139">
        <f t="shared" ref="E173:J173" si="62">E169*WACC+E170*($D$46-1)+E171-E172</f>
        <v>9512.2129917071325</v>
      </c>
      <c r="F173" s="139">
        <f t="shared" si="62"/>
        <v>9444.1467792621861</v>
      </c>
      <c r="G173" s="139">
        <f t="shared" si="62"/>
        <v>9200.2517296679616</v>
      </c>
      <c r="H173" s="139">
        <f t="shared" si="62"/>
        <v>9622.7078088964154</v>
      </c>
      <c r="I173" s="139">
        <f t="shared" si="62"/>
        <v>10027.96738983728</v>
      </c>
      <c r="J173" s="139">
        <f t="shared" si="62"/>
        <v>10411.604210337315</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4573.8527119999999</v>
      </c>
      <c r="F176" s="310">
        <f t="shared" si="63"/>
        <v>4628.6580247466327</v>
      </c>
      <c r="G176" s="310">
        <f t="shared" si="63"/>
        <v>4836.6581673198016</v>
      </c>
      <c r="H176" s="310">
        <f t="shared" si="63"/>
        <v>5061.1413414596673</v>
      </c>
      <c r="I176" s="310">
        <f t="shared" si="63"/>
        <v>5294.3965472640093</v>
      </c>
      <c r="J176" s="310">
        <f t="shared" si="63"/>
        <v>5517.7864119074184</v>
      </c>
      <c r="K176" s="148"/>
      <c r="L176" s="36"/>
      <c r="M176" s="36"/>
    </row>
    <row r="177" spans="3:13">
      <c r="C177" s="149" t="s">
        <v>52</v>
      </c>
      <c r="E177" s="310">
        <f t="shared" ref="E177:J177" si="64">E142-E144</f>
        <v>0</v>
      </c>
      <c r="F177" s="310">
        <f t="shared" si="64"/>
        <v>113.65542219209965</v>
      </c>
      <c r="G177" s="310">
        <f t="shared" si="64"/>
        <v>249.91093477215964</v>
      </c>
      <c r="H177" s="310">
        <f t="shared" si="64"/>
        <v>427.14605391984696</v>
      </c>
      <c r="I177" s="310">
        <f t="shared" si="64"/>
        <v>614.80107831421083</v>
      </c>
      <c r="J177" s="310">
        <f t="shared" si="64"/>
        <v>814.06005508145972</v>
      </c>
      <c r="K177" s="148"/>
      <c r="L177" s="36"/>
      <c r="M177" s="36"/>
    </row>
    <row r="178" spans="3:13">
      <c r="C178" s="149" t="s">
        <v>53</v>
      </c>
      <c r="E178" s="310">
        <f t="shared" ref="E178:J178" si="65">E165+E177-E176</f>
        <v>-2654.1739971405623</v>
      </c>
      <c r="F178" s="310">
        <f t="shared" si="65"/>
        <v>-2595.3238876950954</v>
      </c>
      <c r="G178" s="310">
        <f t="shared" si="65"/>
        <v>-2667.0685176882043</v>
      </c>
      <c r="H178" s="310">
        <f t="shared" si="65"/>
        <v>-2714.3165726803827</v>
      </c>
      <c r="I178" s="310">
        <f t="shared" si="65"/>
        <v>-2759.9167540903609</v>
      </c>
      <c r="J178" s="310">
        <f t="shared" si="65"/>
        <v>-2784.047641966521</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6279</v>
      </c>
      <c r="F181" s="139">
        <f t="shared" si="66"/>
        <v>6535.4554221920998</v>
      </c>
      <c r="G181" s="139">
        <f t="shared" si="66"/>
        <v>6907.8671068959602</v>
      </c>
      <c r="H181" s="139">
        <f t="shared" si="66"/>
        <v>7322.1268980520763</v>
      </c>
      <c r="I181" s="139">
        <f t="shared" si="66"/>
        <v>7758.1503443587962</v>
      </c>
      <c r="J181" s="139">
        <f t="shared" si="66"/>
        <v>8205.4164579306889</v>
      </c>
      <c r="K181" s="148"/>
      <c r="L181" s="36"/>
      <c r="M181" s="36"/>
    </row>
    <row r="182" spans="3:13">
      <c r="C182" s="149" t="s">
        <v>275</v>
      </c>
      <c r="E182" s="139">
        <f>E55</f>
        <v>0</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6279</v>
      </c>
      <c r="F183" s="95">
        <f>F181+F182</f>
        <v>6535.4554221920998</v>
      </c>
      <c r="G183" s="95">
        <f t="shared" ref="G183:J183" si="68">G181+G182</f>
        <v>6907.8671068959602</v>
      </c>
      <c r="H183" s="95">
        <f t="shared" si="68"/>
        <v>7322.1268980520763</v>
      </c>
      <c r="I183" s="95">
        <f t="shared" si="68"/>
        <v>7758.1503443587962</v>
      </c>
      <c r="J183" s="95">
        <f t="shared" si="68"/>
        <v>8205.4164579306889</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304.0805752321744</v>
      </c>
      <c r="F186" s="139">
        <f t="shared" ref="F186:J186" si="69">F40</f>
        <v>317.66302572112289</v>
      </c>
      <c r="G186" s="139">
        <f t="shared" si="69"/>
        <v>322.65249732930812</v>
      </c>
      <c r="H186" s="139">
        <f t="shared" si="69"/>
        <v>328.75074040597889</v>
      </c>
      <c r="I186" s="139">
        <f t="shared" si="69"/>
        <v>335.68056208401384</v>
      </c>
      <c r="J186" s="139">
        <f t="shared" si="69"/>
        <v>343.16476949629163</v>
      </c>
      <c r="K186" s="148"/>
      <c r="L186" s="36"/>
      <c r="M186" s="36"/>
    </row>
    <row r="187" spans="3:13">
      <c r="E187" s="36"/>
      <c r="F187" s="95"/>
      <c r="G187" s="95"/>
      <c r="H187" s="95"/>
      <c r="I187" s="95"/>
      <c r="J187" s="95"/>
      <c r="K187" s="148"/>
      <c r="L187" s="36"/>
      <c r="M187" s="36"/>
    </row>
    <row r="188" spans="3:13" ht="15.75">
      <c r="C188" s="5" t="s">
        <v>297</v>
      </c>
      <c r="E188" s="139">
        <f t="shared" ref="E188:J188" si="70">E24</f>
        <v>4855</v>
      </c>
      <c r="F188" s="139">
        <f t="shared" si="70"/>
        <v>4990.9326075642084</v>
      </c>
      <c r="G188" s="139">
        <f t="shared" si="70"/>
        <v>5149.4058387456189</v>
      </c>
      <c r="H188" s="139">
        <f t="shared" si="70"/>
        <v>5283.6425668126813</v>
      </c>
      <c r="I188" s="139">
        <f t="shared" si="70"/>
        <v>5422.5419919285596</v>
      </c>
      <c r="J188" s="139">
        <f t="shared" si="70"/>
        <v>5560.0096270061176</v>
      </c>
      <c r="K188" s="148"/>
      <c r="L188" s="309"/>
      <c r="M188" s="36"/>
    </row>
    <row r="189" spans="3:13">
      <c r="C189" s="149" t="s">
        <v>298</v>
      </c>
      <c r="E189" s="139">
        <f t="shared" ref="E189:J189" si="71">E188*$D$44</f>
        <v>5062.835142626026</v>
      </c>
      <c r="F189" s="139">
        <f t="shared" si="71"/>
        <v>5204.5868177248658</v>
      </c>
      <c r="G189" s="139">
        <f t="shared" si="71"/>
        <v>5369.8440461472646</v>
      </c>
      <c r="H189" s="139">
        <f t="shared" si="71"/>
        <v>5509.8272437351234</v>
      </c>
      <c r="I189" s="139">
        <f t="shared" si="71"/>
        <v>5654.6727413184854</v>
      </c>
      <c r="J189" s="139">
        <f t="shared" si="71"/>
        <v>5798.0251561164978</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-835.40361445783128</v>
      </c>
      <c r="F192" s="310">
        <f t="shared" si="72"/>
        <v>-775.09015591537423</v>
      </c>
      <c r="G192" s="310">
        <f t="shared" si="72"/>
        <v>-737.72976935013071</v>
      </c>
      <c r="H192" s="310">
        <f t="shared" si="72"/>
        <v>-746.16154627035758</v>
      </c>
      <c r="I192" s="310">
        <f t="shared" si="72"/>
        <v>-756.94405338147726</v>
      </c>
      <c r="J192" s="310">
        <f t="shared" si="72"/>
        <v>-760.94234555018511</v>
      </c>
      <c r="K192" s="148"/>
      <c r="L192" s="309"/>
      <c r="M192" s="36"/>
    </row>
    <row r="193" spans="2:15">
      <c r="C193" s="149" t="s">
        <v>285</v>
      </c>
      <c r="E193" s="36"/>
      <c r="F193" s="310">
        <f>(F173+F183+F189+((F186-F188-F142+F178)*F52+F192)*$D45-F192-F186*$D47)/($D48-F52*$D45)</f>
        <v>22860.245227806314</v>
      </c>
      <c r="G193" s="310">
        <f>(G173+G183+G189+((G186-G188-G142+G178)*G52+G192)*$D45-G192-G186*$D47)/($D48-G52*$D45)</f>
        <v>22761.67061815628</v>
      </c>
      <c r="H193" s="310">
        <f>(H173+H183+H189+((H186-H188-H142+H178)*H52+H192)*$D45-H192-H186*$D47)/($D48-H52*$D45)</f>
        <v>23835.890344962972</v>
      </c>
      <c r="I193" s="310">
        <f>(I173+I183+I189+((I186-I188-I142+I178)*I52+I192)*$D45-I192-I186*$D47)/($D48-I52*$D45)</f>
        <v>24912.088668374628</v>
      </c>
      <c r="J193" s="310">
        <f>(J173+J183+J189+((J186-J188-J142+J178)*J52+J192)*$D45-J192-J186*$D47)/($D48-J52*$D45)</f>
        <v>25976.714298818977</v>
      </c>
      <c r="K193" s="148"/>
      <c r="L193" s="309"/>
      <c r="M193" s="36"/>
    </row>
    <row r="194" spans="2:15">
      <c r="C194" s="149" t="s">
        <v>293</v>
      </c>
      <c r="E194" s="36"/>
      <c r="F194" s="310">
        <f>(F193+F186-F188-F181+F178)*F52</f>
        <v>2716.8589008228091</v>
      </c>
      <c r="G194" s="310">
        <f>(G193+G186-G188-G181+G178)*G52</f>
        <v>2340.7948626036268</v>
      </c>
      <c r="H194" s="310">
        <f>(H193+H186-H188-H181+H178)*H52</f>
        <v>2476.4754133906672</v>
      </c>
      <c r="I194" s="310">
        <f>(I193+I186-I188-I181+I178)*I52</f>
        <v>2606.0048392226586</v>
      </c>
      <c r="J194" s="310">
        <f>(J193+J186-J188-J181+J178)*J52</f>
        <v>2735.7134955953438</v>
      </c>
      <c r="K194" s="148"/>
      <c r="L194" s="309"/>
      <c r="M194" s="36"/>
    </row>
    <row r="195" spans="2:15">
      <c r="C195" s="149" t="s">
        <v>277</v>
      </c>
      <c r="E195" s="36"/>
      <c r="F195" s="310">
        <f>IF(F194&lt;0,#N/A,F194)</f>
        <v>2716.8589008228091</v>
      </c>
      <c r="G195" s="310">
        <f t="shared" ref="G195:J195" si="73">IF(G194&lt;0,#N/A,G194)</f>
        <v>2340.7948626036268</v>
      </c>
      <c r="H195" s="310">
        <f t="shared" si="73"/>
        <v>2476.4754133906672</v>
      </c>
      <c r="I195" s="310">
        <f>IF(I194&lt;0,#N/A,I194)</f>
        <v>2606.0048392226586</v>
      </c>
      <c r="J195" s="310">
        <f t="shared" si="73"/>
        <v>2735.7134955953438</v>
      </c>
      <c r="K195" s="148"/>
      <c r="L195" s="309"/>
      <c r="M195" s="36"/>
    </row>
    <row r="196" spans="2:15">
      <c r="C196" s="149" t="s">
        <v>286</v>
      </c>
      <c r="E196" s="36"/>
      <c r="F196" s="310">
        <f>F173+F183+F189+(F195+F192)*$D$45-F192-F186*$D$47</f>
        <v>23652.9103821875</v>
      </c>
      <c r="G196" s="310">
        <f>G173+G183+G189+(G195+G192)*$D$45-G192-G186*$D$47</f>
        <v>23550.917757665025</v>
      </c>
      <c r="H196" s="310">
        <f>H173+H183+H189+(H195+H192)*$D$45-H192-H186*$D$47</f>
        <v>24662.385402729076</v>
      </c>
      <c r="I196" s="310">
        <f>I173+I183+I189+(I195+I192)*$D$45-I192-I186*$D$47</f>
        <v>25775.900251036721</v>
      </c>
      <c r="J196" s="310">
        <f>J173+J183+J189+(J195+J192)*$D$45-J192-J186*$D$47</f>
        <v>26877.441130259234</v>
      </c>
      <c r="K196" s="148"/>
      <c r="L196" s="309"/>
      <c r="M196" s="36"/>
    </row>
    <row r="197" spans="2:15">
      <c r="C197" s="149" t="s">
        <v>287</v>
      </c>
      <c r="E197" s="36"/>
      <c r="F197" s="310">
        <f>F196/$D$48</f>
        <v>22860.245227806314</v>
      </c>
      <c r="G197" s="310">
        <f t="shared" ref="G197:J197" si="74">G196/$D$48</f>
        <v>22761.670618156284</v>
      </c>
      <c r="H197" s="310">
        <f t="shared" si="74"/>
        <v>23835.890344962972</v>
      </c>
      <c r="I197" s="310">
        <f t="shared" si="74"/>
        <v>24912.088668374628</v>
      </c>
      <c r="J197" s="310">
        <f t="shared" si="74"/>
        <v>25976.714298818977</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1941.7687449074349</v>
      </c>
      <c r="G199" s="310">
        <f t="shared" ref="G199:J199" si="75">G195+G192</f>
        <v>1603.0650932534961</v>
      </c>
      <c r="H199" s="310">
        <f t="shared" si="75"/>
        <v>1730.3138671203096</v>
      </c>
      <c r="I199" s="310">
        <f t="shared" si="75"/>
        <v>1849.0607858411813</v>
      </c>
      <c r="J199" s="310">
        <f t="shared" si="75"/>
        <v>1974.7711500451587</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24662.385402729076</v>
      </c>
      <c r="I204" s="310">
        <f>I196</f>
        <v>25775.900251036721</v>
      </c>
      <c r="J204" s="310">
        <f>J196</f>
        <v>26877.441130259234</v>
      </c>
      <c r="K204" s="148"/>
      <c r="L204" s="36"/>
      <c r="M204" s="36"/>
    </row>
    <row r="205" spans="2:15">
      <c r="B205" s="149" t="s">
        <v>247</v>
      </c>
      <c r="C205" s="149" t="s">
        <v>249</v>
      </c>
      <c r="D205" s="155"/>
      <c r="E205" s="36"/>
      <c r="F205" s="310"/>
      <c r="G205" s="310"/>
      <c r="H205" s="310">
        <f>H204/(1+WACC)^H$203</f>
        <v>22673.885632737958</v>
      </c>
      <c r="I205" s="310">
        <f>I204/(1+WACC)^I$203</f>
        <v>21786.907290169238</v>
      </c>
      <c r="J205" s="310">
        <f>J204/(1+WACC)^J$203</f>
        <v>20886.252965793316</v>
      </c>
      <c r="K205" s="148"/>
      <c r="L205" s="36"/>
      <c r="M205" s="36"/>
    </row>
    <row r="206" spans="2:15">
      <c r="B206" s="149" t="s">
        <v>247</v>
      </c>
      <c r="C206" s="149" t="s">
        <v>159</v>
      </c>
      <c r="D206" s="92">
        <f>SUM(H205:J205)</f>
        <v>65347.045888700508</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65347.045888700508</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1.0237859991396958</v>
      </c>
      <c r="J211" s="316">
        <f>I211*(1+J$31)*(1+J$26)*(1-X_industry_wide)</f>
        <v>1.0481610998286863</v>
      </c>
      <c r="K211" s="148"/>
      <c r="L211" s="36" t="s">
        <v>509</v>
      </c>
      <c r="M211" s="36"/>
    </row>
    <row r="212" spans="1:13">
      <c r="C212" s="149" t="s">
        <v>160</v>
      </c>
      <c r="D212" s="155"/>
      <c r="E212" s="36"/>
      <c r="F212" s="317"/>
      <c r="G212" s="316"/>
      <c r="H212" s="316">
        <f>H211/(1+WACC)^H$203</f>
        <v>0.91937115013330895</v>
      </c>
      <c r="I212" s="316">
        <f>I211/(1+WACC)^I$203</f>
        <v>0.86534826838231227</v>
      </c>
      <c r="J212" s="316">
        <f>J211/(1+WACC)^J$203</f>
        <v>0.81451793620633761</v>
      </c>
      <c r="K212" s="148"/>
      <c r="L212" s="36" t="s">
        <v>280</v>
      </c>
      <c r="M212" s="36"/>
    </row>
    <row r="213" spans="1:13">
      <c r="C213" s="149" t="s">
        <v>99</v>
      </c>
      <c r="D213" s="140">
        <f>SUM(H212:J212)</f>
        <v>2.5992373547219589</v>
      </c>
      <c r="E213" s="36"/>
      <c r="F213" s="317"/>
      <c r="G213" s="316"/>
      <c r="H213" s="316"/>
      <c r="I213" s="316"/>
      <c r="J213" s="316"/>
      <c r="K213" s="148"/>
      <c r="L213" s="36" t="s">
        <v>510</v>
      </c>
      <c r="M213" s="36"/>
    </row>
    <row r="214" spans="1:13">
      <c r="C214" s="149" t="s">
        <v>256</v>
      </c>
      <c r="D214" s="26">
        <f>D210/D213</f>
        <v>25140.85363154174</v>
      </c>
      <c r="E214" s="36"/>
      <c r="F214" s="317"/>
      <c r="G214" s="316"/>
      <c r="H214" s="310"/>
      <c r="I214" s="310"/>
      <c r="J214" s="310"/>
      <c r="K214" s="148"/>
      <c r="L214" s="36"/>
      <c r="M214" s="36"/>
    </row>
    <row r="215" spans="1:13">
      <c r="C215" s="149" t="s">
        <v>252</v>
      </c>
      <c r="D215" s="26"/>
      <c r="E215" s="36"/>
      <c r="F215" s="317"/>
      <c r="G215" s="316"/>
      <c r="H215" s="310">
        <f t="shared" ref="H215:J215" si="76">$D214*H211</f>
        <v>25140.85363154174</v>
      </c>
      <c r="I215" s="310">
        <f t="shared" si="76"/>
        <v>25738.853954392809</v>
      </c>
      <c r="J215" s="310">
        <f t="shared" si="76"/>
        <v>26351.664793068812</v>
      </c>
      <c r="K215" s="148"/>
      <c r="L215" s="36" t="s">
        <v>243</v>
      </c>
      <c r="M215" s="36"/>
    </row>
    <row r="216" spans="1:13">
      <c r="C216" s="149" t="s">
        <v>253</v>
      </c>
      <c r="D216" s="26"/>
      <c r="E216" s="36"/>
      <c r="F216" s="317"/>
      <c r="G216" s="316"/>
      <c r="H216" s="247">
        <f t="shared" ref="H216:J216" si="77">H215/$D$48</f>
        <v>24298.323968040866</v>
      </c>
      <c r="I216" s="247">
        <f t="shared" si="77"/>
        <v>24876.283881040734</v>
      </c>
      <c r="J216" s="247">
        <f t="shared" si="77"/>
        <v>25468.557974335443</v>
      </c>
      <c r="K216" s="148"/>
      <c r="L216" s="36" t="s">
        <v>245</v>
      </c>
      <c r="M216" s="36"/>
    </row>
    <row r="217" spans="1:13">
      <c r="C217" s="149" t="s">
        <v>252</v>
      </c>
      <c r="D217" s="26"/>
      <c r="E217" s="36"/>
      <c r="F217" s="317"/>
      <c r="G217" s="316"/>
      <c r="H217" s="247">
        <f>H216*$D$48</f>
        <v>25140.85363154174</v>
      </c>
      <c r="I217" s="247">
        <f t="shared" ref="I217:J217" si="78">I216*$D$48</f>
        <v>25738.853954392809</v>
      </c>
      <c r="J217" s="247">
        <f t="shared" si="78"/>
        <v>26351.664793068812</v>
      </c>
      <c r="K217" s="148"/>
      <c r="L217" s="36" t="s">
        <v>299</v>
      </c>
      <c r="M217" s="36"/>
    </row>
    <row r="218" spans="1:13">
      <c r="C218" s="149" t="s">
        <v>254</v>
      </c>
      <c r="D218" s="155"/>
      <c r="E218" s="36"/>
      <c r="F218" s="317"/>
      <c r="G218" s="316"/>
      <c r="H218" s="310">
        <f>H215/(1+WACC)^H$203</f>
        <v>23113.775518563707</v>
      </c>
      <c r="I218" s="310">
        <f>I215/(1+WACC)^I$203</f>
        <v>21755.594155707811</v>
      </c>
      <c r="J218" s="310">
        <f>J215/(1+WACC)^J$203</f>
        <v>20477.676214428986</v>
      </c>
      <c r="K218" s="148"/>
      <c r="L218" s="36" t="s">
        <v>246</v>
      </c>
      <c r="M218" s="36"/>
    </row>
    <row r="219" spans="1:13">
      <c r="C219" s="149" t="s">
        <v>255</v>
      </c>
      <c r="D219" s="26">
        <f>SUM(H218:J218)</f>
        <v>65347.045888700508</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42233.270370136801</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8.9442842320783516E-3</v>
      </c>
      <c r="G226" s="204">
        <f t="shared" ref="G226:J226" si="80">G$26</f>
        <v>-2.0207764359848047E-2</v>
      </c>
      <c r="H226" s="204">
        <f t="shared" si="80"/>
        <v>-1.2522416571907728E-3</v>
      </c>
      <c r="I226" s="204">
        <f t="shared" si="80"/>
        <v>-6.4998923631088439E-4</v>
      </c>
      <c r="J226" s="204">
        <f t="shared" si="80"/>
        <v>-4.4616694975357376E-4</v>
      </c>
      <c r="K226" s="148"/>
      <c r="L226" s="36"/>
      <c r="M226" s="36"/>
    </row>
    <row r="227" spans="1:14">
      <c r="A227" s="19"/>
      <c r="B227" s="19" t="s">
        <v>263</v>
      </c>
      <c r="C227" s="149" t="s">
        <v>411</v>
      </c>
      <c r="E227" s="163">
        <f>E$8-E$9-E$10</f>
        <v>19249</v>
      </c>
      <c r="F227" s="247">
        <f>E227*(1+F225)*(1+F226)*(1-X_industry_wide)</f>
        <v>19899.907926763048</v>
      </c>
      <c r="G227" s="247">
        <f>F227*(1+G225)*(1+G226)*(1-X_industry_wide)</f>
        <v>19845.063894754552</v>
      </c>
      <c r="H227" s="320">
        <f>G227*(1+H225)*(1+H226)*(1-X_industry_wide)</f>
        <v>20730.141043139858</v>
      </c>
      <c r="I227" s="247">
        <f>H227*(1+I225)*(1+I226)*(1-X_industry_wide)</f>
        <v>21223.228160157752</v>
      </c>
      <c r="J227" s="247">
        <f>I227*(1+J225)*(1+J226)*(1-X_industry_wide)</f>
        <v>21728.527435381264</v>
      </c>
      <c r="K227" s="148"/>
      <c r="L227" s="300"/>
      <c r="M227" s="36"/>
    </row>
    <row r="228" spans="1:14">
      <c r="A228" s="19"/>
      <c r="B228" s="19"/>
      <c r="C228" s="149" t="s">
        <v>358</v>
      </c>
      <c r="E228" s="215"/>
      <c r="F228" s="247"/>
      <c r="G228" s="320">
        <f>G227*$D$48</f>
        <v>20533.179463029654</v>
      </c>
      <c r="H228" s="320">
        <f>H227*$D$48</f>
        <v>21448.946125349426</v>
      </c>
      <c r="I228" s="320">
        <f>I227*$D$48</f>
        <v>21959.130739434364</v>
      </c>
      <c r="J228" s="320">
        <f>J227*$D$48</f>
        <v>22481.950960912494</v>
      </c>
      <c r="K228" s="148"/>
      <c r="L228" s="300"/>
      <c r="M228" s="36"/>
    </row>
    <row r="229" spans="1:14">
      <c r="A229" s="19"/>
      <c r="B229" s="19" t="s">
        <v>263</v>
      </c>
      <c r="C229" s="149" t="s">
        <v>335</v>
      </c>
      <c r="D229" s="92">
        <f>H227</f>
        <v>20730.141043139858</v>
      </c>
      <c r="E229" s="36"/>
      <c r="F229" s="247"/>
      <c r="G229" s="310"/>
      <c r="H229" s="310"/>
      <c r="I229" s="310"/>
      <c r="J229" s="310"/>
      <c r="K229" s="148"/>
      <c r="L229" s="300"/>
      <c r="M229" s="36"/>
    </row>
    <row r="230" spans="1:14">
      <c r="B230" s="19" t="s">
        <v>263</v>
      </c>
      <c r="C230" s="149" t="s">
        <v>336</v>
      </c>
      <c r="D230" s="92">
        <f>D214/D48</f>
        <v>24298.323968040866</v>
      </c>
      <c r="E230" s="36"/>
      <c r="F230" s="321"/>
      <c r="G230" s="310"/>
      <c r="H230" s="310"/>
      <c r="I230" s="310"/>
      <c r="J230" s="310"/>
      <c r="K230" s="148"/>
      <c r="L230" s="36"/>
      <c r="M230" s="36"/>
    </row>
    <row r="231" spans="1:14">
      <c r="B231" s="19" t="s">
        <v>263</v>
      </c>
      <c r="C231" s="149" t="s">
        <v>329</v>
      </c>
      <c r="D231" s="32">
        <f>(D230-D229)/D229</f>
        <v>0.1721253568644586</v>
      </c>
      <c r="E231" s="36"/>
      <c r="F231" s="247"/>
      <c r="G231" s="310"/>
      <c r="H231" s="310"/>
      <c r="I231" s="310"/>
      <c r="J231" s="310"/>
      <c r="K231" s="310"/>
      <c r="L231" s="310"/>
      <c r="M231" s="310"/>
      <c r="N231" s="19"/>
    </row>
    <row r="232" spans="1:14">
      <c r="C232" s="149" t="s">
        <v>452</v>
      </c>
      <c r="D232" s="125">
        <f>NPV(WACC,H228:J228)</f>
        <v>55750.901988427046</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3568.1829249010079</v>
      </c>
      <c r="F235" s="36"/>
      <c r="G235" s="36"/>
      <c r="H235" s="36"/>
      <c r="I235" s="310"/>
      <c r="J235" s="310"/>
      <c r="K235" s="148"/>
      <c r="L235" s="36"/>
      <c r="M235" s="36"/>
    </row>
    <row r="236" spans="1:14">
      <c r="C236" s="149" t="s">
        <v>341</v>
      </c>
      <c r="D236" s="94"/>
      <c r="E236" s="310">
        <f>H217-H228</f>
        <v>3691.907506192314</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42233.270370136801</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-0.11</v>
      </c>
      <c r="K243" s="148"/>
      <c r="L243" s="36"/>
      <c r="M243" s="36"/>
    </row>
    <row r="244" spans="1:13">
      <c r="A244" s="155"/>
      <c r="B244" s="155" t="s">
        <v>264</v>
      </c>
      <c r="C244" s="149" t="s">
        <v>257</v>
      </c>
      <c r="D244" s="155"/>
      <c r="E244" s="36"/>
      <c r="F244" s="317"/>
      <c r="G244" s="316"/>
      <c r="H244" s="316"/>
      <c r="I244" s="162">
        <v>1</v>
      </c>
      <c r="J244" s="316">
        <f>I244*(1+J$31)*(1+J$26)*(1-J243)</f>
        <v>1.1364277512952077</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0.88310927278628293</v>
      </c>
      <c r="K245" s="148"/>
      <c r="L245" s="36" t="s">
        <v>280</v>
      </c>
      <c r="M245" s="36"/>
    </row>
    <row r="246" spans="1:13">
      <c r="A246" s="155"/>
      <c r="B246" s="155" t="s">
        <v>264</v>
      </c>
      <c r="C246" s="149" t="s">
        <v>99</v>
      </c>
      <c r="D246" s="140">
        <f>SUM(I245:J245)</f>
        <v>1.7283525844837262</v>
      </c>
      <c r="E246" s="36"/>
      <c r="F246" s="317"/>
      <c r="G246" s="316"/>
      <c r="H246" s="316"/>
      <c r="I246" s="316"/>
      <c r="J246" s="316"/>
      <c r="K246" s="148"/>
      <c r="L246" s="36" t="s">
        <v>510</v>
      </c>
      <c r="M246" s="36"/>
    </row>
    <row r="247" spans="1:13">
      <c r="A247" s="155"/>
      <c r="B247" s="155" t="s">
        <v>264</v>
      </c>
      <c r="C247" s="149" t="s">
        <v>256</v>
      </c>
      <c r="D247" s="26">
        <f>D242/D246</f>
        <v>24435.564102652261</v>
      </c>
      <c r="E247" s="36"/>
      <c r="F247" s="317"/>
      <c r="G247" s="316"/>
      <c r="H247" s="310"/>
      <c r="I247" s="310"/>
      <c r="J247" s="310"/>
      <c r="K247" s="148"/>
      <c r="L247" s="36"/>
      <c r="M247" s="36"/>
    </row>
    <row r="248" spans="1:13">
      <c r="A248" s="155"/>
      <c r="B248" s="155" t="s">
        <v>264</v>
      </c>
      <c r="C248" s="149" t="s">
        <v>252</v>
      </c>
      <c r="D248" s="26"/>
      <c r="E248" s="36"/>
      <c r="F248" s="317"/>
      <c r="G248" s="316"/>
      <c r="H248" s="163">
        <f>H215</f>
        <v>25140.85363154174</v>
      </c>
      <c r="I248" s="310">
        <f t="shared" ref="I248:J248" si="81">$D247*I244</f>
        <v>24435.564102652261</v>
      </c>
      <c r="J248" s="310">
        <f t="shared" si="81"/>
        <v>27769.253164807007</v>
      </c>
      <c r="K248" s="148"/>
      <c r="L248" s="36" t="s">
        <v>243</v>
      </c>
      <c r="M248" s="36"/>
    </row>
    <row r="249" spans="1:13">
      <c r="A249" s="155"/>
      <c r="B249" s="155" t="s">
        <v>264</v>
      </c>
      <c r="C249" s="149" t="s">
        <v>253</v>
      </c>
      <c r="D249" s="26"/>
      <c r="E249" s="36"/>
      <c r="F249" s="317"/>
      <c r="G249" s="316"/>
      <c r="H249" s="247">
        <f>H248/$D$48</f>
        <v>24298.323968040866</v>
      </c>
      <c r="I249" s="247">
        <f>I248/$D$48</f>
        <v>23616.670364890215</v>
      </c>
      <c r="J249" s="247">
        <f>J248/$D$48</f>
        <v>26838.639595852361</v>
      </c>
      <c r="K249" s="148"/>
      <c r="L249" s="36" t="s">
        <v>245</v>
      </c>
      <c r="M249" s="36"/>
    </row>
    <row r="250" spans="1:13">
      <c r="A250" s="155"/>
      <c r="B250" s="155" t="s">
        <v>264</v>
      </c>
      <c r="C250" s="149" t="s">
        <v>370</v>
      </c>
      <c r="D250" s="155"/>
      <c r="E250" s="36"/>
      <c r="F250" s="317"/>
      <c r="G250" s="316"/>
      <c r="H250" s="310"/>
      <c r="I250" s="310">
        <f>I248/(1+WACC)^I$203</f>
        <v>20653.997125320962</v>
      </c>
      <c r="J250" s="310">
        <f>J248/(1+WACC)^J$203</f>
        <v>21579.273244815835</v>
      </c>
      <c r="K250" s="148"/>
      <c r="L250" s="36" t="s">
        <v>299</v>
      </c>
      <c r="M250" s="36"/>
    </row>
    <row r="251" spans="1:13">
      <c r="A251" s="155"/>
      <c r="B251" s="155" t="s">
        <v>264</v>
      </c>
      <c r="C251" s="149" t="s">
        <v>255</v>
      </c>
      <c r="D251" s="26">
        <f>SUM(I250:J250)</f>
        <v>42233.270370136801</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2605.9568278524775</v>
      </c>
      <c r="I253" s="324">
        <f>(I249+I186-I$188-I$181+I$178)*I$52</f>
        <v>2243.2877142470234</v>
      </c>
      <c r="J253" s="324">
        <f>(J249+J186-J$188-J$181+J$178)*J$52</f>
        <v>2977.0525787646911</v>
      </c>
      <c r="K253" s="247"/>
      <c r="L253" s="36"/>
      <c r="M253" s="36"/>
    </row>
    <row r="254" spans="1:13">
      <c r="A254" s="155"/>
      <c r="B254" s="214" t="s">
        <v>264</v>
      </c>
      <c r="C254" s="143" t="s">
        <v>325</v>
      </c>
      <c r="D254" s="214"/>
      <c r="E254" s="36"/>
      <c r="F254" s="322"/>
      <c r="G254" s="323"/>
      <c r="H254" s="324">
        <f>H253+H192</f>
        <v>1859.79528158212</v>
      </c>
      <c r="I254" s="324">
        <f>I253+I192</f>
        <v>1486.3436608655461</v>
      </c>
      <c r="J254" s="324">
        <f>J253+J192</f>
        <v>2216.110233214506</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23325.186680227005</v>
      </c>
      <c r="G257" s="138">
        <f>H257/((1+H32)*(1+H26)*(1+X_industry_wide))</f>
        <v>23260.90259963716</v>
      </c>
      <c r="H257" s="310">
        <f>H249</f>
        <v>24298.323968040866</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0.9980985830500968</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21448.946125349426</v>
      </c>
      <c r="I266" s="334">
        <f>H266*(1+I$225)*(1+I$226)*(1+$E265)</f>
        <v>25253.000350349521</v>
      </c>
      <c r="J266" s="247">
        <f>I266*(1+J$225)*(1+J$226)*(1-$J243)</f>
        <v>28698.2104016048</v>
      </c>
      <c r="K266" s="36"/>
      <c r="L266" s="36"/>
      <c r="M266" s="36"/>
    </row>
    <row r="267" spans="3:14">
      <c r="C267" s="149" t="s">
        <v>409</v>
      </c>
      <c r="D267" s="94"/>
      <c r="E267" s="36"/>
      <c r="F267" s="36"/>
      <c r="G267" s="36"/>
      <c r="H267" s="247">
        <f>H266/$D$48</f>
        <v>20730.141043139858</v>
      </c>
      <c r="I267" s="247">
        <f t="shared" ref="I267:J267" si="82">I266/$D$48</f>
        <v>24406.712384181417</v>
      </c>
      <c r="J267" s="247">
        <f t="shared" si="82"/>
        <v>27736.465271264187</v>
      </c>
      <c r="K267" s="36"/>
      <c r="L267" s="36"/>
      <c r="M267" s="36"/>
    </row>
    <row r="268" spans="3:14">
      <c r="C268" s="149" t="s">
        <v>347</v>
      </c>
      <c r="D268" s="94"/>
      <c r="E268" s="36"/>
      <c r="F268" s="36"/>
      <c r="G268" s="36"/>
      <c r="H268" s="247">
        <f>H266/(1+WACC)^H$203</f>
        <v>19719.542268409881</v>
      </c>
      <c r="I268" s="247">
        <f>I266/(1+WACC)^I$203</f>
        <v>21344.929646426124</v>
      </c>
      <c r="J268" s="247">
        <f>J266/(1+WACC)^J$203</f>
        <v>22301.158775068914</v>
      </c>
      <c r="K268" s="36"/>
      <c r="L268" s="36"/>
      <c r="M268" s="36"/>
    </row>
    <row r="269" spans="3:14">
      <c r="C269" s="149" t="s">
        <v>348</v>
      </c>
      <c r="D269" s="94"/>
      <c r="E269" s="310">
        <f>SUM(H268:J268)</f>
        <v>63365.630689904916</v>
      </c>
      <c r="F269" s="36"/>
      <c r="G269" s="36"/>
      <c r="H269" s="36"/>
      <c r="I269" s="36"/>
      <c r="J269" s="36"/>
      <c r="K269" s="36"/>
      <c r="L269" s="36"/>
      <c r="M269" s="36"/>
    </row>
    <row r="270" spans="3:14">
      <c r="C270" s="149" t="str">
        <f>C206</f>
        <v>PV of BBAR before tax over the PV period</v>
      </c>
      <c r="E270" s="310">
        <f>D206</f>
        <v>65347.045888700508</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23325.186680227005</v>
      </c>
      <c r="G274" s="247">
        <f t="shared" ref="G274:H274" si="83">G257</f>
        <v>23260.90259963716</v>
      </c>
      <c r="H274" s="333">
        <f t="shared" si="83"/>
        <v>24298.323968040866</v>
      </c>
      <c r="I274" s="310">
        <f>I249</f>
        <v>23616.670364890215</v>
      </c>
      <c r="J274" s="310">
        <f>J249</f>
        <v>26838.639595852361</v>
      </c>
      <c r="K274" s="36"/>
      <c r="L274" s="36"/>
      <c r="M274" s="36"/>
    </row>
    <row r="275" spans="3:13">
      <c r="C275" s="149" t="s">
        <v>407</v>
      </c>
      <c r="D275" s="94"/>
      <c r="E275" s="36"/>
      <c r="F275" s="247">
        <f>F274</f>
        <v>23325.186680227005</v>
      </c>
      <c r="G275" s="247">
        <f t="shared" ref="G275:H275" si="84">G274</f>
        <v>23260.90259963716</v>
      </c>
      <c r="H275" s="333">
        <f t="shared" si="84"/>
        <v>24298.323968040866</v>
      </c>
      <c r="I275" s="247">
        <f>I267</f>
        <v>24406.712384181417</v>
      </c>
      <c r="J275" s="247">
        <f>J267</f>
        <v>27736.465271264187</v>
      </c>
      <c r="K275" s="36"/>
      <c r="L275" s="36"/>
      <c r="M275" s="36"/>
    </row>
    <row r="276" spans="3:13">
      <c r="C276" s="149" t="s">
        <v>408</v>
      </c>
      <c r="D276" s="94"/>
      <c r="E276" s="36"/>
      <c r="F276" s="247">
        <f>IF($E$22=-15%,F275,F274)</f>
        <v>23325.186680227005</v>
      </c>
      <c r="G276" s="247">
        <f t="shared" ref="G276:J276" si="85">IF($E$22=-15%,G275,G274)</f>
        <v>23260.90259963716</v>
      </c>
      <c r="H276" s="247">
        <f t="shared" si="85"/>
        <v>24298.323968040866</v>
      </c>
      <c r="I276" s="247">
        <f t="shared" si="85"/>
        <v>23616.670364890215</v>
      </c>
      <c r="J276" s="247">
        <f t="shared" si="85"/>
        <v>26838.639595852361</v>
      </c>
      <c r="K276" s="36"/>
      <c r="L276" s="36"/>
      <c r="M276" s="36"/>
    </row>
    <row r="277" spans="3:13">
      <c r="C277" s="149" t="s">
        <v>449</v>
      </c>
      <c r="D277" s="94"/>
      <c r="E277" s="328">
        <f>(I276/H267)/((1+I225)*(1+I226))-1</f>
        <v>0.1127746536328369</v>
      </c>
      <c r="F277" s="247"/>
      <c r="G277" s="247"/>
      <c r="H277" s="247"/>
      <c r="I277" s="36"/>
      <c r="J277" s="36"/>
      <c r="K277" s="36"/>
      <c r="L277" s="36"/>
      <c r="M277" s="36"/>
    </row>
    <row r="278" spans="3:13">
      <c r="C278" s="149" t="s">
        <v>450</v>
      </c>
      <c r="D278" s="94"/>
      <c r="E278" s="328">
        <f>(J276/I276)/((1+J225)*(1+J226))-1</f>
        <v>0.1100000000000001</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21223.228160157752</v>
      </c>
      <c r="E281" s="36"/>
      <c r="F281" s="313"/>
      <c r="G281" s="36"/>
      <c r="H281" s="36"/>
      <c r="I281" s="36"/>
      <c r="J281" s="36"/>
      <c r="K281" s="36"/>
      <c r="L281" s="36"/>
      <c r="M281" s="36"/>
    </row>
    <row r="282" spans="3:13">
      <c r="C282" s="149" t="s">
        <v>443</v>
      </c>
      <c r="D282" s="19">
        <f>I276</f>
        <v>23616.670364890215</v>
      </c>
      <c r="E282" s="36"/>
      <c r="F282" s="313"/>
      <c r="G282" s="36"/>
      <c r="H282" s="36"/>
      <c r="I282" s="36"/>
      <c r="J282" s="36"/>
      <c r="K282" s="36"/>
      <c r="L282" s="36"/>
      <c r="M282" s="36"/>
    </row>
    <row r="283" spans="3:13">
      <c r="C283" s="149" t="s">
        <v>445</v>
      </c>
      <c r="D283" s="152">
        <f>(D282-D281)/D281</f>
        <v>0.11277465363283697</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55750.901988427046</v>
      </c>
      <c r="G286" s="36"/>
      <c r="H286" s="36"/>
      <c r="I286" s="36"/>
      <c r="J286" s="36"/>
      <c r="K286" s="36"/>
      <c r="L286" s="36"/>
      <c r="M286" s="36"/>
    </row>
    <row r="287" spans="3:13">
      <c r="C287" s="149" t="str">
        <f>C206</f>
        <v>PV of BBAR before tax over the PV period</v>
      </c>
      <c r="E287" s="36"/>
      <c r="F287" s="310">
        <f>D206</f>
        <v>65347.045888700508</v>
      </c>
      <c r="G287" s="36"/>
      <c r="H287" s="36"/>
      <c r="I287" s="36"/>
      <c r="J287" s="36"/>
      <c r="K287" s="36"/>
      <c r="L287" s="36"/>
      <c r="M287" s="36"/>
    </row>
    <row r="288" spans="3:13">
      <c r="C288" s="149" t="s">
        <v>405</v>
      </c>
      <c r="D288" s="94"/>
      <c r="E288" s="36"/>
      <c r="F288" s="247">
        <f>F286-F287</f>
        <v>-9596.1439002734624</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-145051.6262025584</v>
      </c>
      <c r="F293" s="247"/>
      <c r="G293" s="310"/>
      <c r="H293" s="310"/>
      <c r="I293" s="310"/>
      <c r="J293" s="310"/>
      <c r="K293" s="310"/>
      <c r="L293" s="36"/>
      <c r="M293" s="36"/>
      <c r="N293" s="19">
        <f>J$143+J$166</f>
        <v>164167.51303179667</v>
      </c>
    </row>
    <row r="294" spans="3:14">
      <c r="C294" s="149" t="s">
        <v>57</v>
      </c>
      <c r="D294" s="19"/>
      <c r="E294" s="90"/>
      <c r="F294" s="247"/>
      <c r="G294" s="138">
        <f>H$249</f>
        <v>24298.323968040866</v>
      </c>
      <c r="H294" s="36">
        <v>0</v>
      </c>
      <c r="I294" s="36">
        <v>0</v>
      </c>
      <c r="J294" s="164">
        <f>I$249</f>
        <v>23616.670364890215</v>
      </c>
      <c r="K294" s="310">
        <v>0</v>
      </c>
      <c r="L294" s="138">
        <v>0</v>
      </c>
      <c r="M294" s="310">
        <f>J$249</f>
        <v>26838.639595852361</v>
      </c>
    </row>
    <row r="295" spans="3:14">
      <c r="C295" s="149" t="s">
        <v>234</v>
      </c>
      <c r="D295" s="19"/>
      <c r="E295" s="299"/>
      <c r="F295" s="320">
        <f>H186</f>
        <v>328.75074040597889</v>
      </c>
      <c r="G295" s="215"/>
      <c r="H295" s="300"/>
      <c r="I295" s="216">
        <f>I186</f>
        <v>335.68056208401384</v>
      </c>
      <c r="J295" s="215"/>
      <c r="K295" s="215"/>
      <c r="L295" s="215">
        <f>J186</f>
        <v>343.16476949629163</v>
      </c>
      <c r="M295" s="215"/>
    </row>
    <row r="296" spans="3:14">
      <c r="C296" s="149" t="s">
        <v>54</v>
      </c>
      <c r="D296" s="19"/>
      <c r="E296" s="299"/>
      <c r="F296" s="320">
        <f>-H$24</f>
        <v>-5283.6425668126813</v>
      </c>
      <c r="G296" s="300"/>
      <c r="H296" s="215"/>
      <c r="I296" s="215">
        <f>-I$24</f>
        <v>-5422.5419919285596</v>
      </c>
      <c r="J296" s="300"/>
      <c r="K296" s="215"/>
      <c r="L296" s="215">
        <f>-J$24</f>
        <v>-5560.0096270061176</v>
      </c>
      <c r="M296" s="300"/>
    </row>
    <row r="297" spans="3:14">
      <c r="C297" s="149" t="s">
        <v>125</v>
      </c>
      <c r="D297" s="19"/>
      <c r="E297" s="299"/>
      <c r="F297" s="320">
        <f>-H$25</f>
        <v>-11176.57898605604</v>
      </c>
      <c r="G297" s="300"/>
      <c r="H297" s="215"/>
      <c r="I297" s="215">
        <f>-I$25</f>
        <v>-11160.321156208976</v>
      </c>
      <c r="J297" s="300"/>
      <c r="K297" s="215"/>
      <c r="L297" s="215">
        <f>-J$25</f>
        <v>-11064.037947122311</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-1859.79528158212</v>
      </c>
      <c r="G299" s="300">
        <v>0</v>
      </c>
      <c r="H299" s="300">
        <v>0</v>
      </c>
      <c r="I299" s="336">
        <f>-I$254</f>
        <v>-1486.3436608655461</v>
      </c>
      <c r="J299" s="215">
        <v>0</v>
      </c>
      <c r="K299" s="163">
        <v>0</v>
      </c>
      <c r="L299" s="215">
        <f>-J$254</f>
        <v>-2216.110233214506</v>
      </c>
      <c r="M299" s="300"/>
    </row>
    <row r="300" spans="3:14" ht="15.75" thickBot="1">
      <c r="C300" s="149" t="s">
        <v>217</v>
      </c>
      <c r="D300" s="19"/>
      <c r="E300" s="332">
        <f>SUM(E293:E299)</f>
        <v>-145051.6262025584</v>
      </c>
      <c r="F300" s="332">
        <f t="shared" ref="F300:K300" si="87">SUM(F293:F299)</f>
        <v>-17991.266094044862</v>
      </c>
      <c r="G300" s="332">
        <f t="shared" si="87"/>
        <v>24298.323968040866</v>
      </c>
      <c r="H300" s="332">
        <f t="shared" si="87"/>
        <v>0</v>
      </c>
      <c r="I300" s="332">
        <f t="shared" si="87"/>
        <v>-17733.526246919067</v>
      </c>
      <c r="J300" s="332">
        <f t="shared" si="87"/>
        <v>23616.670364890215</v>
      </c>
      <c r="K300" s="332">
        <f t="shared" si="87"/>
        <v>0</v>
      </c>
      <c r="L300" s="332">
        <f>SUM(L293:L299)</f>
        <v>-18496.993037846645</v>
      </c>
      <c r="M300" s="332">
        <f>SUM(M293:M299)</f>
        <v>26838.639595852361</v>
      </c>
      <c r="N300" s="129">
        <f>SUM(N293:N299)</f>
        <v>164167.51303179667</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2.9103830456733704E-11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6"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6.xml><?xml version="1.0" encoding="utf-8"?>
<worksheet xmlns="http://schemas.openxmlformats.org/spreadsheetml/2006/main" xmlns:r="http://schemas.openxmlformats.org/officeDocument/2006/relationships">
  <sheetPr codeName="Sheet17">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Powerco </v>
      </c>
      <c r="D1" s="2"/>
      <c r="E1" s="2"/>
      <c r="F1" s="6" t="s">
        <v>169</v>
      </c>
      <c r="G1" s="7">
        <v>11</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291865.93942000007</v>
      </c>
    </row>
    <row r="9" spans="1:16">
      <c r="A9" s="9">
        <f>A8+1</f>
        <v>2</v>
      </c>
      <c r="B9" s="9"/>
      <c r="C9" s="149" t="str">
        <f>Inputs!B21</f>
        <v>Pass-through costs</v>
      </c>
      <c r="E9" s="1">
        <f t="shared" si="0"/>
        <v>2010.0115150000001</v>
      </c>
    </row>
    <row r="10" spans="1:16">
      <c r="A10" s="9">
        <f t="shared" ref="A10:A22" si="1">A9+1</f>
        <v>3</v>
      </c>
      <c r="B10" s="9"/>
      <c r="C10" s="149" t="str">
        <f>Inputs!B22</f>
        <v>Recoverable costs</v>
      </c>
      <c r="E10" s="1">
        <f t="shared" si="0"/>
        <v>70937.882310463596</v>
      </c>
    </row>
    <row r="11" spans="1:16">
      <c r="A11" s="9">
        <f t="shared" si="1"/>
        <v>4</v>
      </c>
      <c r="B11" s="9"/>
      <c r="C11" s="155" t="str">
        <f>Inputs!B23</f>
        <v>Opening RAB</v>
      </c>
      <c r="E11" s="1">
        <f t="shared" si="0"/>
        <v>1275729</v>
      </c>
      <c r="L11" s="13"/>
    </row>
    <row r="12" spans="1:16">
      <c r="A12" s="9">
        <f t="shared" si="1"/>
        <v>5</v>
      </c>
      <c r="B12" s="9"/>
      <c r="C12" s="155" t="str">
        <f>Inputs!B24</f>
        <v>Total Depreciation</v>
      </c>
      <c r="E12" s="1">
        <f t="shared" si="0"/>
        <v>52422</v>
      </c>
      <c r="F12" s="161"/>
      <c r="G12" s="337" t="s">
        <v>511</v>
      </c>
    </row>
    <row r="13" spans="1:16">
      <c r="A13" s="9">
        <f t="shared" si="1"/>
        <v>6</v>
      </c>
      <c r="B13" s="9"/>
      <c r="C13" s="155" t="str">
        <f>Inputs!B25</f>
        <v>RAB of disposed assets</v>
      </c>
      <c r="E13" s="1">
        <f t="shared" si="0"/>
        <v>11055</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59202</v>
      </c>
      <c r="G15" s="23" t="s">
        <v>514</v>
      </c>
    </row>
    <row r="16" spans="1:16">
      <c r="A16" s="9">
        <f t="shared" si="1"/>
        <v>9</v>
      </c>
      <c r="B16" s="9"/>
      <c r="C16" s="155" t="str">
        <f>Inputs!B28</f>
        <v>Opening regulatory tax asset value</v>
      </c>
      <c r="E16" s="1">
        <f t="shared" si="0"/>
        <v>930383</v>
      </c>
    </row>
    <row r="17" spans="1:21">
      <c r="A17" s="9">
        <f t="shared" si="1"/>
        <v>10</v>
      </c>
      <c r="B17" s="9"/>
      <c r="C17" s="155" t="str">
        <f>Inputs!B29</f>
        <v>Weighted Average Remaining Life at year-end</v>
      </c>
      <c r="E17" s="1">
        <f t="shared" si="0"/>
        <v>26</v>
      </c>
    </row>
    <row r="18" spans="1:21">
      <c r="A18" s="9">
        <f t="shared" si="1"/>
        <v>11</v>
      </c>
      <c r="B18" s="9"/>
      <c r="C18" s="155" t="str">
        <f>Inputs!B30</f>
        <v>Term Credit Spread Differential Allowance</v>
      </c>
      <c r="E18" s="1">
        <f t="shared" si="0"/>
        <v>-10.039366107301596</v>
      </c>
    </row>
    <row r="19" spans="1:21">
      <c r="A19" s="9">
        <f t="shared" si="1"/>
        <v>12</v>
      </c>
      <c r="B19" s="9"/>
      <c r="C19" s="155" t="str">
        <f>Inputs!B31</f>
        <v>Other regulated income 2009/10</v>
      </c>
      <c r="E19" s="1">
        <f t="shared" si="0"/>
        <v>116.02423579999999</v>
      </c>
    </row>
    <row r="20" spans="1:21">
      <c r="A20" s="9">
        <f t="shared" si="1"/>
        <v>13</v>
      </c>
      <c r="B20" s="9"/>
      <c r="C20" s="155" t="str">
        <f>Inputs!B32</f>
        <v>Operating expenditure 2009/10</v>
      </c>
      <c r="E20" s="1">
        <f t="shared" si="0"/>
        <v>65350.154551183638</v>
      </c>
    </row>
    <row r="21" spans="1:21">
      <c r="A21" s="9">
        <f t="shared" si="1"/>
        <v>14</v>
      </c>
      <c r="B21" s="9"/>
      <c r="C21" s="155" t="str">
        <f>Inputs!B33</f>
        <v>Other regulated income</v>
      </c>
      <c r="E21" s="1">
        <f t="shared" si="0"/>
        <v>77.67070145448487</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65350.154551183638</v>
      </c>
      <c r="F24" s="39">
        <f>INDEX(OpexBlock,F7-1,$G$1)</f>
        <v>67292.071282502759</v>
      </c>
      <c r="G24" s="39">
        <f>INDEX(OpexBlock,G7-1,$G$1)</f>
        <v>69484.923650591532</v>
      </c>
      <c r="H24" s="39">
        <f>INDEX(OpexBlock,H7-1,$G$1)</f>
        <v>71429.297485812538</v>
      </c>
      <c r="I24" s="39">
        <f>INDEX(OpexBlock,I7-1,$G$1)</f>
        <v>73421.724292230138</v>
      </c>
      <c r="J24" s="39">
        <f>INDEX(OpexBlock,J7-1,$G$1)</f>
        <v>75572.898016814856</v>
      </c>
      <c r="K24" s="90"/>
      <c r="L24" s="36"/>
      <c r="M24" s="36"/>
    </row>
    <row r="25" spans="1:21">
      <c r="A25" s="9"/>
      <c r="B25" s="9"/>
      <c r="C25" s="149" t="s">
        <v>272</v>
      </c>
      <c r="D25" s="1"/>
      <c r="E25" s="39">
        <f t="shared" ref="E25:J25" si="2">INDEX(CommAssetsBlock,E7,$G$1)</f>
        <v>82580.928381200007</v>
      </c>
      <c r="F25" s="39">
        <f t="shared" si="2"/>
        <v>87020.03029576737</v>
      </c>
      <c r="G25" s="39">
        <f t="shared" si="2"/>
        <v>91054.977026101071</v>
      </c>
      <c r="H25" s="39">
        <f t="shared" si="2"/>
        <v>95752.81949977162</v>
      </c>
      <c r="I25" s="39">
        <f t="shared" si="2"/>
        <v>99022.318872687902</v>
      </c>
      <c r="J25" s="39">
        <f t="shared" si="2"/>
        <v>103032.40056234208</v>
      </c>
      <c r="K25" s="90"/>
      <c r="L25" s="36"/>
      <c r="M25" s="36"/>
    </row>
    <row r="26" spans="1:21">
      <c r="A26" s="9"/>
      <c r="B26" s="9"/>
      <c r="C26" s="149" t="s">
        <v>342</v>
      </c>
      <c r="D26" s="1"/>
      <c r="E26" s="90"/>
      <c r="F26" s="90">
        <f t="shared" ref="F26:J26" si="3">INDEX(ConstPriceRevGrwth,F$7-1,$G$1)</f>
        <v>4.9951122484641324E-3</v>
      </c>
      <c r="G26" s="90">
        <f t="shared" si="3"/>
        <v>1.7047606429248692E-3</v>
      </c>
      <c r="H26" s="90">
        <f t="shared" si="3"/>
        <v>6.7118735139941078E-3</v>
      </c>
      <c r="I26" s="90">
        <f t="shared" si="3"/>
        <v>5.7396903470496334E-3</v>
      </c>
      <c r="J26" s="90">
        <f t="shared" si="3"/>
        <v>6.0759783130413325E-3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77.67070145448487</v>
      </c>
      <c r="F40" s="295">
        <f>E40*(1+F39)</f>
        <v>81.140039988003338</v>
      </c>
      <c r="G40" s="295">
        <f t="shared" ref="G40:J40" si="5">F40*(1+G39)</f>
        <v>82.414490877867266</v>
      </c>
      <c r="H40" s="295">
        <f t="shared" si="5"/>
        <v>83.972153076589834</v>
      </c>
      <c r="I40" s="295">
        <f t="shared" si="5"/>
        <v>85.742223756956392</v>
      </c>
      <c r="J40" s="295">
        <f t="shared" si="5"/>
        <v>87.653900091752291</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24.335755980313611</v>
      </c>
      <c r="F53" s="45">
        <f>E53-1</f>
        <v>23.335755980313611</v>
      </c>
      <c r="G53" s="45">
        <f t="shared" ref="G53:J53" si="6">F53-1</f>
        <v>22.335755980313611</v>
      </c>
      <c r="H53" s="45">
        <f t="shared" si="6"/>
        <v>21.335755980313611</v>
      </c>
      <c r="I53" s="45">
        <f t="shared" si="6"/>
        <v>20.335755980313611</v>
      </c>
      <c r="J53" s="45">
        <f t="shared" si="6"/>
        <v>19.335755980313611</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11055</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1275729</v>
      </c>
      <c r="F58" s="216">
        <f>E62</f>
        <v>1234047.2020429908</v>
      </c>
      <c r="G58" s="216">
        <f t="shared" ref="G58:J58" si="9">F62</f>
        <v>1205614.1571888628</v>
      </c>
      <c r="H58" s="216">
        <f t="shared" si="9"/>
        <v>1180981.7936386093</v>
      </c>
      <c r="I58" s="216">
        <f t="shared" si="9"/>
        <v>1154287.0005526827</v>
      </c>
      <c r="J58" s="216">
        <f t="shared" si="9"/>
        <v>1125535.2230108771</v>
      </c>
      <c r="K58" s="148"/>
      <c r="L58" s="36"/>
      <c r="M58" s="36"/>
    </row>
    <row r="59" spans="3:16">
      <c r="C59" s="149" t="s">
        <v>41</v>
      </c>
      <c r="D59" s="153"/>
      <c r="E59" s="216">
        <f>E55</f>
        <v>11055</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21795.202042990946</v>
      </c>
      <c r="F60" s="216">
        <f t="shared" si="11"/>
        <v>24449.201732785605</v>
      </c>
      <c r="G60" s="216">
        <f t="shared" si="11"/>
        <v>29344.50467177901</v>
      </c>
      <c r="H60" s="216">
        <f t="shared" si="11"/>
        <v>28657.442603696498</v>
      </c>
      <c r="I60" s="216">
        <f t="shared" si="11"/>
        <v>28009.67266787004</v>
      </c>
      <c r="J60" s="216">
        <f t="shared" si="11"/>
        <v>27311.988402882398</v>
      </c>
      <c r="K60" s="148"/>
      <c r="L60" s="36"/>
      <c r="M60" s="36"/>
    </row>
    <row r="61" spans="3:16">
      <c r="C61" s="149" t="s">
        <v>43</v>
      </c>
      <c r="E61" s="136">
        <f>E12</f>
        <v>52422</v>
      </c>
      <c r="F61" s="216">
        <f t="shared" ref="F61:J61" si="12">F58/F53</f>
        <v>52882.246586913716</v>
      </c>
      <c r="G61" s="216">
        <f t="shared" si="12"/>
        <v>53976.868222032528</v>
      </c>
      <c r="H61" s="216">
        <f t="shared" si="12"/>
        <v>55352.235689623325</v>
      </c>
      <c r="I61" s="216">
        <f t="shared" si="12"/>
        <v>56761.450209675546</v>
      </c>
      <c r="J61" s="216">
        <f t="shared" si="12"/>
        <v>58210.044859731512</v>
      </c>
      <c r="K61" s="148"/>
      <c r="L61" s="36"/>
      <c r="M61" s="36"/>
    </row>
    <row r="62" spans="3:16">
      <c r="C62" s="149" t="s">
        <v>44</v>
      </c>
      <c r="E62" s="139">
        <f>E58-E59+E60-E61</f>
        <v>1234047.2020429908</v>
      </c>
      <c r="F62" s="139">
        <f>F58-F59+F60-F61</f>
        <v>1205614.1571888628</v>
      </c>
      <c r="G62" s="139">
        <f t="shared" ref="G62:J62" si="13">G58-G59+G60-G61</f>
        <v>1180981.7936386093</v>
      </c>
      <c r="H62" s="139">
        <f t="shared" si="13"/>
        <v>1154287.0005526827</v>
      </c>
      <c r="I62" s="216">
        <f t="shared" si="13"/>
        <v>1125535.2230108771</v>
      </c>
      <c r="J62" s="216">
        <f t="shared" si="13"/>
        <v>1094637.1665540279</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82580.928381200007</v>
      </c>
      <c r="F66" s="139">
        <f t="shared" ref="F66:J66" si="15">F$25</f>
        <v>87020.03029576737</v>
      </c>
      <c r="G66" s="139">
        <f t="shared" si="15"/>
        <v>91054.977026101071</v>
      </c>
      <c r="H66" s="139">
        <f t="shared" si="15"/>
        <v>95752.81949977162</v>
      </c>
      <c r="I66" s="139">
        <f t="shared" si="15"/>
        <v>99022.318872687902</v>
      </c>
      <c r="J66" s="139">
        <f t="shared" si="15"/>
        <v>103032.40056234208</v>
      </c>
      <c r="K66" s="148"/>
      <c r="L66" s="36"/>
      <c r="M66" s="36"/>
    </row>
    <row r="67" spans="1:13">
      <c r="A67" s="149">
        <v>1</v>
      </c>
      <c r="C67" s="149" t="s">
        <v>481</v>
      </c>
      <c r="E67" s="135">
        <v>0</v>
      </c>
      <c r="F67" s="139">
        <f>E91</f>
        <v>82580.928381200007</v>
      </c>
      <c r="G67" s="139">
        <f t="shared" ref="G67:J67" si="16">F91</f>
        <v>82381.907295398109</v>
      </c>
      <c r="H67" s="139">
        <f t="shared" si="16"/>
        <v>82514.757010141955</v>
      </c>
      <c r="I67" s="139">
        <f t="shared" si="16"/>
        <v>82598.093988359004</v>
      </c>
      <c r="J67" s="139">
        <f t="shared" si="16"/>
        <v>82635.779755237425</v>
      </c>
      <c r="K67" s="148"/>
      <c r="L67" s="36"/>
      <c r="M67" s="36"/>
    </row>
    <row r="68" spans="1:13">
      <c r="A68" s="149">
        <v>2</v>
      </c>
      <c r="C68" s="149" t="s">
        <v>482</v>
      </c>
      <c r="E68" s="135">
        <v>0</v>
      </c>
      <c r="F68" s="139">
        <f t="shared" ref="F68:J71" si="17">E92</f>
        <v>0</v>
      </c>
      <c r="G68" s="139">
        <f t="shared" si="17"/>
        <v>87020.03029576737</v>
      </c>
      <c r="H68" s="139">
        <f t="shared" si="17"/>
        <v>87204.308994565683</v>
      </c>
      <c r="I68" s="139">
        <f t="shared" si="17"/>
        <v>87338.473326380597</v>
      </c>
      <c r="J68" s="139">
        <f t="shared" si="17"/>
        <v>87426.682087005262</v>
      </c>
      <c r="K68" s="148"/>
      <c r="L68" s="36"/>
      <c r="M68" s="36"/>
    </row>
    <row r="69" spans="1:13">
      <c r="A69" s="149">
        <v>3</v>
      </c>
      <c r="C69" s="149" t="s">
        <v>483</v>
      </c>
      <c r="E69" s="135">
        <v>0</v>
      </c>
      <c r="F69" s="139">
        <f t="shared" si="17"/>
        <v>0</v>
      </c>
      <c r="G69" s="139">
        <f t="shared" si="17"/>
        <v>0</v>
      </c>
      <c r="H69" s="139">
        <f t="shared" si="17"/>
        <v>91054.977026101071</v>
      </c>
      <c r="I69" s="139">
        <f t="shared" si="17"/>
        <v>91241.052995002494</v>
      </c>
      <c r="J69" s="139">
        <f t="shared" si="17"/>
        <v>91381.427880719755</v>
      </c>
      <c r="K69" s="148"/>
      <c r="L69" s="36"/>
      <c r="M69" s="36"/>
    </row>
    <row r="70" spans="1:13">
      <c r="A70" s="149">
        <v>4</v>
      </c>
      <c r="C70" s="149" t="s">
        <v>484</v>
      </c>
      <c r="E70" s="135">
        <v>0</v>
      </c>
      <c r="F70" s="139">
        <f t="shared" si="17"/>
        <v>0</v>
      </c>
      <c r="G70" s="139">
        <f t="shared" si="17"/>
        <v>0</v>
      </c>
      <c r="H70" s="139">
        <f t="shared" si="17"/>
        <v>0</v>
      </c>
      <c r="I70" s="139">
        <f t="shared" si="17"/>
        <v>95752.81949977162</v>
      </c>
      <c r="J70" s="139">
        <f t="shared" si="17"/>
        <v>95948.495774099327</v>
      </c>
      <c r="K70" s="148"/>
      <c r="L70" s="36"/>
      <c r="M70" s="36"/>
    </row>
    <row r="71" spans="1:13">
      <c r="A71" s="149">
        <v>5</v>
      </c>
      <c r="C71" s="149" t="s">
        <v>485</v>
      </c>
      <c r="E71" s="135">
        <v>0</v>
      </c>
      <c r="F71" s="139">
        <f t="shared" si="17"/>
        <v>0</v>
      </c>
      <c r="G71" s="139">
        <f t="shared" si="17"/>
        <v>0</v>
      </c>
      <c r="H71" s="139">
        <f t="shared" si="17"/>
        <v>0</v>
      </c>
      <c r="I71" s="139">
        <f t="shared" si="17"/>
        <v>0</v>
      </c>
      <c r="J71" s="139">
        <f t="shared" si="17"/>
        <v>99022.318872687902</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1636.110656002558</v>
      </c>
      <c r="G79" s="139">
        <f t="shared" si="20"/>
        <v>2005.1657896392585</v>
      </c>
      <c r="H79" s="139">
        <f t="shared" si="20"/>
        <v>2002.2848156622078</v>
      </c>
      <c r="I79" s="139">
        <f t="shared" si="20"/>
        <v>2004.3070523155457</v>
      </c>
      <c r="J79" s="139">
        <f t="shared" si="20"/>
        <v>2005.2215267867964</v>
      </c>
      <c r="K79" s="148"/>
      <c r="L79" s="36"/>
      <c r="M79" s="36"/>
    </row>
    <row r="80" spans="1:13">
      <c r="A80" s="149">
        <v>2</v>
      </c>
      <c r="C80" s="149" t="s">
        <v>488</v>
      </c>
      <c r="E80" s="139">
        <f t="shared" ref="E80:J84" si="21">E68*E$38</f>
        <v>0</v>
      </c>
      <c r="F80" s="139">
        <f t="shared" si="21"/>
        <v>0</v>
      </c>
      <c r="G80" s="139">
        <f t="shared" si="21"/>
        <v>2118.0571498153654</v>
      </c>
      <c r="H80" s="139">
        <f t="shared" si="21"/>
        <v>2116.0804453277728</v>
      </c>
      <c r="I80" s="139">
        <f t="shared" si="21"/>
        <v>2119.3360472846866</v>
      </c>
      <c r="J80" s="139">
        <f t="shared" si="21"/>
        <v>2121.476501530773</v>
      </c>
      <c r="K80" s="148"/>
      <c r="L80" s="36"/>
      <c r="M80" s="36"/>
    </row>
    <row r="81" spans="1:13">
      <c r="A81" s="149">
        <v>3</v>
      </c>
      <c r="C81" s="149" t="s">
        <v>489</v>
      </c>
      <c r="E81" s="139">
        <f t="shared" si="21"/>
        <v>0</v>
      </c>
      <c r="F81" s="139">
        <f t="shared" si="21"/>
        <v>0</v>
      </c>
      <c r="G81" s="139">
        <f t="shared" si="21"/>
        <v>0</v>
      </c>
      <c r="H81" s="139">
        <f t="shared" si="21"/>
        <v>2209.5199028147717</v>
      </c>
      <c r="I81" s="139">
        <f t="shared" si="21"/>
        <v>2214.0351810582156</v>
      </c>
      <c r="J81" s="139">
        <f t="shared" si="21"/>
        <v>2217.4414869404159</v>
      </c>
      <c r="K81" s="148"/>
      <c r="L81" s="36"/>
      <c r="M81" s="36"/>
    </row>
    <row r="82" spans="1:13">
      <c r="A82" s="149">
        <v>4</v>
      </c>
      <c r="C82" s="149" t="s">
        <v>490</v>
      </c>
      <c r="E82" s="139">
        <f t="shared" si="21"/>
        <v>0</v>
      </c>
      <c r="F82" s="139">
        <f t="shared" si="21"/>
        <v>0</v>
      </c>
      <c r="G82" s="139">
        <f t="shared" si="21"/>
        <v>0</v>
      </c>
      <c r="H82" s="139">
        <f t="shared" si="21"/>
        <v>0</v>
      </c>
      <c r="I82" s="139">
        <f t="shared" si="21"/>
        <v>2323.5167076559637</v>
      </c>
      <c r="J82" s="139">
        <f t="shared" si="21"/>
        <v>2328.264944784306</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2402.8536552082996</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1835.1317418044446</v>
      </c>
      <c r="G85" s="216">
        <f t="shared" si="22"/>
        <v>1872.3160748954115</v>
      </c>
      <c r="H85" s="216">
        <f t="shared" si="22"/>
        <v>1918.9478374451617</v>
      </c>
      <c r="I85" s="216">
        <f t="shared" si="22"/>
        <v>1966.6212854371192</v>
      </c>
      <c r="J85" s="216">
        <f t="shared" si="22"/>
        <v>2015.5068232984738</v>
      </c>
      <c r="K85" s="148"/>
      <c r="L85" s="36"/>
      <c r="M85" s="36"/>
    </row>
    <row r="86" spans="1:13">
      <c r="A86" s="149">
        <v>2</v>
      </c>
      <c r="C86" s="149" t="s">
        <v>494</v>
      </c>
      <c r="E86" s="216">
        <f t="shared" si="22"/>
        <v>0</v>
      </c>
      <c r="F86" s="216">
        <f t="shared" si="22"/>
        <v>0</v>
      </c>
      <c r="G86" s="216">
        <f t="shared" si="22"/>
        <v>1933.7784510170527</v>
      </c>
      <c r="H86" s="216">
        <f t="shared" si="22"/>
        <v>1981.9161135128563</v>
      </c>
      <c r="I86" s="216">
        <f t="shared" si="22"/>
        <v>2031.1272866600139</v>
      </c>
      <c r="J86" s="216">
        <f t="shared" si="22"/>
        <v>2081.5876687382206</v>
      </c>
      <c r="K86" s="148"/>
      <c r="L86" s="36"/>
      <c r="M86" s="36"/>
    </row>
    <row r="87" spans="1:13">
      <c r="A87" s="149">
        <v>3</v>
      </c>
      <c r="C87" s="149" t="s">
        <v>495</v>
      </c>
      <c r="E87" s="216">
        <f t="shared" si="22"/>
        <v>0</v>
      </c>
      <c r="F87" s="216">
        <f t="shared" si="22"/>
        <v>0</v>
      </c>
      <c r="G87" s="216">
        <f t="shared" si="22"/>
        <v>0</v>
      </c>
      <c r="H87" s="216">
        <f t="shared" si="22"/>
        <v>2023.4439339133571</v>
      </c>
      <c r="I87" s="216">
        <f t="shared" si="22"/>
        <v>2073.6602953409656</v>
      </c>
      <c r="J87" s="216">
        <f t="shared" si="22"/>
        <v>2125.1494855981337</v>
      </c>
      <c r="K87" s="148"/>
      <c r="L87" s="36"/>
      <c r="M87" s="36"/>
    </row>
    <row r="88" spans="1:13">
      <c r="A88" s="149">
        <v>4</v>
      </c>
      <c r="C88" s="149" t="s">
        <v>496</v>
      </c>
      <c r="E88" s="216">
        <f t="shared" si="22"/>
        <v>0</v>
      </c>
      <c r="F88" s="216">
        <f t="shared" si="22"/>
        <v>0</v>
      </c>
      <c r="G88" s="216">
        <f t="shared" si="22"/>
        <v>0</v>
      </c>
      <c r="H88" s="216">
        <f t="shared" si="22"/>
        <v>0</v>
      </c>
      <c r="I88" s="216">
        <f t="shared" si="22"/>
        <v>2127.8404333282583</v>
      </c>
      <c r="J88" s="216">
        <f t="shared" si="22"/>
        <v>2180.6476312295304</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2200.4959749486202</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82580.928381200007</v>
      </c>
      <c r="F91" s="139">
        <f t="shared" si="23"/>
        <v>82381.907295398109</v>
      </c>
      <c r="G91" s="139">
        <f t="shared" si="23"/>
        <v>82514.757010141955</v>
      </c>
      <c r="H91" s="139">
        <f t="shared" si="23"/>
        <v>82598.093988359004</v>
      </c>
      <c r="I91" s="139">
        <f t="shared" si="23"/>
        <v>82635.779755237425</v>
      </c>
      <c r="J91" s="216">
        <f t="shared" si="23"/>
        <v>82625.494458725749</v>
      </c>
      <c r="K91" s="148"/>
      <c r="L91" s="36"/>
      <c r="M91" s="36"/>
    </row>
    <row r="92" spans="1:13">
      <c r="A92" s="149">
        <v>2</v>
      </c>
      <c r="C92" s="149" t="s">
        <v>500</v>
      </c>
      <c r="E92" s="139">
        <f t="shared" si="23"/>
        <v>0</v>
      </c>
      <c r="F92" s="139">
        <f t="shared" si="23"/>
        <v>87020.03029576737</v>
      </c>
      <c r="G92" s="139">
        <f t="shared" si="23"/>
        <v>87204.308994565683</v>
      </c>
      <c r="H92" s="139">
        <f t="shared" si="23"/>
        <v>87338.473326380597</v>
      </c>
      <c r="I92" s="139">
        <f t="shared" si="23"/>
        <v>87426.682087005262</v>
      </c>
      <c r="J92" s="216">
        <f t="shared" si="23"/>
        <v>87466.570919797814</v>
      </c>
      <c r="K92" s="148"/>
      <c r="L92" s="36"/>
      <c r="M92" s="36"/>
    </row>
    <row r="93" spans="1:13">
      <c r="A93" s="149">
        <v>3</v>
      </c>
      <c r="C93" s="149" t="s">
        <v>501</v>
      </c>
      <c r="E93" s="139">
        <f t="shared" si="23"/>
        <v>0</v>
      </c>
      <c r="F93" s="139">
        <f t="shared" si="23"/>
        <v>0</v>
      </c>
      <c r="G93" s="139">
        <f t="shared" si="23"/>
        <v>91054.977026101071</v>
      </c>
      <c r="H93" s="139">
        <f t="shared" si="23"/>
        <v>91241.052995002494</v>
      </c>
      <c r="I93" s="139">
        <f t="shared" si="23"/>
        <v>91381.427880719755</v>
      </c>
      <c r="J93" s="216">
        <f t="shared" si="23"/>
        <v>91473.71988206204</v>
      </c>
      <c r="K93" s="148"/>
      <c r="L93" s="36"/>
      <c r="M93" s="36"/>
    </row>
    <row r="94" spans="1:13">
      <c r="A94" s="149">
        <v>4</v>
      </c>
      <c r="C94" s="149" t="s">
        <v>502</v>
      </c>
      <c r="E94" s="139">
        <f t="shared" si="23"/>
        <v>0</v>
      </c>
      <c r="F94" s="139">
        <f t="shared" si="23"/>
        <v>0</v>
      </c>
      <c r="G94" s="139">
        <f t="shared" si="23"/>
        <v>0</v>
      </c>
      <c r="H94" s="139">
        <f t="shared" si="23"/>
        <v>95752.81949977162</v>
      </c>
      <c r="I94" s="139">
        <f t="shared" si="23"/>
        <v>95948.495774099327</v>
      </c>
      <c r="J94" s="216">
        <f t="shared" si="23"/>
        <v>96096.113087654099</v>
      </c>
      <c r="K94" s="148"/>
      <c r="L94" s="36"/>
      <c r="M94" s="36"/>
    </row>
    <row r="95" spans="1:13">
      <c r="A95" s="149">
        <v>5</v>
      </c>
      <c r="C95" s="149" t="s">
        <v>503</v>
      </c>
      <c r="E95" s="139">
        <f t="shared" si="23"/>
        <v>0</v>
      </c>
      <c r="F95" s="139">
        <f t="shared" si="23"/>
        <v>0</v>
      </c>
      <c r="G95" s="139">
        <f t="shared" si="23"/>
        <v>0</v>
      </c>
      <c r="H95" s="139">
        <f t="shared" si="23"/>
        <v>0</v>
      </c>
      <c r="I95" s="139">
        <f t="shared" si="23"/>
        <v>99022.318872687902</v>
      </c>
      <c r="J95" s="216">
        <f t="shared" si="23"/>
        <v>99224.676552947582</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103032.40056234208</v>
      </c>
      <c r="K96" s="148"/>
      <c r="L96" s="36"/>
      <c r="M96" s="36"/>
    </row>
    <row r="97" spans="1:13">
      <c r="C97" s="149" t="s">
        <v>260</v>
      </c>
      <c r="E97" s="139">
        <f t="shared" ref="E97:J97" si="24">SUM(E67:E72)</f>
        <v>0</v>
      </c>
      <c r="F97" s="139">
        <f t="shared" si="24"/>
        <v>82580.928381200007</v>
      </c>
      <c r="G97" s="139">
        <f t="shared" si="24"/>
        <v>169401.93759116548</v>
      </c>
      <c r="H97" s="139">
        <f t="shared" si="24"/>
        <v>260774.04303080874</v>
      </c>
      <c r="I97" s="139">
        <f t="shared" si="24"/>
        <v>356930.43980951374</v>
      </c>
      <c r="J97" s="216">
        <f t="shared" si="24"/>
        <v>456414.70436974964</v>
      </c>
      <c r="K97" s="148"/>
      <c r="L97" s="36"/>
      <c r="M97" s="36"/>
    </row>
    <row r="98" spans="1:13">
      <c r="C98" s="149" t="s">
        <v>261</v>
      </c>
      <c r="E98" s="139">
        <f t="shared" ref="E98:J98" si="25">SUM(E79:E84)</f>
        <v>0</v>
      </c>
      <c r="F98" s="139">
        <f t="shared" si="25"/>
        <v>1636.110656002558</v>
      </c>
      <c r="G98" s="139">
        <f t="shared" si="25"/>
        <v>4123.2229394546239</v>
      </c>
      <c r="H98" s="139">
        <f t="shared" si="25"/>
        <v>6327.8851638047527</v>
      </c>
      <c r="I98" s="139">
        <f t="shared" si="25"/>
        <v>8661.1949883144116</v>
      </c>
      <c r="J98" s="216">
        <f t="shared" si="25"/>
        <v>11075.258115250588</v>
      </c>
      <c r="K98" s="148"/>
      <c r="L98" s="36"/>
      <c r="M98" s="36"/>
    </row>
    <row r="99" spans="1:13">
      <c r="C99" s="149" t="s">
        <v>75</v>
      </c>
      <c r="E99" s="139">
        <f t="shared" ref="E99:J99" si="26">SUM(E85:E90)</f>
        <v>0</v>
      </c>
      <c r="F99" s="139">
        <f t="shared" si="26"/>
        <v>1835.1317418044446</v>
      </c>
      <c r="G99" s="139">
        <f t="shared" si="26"/>
        <v>3806.0945259124642</v>
      </c>
      <c r="H99" s="139">
        <f t="shared" si="26"/>
        <v>5924.3078848713749</v>
      </c>
      <c r="I99" s="216">
        <f t="shared" si="26"/>
        <v>8199.2493007663561</v>
      </c>
      <c r="J99" s="216">
        <f t="shared" si="26"/>
        <v>10603.387583812979</v>
      </c>
      <c r="K99" s="148"/>
      <c r="L99" s="36"/>
      <c r="M99" s="36"/>
    </row>
    <row r="100" spans="1:13">
      <c r="C100" s="149" t="s">
        <v>262</v>
      </c>
      <c r="E100" s="139">
        <f t="shared" ref="E100:J100" si="27">SUM(E91:E96)</f>
        <v>82580.928381200007</v>
      </c>
      <c r="F100" s="139">
        <f t="shared" si="27"/>
        <v>169401.93759116548</v>
      </c>
      <c r="G100" s="139">
        <f t="shared" si="27"/>
        <v>260774.04303080874</v>
      </c>
      <c r="H100" s="139">
        <f t="shared" si="27"/>
        <v>356930.43980951374</v>
      </c>
      <c r="I100" s="216">
        <f t="shared" si="27"/>
        <v>456414.70436974964</v>
      </c>
      <c r="J100" s="216">
        <f t="shared" si="27"/>
        <v>559918.97546352935</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82580.928381200007</v>
      </c>
      <c r="F104" s="139">
        <f t="shared" ref="F104:J104" si="28">F$25</f>
        <v>87020.03029576737</v>
      </c>
      <c r="G104" s="139">
        <f t="shared" si="28"/>
        <v>91054.977026101071</v>
      </c>
      <c r="H104" s="139">
        <f t="shared" si="28"/>
        <v>95752.81949977162</v>
      </c>
      <c r="I104" s="139">
        <f t="shared" si="28"/>
        <v>99022.318872687902</v>
      </c>
      <c r="J104" s="139">
        <f t="shared" si="28"/>
        <v>103032.40056234208</v>
      </c>
      <c r="K104" s="148"/>
      <c r="L104" s="36"/>
      <c r="M104" s="36"/>
    </row>
    <row r="105" spans="1:13">
      <c r="A105" s="149">
        <v>1</v>
      </c>
      <c r="C105" s="149" t="s">
        <v>457</v>
      </c>
      <c r="E105" s="135">
        <v>0</v>
      </c>
      <c r="F105" s="139">
        <f>E123</f>
        <v>82580.928381200007</v>
      </c>
      <c r="G105" s="139">
        <f t="shared" ref="G105:J105" si="29">F123</f>
        <v>80745.796639395558</v>
      </c>
      <c r="H105" s="139">
        <f t="shared" si="29"/>
        <v>78910.664897591108</v>
      </c>
      <c r="I105" s="139">
        <f t="shared" si="29"/>
        <v>77075.533155786659</v>
      </c>
      <c r="J105" s="139">
        <f t="shared" si="29"/>
        <v>75240.40141398221</v>
      </c>
      <c r="K105" s="148"/>
      <c r="L105" s="36"/>
      <c r="M105" s="36"/>
    </row>
    <row r="106" spans="1:13">
      <c r="A106" s="149">
        <v>2</v>
      </c>
      <c r="C106" s="149" t="s">
        <v>458</v>
      </c>
      <c r="E106" s="135">
        <v>0</v>
      </c>
      <c r="F106" s="139">
        <f t="shared" ref="F106:J109" si="30">E124</f>
        <v>0</v>
      </c>
      <c r="G106" s="139">
        <f t="shared" si="30"/>
        <v>87020.03029576737</v>
      </c>
      <c r="H106" s="139">
        <f t="shared" si="30"/>
        <v>85086.251844750324</v>
      </c>
      <c r="I106" s="139">
        <f t="shared" si="30"/>
        <v>83152.473393733278</v>
      </c>
      <c r="J106" s="139">
        <f t="shared" si="30"/>
        <v>81218.694942716233</v>
      </c>
      <c r="K106" s="148"/>
      <c r="L106" s="36"/>
      <c r="M106" s="36"/>
    </row>
    <row r="107" spans="1:13">
      <c r="A107" s="149">
        <v>3</v>
      </c>
      <c r="C107" s="149" t="s">
        <v>459</v>
      </c>
      <c r="E107" s="135">
        <v>0</v>
      </c>
      <c r="F107" s="139">
        <f t="shared" si="30"/>
        <v>0</v>
      </c>
      <c r="G107" s="139">
        <f t="shared" si="30"/>
        <v>0</v>
      </c>
      <c r="H107" s="139">
        <f t="shared" si="30"/>
        <v>91054.977026101071</v>
      </c>
      <c r="I107" s="139">
        <f t="shared" si="30"/>
        <v>89031.533092187718</v>
      </c>
      <c r="J107" s="139">
        <f t="shared" si="30"/>
        <v>87008.089158274364</v>
      </c>
      <c r="K107" s="148"/>
      <c r="L107" s="36"/>
      <c r="M107" s="36"/>
    </row>
    <row r="108" spans="1:13">
      <c r="A108" s="149">
        <v>4</v>
      </c>
      <c r="C108" s="149" t="s">
        <v>460</v>
      </c>
      <c r="E108" s="135">
        <v>0</v>
      </c>
      <c r="F108" s="139">
        <f t="shared" si="30"/>
        <v>0</v>
      </c>
      <c r="G108" s="139">
        <f t="shared" si="30"/>
        <v>0</v>
      </c>
      <c r="H108" s="139">
        <f t="shared" si="30"/>
        <v>0</v>
      </c>
      <c r="I108" s="139">
        <f t="shared" si="30"/>
        <v>95752.81949977162</v>
      </c>
      <c r="J108" s="139">
        <f t="shared" si="30"/>
        <v>93624.979066443368</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99022.318872687902</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1835.1317418044446</v>
      </c>
      <c r="G117" s="139">
        <f t="shared" si="33"/>
        <v>1835.1317418044446</v>
      </c>
      <c r="H117" s="139">
        <f t="shared" si="33"/>
        <v>1835.1317418044443</v>
      </c>
      <c r="I117" s="139">
        <f t="shared" si="33"/>
        <v>1835.1317418044443</v>
      </c>
      <c r="J117" s="139">
        <f t="shared" si="33"/>
        <v>1835.1317418044441</v>
      </c>
      <c r="K117" s="148"/>
      <c r="L117" s="36"/>
      <c r="M117" s="36"/>
    </row>
    <row r="118" spans="1:13">
      <c r="A118" s="149">
        <v>2</v>
      </c>
      <c r="C118" s="149" t="s">
        <v>470</v>
      </c>
      <c r="E118" s="139">
        <f t="shared" si="33"/>
        <v>0</v>
      </c>
      <c r="F118" s="139">
        <f t="shared" si="33"/>
        <v>0</v>
      </c>
      <c r="G118" s="139">
        <f t="shared" si="33"/>
        <v>1933.7784510170527</v>
      </c>
      <c r="H118" s="139">
        <f t="shared" si="33"/>
        <v>1933.7784510170529</v>
      </c>
      <c r="I118" s="139">
        <f t="shared" si="33"/>
        <v>1933.7784510170529</v>
      </c>
      <c r="J118" s="139">
        <f t="shared" si="33"/>
        <v>1933.7784510170532</v>
      </c>
      <c r="K118" s="148"/>
      <c r="L118" s="36"/>
      <c r="M118" s="36"/>
    </row>
    <row r="119" spans="1:13">
      <c r="A119" s="149">
        <v>3</v>
      </c>
      <c r="C119" s="149" t="s">
        <v>471</v>
      </c>
      <c r="E119" s="139">
        <f t="shared" si="33"/>
        <v>0</v>
      </c>
      <c r="F119" s="139">
        <f t="shared" si="33"/>
        <v>0</v>
      </c>
      <c r="G119" s="139">
        <f t="shared" si="33"/>
        <v>0</v>
      </c>
      <c r="H119" s="139">
        <f t="shared" si="33"/>
        <v>2023.4439339133571</v>
      </c>
      <c r="I119" s="139">
        <f t="shared" si="33"/>
        <v>2023.4439339133571</v>
      </c>
      <c r="J119" s="139">
        <f t="shared" si="33"/>
        <v>2023.4439339133573</v>
      </c>
      <c r="K119" s="148"/>
      <c r="L119" s="36"/>
      <c r="M119" s="36"/>
    </row>
    <row r="120" spans="1:13">
      <c r="A120" s="149">
        <v>4</v>
      </c>
      <c r="C120" s="149" t="s">
        <v>472</v>
      </c>
      <c r="E120" s="139">
        <f t="shared" si="33"/>
        <v>0</v>
      </c>
      <c r="F120" s="139">
        <f t="shared" si="33"/>
        <v>0</v>
      </c>
      <c r="G120" s="139">
        <f t="shared" si="33"/>
        <v>0</v>
      </c>
      <c r="H120" s="139">
        <f t="shared" si="33"/>
        <v>0</v>
      </c>
      <c r="I120" s="139">
        <f t="shared" si="33"/>
        <v>2127.8404333282583</v>
      </c>
      <c r="J120" s="139">
        <f t="shared" si="33"/>
        <v>2127.8404333282583</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2200.4959749486202</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82580.928381200007</v>
      </c>
      <c r="F123" s="139">
        <f t="shared" ref="F123:J123" si="34">F105-F117+IF($A123=F$103,F$104,0)</f>
        <v>80745.796639395558</v>
      </c>
      <c r="G123" s="139">
        <f t="shared" si="34"/>
        <v>78910.664897591108</v>
      </c>
      <c r="H123" s="139">
        <f t="shared" si="34"/>
        <v>77075.533155786659</v>
      </c>
      <c r="I123" s="139">
        <f t="shared" si="34"/>
        <v>75240.40141398221</v>
      </c>
      <c r="J123" s="139">
        <f t="shared" si="34"/>
        <v>73405.269672177761</v>
      </c>
      <c r="K123" s="148"/>
      <c r="L123" s="36"/>
      <c r="M123" s="36"/>
    </row>
    <row r="124" spans="1:13">
      <c r="A124" s="149">
        <v>2</v>
      </c>
      <c r="C124" s="149" t="s">
        <v>476</v>
      </c>
      <c r="E124" s="139">
        <f t="shared" ref="E124:J128" si="35">E106-E118+IF($A124=E$103,E$104,0)</f>
        <v>0</v>
      </c>
      <c r="F124" s="139">
        <f t="shared" si="35"/>
        <v>87020.03029576737</v>
      </c>
      <c r="G124" s="139">
        <f t="shared" si="35"/>
        <v>85086.251844750324</v>
      </c>
      <c r="H124" s="139">
        <f t="shared" si="35"/>
        <v>83152.473393733278</v>
      </c>
      <c r="I124" s="139">
        <f t="shared" si="35"/>
        <v>81218.694942716233</v>
      </c>
      <c r="J124" s="139">
        <f t="shared" si="35"/>
        <v>79284.916491699172</v>
      </c>
      <c r="K124" s="148"/>
      <c r="L124" s="36"/>
      <c r="M124" s="36"/>
    </row>
    <row r="125" spans="1:13">
      <c r="A125" s="149">
        <v>3</v>
      </c>
      <c r="C125" s="149" t="s">
        <v>477</v>
      </c>
      <c r="E125" s="139">
        <f t="shared" si="35"/>
        <v>0</v>
      </c>
      <c r="F125" s="139">
        <f t="shared" si="35"/>
        <v>0</v>
      </c>
      <c r="G125" s="139">
        <f t="shared" si="35"/>
        <v>91054.977026101071</v>
      </c>
      <c r="H125" s="139">
        <f t="shared" si="35"/>
        <v>89031.533092187718</v>
      </c>
      <c r="I125" s="139">
        <f t="shared" si="35"/>
        <v>87008.089158274364</v>
      </c>
      <c r="J125" s="139">
        <f t="shared" si="35"/>
        <v>84984.645224361011</v>
      </c>
      <c r="K125" s="148"/>
      <c r="L125" s="36"/>
      <c r="M125" s="36"/>
    </row>
    <row r="126" spans="1:13">
      <c r="A126" s="149">
        <v>4</v>
      </c>
      <c r="C126" s="149" t="s">
        <v>478</v>
      </c>
      <c r="E126" s="139">
        <f t="shared" si="35"/>
        <v>0</v>
      </c>
      <c r="F126" s="139">
        <f t="shared" si="35"/>
        <v>0</v>
      </c>
      <c r="G126" s="139">
        <f t="shared" si="35"/>
        <v>0</v>
      </c>
      <c r="H126" s="139">
        <f t="shared" si="35"/>
        <v>95752.81949977162</v>
      </c>
      <c r="I126" s="139">
        <f t="shared" si="35"/>
        <v>93624.979066443368</v>
      </c>
      <c r="J126" s="139">
        <f t="shared" si="35"/>
        <v>91497.138633115115</v>
      </c>
      <c r="K126" s="148"/>
      <c r="L126" s="36"/>
      <c r="M126" s="36"/>
    </row>
    <row r="127" spans="1:13">
      <c r="A127" s="149">
        <v>5</v>
      </c>
      <c r="C127" s="149" t="s">
        <v>479</v>
      </c>
      <c r="E127" s="139">
        <f t="shared" si="35"/>
        <v>0</v>
      </c>
      <c r="F127" s="139">
        <f t="shared" si="35"/>
        <v>0</v>
      </c>
      <c r="G127" s="139">
        <f t="shared" si="35"/>
        <v>0</v>
      </c>
      <c r="H127" s="139">
        <f t="shared" si="35"/>
        <v>0</v>
      </c>
      <c r="I127" s="139">
        <f t="shared" si="35"/>
        <v>99022.318872687902</v>
      </c>
      <c r="J127" s="139">
        <f t="shared" si="35"/>
        <v>96821.822897739286</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103032.40056234208</v>
      </c>
      <c r="K128" s="148"/>
      <c r="L128" s="36"/>
      <c r="M128" s="36"/>
    </row>
    <row r="129" spans="3:13">
      <c r="C129" s="149" t="s">
        <v>72</v>
      </c>
      <c r="E129" s="139">
        <f>SUM(E105:E110)</f>
        <v>0</v>
      </c>
      <c r="F129" s="139">
        <f t="shared" ref="F129:J129" si="36">SUM(F105:F110)</f>
        <v>82580.928381200007</v>
      </c>
      <c r="G129" s="139">
        <f t="shared" si="36"/>
        <v>167765.82693516294</v>
      </c>
      <c r="H129" s="139">
        <f t="shared" si="36"/>
        <v>255051.8937684425</v>
      </c>
      <c r="I129" s="139">
        <f t="shared" si="36"/>
        <v>345012.3591414793</v>
      </c>
      <c r="J129" s="139">
        <f t="shared" si="36"/>
        <v>436114.48345410405</v>
      </c>
      <c r="K129" s="148"/>
      <c r="L129" s="36"/>
      <c r="M129" s="36"/>
    </row>
    <row r="130" spans="3:13">
      <c r="C130" s="149" t="s">
        <v>67</v>
      </c>
      <c r="E130" s="139">
        <f>SUM(E117:E122)</f>
        <v>0</v>
      </c>
      <c r="F130" s="139">
        <f t="shared" ref="F130:J130" si="37">SUM(F117:F122)</f>
        <v>1835.1317418044446</v>
      </c>
      <c r="G130" s="139">
        <f t="shared" si="37"/>
        <v>3768.9101928214973</v>
      </c>
      <c r="H130" s="139">
        <f t="shared" si="37"/>
        <v>5792.3541267348546</v>
      </c>
      <c r="I130" s="139">
        <f t="shared" si="37"/>
        <v>7920.1945600631134</v>
      </c>
      <c r="J130" s="139">
        <f t="shared" si="37"/>
        <v>10120.690535011734</v>
      </c>
      <c r="K130" s="148"/>
      <c r="L130" s="36"/>
      <c r="M130" s="36"/>
    </row>
    <row r="131" spans="3:13" s="36" customFormat="1">
      <c r="C131" s="36" t="s">
        <v>73</v>
      </c>
      <c r="E131" s="139">
        <f>SUM(E123:E128)</f>
        <v>82580.928381200007</v>
      </c>
      <c r="F131" s="139">
        <f t="shared" ref="F131:J131" si="38">SUM(F123:F128)</f>
        <v>167765.82693516294</v>
      </c>
      <c r="G131" s="139">
        <f t="shared" si="38"/>
        <v>255051.8937684425</v>
      </c>
      <c r="H131" s="139">
        <f t="shared" si="38"/>
        <v>345012.3591414793</v>
      </c>
      <c r="I131" s="139">
        <f t="shared" si="38"/>
        <v>436114.48345410405</v>
      </c>
      <c r="J131" s="139">
        <f t="shared" si="38"/>
        <v>529026.19348143437</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1275729</v>
      </c>
      <c r="F134" s="139">
        <f>E137</f>
        <v>1212252</v>
      </c>
      <c r="G134" s="139">
        <f t="shared" ref="G134:J134" si="39">F137</f>
        <v>1160303.7365272986</v>
      </c>
      <c r="H134" s="139">
        <f t="shared" si="39"/>
        <v>1108355.4730545972</v>
      </c>
      <c r="I134" s="139">
        <f t="shared" si="39"/>
        <v>1056407.2095818957</v>
      </c>
      <c r="J134" s="139">
        <f t="shared" si="39"/>
        <v>1004458.9461091943</v>
      </c>
      <c r="K134" s="148"/>
      <c r="L134" s="36"/>
      <c r="M134" s="36"/>
    </row>
    <row r="135" spans="3:13">
      <c r="C135" s="149" t="s">
        <v>41</v>
      </c>
      <c r="E135" s="139">
        <f t="shared" ref="E135:J135" si="40">E55</f>
        <v>11055</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52421.999999999993</v>
      </c>
      <c r="F136" s="139">
        <f t="shared" si="41"/>
        <v>51948.263472701452</v>
      </c>
      <c r="G136" s="139">
        <f t="shared" si="41"/>
        <v>51948.263472701452</v>
      </c>
      <c r="H136" s="139">
        <f t="shared" si="41"/>
        <v>51948.263472701452</v>
      </c>
      <c r="I136" s="139">
        <f t="shared" si="41"/>
        <v>51948.263472701459</v>
      </c>
      <c r="J136" s="139">
        <f t="shared" si="41"/>
        <v>51948.263472701459</v>
      </c>
      <c r="K136" s="148"/>
      <c r="L136" s="36"/>
      <c r="M136" s="36"/>
    </row>
    <row r="137" spans="3:13">
      <c r="C137" s="149" t="s">
        <v>66</v>
      </c>
      <c r="E137" s="139">
        <f t="shared" ref="E137:J137" si="42">E134-E135-E136</f>
        <v>1212252</v>
      </c>
      <c r="F137" s="139">
        <f t="shared" si="42"/>
        <v>1160303.7365272986</v>
      </c>
      <c r="G137" s="139">
        <f t="shared" si="42"/>
        <v>1108355.4730545972</v>
      </c>
      <c r="H137" s="139">
        <f t="shared" si="42"/>
        <v>1056407.2095818957</v>
      </c>
      <c r="I137" s="139">
        <f t="shared" si="42"/>
        <v>1004458.9461091943</v>
      </c>
      <c r="J137" s="139">
        <f t="shared" si="42"/>
        <v>952510.68263649289</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1275729</v>
      </c>
      <c r="F140" s="139">
        <f t="shared" si="43"/>
        <v>1316628.1304241908</v>
      </c>
      <c r="G140" s="139">
        <f t="shared" si="43"/>
        <v>1375016.0947800283</v>
      </c>
      <c r="H140" s="139">
        <f t="shared" si="43"/>
        <v>1441755.836669418</v>
      </c>
      <c r="I140" s="139">
        <f t="shared" si="43"/>
        <v>1511217.4403621964</v>
      </c>
      <c r="J140" s="139">
        <f t="shared" si="43"/>
        <v>1581949.9273806268</v>
      </c>
      <c r="K140" s="148"/>
      <c r="L140" s="36"/>
      <c r="M140" s="36"/>
    </row>
    <row r="141" spans="3:13">
      <c r="C141" s="149" t="s">
        <v>268</v>
      </c>
      <c r="E141" s="139">
        <f t="shared" ref="E141:J143" si="44">E60+E98</f>
        <v>21795.202042990946</v>
      </c>
      <c r="F141" s="139">
        <f t="shared" si="44"/>
        <v>26085.312388788163</v>
      </c>
      <c r="G141" s="139">
        <f t="shared" si="44"/>
        <v>33467.727611233633</v>
      </c>
      <c r="H141" s="139">
        <f t="shared" si="44"/>
        <v>34985.32776750125</v>
      </c>
      <c r="I141" s="139">
        <f t="shared" si="44"/>
        <v>36670.867656184448</v>
      </c>
      <c r="J141" s="139">
        <f t="shared" si="44"/>
        <v>38387.24651813299</v>
      </c>
      <c r="K141" s="148"/>
      <c r="L141" s="36"/>
      <c r="M141" s="36"/>
    </row>
    <row r="142" spans="3:13">
      <c r="C142" s="149" t="s">
        <v>267</v>
      </c>
      <c r="E142" s="139">
        <f>E61+E99</f>
        <v>52422</v>
      </c>
      <c r="F142" s="139">
        <f t="shared" si="44"/>
        <v>54717.378328718158</v>
      </c>
      <c r="G142" s="139">
        <f t="shared" si="44"/>
        <v>57782.962747944992</v>
      </c>
      <c r="H142" s="139">
        <f t="shared" si="44"/>
        <v>61276.543574494703</v>
      </c>
      <c r="I142" s="139">
        <f t="shared" si="44"/>
        <v>64960.699510441904</v>
      </c>
      <c r="J142" s="139">
        <f t="shared" si="44"/>
        <v>68813.432443544487</v>
      </c>
      <c r="K142" s="148"/>
      <c r="L142" s="36"/>
      <c r="M142" s="36"/>
    </row>
    <row r="143" spans="3:13">
      <c r="C143" s="149" t="s">
        <v>270</v>
      </c>
      <c r="E143" s="139">
        <f t="shared" si="44"/>
        <v>1316628.1304241908</v>
      </c>
      <c r="F143" s="139">
        <f t="shared" si="44"/>
        <v>1375016.0947800283</v>
      </c>
      <c r="G143" s="139">
        <f t="shared" si="44"/>
        <v>1441755.836669418</v>
      </c>
      <c r="H143" s="139">
        <f t="shared" si="44"/>
        <v>1511217.4403621964</v>
      </c>
      <c r="I143" s="139">
        <f t="shared" si="44"/>
        <v>1581949.9273806268</v>
      </c>
      <c r="J143" s="216">
        <f t="shared" si="44"/>
        <v>1654556.1420175573</v>
      </c>
      <c r="K143" s="148"/>
      <c r="L143" s="36"/>
      <c r="M143" s="36"/>
    </row>
    <row r="144" spans="3:13">
      <c r="C144" s="149" t="s">
        <v>46</v>
      </c>
      <c r="E144" s="139">
        <f t="shared" ref="E144:J144" si="45">E130+E136</f>
        <v>52421.999999999993</v>
      </c>
      <c r="F144" s="139">
        <f t="shared" si="45"/>
        <v>53783.395214505894</v>
      </c>
      <c r="G144" s="139">
        <f t="shared" si="45"/>
        <v>55717.173665522947</v>
      </c>
      <c r="H144" s="139">
        <f t="shared" si="45"/>
        <v>57740.617599436308</v>
      </c>
      <c r="I144" s="139">
        <f t="shared" si="45"/>
        <v>59868.458032764574</v>
      </c>
      <c r="J144" s="139">
        <f t="shared" si="45"/>
        <v>62068.954007713197</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1.0320594189080838</v>
      </c>
      <c r="G148" s="308">
        <f t="shared" ref="G148:J148" si="46">G140/$E140</f>
        <v>1.0778277320496974</v>
      </c>
      <c r="H148" s="308">
        <f t="shared" si="46"/>
        <v>1.1301427157879282</v>
      </c>
      <c r="I148" s="308">
        <f t="shared" si="46"/>
        <v>1.1845912731953232</v>
      </c>
      <c r="J148" s="308">
        <f t="shared" si="46"/>
        <v>1.2400360322455841</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6.3631859137580973E-2</v>
      </c>
      <c r="E152" s="36"/>
      <c r="F152" s="36"/>
      <c r="G152" s="36"/>
      <c r="H152" s="36"/>
      <c r="I152" s="36"/>
      <c r="J152" s="36"/>
      <c r="K152" s="148"/>
      <c r="L152" s="36"/>
      <c r="M152" s="36"/>
    </row>
    <row r="153" spans="1:13">
      <c r="C153" s="149" t="s">
        <v>282</v>
      </c>
      <c r="E153" s="135">
        <f>E16</f>
        <v>930383</v>
      </c>
      <c r="F153" s="139">
        <f>E157</f>
        <v>942706.92838119995</v>
      </c>
      <c r="G153" s="139">
        <f t="shared" ref="G153:J153" si="48">F157</f>
        <v>969740.76420219312</v>
      </c>
      <c r="H153" s="139">
        <f t="shared" si="48"/>
        <v>999089.33352061012</v>
      </c>
      <c r="I153" s="139">
        <f t="shared" si="48"/>
        <v>1031268.2412839385</v>
      </c>
      <c r="J153" s="139">
        <f t="shared" si="48"/>
        <v>1064669.044694186</v>
      </c>
      <c r="K153" s="148"/>
      <c r="L153" s="36"/>
      <c r="M153" s="36"/>
    </row>
    <row r="154" spans="1:13">
      <c r="C154" s="149" t="s">
        <v>35</v>
      </c>
      <c r="E154" s="135">
        <f>E15</f>
        <v>59202</v>
      </c>
      <c r="F154" s="139">
        <f t="shared" ref="F154:J154" si="49">F153*$D152</f>
        <v>59986.194474774151</v>
      </c>
      <c r="G154" s="139">
        <f t="shared" si="49"/>
        <v>61706.407707684077</v>
      </c>
      <c r="H154" s="139">
        <f t="shared" si="49"/>
        <v>63573.911736443122</v>
      </c>
      <c r="I154" s="139">
        <f t="shared" si="49"/>
        <v>65621.515462440439</v>
      </c>
      <c r="J154" s="139">
        <f t="shared" si="49"/>
        <v>67746.870680123349</v>
      </c>
      <c r="K154" s="148"/>
      <c r="L154" s="36"/>
      <c r="M154" s="36"/>
    </row>
    <row r="155" spans="1:13">
      <c r="C155" s="149" t="s">
        <v>124</v>
      </c>
      <c r="E155" s="139">
        <f t="shared" ref="E155:J155" si="50">E25</f>
        <v>82580.928381200007</v>
      </c>
      <c r="F155" s="139">
        <f t="shared" si="50"/>
        <v>87020.03029576737</v>
      </c>
      <c r="G155" s="139">
        <f t="shared" si="50"/>
        <v>91054.977026101071</v>
      </c>
      <c r="H155" s="139">
        <f t="shared" si="50"/>
        <v>95752.81949977162</v>
      </c>
      <c r="I155" s="139">
        <f t="shared" si="50"/>
        <v>99022.318872687902</v>
      </c>
      <c r="J155" s="139">
        <f t="shared" si="50"/>
        <v>103032.40056234208</v>
      </c>
      <c r="K155" s="148"/>
      <c r="L155" s="309"/>
      <c r="M155" s="36"/>
    </row>
    <row r="156" spans="1:13">
      <c r="C156" s="149" t="s">
        <v>41</v>
      </c>
      <c r="E156" s="139">
        <f>E55</f>
        <v>11055</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942706.92838119995</v>
      </c>
      <c r="F157" s="139">
        <f t="shared" ref="F157:J157" si="52">F153-F154+F155-F156</f>
        <v>969740.76420219312</v>
      </c>
      <c r="G157" s="139">
        <f t="shared" si="52"/>
        <v>999089.33352061012</v>
      </c>
      <c r="H157" s="139">
        <f t="shared" si="52"/>
        <v>1031268.2412839385</v>
      </c>
      <c r="I157" s="139">
        <f t="shared" si="52"/>
        <v>1064669.044694186</v>
      </c>
      <c r="J157" s="139">
        <f t="shared" si="52"/>
        <v>1099954.5745764046</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-6780.0000000000073</v>
      </c>
      <c r="F160" s="139">
        <f t="shared" si="53"/>
        <v>-6202.7992602682571</v>
      </c>
      <c r="G160" s="139">
        <f t="shared" si="53"/>
        <v>-5989.2340421611298</v>
      </c>
      <c r="H160" s="139">
        <f t="shared" si="53"/>
        <v>-5833.2941370068147</v>
      </c>
      <c r="I160" s="139">
        <f t="shared" si="53"/>
        <v>-5753.0574296758641</v>
      </c>
      <c r="J160" s="139">
        <f t="shared" si="53"/>
        <v>-5677.9166724101524</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-6018.7615384615401</v>
      </c>
      <c r="G163" s="310">
        <f t="shared" ref="G163:J163" si="54">F166</f>
        <v>-11864.362855003556</v>
      </c>
      <c r="H163" s="310">
        <f t="shared" si="54"/>
        <v>-17260.45915603944</v>
      </c>
      <c r="I163" s="310">
        <f t="shared" si="54"/>
        <v>-22612.892283632118</v>
      </c>
      <c r="J163" s="310">
        <f t="shared" si="54"/>
        <v>-27942.859133172129</v>
      </c>
      <c r="K163" s="148"/>
      <c r="L163" s="36"/>
      <c r="M163" s="36"/>
    </row>
    <row r="164" spans="3:13">
      <c r="C164" s="149" t="s">
        <v>238</v>
      </c>
      <c r="E164" s="139">
        <f t="shared" ref="E164:J164" si="55">E160</f>
        <v>-6780.0000000000073</v>
      </c>
      <c r="F164" s="139">
        <f t="shared" si="55"/>
        <v>-6202.7992602682571</v>
      </c>
      <c r="G164" s="139">
        <f t="shared" si="55"/>
        <v>-5989.2340421611298</v>
      </c>
      <c r="H164" s="139">
        <f t="shared" si="55"/>
        <v>-5833.2941370068147</v>
      </c>
      <c r="I164" s="139">
        <f t="shared" si="55"/>
        <v>-5753.0574296758641</v>
      </c>
      <c r="J164" s="139">
        <f t="shared" si="55"/>
        <v>-5677.9166724101524</v>
      </c>
      <c r="K164" s="148"/>
      <c r="L164" s="36"/>
      <c r="M164" s="36"/>
    </row>
    <row r="165" spans="3:13">
      <c r="C165" s="149" t="s">
        <v>49</v>
      </c>
      <c r="E165" s="135">
        <f>(E11-E16)/E17</f>
        <v>13282.538461538461</v>
      </c>
      <c r="F165" s="139">
        <f>E165</f>
        <v>13282.538461538461</v>
      </c>
      <c r="G165" s="139">
        <f t="shared" ref="G165:J165" si="56">F165</f>
        <v>13282.538461538461</v>
      </c>
      <c r="H165" s="139">
        <f t="shared" si="56"/>
        <v>13282.538461538461</v>
      </c>
      <c r="I165" s="139">
        <f t="shared" si="56"/>
        <v>13282.538461538461</v>
      </c>
      <c r="J165" s="139">
        <f t="shared" si="56"/>
        <v>13282.538461538461</v>
      </c>
      <c r="K165" s="148"/>
      <c r="L165" s="36"/>
      <c r="M165" s="36"/>
    </row>
    <row r="166" spans="3:13">
      <c r="C166" s="149" t="s">
        <v>266</v>
      </c>
      <c r="E166" s="310">
        <f t="shared" ref="E166:J166" si="57">E163+(E164-E165)*E52</f>
        <v>-6018.7615384615401</v>
      </c>
      <c r="F166" s="310">
        <f t="shared" si="57"/>
        <v>-11864.362855003556</v>
      </c>
      <c r="G166" s="310">
        <f t="shared" si="57"/>
        <v>-17260.45915603944</v>
      </c>
      <c r="H166" s="310">
        <f t="shared" si="57"/>
        <v>-22612.892283632118</v>
      </c>
      <c r="I166" s="310">
        <f t="shared" si="57"/>
        <v>-27942.859133172129</v>
      </c>
      <c r="J166" s="310">
        <f t="shared" si="57"/>
        <v>-33251.786570677737</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1275729</v>
      </c>
      <c r="F169" s="139">
        <f t="shared" si="58"/>
        <v>1310609.3688857292</v>
      </c>
      <c r="G169" s="139">
        <f t="shared" si="58"/>
        <v>1363151.7319250249</v>
      </c>
      <c r="H169" s="139">
        <f t="shared" si="58"/>
        <v>1424495.3775133786</v>
      </c>
      <c r="I169" s="139">
        <f t="shared" si="58"/>
        <v>1488604.5480785642</v>
      </c>
      <c r="J169" s="139">
        <f t="shared" si="58"/>
        <v>1554007.0682474547</v>
      </c>
      <c r="K169" s="148"/>
      <c r="L169" s="36"/>
      <c r="M169" s="36"/>
    </row>
    <row r="170" spans="3:13">
      <c r="C170" s="149" t="s">
        <v>124</v>
      </c>
      <c r="E170" s="139">
        <f t="shared" ref="E170:J170" si="59">E25</f>
        <v>82580.928381200007</v>
      </c>
      <c r="F170" s="139">
        <f t="shared" si="59"/>
        <v>87020.03029576737</v>
      </c>
      <c r="G170" s="139">
        <f t="shared" si="59"/>
        <v>91054.977026101071</v>
      </c>
      <c r="H170" s="139">
        <f t="shared" si="59"/>
        <v>95752.81949977162</v>
      </c>
      <c r="I170" s="139">
        <f t="shared" si="59"/>
        <v>99022.318872687902</v>
      </c>
      <c r="J170" s="139">
        <f t="shared" si="59"/>
        <v>103032.40056234208</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21795.202042990946</v>
      </c>
      <c r="F172" s="95">
        <f t="shared" si="61"/>
        <v>26085.312388788163</v>
      </c>
      <c r="G172" s="95">
        <f t="shared" si="61"/>
        <v>33467.727611233633</v>
      </c>
      <c r="H172" s="95">
        <f t="shared" si="61"/>
        <v>34985.32776750125</v>
      </c>
      <c r="I172" s="95">
        <f t="shared" si="61"/>
        <v>36670.867656184448</v>
      </c>
      <c r="J172" s="95">
        <f t="shared" si="61"/>
        <v>38387.24651813299</v>
      </c>
      <c r="K172" s="148"/>
      <c r="L172" s="36"/>
      <c r="M172" s="36"/>
    </row>
    <row r="173" spans="3:13">
      <c r="C173" s="149" t="s">
        <v>334</v>
      </c>
      <c r="E173" s="139">
        <f t="shared" ref="E173:J173" si="62">E169*WACC+E170*($D$46-1)+E171-E172</f>
        <v>93621.394805576798</v>
      </c>
      <c r="F173" s="139">
        <f t="shared" si="62"/>
        <v>92580.323991190991</v>
      </c>
      <c r="G173" s="139">
        <f t="shared" si="62"/>
        <v>89978.603920615598</v>
      </c>
      <c r="H173" s="139">
        <f t="shared" si="62"/>
        <v>94041.948951148966</v>
      </c>
      <c r="I173" s="139">
        <f t="shared" si="62"/>
        <v>98118.745600844239</v>
      </c>
      <c r="J173" s="139">
        <f t="shared" si="62"/>
        <v>102309.83323657689</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44512.736268000001</v>
      </c>
      <c r="F176" s="310">
        <f t="shared" si="63"/>
        <v>45729.782099160861</v>
      </c>
      <c r="G176" s="310">
        <f t="shared" si="63"/>
        <v>47563.090230327965</v>
      </c>
      <c r="H176" s="310">
        <f t="shared" si="63"/>
        <v>49703.492712196807</v>
      </c>
      <c r="I176" s="310">
        <f t="shared" si="63"/>
        <v>51940.389891557264</v>
      </c>
      <c r="J176" s="310">
        <f t="shared" si="63"/>
        <v>54222.414625290185</v>
      </c>
      <c r="K176" s="148"/>
      <c r="L176" s="36"/>
      <c r="M176" s="36"/>
    </row>
    <row r="177" spans="3:13">
      <c r="C177" s="149" t="s">
        <v>52</v>
      </c>
      <c r="E177" s="310">
        <f t="shared" ref="E177:J177" si="64">E142-E144</f>
        <v>0</v>
      </c>
      <c r="F177" s="310">
        <f t="shared" si="64"/>
        <v>933.9831142122639</v>
      </c>
      <c r="G177" s="310">
        <f t="shared" si="64"/>
        <v>2065.7890824220449</v>
      </c>
      <c r="H177" s="310">
        <f t="shared" si="64"/>
        <v>3535.9259750583951</v>
      </c>
      <c r="I177" s="310">
        <f t="shared" si="64"/>
        <v>5092.2414776773294</v>
      </c>
      <c r="J177" s="310">
        <f t="shared" si="64"/>
        <v>6744.47843583129</v>
      </c>
      <c r="K177" s="148"/>
      <c r="L177" s="36"/>
      <c r="M177" s="36"/>
    </row>
    <row r="178" spans="3:13">
      <c r="C178" s="149" t="s">
        <v>53</v>
      </c>
      <c r="E178" s="310">
        <f t="shared" ref="E178:J178" si="65">E165+E177-E176</f>
        <v>-31230.19780646154</v>
      </c>
      <c r="F178" s="310">
        <f t="shared" si="65"/>
        <v>-31513.260523410136</v>
      </c>
      <c r="G178" s="310">
        <f t="shared" si="65"/>
        <v>-32214.76268636746</v>
      </c>
      <c r="H178" s="310">
        <f t="shared" si="65"/>
        <v>-32885.028275599951</v>
      </c>
      <c r="I178" s="310">
        <f t="shared" si="65"/>
        <v>-33565.609952341474</v>
      </c>
      <c r="J178" s="310">
        <f t="shared" si="65"/>
        <v>-34195.397727920434</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52422</v>
      </c>
      <c r="F181" s="139">
        <f t="shared" si="66"/>
        <v>54717.378328718158</v>
      </c>
      <c r="G181" s="139">
        <f t="shared" si="66"/>
        <v>57782.962747944992</v>
      </c>
      <c r="H181" s="139">
        <f t="shared" si="66"/>
        <v>61276.543574494703</v>
      </c>
      <c r="I181" s="139">
        <f t="shared" si="66"/>
        <v>64960.699510441904</v>
      </c>
      <c r="J181" s="139">
        <f t="shared" si="66"/>
        <v>68813.432443544487</v>
      </c>
      <c r="K181" s="148"/>
      <c r="L181" s="36"/>
      <c r="M181" s="36"/>
    </row>
    <row r="182" spans="3:13">
      <c r="C182" s="149" t="s">
        <v>275</v>
      </c>
      <c r="E182" s="139">
        <f>E55</f>
        <v>11055</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63477</v>
      </c>
      <c r="F183" s="95">
        <f>F181+F182</f>
        <v>54717.378328718158</v>
      </c>
      <c r="G183" s="95">
        <f t="shared" ref="G183:J183" si="68">G181+G182</f>
        <v>57782.962747944992</v>
      </c>
      <c r="H183" s="95">
        <f t="shared" si="68"/>
        <v>61276.543574494703</v>
      </c>
      <c r="I183" s="95">
        <f t="shared" si="68"/>
        <v>64960.699510441904</v>
      </c>
      <c r="J183" s="95">
        <f t="shared" si="68"/>
        <v>68813.432443544487</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77.67070145448487</v>
      </c>
      <c r="F186" s="139">
        <f t="shared" ref="F186:J186" si="69">F40</f>
        <v>81.140039988003338</v>
      </c>
      <c r="G186" s="139">
        <f t="shared" si="69"/>
        <v>82.414490877867266</v>
      </c>
      <c r="H186" s="139">
        <f t="shared" si="69"/>
        <v>83.972153076589834</v>
      </c>
      <c r="I186" s="139">
        <f t="shared" si="69"/>
        <v>85.742223756956392</v>
      </c>
      <c r="J186" s="139">
        <f t="shared" si="69"/>
        <v>87.653900091752291</v>
      </c>
      <c r="K186" s="148"/>
      <c r="L186" s="36"/>
      <c r="M186" s="36"/>
    </row>
    <row r="187" spans="3:13">
      <c r="E187" s="36"/>
      <c r="F187" s="95"/>
      <c r="G187" s="95"/>
      <c r="H187" s="95"/>
      <c r="I187" s="95"/>
      <c r="J187" s="95"/>
      <c r="K187" s="148"/>
      <c r="L187" s="36"/>
      <c r="M187" s="36"/>
    </row>
    <row r="188" spans="3:13" ht="15.75">
      <c r="C188" s="5" t="s">
        <v>297</v>
      </c>
      <c r="E188" s="139">
        <f t="shared" ref="E188:J188" si="70">E24</f>
        <v>65350.154551183638</v>
      </c>
      <c r="F188" s="139">
        <f t="shared" si="70"/>
        <v>67292.071282502759</v>
      </c>
      <c r="G188" s="139">
        <f t="shared" si="70"/>
        <v>69484.923650591532</v>
      </c>
      <c r="H188" s="139">
        <f t="shared" si="70"/>
        <v>71429.297485812538</v>
      </c>
      <c r="I188" s="139">
        <f t="shared" si="70"/>
        <v>73421.724292230138</v>
      </c>
      <c r="J188" s="139">
        <f t="shared" si="70"/>
        <v>75572.898016814856</v>
      </c>
      <c r="K188" s="148"/>
      <c r="L188" s="309"/>
      <c r="M188" s="36"/>
    </row>
    <row r="189" spans="3:13">
      <c r="C189" s="149" t="s">
        <v>298</v>
      </c>
      <c r="E189" s="139">
        <f t="shared" ref="E189:J189" si="71">E188*$D$44</f>
        <v>68147.694961436602</v>
      </c>
      <c r="F189" s="139">
        <f t="shared" si="71"/>
        <v>70172.742185200943</v>
      </c>
      <c r="G189" s="139">
        <f t="shared" si="71"/>
        <v>72459.467217487356</v>
      </c>
      <c r="H189" s="139">
        <f t="shared" si="71"/>
        <v>74487.076730022774</v>
      </c>
      <c r="I189" s="139">
        <f t="shared" si="71"/>
        <v>76564.796288136306</v>
      </c>
      <c r="J189" s="139">
        <f t="shared" si="71"/>
        <v>78808.058477780229</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-6018.7615384615401</v>
      </c>
      <c r="F192" s="310">
        <f t="shared" si="72"/>
        <v>-5845.6013165420154</v>
      </c>
      <c r="G192" s="310">
        <f t="shared" si="72"/>
        <v>-5396.0963010358846</v>
      </c>
      <c r="H192" s="310">
        <f t="shared" si="72"/>
        <v>-5352.4331275926779</v>
      </c>
      <c r="I192" s="310">
        <f t="shared" si="72"/>
        <v>-5329.966849540011</v>
      </c>
      <c r="J192" s="310">
        <f t="shared" si="72"/>
        <v>-5308.9274375056084</v>
      </c>
      <c r="K192" s="148"/>
      <c r="L192" s="309"/>
      <c r="M192" s="36"/>
    </row>
    <row r="193" spans="2:15">
      <c r="C193" s="149" t="s">
        <v>285</v>
      </c>
      <c r="E193" s="36"/>
      <c r="F193" s="310">
        <f>(F173+F183+F189+((F186-F188-F142+F178)*F52+F192)*$D45-F192-F186*$D47)/($D48-F52*$D45)</f>
        <v>234310.16293114884</v>
      </c>
      <c r="G193" s="310">
        <f>(G173+G183+G189+((G186-G188-G142+G178)*G52+G192)*$D45-G192-G186*$D47)/($D48-G52*$D45)</f>
        <v>233424.2527016087</v>
      </c>
      <c r="H193" s="310">
        <f>(H173+H183+H189+((H186-H188-H142+H178)*H52+H192)*$D45-H192-H186*$D47)/($D48-H52*$D45)</f>
        <v>243928.95682522419</v>
      </c>
      <c r="I193" s="310">
        <f>(I173+I183+I189+((I186-I188-I142+I178)*I52+I192)*$D45-I192-I186*$D47)/($D48-I52*$D45)</f>
        <v>254676.53760301176</v>
      </c>
      <c r="J193" s="310">
        <f>(J173+J183+J189+((J186-J188-J142+J178)*J52+J192)*$D45-J192-J186*$D47)/($D48-J52*$D45)</f>
        <v>265918.94286391983</v>
      </c>
      <c r="K193" s="148"/>
      <c r="L193" s="309"/>
      <c r="M193" s="36"/>
    </row>
    <row r="194" spans="2:15">
      <c r="C194" s="149" t="s">
        <v>293</v>
      </c>
      <c r="E194" s="36"/>
      <c r="F194" s="310">
        <f>(F193+F186-F188-F181+F178)*F52</f>
        <v>24260.577850951737</v>
      </c>
      <c r="G194" s="310">
        <f>(G193+G186-G188-G181+G178)*G52</f>
        <v>20726.725070123117</v>
      </c>
      <c r="H194" s="310">
        <f>(H193+H186-H188-H181+H178)*H52</f>
        <v>21958.176699870204</v>
      </c>
      <c r="I194" s="310">
        <f>(I193+I186-I188-I181+I178)*I52</f>
        <v>23187.988900091459</v>
      </c>
      <c r="J194" s="310">
        <f>(J193+J186-J188-J181+J178)*J52</f>
        <v>24478.963201204919</v>
      </c>
      <c r="K194" s="148"/>
      <c r="L194" s="309"/>
      <c r="M194" s="36"/>
    </row>
    <row r="195" spans="2:15">
      <c r="C195" s="149" t="s">
        <v>277</v>
      </c>
      <c r="E195" s="36"/>
      <c r="F195" s="310">
        <f>IF(F194&lt;0,#N/A,F194)</f>
        <v>24260.577850951737</v>
      </c>
      <c r="G195" s="310">
        <f t="shared" ref="G195:J195" si="73">IF(G194&lt;0,#N/A,G194)</f>
        <v>20726.725070123117</v>
      </c>
      <c r="H195" s="310">
        <f t="shared" si="73"/>
        <v>21958.176699870204</v>
      </c>
      <c r="I195" s="310">
        <f>IF(I194&lt;0,#N/A,I194)</f>
        <v>23187.988900091459</v>
      </c>
      <c r="J195" s="310">
        <f t="shared" si="73"/>
        <v>24478.963201204919</v>
      </c>
      <c r="K195" s="148"/>
      <c r="L195" s="309"/>
      <c r="M195" s="36"/>
    </row>
    <row r="196" spans="2:15">
      <c r="C196" s="149" t="s">
        <v>286</v>
      </c>
      <c r="E196" s="36"/>
      <c r="F196" s="310">
        <f>F173+F183+F189+(F195+F192)*$D$45-F192-F186*$D$47</f>
        <v>242434.72588408628</v>
      </c>
      <c r="G196" s="310">
        <f>G173+G183+G189+(G195+G192)*$D$45-G192-G186*$D$47</f>
        <v>241518.09725402726</v>
      </c>
      <c r="H196" s="310">
        <f>H173+H183+H189+(H195+H192)*$D$45-H192-H186*$D$47</f>
        <v>252387.04562930748</v>
      </c>
      <c r="I196" s="310">
        <f>I173+I183+I189+(I195+I192)*$D$45-I192-I186*$D$47</f>
        <v>263507.29225960688</v>
      </c>
      <c r="J196" s="310">
        <f>J173+J183+J189+(J195+J192)*$D$45-J192-J186*$D$47</f>
        <v>275139.52111221093</v>
      </c>
      <c r="K196" s="148"/>
      <c r="L196" s="309"/>
      <c r="M196" s="36"/>
    </row>
    <row r="197" spans="2:15">
      <c r="C197" s="149" t="s">
        <v>287</v>
      </c>
      <c r="E197" s="36"/>
      <c r="F197" s="310">
        <f>F196/$D$48</f>
        <v>234310.16293114887</v>
      </c>
      <c r="G197" s="310">
        <f t="shared" ref="G197:J197" si="74">G196/$D$48</f>
        <v>233424.25270160867</v>
      </c>
      <c r="H197" s="310">
        <f t="shared" si="74"/>
        <v>243928.95682522416</v>
      </c>
      <c r="I197" s="310">
        <f t="shared" si="74"/>
        <v>254676.53760301176</v>
      </c>
      <c r="J197" s="310">
        <f t="shared" si="74"/>
        <v>265918.94286391989</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18414.976534409721</v>
      </c>
      <c r="G199" s="310">
        <f t="shared" ref="G199:J199" si="75">G195+G192</f>
        <v>15330.628769087232</v>
      </c>
      <c r="H199" s="310">
        <f t="shared" si="75"/>
        <v>16605.743572277526</v>
      </c>
      <c r="I199" s="310">
        <f t="shared" si="75"/>
        <v>17858.022050551448</v>
      </c>
      <c r="J199" s="310">
        <f t="shared" si="75"/>
        <v>19170.03576369931</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252387.04562930748</v>
      </c>
      <c r="I204" s="310">
        <f>I196</f>
        <v>263507.29225960688</v>
      </c>
      <c r="J204" s="310">
        <f>J196</f>
        <v>275139.52111221093</v>
      </c>
      <c r="K204" s="148"/>
      <c r="L204" s="36"/>
      <c r="M204" s="36"/>
    </row>
    <row r="205" spans="2:15">
      <c r="B205" s="149" t="s">
        <v>247</v>
      </c>
      <c r="C205" s="149" t="s">
        <v>249</v>
      </c>
      <c r="D205" s="155"/>
      <c r="E205" s="36"/>
      <c r="F205" s="310"/>
      <c r="G205" s="310"/>
      <c r="H205" s="310">
        <f>H204/(1+WACC)^H$203</f>
        <v>232037.36841896432</v>
      </c>
      <c r="I205" s="310">
        <f>I204/(1+WACC)^I$203</f>
        <v>222727.77636593618</v>
      </c>
      <c r="J205" s="310">
        <f>J204/(1+WACC)^J$203</f>
        <v>213808.80757905103</v>
      </c>
      <c r="K205" s="148"/>
      <c r="L205" s="36"/>
      <c r="M205" s="36"/>
    </row>
    <row r="206" spans="2:15">
      <c r="B206" s="149" t="s">
        <v>247</v>
      </c>
      <c r="C206" s="149" t="s">
        <v>159</v>
      </c>
      <c r="D206" s="92">
        <f>SUM(H205:J205)</f>
        <v>668573.95236395148</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668573.95236395148</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1.0303319184131985</v>
      </c>
      <c r="J211" s="316">
        <f>I211*(1+J$31)*(1+J$26)*(1-X_industry_wide)</f>
        <v>1.0617459093384913</v>
      </c>
      <c r="K211" s="148"/>
      <c r="L211" s="36" t="s">
        <v>509</v>
      </c>
      <c r="M211" s="36"/>
    </row>
    <row r="212" spans="1:13">
      <c r="C212" s="149" t="s">
        <v>160</v>
      </c>
      <c r="D212" s="155"/>
      <c r="E212" s="36"/>
      <c r="F212" s="317"/>
      <c r="G212" s="316"/>
      <c r="H212" s="316">
        <f>H211/(1+WACC)^H$203</f>
        <v>0.91937115013330895</v>
      </c>
      <c r="I212" s="316">
        <f>I211/(1+WACC)^I$203</f>
        <v>0.87088116286715178</v>
      </c>
      <c r="J212" s="316">
        <f>J211/(1+WACC)^J$203</f>
        <v>0.82507458728553817</v>
      </c>
      <c r="K212" s="148"/>
      <c r="L212" s="36" t="s">
        <v>280</v>
      </c>
      <c r="M212" s="36"/>
    </row>
    <row r="213" spans="1:13">
      <c r="C213" s="149" t="s">
        <v>99</v>
      </c>
      <c r="D213" s="140">
        <f>SUM(H212:J212)</f>
        <v>2.6153269002859991</v>
      </c>
      <c r="E213" s="36"/>
      <c r="F213" s="317"/>
      <c r="G213" s="316"/>
      <c r="H213" s="316"/>
      <c r="I213" s="316"/>
      <c r="J213" s="316"/>
      <c r="K213" s="148"/>
      <c r="L213" s="36" t="s">
        <v>510</v>
      </c>
      <c r="M213" s="36"/>
    </row>
    <row r="214" spans="1:13">
      <c r="C214" s="149" t="s">
        <v>256</v>
      </c>
      <c r="D214" s="26">
        <f>D210/D213</f>
        <v>255636.85835634527</v>
      </c>
      <c r="E214" s="36"/>
      <c r="F214" s="317"/>
      <c r="G214" s="316"/>
      <c r="H214" s="310"/>
      <c r="I214" s="310"/>
      <c r="J214" s="310"/>
      <c r="K214" s="148"/>
      <c r="L214" s="36"/>
      <c r="M214" s="36"/>
    </row>
    <row r="215" spans="1:13">
      <c r="C215" s="149" t="s">
        <v>252</v>
      </c>
      <c r="D215" s="26"/>
      <c r="E215" s="36"/>
      <c r="F215" s="317"/>
      <c r="G215" s="316"/>
      <c r="H215" s="310">
        <f t="shared" ref="H215:J215" si="76">$D214*H211</f>
        <v>255636.85835634527</v>
      </c>
      <c r="I215" s="310">
        <f t="shared" si="76"/>
        <v>263390.81468741631</v>
      </c>
      <c r="J215" s="310">
        <f t="shared" si="76"/>
        <v>271421.38863599289</v>
      </c>
      <c r="K215" s="148"/>
      <c r="L215" s="36" t="s">
        <v>243</v>
      </c>
      <c r="M215" s="36"/>
    </row>
    <row r="216" spans="1:13">
      <c r="C216" s="149" t="s">
        <v>253</v>
      </c>
      <c r="D216" s="26"/>
      <c r="E216" s="36"/>
      <c r="F216" s="317"/>
      <c r="G216" s="316"/>
      <c r="H216" s="247">
        <f t="shared" ref="H216:J216" si="77">H215/$D$48</f>
        <v>247069.86061609455</v>
      </c>
      <c r="I216" s="247">
        <f t="shared" si="77"/>
        <v>254563.96347066225</v>
      </c>
      <c r="J216" s="247">
        <f t="shared" si="77"/>
        <v>262325.41382996959</v>
      </c>
      <c r="K216" s="148"/>
      <c r="L216" s="36" t="s">
        <v>245</v>
      </c>
      <c r="M216" s="36"/>
    </row>
    <row r="217" spans="1:13">
      <c r="C217" s="149" t="s">
        <v>252</v>
      </c>
      <c r="D217" s="26"/>
      <c r="E217" s="36"/>
      <c r="F217" s="317"/>
      <c r="G217" s="316"/>
      <c r="H217" s="247">
        <f>H216*$D$48</f>
        <v>255636.85835634527</v>
      </c>
      <c r="I217" s="247">
        <f t="shared" ref="I217:J217" si="78">I216*$D$48</f>
        <v>263390.81468741631</v>
      </c>
      <c r="J217" s="247">
        <f t="shared" si="78"/>
        <v>271421.38863599289</v>
      </c>
      <c r="K217" s="148"/>
      <c r="L217" s="36" t="s">
        <v>299</v>
      </c>
      <c r="M217" s="36"/>
    </row>
    <row r="218" spans="1:13">
      <c r="C218" s="149" t="s">
        <v>254</v>
      </c>
      <c r="D218" s="155"/>
      <c r="E218" s="36"/>
      <c r="F218" s="317"/>
      <c r="G218" s="316"/>
      <c r="H218" s="310">
        <f>H215/(1+WACC)^H$203</f>
        <v>235025.15248353893</v>
      </c>
      <c r="I218" s="310">
        <f>I215/(1+WACC)^I$203</f>
        <v>222629.32447707935</v>
      </c>
      <c r="J218" s="310">
        <f>J215/(1+WACC)^J$203</f>
        <v>210919.47540333314</v>
      </c>
      <c r="K218" s="148"/>
      <c r="L218" s="36" t="s">
        <v>246</v>
      </c>
      <c r="M218" s="36"/>
    </row>
    <row r="219" spans="1:13">
      <c r="C219" s="149" t="s">
        <v>255</v>
      </c>
      <c r="D219" s="26">
        <f>SUM(H218:J218)</f>
        <v>668573.95236395136</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433548.79988041252</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4.9951122484641324E-3</v>
      </c>
      <c r="G226" s="204">
        <f t="shared" ref="G226:J226" si="80">G$26</f>
        <v>1.7047606429248692E-3</v>
      </c>
      <c r="H226" s="204">
        <f t="shared" si="80"/>
        <v>6.7118735139941078E-3</v>
      </c>
      <c r="I226" s="204">
        <f t="shared" si="80"/>
        <v>5.7396903470496334E-3</v>
      </c>
      <c r="J226" s="204">
        <f t="shared" si="80"/>
        <v>6.0759783130413325E-3</v>
      </c>
      <c r="K226" s="148"/>
      <c r="L226" s="36"/>
      <c r="M226" s="36"/>
    </row>
    <row r="227" spans="1:14">
      <c r="A227" s="19"/>
      <c r="B227" s="19" t="s">
        <v>263</v>
      </c>
      <c r="C227" s="149" t="s">
        <v>411</v>
      </c>
      <c r="E227" s="163">
        <f>E$8-E$9-E$10</f>
        <v>218918.04559453647</v>
      </c>
      <c r="F227" s="247">
        <f>E227*(1+F225)*(1+F226)*(1-X_industry_wide)</f>
        <v>225434.93694647009</v>
      </c>
      <c r="G227" s="247">
        <f>F227*(1+G225)*(1+G226)*(1-X_industry_wide)</f>
        <v>229841.47537355384</v>
      </c>
      <c r="H227" s="320">
        <f>G227*(1+H225)*(1+H226)*(1-X_industry_wide)</f>
        <v>242006.7779075935</v>
      </c>
      <c r="I227" s="247">
        <f>H227*(1+I225)*(1+I226)*(1-X_industry_wide)</f>
        <v>249347.30775052769</v>
      </c>
      <c r="J227" s="247">
        <f>I227*(1+J225)*(1+J226)*(1-X_industry_wide)</f>
        <v>256949.70647557618</v>
      </c>
      <c r="K227" s="148"/>
      <c r="L227" s="300"/>
      <c r="M227" s="36"/>
    </row>
    <row r="228" spans="1:14">
      <c r="A228" s="19"/>
      <c r="B228" s="19"/>
      <c r="C228" s="149" t="s">
        <v>358</v>
      </c>
      <c r="E228" s="215"/>
      <c r="F228" s="247"/>
      <c r="G228" s="320">
        <f>G227*$D$48</f>
        <v>237811.08929259315</v>
      </c>
      <c r="H228" s="320">
        <f>H227*$D$48</f>
        <v>250398.21632217712</v>
      </c>
      <c r="I228" s="320">
        <f>I227*$D$48</f>
        <v>257993.27459047182</v>
      </c>
      <c r="J228" s="320">
        <f>J227*$D$48</f>
        <v>265859.2818857262</v>
      </c>
      <c r="K228" s="148"/>
      <c r="L228" s="300"/>
      <c r="M228" s="36"/>
    </row>
    <row r="229" spans="1:14">
      <c r="A229" s="19"/>
      <c r="B229" s="19" t="s">
        <v>263</v>
      </c>
      <c r="C229" s="149" t="s">
        <v>335</v>
      </c>
      <c r="D229" s="92">
        <f>H227</f>
        <v>242006.7779075935</v>
      </c>
      <c r="E229" s="36"/>
      <c r="F229" s="247"/>
      <c r="G229" s="310"/>
      <c r="H229" s="310"/>
      <c r="I229" s="310"/>
      <c r="J229" s="310"/>
      <c r="K229" s="148"/>
      <c r="L229" s="300"/>
      <c r="M229" s="36"/>
    </row>
    <row r="230" spans="1:14">
      <c r="B230" s="19" t="s">
        <v>263</v>
      </c>
      <c r="C230" s="149" t="s">
        <v>336</v>
      </c>
      <c r="D230" s="92">
        <f>D214/D48</f>
        <v>247069.86061609455</v>
      </c>
      <c r="E230" s="36"/>
      <c r="F230" s="321"/>
      <c r="G230" s="310"/>
      <c r="H230" s="310"/>
      <c r="I230" s="310"/>
      <c r="J230" s="310"/>
      <c r="K230" s="148"/>
      <c r="L230" s="36"/>
      <c r="M230" s="36"/>
    </row>
    <row r="231" spans="1:14">
      <c r="B231" s="19" t="s">
        <v>263</v>
      </c>
      <c r="C231" s="149" t="s">
        <v>329</v>
      </c>
      <c r="D231" s="32">
        <f>(D230-D229)/D229</f>
        <v>2.0921243414241533E-2</v>
      </c>
      <c r="E231" s="36"/>
      <c r="F231" s="247"/>
      <c r="G231" s="310"/>
      <c r="H231" s="310"/>
      <c r="I231" s="310"/>
      <c r="J231" s="310"/>
      <c r="K231" s="310"/>
      <c r="L231" s="310"/>
      <c r="M231" s="310"/>
      <c r="N231" s="19"/>
    </row>
    <row r="232" spans="1:14">
      <c r="C232" s="149" t="s">
        <v>452</v>
      </c>
      <c r="D232" s="125">
        <f>NPV(WACC,H228:J228)</f>
        <v>654873.19093102252</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5063.0827085010533</v>
      </c>
      <c r="F235" s="36"/>
      <c r="G235" s="36"/>
      <c r="H235" s="36"/>
      <c r="I235" s="310"/>
      <c r="J235" s="310"/>
      <c r="K235" s="148"/>
      <c r="L235" s="36"/>
      <c r="M235" s="36"/>
    </row>
    <row r="236" spans="1:14">
      <c r="C236" s="149" t="s">
        <v>341</v>
      </c>
      <c r="D236" s="94"/>
      <c r="E236" s="310">
        <f>H217-H228</f>
        <v>5238.6420341681514</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433548.79988041252</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1.030489195145651</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0.80078523487482123</v>
      </c>
      <c r="K245" s="148"/>
      <c r="L245" s="36" t="s">
        <v>280</v>
      </c>
      <c r="M245" s="36"/>
    </row>
    <row r="246" spans="1:13">
      <c r="A246" s="155"/>
      <c r="B246" s="155" t="s">
        <v>264</v>
      </c>
      <c r="C246" s="149" t="s">
        <v>99</v>
      </c>
      <c r="D246" s="140">
        <f>SUM(I245:J245)</f>
        <v>1.6460285465722646</v>
      </c>
      <c r="E246" s="36"/>
      <c r="F246" s="317"/>
      <c r="G246" s="316"/>
      <c r="H246" s="316"/>
      <c r="I246" s="316"/>
      <c r="J246" s="316"/>
      <c r="K246" s="148"/>
      <c r="L246" s="36" t="s">
        <v>510</v>
      </c>
      <c r="M246" s="36"/>
    </row>
    <row r="247" spans="1:13">
      <c r="A247" s="155"/>
      <c r="B247" s="155" t="s">
        <v>264</v>
      </c>
      <c r="C247" s="149" t="s">
        <v>256</v>
      </c>
      <c r="D247" s="26">
        <f>D242/D246</f>
        <v>263390.81468741631</v>
      </c>
      <c r="E247" s="36"/>
      <c r="F247" s="317"/>
      <c r="G247" s="316"/>
      <c r="H247" s="310"/>
      <c r="I247" s="310"/>
      <c r="J247" s="310"/>
      <c r="K247" s="148"/>
      <c r="L247" s="36"/>
      <c r="M247" s="36"/>
    </row>
    <row r="248" spans="1:13">
      <c r="A248" s="155"/>
      <c r="B248" s="155" t="s">
        <v>264</v>
      </c>
      <c r="C248" s="149" t="s">
        <v>252</v>
      </c>
      <c r="D248" s="26"/>
      <c r="E248" s="36"/>
      <c r="F248" s="317"/>
      <c r="G248" s="316"/>
      <c r="H248" s="163">
        <f>H215</f>
        <v>255636.85835634527</v>
      </c>
      <c r="I248" s="310">
        <f t="shared" ref="I248:J248" si="81">$D247*I244</f>
        <v>263390.81468741631</v>
      </c>
      <c r="J248" s="310">
        <f t="shared" si="81"/>
        <v>271421.38863599295</v>
      </c>
      <c r="K248" s="148"/>
      <c r="L248" s="36" t="s">
        <v>243</v>
      </c>
      <c r="M248" s="36"/>
    </row>
    <row r="249" spans="1:13">
      <c r="A249" s="155"/>
      <c r="B249" s="155" t="s">
        <v>264</v>
      </c>
      <c r="C249" s="149" t="s">
        <v>253</v>
      </c>
      <c r="D249" s="26"/>
      <c r="E249" s="36"/>
      <c r="F249" s="317"/>
      <c r="G249" s="316"/>
      <c r="H249" s="247">
        <f>H248/$D$48</f>
        <v>247069.86061609455</v>
      </c>
      <c r="I249" s="247">
        <f>I248/$D$48</f>
        <v>254563.96347066225</v>
      </c>
      <c r="J249" s="247">
        <f>J248/$D$48</f>
        <v>262325.41382996965</v>
      </c>
      <c r="K249" s="148"/>
      <c r="L249" s="36" t="s">
        <v>245</v>
      </c>
      <c r="M249" s="36"/>
    </row>
    <row r="250" spans="1:13">
      <c r="A250" s="155"/>
      <c r="B250" s="155" t="s">
        <v>264</v>
      </c>
      <c r="C250" s="149" t="s">
        <v>370</v>
      </c>
      <c r="D250" s="155"/>
      <c r="E250" s="36"/>
      <c r="F250" s="317"/>
      <c r="G250" s="316"/>
      <c r="H250" s="310"/>
      <c r="I250" s="310">
        <f>I248/(1+WACC)^I$203</f>
        <v>222629.32447707935</v>
      </c>
      <c r="J250" s="310">
        <f>J248/(1+WACC)^J$203</f>
        <v>210919.47540333317</v>
      </c>
      <c r="K250" s="148"/>
      <c r="L250" s="36" t="s">
        <v>299</v>
      </c>
      <c r="M250" s="36"/>
    </row>
    <row r="251" spans="1:13">
      <c r="A251" s="155"/>
      <c r="B251" s="155" t="s">
        <v>264</v>
      </c>
      <c r="C251" s="149" t="s">
        <v>255</v>
      </c>
      <c r="D251" s="26">
        <f>SUM(I250:J250)</f>
        <v>433548.79988041252</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22837.629761313907</v>
      </c>
      <c r="I253" s="324">
        <f>(I249+I186-I$188-I$181+I$178)*I$52</f>
        <v>23156.468143033595</v>
      </c>
      <c r="J253" s="324">
        <f>(J249+J186-J$188-J$181+J$178)*J$52</f>
        <v>23472.775071698867</v>
      </c>
      <c r="K253" s="247"/>
      <c r="L253" s="36"/>
      <c r="M253" s="36"/>
    </row>
    <row r="254" spans="1:13">
      <c r="A254" s="155"/>
      <c r="B254" s="214" t="s">
        <v>264</v>
      </c>
      <c r="C254" s="143" t="s">
        <v>325</v>
      </c>
      <c r="D254" s="214"/>
      <c r="E254" s="36"/>
      <c r="F254" s="322"/>
      <c r="G254" s="323"/>
      <c r="H254" s="324">
        <f>H253+H192</f>
        <v>17485.196633721229</v>
      </c>
      <c r="I254" s="324">
        <f>I253+I192</f>
        <v>17826.501293493584</v>
      </c>
      <c r="J254" s="324">
        <f>J253+J192</f>
        <v>18163.847634193258</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230151.31613640138</v>
      </c>
      <c r="G257" s="138">
        <f>H257/((1+H32)*(1+H26)*(1+X_industry_wide))</f>
        <v>234650.04482653239</v>
      </c>
      <c r="H257" s="310">
        <f>H249</f>
        <v>247069.86061609455</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1.0124900879366627</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250398.21632217712</v>
      </c>
      <c r="I266" s="334">
        <f>H266*(1+I$225)*(1+I$226)*(1+$E265)</f>
        <v>296692.26577904262</v>
      </c>
      <c r="J266" s="247">
        <f>I266*(1+J$225)*(1+J$226)*(1-$J243)</f>
        <v>305738.17416858516</v>
      </c>
      <c r="K266" s="36"/>
      <c r="L266" s="36"/>
      <c r="M266" s="36"/>
    </row>
    <row r="267" spans="3:14">
      <c r="C267" s="149" t="s">
        <v>409</v>
      </c>
      <c r="D267" s="94"/>
      <c r="E267" s="36"/>
      <c r="F267" s="36"/>
      <c r="G267" s="36"/>
      <c r="H267" s="247">
        <f>H266/$D$48</f>
        <v>242006.7779075935</v>
      </c>
      <c r="I267" s="247">
        <f t="shared" ref="I267:J267" si="82">I266/$D$48</f>
        <v>286749.40391310683</v>
      </c>
      <c r="J267" s="247">
        <f t="shared" si="82"/>
        <v>295492.16244691261</v>
      </c>
      <c r="K267" s="36"/>
      <c r="L267" s="36"/>
      <c r="M267" s="36"/>
    </row>
    <row r="268" spans="3:14">
      <c r="C268" s="149" t="s">
        <v>347</v>
      </c>
      <c r="D268" s="94"/>
      <c r="E268" s="36"/>
      <c r="F268" s="36"/>
      <c r="G268" s="36"/>
      <c r="H268" s="247">
        <f>H266/(1+WACC)^H$203</f>
        <v>230208.89613144906</v>
      </c>
      <c r="I268" s="247">
        <f>I266/(1+WACC)^I$203</f>
        <v>250777.153282096</v>
      </c>
      <c r="J268" s="247">
        <f>J266/(1+WACC)^J$203</f>
        <v>237586.78573741351</v>
      </c>
      <c r="K268" s="36"/>
      <c r="L268" s="36"/>
      <c r="M268" s="36"/>
    </row>
    <row r="269" spans="3:14">
      <c r="C269" s="149" t="s">
        <v>348</v>
      </c>
      <c r="D269" s="94"/>
      <c r="E269" s="310">
        <f>SUM(H268:J268)</f>
        <v>718572.8351509585</v>
      </c>
      <c r="F269" s="36"/>
      <c r="G269" s="36"/>
      <c r="H269" s="36"/>
      <c r="I269" s="36"/>
      <c r="J269" s="36"/>
      <c r="K269" s="36"/>
      <c r="L269" s="36"/>
      <c r="M269" s="36"/>
    </row>
    <row r="270" spans="3:14">
      <c r="C270" s="149" t="str">
        <f>C206</f>
        <v>PV of BBAR before tax over the PV period</v>
      </c>
      <c r="E270" s="310">
        <f>D206</f>
        <v>668573.95236395148</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230151.31613640138</v>
      </c>
      <c r="G274" s="247">
        <f t="shared" ref="G274:H274" si="83">G257</f>
        <v>234650.04482653239</v>
      </c>
      <c r="H274" s="333">
        <f t="shared" si="83"/>
        <v>247069.86061609455</v>
      </c>
      <c r="I274" s="310">
        <f>I249</f>
        <v>254563.96347066225</v>
      </c>
      <c r="J274" s="310">
        <f>J249</f>
        <v>262325.41382996965</v>
      </c>
      <c r="K274" s="36"/>
      <c r="L274" s="36"/>
      <c r="M274" s="36"/>
    </row>
    <row r="275" spans="3:13">
      <c r="C275" s="149" t="s">
        <v>407</v>
      </c>
      <c r="D275" s="94"/>
      <c r="E275" s="36"/>
      <c r="F275" s="247">
        <f>F274</f>
        <v>230151.31613640138</v>
      </c>
      <c r="G275" s="247">
        <f t="shared" ref="G275:H275" si="84">G274</f>
        <v>234650.04482653239</v>
      </c>
      <c r="H275" s="333">
        <f t="shared" si="84"/>
        <v>247069.86061609455</v>
      </c>
      <c r="I275" s="247">
        <f>I267</f>
        <v>286749.40391310683</v>
      </c>
      <c r="J275" s="247">
        <f>J267</f>
        <v>295492.16244691261</v>
      </c>
      <c r="K275" s="36"/>
      <c r="L275" s="36"/>
      <c r="M275" s="36"/>
    </row>
    <row r="276" spans="3:13">
      <c r="C276" s="149" t="s">
        <v>408</v>
      </c>
      <c r="D276" s="94"/>
      <c r="E276" s="36"/>
      <c r="F276" s="247">
        <f>IF($E$22=-15%,F275,F274)</f>
        <v>230151.31613640138</v>
      </c>
      <c r="G276" s="247">
        <f t="shared" ref="G276:J276" si="85">IF($E$22=-15%,G275,G274)</f>
        <v>234650.04482653239</v>
      </c>
      <c r="H276" s="247">
        <f t="shared" si="85"/>
        <v>247069.86061609455</v>
      </c>
      <c r="I276" s="247">
        <f t="shared" si="85"/>
        <v>254563.96347066225</v>
      </c>
      <c r="J276" s="247">
        <f t="shared" si="85"/>
        <v>262325.41382996965</v>
      </c>
      <c r="K276" s="36"/>
      <c r="L276" s="36"/>
      <c r="M276" s="36"/>
    </row>
    <row r="277" spans="3:13">
      <c r="C277" s="149" t="s">
        <v>449</v>
      </c>
      <c r="D277" s="94"/>
      <c r="E277" s="328">
        <f>(I276/H267)/((1+I225)*(1+I226))-1</f>
        <v>2.0921243414241397E-2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249347.30775052769</v>
      </c>
      <c r="E281" s="36"/>
      <c r="F281" s="313"/>
      <c r="G281" s="36"/>
      <c r="H281" s="36"/>
      <c r="I281" s="36"/>
      <c r="J281" s="36"/>
      <c r="K281" s="36"/>
      <c r="L281" s="36"/>
      <c r="M281" s="36"/>
    </row>
    <row r="282" spans="3:13">
      <c r="C282" s="149" t="s">
        <v>443</v>
      </c>
      <c r="D282" s="19">
        <f>I276</f>
        <v>254563.96347066225</v>
      </c>
      <c r="E282" s="36"/>
      <c r="F282" s="313"/>
      <c r="G282" s="36"/>
      <c r="H282" s="36"/>
      <c r="I282" s="36"/>
      <c r="J282" s="36"/>
      <c r="K282" s="36"/>
      <c r="L282" s="36"/>
      <c r="M282" s="36"/>
    </row>
    <row r="283" spans="3:13">
      <c r="C283" s="149" t="s">
        <v>445</v>
      </c>
      <c r="D283" s="152">
        <f>(D282-D281)/D281</f>
        <v>2.0921243414241422E-2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654873.19093102252</v>
      </c>
      <c r="G286" s="36"/>
      <c r="H286" s="36"/>
      <c r="I286" s="36"/>
      <c r="J286" s="36"/>
      <c r="K286" s="36"/>
      <c r="L286" s="36"/>
      <c r="M286" s="36"/>
    </row>
    <row r="287" spans="3:13">
      <c r="C287" s="149" t="str">
        <f>C206</f>
        <v>PV of BBAR before tax over the PV period</v>
      </c>
      <c r="E287" s="36"/>
      <c r="F287" s="310">
        <f>D206</f>
        <v>668573.95236395148</v>
      </c>
      <c r="G287" s="36"/>
      <c r="H287" s="36"/>
      <c r="I287" s="36"/>
      <c r="J287" s="36"/>
      <c r="K287" s="36"/>
      <c r="L287" s="36"/>
      <c r="M287" s="36"/>
    </row>
    <row r="288" spans="3:13">
      <c r="C288" s="149" t="s">
        <v>405</v>
      </c>
      <c r="D288" s="94"/>
      <c r="E288" s="36"/>
      <c r="F288" s="247">
        <f>F286-F287</f>
        <v>-13700.761432928964</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-1424495.3775133786</v>
      </c>
      <c r="F293" s="247"/>
      <c r="G293" s="310"/>
      <c r="H293" s="310"/>
      <c r="I293" s="310"/>
      <c r="J293" s="310"/>
      <c r="K293" s="310"/>
      <c r="L293" s="36"/>
      <c r="M293" s="36"/>
      <c r="N293" s="19">
        <f>J$143+J$166</f>
        <v>1621304.3554468795</v>
      </c>
    </row>
    <row r="294" spans="3:14">
      <c r="C294" s="149" t="s">
        <v>57</v>
      </c>
      <c r="D294" s="19"/>
      <c r="E294" s="90"/>
      <c r="F294" s="247"/>
      <c r="G294" s="138">
        <f>H$249</f>
        <v>247069.86061609455</v>
      </c>
      <c r="H294" s="36">
        <v>0</v>
      </c>
      <c r="I294" s="36">
        <v>0</v>
      </c>
      <c r="J294" s="164">
        <f>I$249</f>
        <v>254563.96347066225</v>
      </c>
      <c r="K294" s="310">
        <v>0</v>
      </c>
      <c r="L294" s="138">
        <v>0</v>
      </c>
      <c r="M294" s="310">
        <f>J$249</f>
        <v>262325.41382996965</v>
      </c>
    </row>
    <row r="295" spans="3:14">
      <c r="C295" s="149" t="s">
        <v>234</v>
      </c>
      <c r="D295" s="19"/>
      <c r="E295" s="299"/>
      <c r="F295" s="320">
        <f>H186</f>
        <v>83.972153076589834</v>
      </c>
      <c r="G295" s="215"/>
      <c r="H295" s="300"/>
      <c r="I295" s="216">
        <f>I186</f>
        <v>85.742223756956392</v>
      </c>
      <c r="J295" s="215"/>
      <c r="K295" s="215"/>
      <c r="L295" s="215">
        <f>J186</f>
        <v>87.653900091752291</v>
      </c>
      <c r="M295" s="215"/>
    </row>
    <row r="296" spans="3:14">
      <c r="C296" s="149" t="s">
        <v>54</v>
      </c>
      <c r="D296" s="19"/>
      <c r="E296" s="299"/>
      <c r="F296" s="320">
        <f>-H$24</f>
        <v>-71429.297485812538</v>
      </c>
      <c r="G296" s="300"/>
      <c r="H296" s="215"/>
      <c r="I296" s="215">
        <f>-I$24</f>
        <v>-73421.724292230138</v>
      </c>
      <c r="J296" s="300"/>
      <c r="K296" s="215"/>
      <c r="L296" s="215">
        <f>-J$24</f>
        <v>-75572.898016814856</v>
      </c>
      <c r="M296" s="300"/>
    </row>
    <row r="297" spans="3:14">
      <c r="C297" s="149" t="s">
        <v>125</v>
      </c>
      <c r="D297" s="19"/>
      <c r="E297" s="299"/>
      <c r="F297" s="320">
        <f>-H$25</f>
        <v>-95752.81949977162</v>
      </c>
      <c r="G297" s="300"/>
      <c r="H297" s="215"/>
      <c r="I297" s="215">
        <f>-I$25</f>
        <v>-99022.318872687902</v>
      </c>
      <c r="J297" s="300"/>
      <c r="K297" s="215"/>
      <c r="L297" s="215">
        <f>-J$25</f>
        <v>-103032.40056234208</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-17485.196633721229</v>
      </c>
      <c r="G299" s="300">
        <v>0</v>
      </c>
      <c r="H299" s="300">
        <v>0</v>
      </c>
      <c r="I299" s="336">
        <f>-I$254</f>
        <v>-17826.501293493584</v>
      </c>
      <c r="J299" s="215">
        <v>0</v>
      </c>
      <c r="K299" s="163">
        <v>0</v>
      </c>
      <c r="L299" s="215">
        <f>-J$254</f>
        <v>-18163.847634193258</v>
      </c>
      <c r="M299" s="300"/>
    </row>
    <row r="300" spans="3:14" ht="15.75" thickBot="1">
      <c r="C300" s="149" t="s">
        <v>217</v>
      </c>
      <c r="D300" s="19"/>
      <c r="E300" s="332">
        <f>SUM(E293:E299)</f>
        <v>-1424495.3775133786</v>
      </c>
      <c r="F300" s="332">
        <f t="shared" ref="F300:K300" si="87">SUM(F293:F299)</f>
        <v>-184583.3414662288</v>
      </c>
      <c r="G300" s="332">
        <f t="shared" si="87"/>
        <v>247069.86061609455</v>
      </c>
      <c r="H300" s="332">
        <f t="shared" si="87"/>
        <v>0</v>
      </c>
      <c r="I300" s="332">
        <f t="shared" si="87"/>
        <v>-190184.80223465466</v>
      </c>
      <c r="J300" s="332">
        <f t="shared" si="87"/>
        <v>254563.96347066225</v>
      </c>
      <c r="K300" s="332">
        <f t="shared" si="87"/>
        <v>0</v>
      </c>
      <c r="L300" s="332">
        <f>SUM(L293:L299)</f>
        <v>-196681.49231325844</v>
      </c>
      <c r="M300" s="332">
        <f>SUM(M293:M299)</f>
        <v>262325.41382996965</v>
      </c>
      <c r="N300" s="129">
        <f>SUM(N293:N299)</f>
        <v>1621304.3554468795</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2.3283064365386963E-10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5"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7.xml><?xml version="1.0" encoding="utf-8"?>
<worksheet xmlns="http://schemas.openxmlformats.org/spreadsheetml/2006/main" xmlns:r="http://schemas.openxmlformats.org/officeDocument/2006/relationships">
  <sheetPr codeName="Sheet16">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The Lines Company</v>
      </c>
      <c r="D1" s="2"/>
      <c r="E1" s="2"/>
      <c r="F1" s="6" t="s">
        <v>169</v>
      </c>
      <c r="G1" s="7">
        <v>12</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29064.045499999997</v>
      </c>
    </row>
    <row r="9" spans="1:16">
      <c r="A9" s="9">
        <f>A8+1</f>
        <v>2</v>
      </c>
      <c r="B9" s="9"/>
      <c r="C9" s="149" t="str">
        <f>Inputs!B21</f>
        <v>Pass-through costs</v>
      </c>
      <c r="E9" s="1">
        <f t="shared" si="0"/>
        <v>5359.9546</v>
      </c>
    </row>
    <row r="10" spans="1:16">
      <c r="A10" s="9">
        <f t="shared" ref="A10:A22" si="1">A9+1</f>
        <v>3</v>
      </c>
      <c r="B10" s="9"/>
      <c r="C10" s="149" t="str">
        <f>Inputs!B22</f>
        <v>Recoverable costs</v>
      </c>
      <c r="E10" s="1">
        <f t="shared" si="0"/>
        <v>0</v>
      </c>
    </row>
    <row r="11" spans="1:16">
      <c r="A11" s="9">
        <f t="shared" si="1"/>
        <v>4</v>
      </c>
      <c r="B11" s="9"/>
      <c r="C11" s="155" t="str">
        <f>Inputs!B23</f>
        <v>Opening RAB</v>
      </c>
      <c r="E11" s="1">
        <f t="shared" si="0"/>
        <v>168425.5917478186</v>
      </c>
      <c r="L11" s="13"/>
    </row>
    <row r="12" spans="1:16">
      <c r="A12" s="9">
        <f t="shared" si="1"/>
        <v>5</v>
      </c>
      <c r="B12" s="9"/>
      <c r="C12" s="155" t="str">
        <f>Inputs!B24</f>
        <v>Total Depreciation</v>
      </c>
      <c r="E12" s="1">
        <f t="shared" si="0"/>
        <v>5635.3221811466228</v>
      </c>
      <c r="F12" s="161"/>
      <c r="G12" s="337" t="s">
        <v>511</v>
      </c>
    </row>
    <row r="13" spans="1:16">
      <c r="A13" s="9">
        <f t="shared" si="1"/>
        <v>6</v>
      </c>
      <c r="B13" s="9"/>
      <c r="C13" s="155" t="str">
        <f>Inputs!B25</f>
        <v>RAB of disposed assets</v>
      </c>
      <c r="E13" s="1">
        <f t="shared" si="0"/>
        <v>168.12794537129605</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4851.8784151308691</v>
      </c>
      <c r="G15" s="23" t="s">
        <v>514</v>
      </c>
    </row>
    <row r="16" spans="1:16">
      <c r="A16" s="9">
        <f t="shared" si="1"/>
        <v>9</v>
      </c>
      <c r="B16" s="9"/>
      <c r="C16" s="155" t="str">
        <f>Inputs!B28</f>
        <v>Opening regulatory tax asset value</v>
      </c>
      <c r="E16" s="1">
        <f t="shared" si="0"/>
        <v>39460.43495739979</v>
      </c>
    </row>
    <row r="17" spans="1:21">
      <c r="A17" s="9">
        <f t="shared" si="1"/>
        <v>10</v>
      </c>
      <c r="B17" s="9"/>
      <c r="C17" s="155" t="str">
        <f>Inputs!B29</f>
        <v>Weighted Average Remaining Life at year-end</v>
      </c>
      <c r="E17" s="1">
        <f t="shared" si="0"/>
        <v>13.914429999999996</v>
      </c>
    </row>
    <row r="18" spans="1:21">
      <c r="A18" s="9">
        <f t="shared" si="1"/>
        <v>11</v>
      </c>
      <c r="B18" s="9"/>
      <c r="C18" s="155" t="str">
        <f>Inputs!B30</f>
        <v>Term Credit Spread Differential Allowance</v>
      </c>
      <c r="E18" s="1">
        <f t="shared" si="0"/>
        <v>-1.651543680297396</v>
      </c>
    </row>
    <row r="19" spans="1:21">
      <c r="A19" s="9">
        <f t="shared" si="1"/>
        <v>12</v>
      </c>
      <c r="B19" s="9"/>
      <c r="C19" s="155" t="str">
        <f>Inputs!B31</f>
        <v>Other regulated income 2009/10</v>
      </c>
      <c r="E19" s="1">
        <f t="shared" si="0"/>
        <v>0</v>
      </c>
    </row>
    <row r="20" spans="1:21">
      <c r="A20" s="9">
        <f t="shared" si="1"/>
        <v>13</v>
      </c>
      <c r="B20" s="9"/>
      <c r="C20" s="155" t="str">
        <f>Inputs!B32</f>
        <v>Operating expenditure 2009/10</v>
      </c>
      <c r="E20" s="1">
        <f t="shared" si="0"/>
        <v>8265.6569168820151</v>
      </c>
    </row>
    <row r="21" spans="1:21">
      <c r="A21" s="9">
        <f t="shared" si="1"/>
        <v>14</v>
      </c>
      <c r="B21" s="9"/>
      <c r="C21" s="155" t="str">
        <f>Inputs!B33</f>
        <v>Other regulated income</v>
      </c>
      <c r="E21" s="1">
        <f t="shared" si="0"/>
        <v>42.936383973436293</v>
      </c>
      <c r="K21" s="90"/>
    </row>
    <row r="22" spans="1:21">
      <c r="A22" s="9">
        <f t="shared" si="1"/>
        <v>15</v>
      </c>
      <c r="C22" s="155" t="str">
        <f>Inputs!B34</f>
        <v>Alternate X value to 2014/15</v>
      </c>
      <c r="D22" s="90"/>
      <c r="E22" s="126">
        <f t="shared" si="0"/>
        <v>-0.15</v>
      </c>
      <c r="K22" s="90"/>
    </row>
    <row r="23" spans="1:21">
      <c r="C23" s="155"/>
      <c r="K23" s="90"/>
    </row>
    <row r="24" spans="1:21">
      <c r="A24" s="9"/>
      <c r="B24" s="9"/>
      <c r="C24" s="149" t="s">
        <v>31</v>
      </c>
      <c r="E24" s="161">
        <f>E20</f>
        <v>8265.6569168820151</v>
      </c>
      <c r="F24" s="39">
        <f>INDEX(OpexBlock,F7-1,$G$1)</f>
        <v>8510.6887582750405</v>
      </c>
      <c r="G24" s="39">
        <f>INDEX(OpexBlock,G7-1,$G$1)</f>
        <v>8766.1873986952887</v>
      </c>
      <c r="H24" s="39">
        <f>INDEX(OpexBlock,H7-1,$G$1)</f>
        <v>9008.28553059773</v>
      </c>
      <c r="I24" s="39">
        <f>INDEX(OpexBlock,I7-1,$G$1)</f>
        <v>9264.4242256025245</v>
      </c>
      <c r="J24" s="39">
        <f>INDEX(OpexBlock,J7-1,$G$1)</f>
        <v>9532.1902983299169</v>
      </c>
      <c r="K24" s="90"/>
      <c r="L24" s="36"/>
      <c r="M24" s="36"/>
    </row>
    <row r="25" spans="1:21">
      <c r="A25" s="9"/>
      <c r="B25" s="9"/>
      <c r="C25" s="149" t="s">
        <v>272</v>
      </c>
      <c r="D25" s="1"/>
      <c r="E25" s="39">
        <f t="shared" ref="E25:J25" si="2">INDEX(CommAssetsBlock,E7,$G$1)</f>
        <v>7234</v>
      </c>
      <c r="F25" s="39">
        <f t="shared" si="2"/>
        <v>8473.0157223198967</v>
      </c>
      <c r="G25" s="39">
        <f t="shared" si="2"/>
        <v>8052.654852466866</v>
      </c>
      <c r="H25" s="39">
        <f t="shared" si="2"/>
        <v>8513.5401968799943</v>
      </c>
      <c r="I25" s="39">
        <f t="shared" si="2"/>
        <v>9125.2203049891577</v>
      </c>
      <c r="J25" s="39">
        <f t="shared" si="2"/>
        <v>8572.690046828222</v>
      </c>
      <c r="K25" s="90"/>
      <c r="L25" s="36"/>
      <c r="M25" s="36"/>
    </row>
    <row r="26" spans="1:21">
      <c r="A26" s="9"/>
      <c r="B26" s="9"/>
      <c r="C26" s="149" t="s">
        <v>342</v>
      </c>
      <c r="D26" s="1"/>
      <c r="E26" s="90"/>
      <c r="F26" s="90">
        <f t="shared" ref="F26:J26" si="3">INDEX(ConstPriceRevGrwth,F$7-1,$G$1)</f>
        <v>1.1749948577632382E-3</v>
      </c>
      <c r="G26" s="90">
        <f t="shared" si="3"/>
        <v>-8.0534829636515707E-3</v>
      </c>
      <c r="H26" s="90">
        <f t="shared" si="3"/>
        <v>3.3986784083851265E-3</v>
      </c>
      <c r="I26" s="90">
        <f t="shared" si="3"/>
        <v>3.221823687710641E-4</v>
      </c>
      <c r="J26" s="90">
        <f t="shared" si="3"/>
        <v>8.0343321717298998E-4</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42.936383973436293</v>
      </c>
      <c r="F40" s="295">
        <f>E40*(1+F39)</f>
        <v>44.85423521746398</v>
      </c>
      <c r="G40" s="295">
        <f t="shared" ref="G40:J40" si="5">F40*(1+G39)</f>
        <v>45.558752000984363</v>
      </c>
      <c r="H40" s="295">
        <f t="shared" si="5"/>
        <v>46.419828069731487</v>
      </c>
      <c r="I40" s="295">
        <f t="shared" si="5"/>
        <v>47.398323602398676</v>
      </c>
      <c r="J40" s="295">
        <f t="shared" si="5"/>
        <v>48.455098777679247</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29.887482265219649</v>
      </c>
      <c r="F53" s="45">
        <f>E53-1</f>
        <v>28.887482265219649</v>
      </c>
      <c r="G53" s="45">
        <f t="shared" ref="G53:J53" si="6">F53-1</f>
        <v>27.887482265219649</v>
      </c>
      <c r="H53" s="45">
        <f t="shared" si="6"/>
        <v>26.887482265219649</v>
      </c>
      <c r="I53" s="45">
        <f t="shared" si="6"/>
        <v>25.887482265219649</v>
      </c>
      <c r="J53" s="45">
        <f t="shared" si="6"/>
        <v>24.887482265219649</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168.12794537129605</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168425.5917478186</v>
      </c>
      <c r="F58" s="216">
        <f>E62</f>
        <v>165521.86551758982</v>
      </c>
      <c r="G58" s="216">
        <f t="shared" ref="G58:J58" si="9">F62</f>
        <v>163071.33736868625</v>
      </c>
      <c r="H58" s="216">
        <f t="shared" si="9"/>
        <v>161192.9998995066</v>
      </c>
      <c r="I58" s="216">
        <f t="shared" si="9"/>
        <v>159109.37892291916</v>
      </c>
      <c r="J58" s="216">
        <f t="shared" si="9"/>
        <v>156824.10208756002</v>
      </c>
      <c r="K58" s="148"/>
      <c r="L58" s="36"/>
      <c r="M58" s="36"/>
    </row>
    <row r="59" spans="3:16">
      <c r="C59" s="149" t="s">
        <v>41</v>
      </c>
      <c r="D59" s="153"/>
      <c r="E59" s="216">
        <f>E55</f>
        <v>168.12794537129605</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2899.723896289142</v>
      </c>
      <c r="F60" s="216">
        <f t="shared" si="11"/>
        <v>3279.353880894404</v>
      </c>
      <c r="G60" s="216">
        <f t="shared" si="11"/>
        <v>3969.1368857234165</v>
      </c>
      <c r="H60" s="216">
        <f t="shared" si="11"/>
        <v>3911.4736295006219</v>
      </c>
      <c r="I60" s="216">
        <f t="shared" si="11"/>
        <v>3860.9129444282112</v>
      </c>
      <c r="J60" s="216">
        <f t="shared" si="11"/>
        <v>3805.4589229558851</v>
      </c>
      <c r="K60" s="148"/>
      <c r="L60" s="36"/>
      <c r="M60" s="36"/>
    </row>
    <row r="61" spans="3:16">
      <c r="C61" s="149" t="s">
        <v>43</v>
      </c>
      <c r="E61" s="136">
        <f>E12</f>
        <v>5635.3221811466228</v>
      </c>
      <c r="F61" s="216">
        <f t="shared" ref="F61:J61" si="12">F58/F53</f>
        <v>5729.8820297979764</v>
      </c>
      <c r="G61" s="216">
        <f t="shared" si="12"/>
        <v>5847.4743549030763</v>
      </c>
      <c r="H61" s="216">
        <f t="shared" si="12"/>
        <v>5995.0946060880569</v>
      </c>
      <c r="I61" s="216">
        <f t="shared" si="12"/>
        <v>6146.1897797873453</v>
      </c>
      <c r="J61" s="216">
        <f t="shared" si="12"/>
        <v>6301.324513919285</v>
      </c>
      <c r="K61" s="148"/>
      <c r="L61" s="36"/>
      <c r="M61" s="36"/>
    </row>
    <row r="62" spans="3:16">
      <c r="C62" s="149" t="s">
        <v>44</v>
      </c>
      <c r="E62" s="139">
        <f>E58-E59+E60-E61</f>
        <v>165521.86551758982</v>
      </c>
      <c r="F62" s="139">
        <f>F58-F59+F60-F61</f>
        <v>163071.33736868625</v>
      </c>
      <c r="G62" s="139">
        <f t="shared" ref="G62:J62" si="13">G58-G59+G60-G61</f>
        <v>161192.9998995066</v>
      </c>
      <c r="H62" s="139">
        <f t="shared" si="13"/>
        <v>159109.37892291916</v>
      </c>
      <c r="I62" s="216">
        <f t="shared" si="13"/>
        <v>156824.10208756002</v>
      </c>
      <c r="J62" s="216">
        <f t="shared" si="13"/>
        <v>154328.23649659663</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7234</v>
      </c>
      <c r="F66" s="139">
        <f t="shared" ref="F66:J66" si="15">F$25</f>
        <v>8473.0157223198967</v>
      </c>
      <c r="G66" s="139">
        <f t="shared" si="15"/>
        <v>8052.654852466866</v>
      </c>
      <c r="H66" s="139">
        <f t="shared" si="15"/>
        <v>8513.5401968799943</v>
      </c>
      <c r="I66" s="139">
        <f t="shared" si="15"/>
        <v>9125.2203049891577</v>
      </c>
      <c r="J66" s="139">
        <f t="shared" si="15"/>
        <v>8572.690046828222</v>
      </c>
      <c r="K66" s="148"/>
      <c r="L66" s="36"/>
      <c r="M66" s="36"/>
    </row>
    <row r="67" spans="1:13">
      <c r="A67" s="149">
        <v>1</v>
      </c>
      <c r="C67" s="149" t="s">
        <v>481</v>
      </c>
      <c r="E67" s="135">
        <v>0</v>
      </c>
      <c r="F67" s="139">
        <f>E91</f>
        <v>7234</v>
      </c>
      <c r="G67" s="139">
        <f t="shared" ref="G67:J67" si="16">F91</f>
        <v>7216.5659681610141</v>
      </c>
      <c r="H67" s="139">
        <f t="shared" si="16"/>
        <v>7228.2034594716079</v>
      </c>
      <c r="I67" s="139">
        <f t="shared" si="16"/>
        <v>7235.5036886194239</v>
      </c>
      <c r="J67" s="139">
        <f t="shared" si="16"/>
        <v>7238.8049210340087</v>
      </c>
      <c r="K67" s="148"/>
      <c r="L67" s="36"/>
      <c r="M67" s="36"/>
    </row>
    <row r="68" spans="1:13">
      <c r="A68" s="149">
        <v>2</v>
      </c>
      <c r="C68" s="149" t="s">
        <v>482</v>
      </c>
      <c r="E68" s="135">
        <v>0</v>
      </c>
      <c r="F68" s="139">
        <f t="shared" ref="F68:J71" si="17">E92</f>
        <v>0</v>
      </c>
      <c r="G68" s="139">
        <f t="shared" si="17"/>
        <v>8473.0157223198967</v>
      </c>
      <c r="H68" s="139">
        <f t="shared" si="17"/>
        <v>8490.9586753032472</v>
      </c>
      <c r="I68" s="139">
        <f t="shared" si="17"/>
        <v>8504.0220641457763</v>
      </c>
      <c r="J68" s="139">
        <f t="shared" si="17"/>
        <v>8512.6108248377568</v>
      </c>
      <c r="K68" s="148"/>
      <c r="L68" s="36"/>
      <c r="M68" s="36"/>
    </row>
    <row r="69" spans="1:13">
      <c r="A69" s="149">
        <v>3</v>
      </c>
      <c r="C69" s="149" t="s">
        <v>483</v>
      </c>
      <c r="E69" s="135">
        <v>0</v>
      </c>
      <c r="F69" s="139">
        <f t="shared" si="17"/>
        <v>0</v>
      </c>
      <c r="G69" s="139">
        <f t="shared" si="17"/>
        <v>0</v>
      </c>
      <c r="H69" s="139">
        <f t="shared" si="17"/>
        <v>8052.654852466866</v>
      </c>
      <c r="I69" s="139">
        <f t="shared" si="17"/>
        <v>8069.1109057529147</v>
      </c>
      <c r="J69" s="139">
        <f t="shared" si="17"/>
        <v>8081.5252793715199</v>
      </c>
      <c r="K69" s="148"/>
      <c r="L69" s="36"/>
      <c r="M69" s="36"/>
    </row>
    <row r="70" spans="1:13">
      <c r="A70" s="149">
        <v>4</v>
      </c>
      <c r="C70" s="149" t="s">
        <v>484</v>
      </c>
      <c r="E70" s="135">
        <v>0</v>
      </c>
      <c r="F70" s="139">
        <f t="shared" si="17"/>
        <v>0</v>
      </c>
      <c r="G70" s="139">
        <f t="shared" si="17"/>
        <v>0</v>
      </c>
      <c r="H70" s="139">
        <f t="shared" si="17"/>
        <v>0</v>
      </c>
      <c r="I70" s="139">
        <f t="shared" si="17"/>
        <v>8513.5401968799943</v>
      </c>
      <c r="J70" s="139">
        <f t="shared" si="17"/>
        <v>8530.9380952997744</v>
      </c>
      <c r="K70" s="148"/>
      <c r="L70" s="36"/>
      <c r="M70" s="36"/>
    </row>
    <row r="71" spans="1:13">
      <c r="A71" s="149">
        <v>5</v>
      </c>
      <c r="C71" s="149" t="s">
        <v>485</v>
      </c>
      <c r="E71" s="135">
        <v>0</v>
      </c>
      <c r="F71" s="139">
        <f t="shared" si="17"/>
        <v>0</v>
      </c>
      <c r="G71" s="139">
        <f t="shared" si="17"/>
        <v>0</v>
      </c>
      <c r="H71" s="139">
        <f t="shared" si="17"/>
        <v>0</v>
      </c>
      <c r="I71" s="139">
        <f t="shared" si="17"/>
        <v>0</v>
      </c>
      <c r="J71" s="139">
        <f t="shared" si="17"/>
        <v>9125.2203049891577</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143.32152371656974</v>
      </c>
      <c r="G79" s="139">
        <f t="shared" si="20"/>
        <v>175.65035422334418</v>
      </c>
      <c r="H79" s="139">
        <f t="shared" si="20"/>
        <v>175.39798401924838</v>
      </c>
      <c r="I79" s="139">
        <f t="shared" si="20"/>
        <v>175.57512976266648</v>
      </c>
      <c r="J79" s="139">
        <f t="shared" si="20"/>
        <v>175.65523673717871</v>
      </c>
      <c r="K79" s="148"/>
      <c r="L79" s="36"/>
      <c r="M79" s="36"/>
    </row>
    <row r="80" spans="1:13">
      <c r="A80" s="149">
        <v>2</v>
      </c>
      <c r="C80" s="149" t="s">
        <v>488</v>
      </c>
      <c r="E80" s="139">
        <f t="shared" ref="E80:J84" si="21">E68*E$38</f>
        <v>0</v>
      </c>
      <c r="F80" s="139">
        <f t="shared" si="21"/>
        <v>0</v>
      </c>
      <c r="G80" s="139">
        <f t="shared" si="21"/>
        <v>206.23219125712674</v>
      </c>
      <c r="H80" s="139">
        <f t="shared" si="21"/>
        <v>206.03972237214904</v>
      </c>
      <c r="I80" s="139">
        <f t="shared" si="21"/>
        <v>206.35671567211443</v>
      </c>
      <c r="J80" s="139">
        <f t="shared" si="21"/>
        <v>206.56512863655902</v>
      </c>
      <c r="K80" s="148"/>
      <c r="L80" s="36"/>
      <c r="M80" s="36"/>
    </row>
    <row r="81" spans="1:13">
      <c r="A81" s="149">
        <v>3</v>
      </c>
      <c r="C81" s="149" t="s">
        <v>489</v>
      </c>
      <c r="E81" s="139">
        <f t="shared" si="21"/>
        <v>0</v>
      </c>
      <c r="F81" s="139">
        <f t="shared" si="21"/>
        <v>0</v>
      </c>
      <c r="G81" s="139">
        <f t="shared" si="21"/>
        <v>0</v>
      </c>
      <c r="H81" s="139">
        <f t="shared" si="21"/>
        <v>195.4039388964234</v>
      </c>
      <c r="I81" s="139">
        <f t="shared" si="21"/>
        <v>195.80325784026192</v>
      </c>
      <c r="J81" s="139">
        <f t="shared" si="21"/>
        <v>196.10450228056774</v>
      </c>
      <c r="K81" s="148"/>
      <c r="L81" s="36"/>
      <c r="M81" s="36"/>
    </row>
    <row r="82" spans="1:13">
      <c r="A82" s="149">
        <v>4</v>
      </c>
      <c r="C82" s="149" t="s">
        <v>490</v>
      </c>
      <c r="E82" s="139">
        <f t="shared" si="21"/>
        <v>0</v>
      </c>
      <c r="F82" s="139">
        <f t="shared" si="21"/>
        <v>0</v>
      </c>
      <c r="G82" s="139">
        <f t="shared" si="21"/>
        <v>0</v>
      </c>
      <c r="H82" s="139">
        <f t="shared" si="21"/>
        <v>0</v>
      </c>
      <c r="I82" s="139">
        <f t="shared" si="21"/>
        <v>206.5876805726696</v>
      </c>
      <c r="J82" s="139">
        <f t="shared" si="21"/>
        <v>207.00985412189399</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221.43057458202915</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160.75555555555556</v>
      </c>
      <c r="G85" s="216">
        <f t="shared" si="22"/>
        <v>164.01286291275031</v>
      </c>
      <c r="H85" s="216">
        <f t="shared" si="22"/>
        <v>168.09775487143273</v>
      </c>
      <c r="I85" s="216">
        <f t="shared" si="22"/>
        <v>172.27389734808153</v>
      </c>
      <c r="J85" s="216">
        <f t="shared" si="22"/>
        <v>176.55621758619534</v>
      </c>
      <c r="K85" s="148"/>
      <c r="L85" s="36"/>
      <c r="M85" s="36"/>
    </row>
    <row r="86" spans="1:13">
      <c r="A86" s="149">
        <v>2</v>
      </c>
      <c r="C86" s="149" t="s">
        <v>494</v>
      </c>
      <c r="E86" s="216">
        <f t="shared" si="22"/>
        <v>0</v>
      </c>
      <c r="F86" s="216">
        <f t="shared" si="22"/>
        <v>0</v>
      </c>
      <c r="G86" s="216">
        <f t="shared" si="22"/>
        <v>188.28923827377548</v>
      </c>
      <c r="H86" s="216">
        <f t="shared" si="22"/>
        <v>192.97633352961927</v>
      </c>
      <c r="I86" s="216">
        <f t="shared" si="22"/>
        <v>197.76795498013433</v>
      </c>
      <c r="J86" s="216">
        <f t="shared" si="22"/>
        <v>202.68121011518468</v>
      </c>
      <c r="K86" s="148"/>
      <c r="L86" s="36"/>
      <c r="M86" s="36"/>
    </row>
    <row r="87" spans="1:13">
      <c r="A87" s="149">
        <v>3</v>
      </c>
      <c r="C87" s="149" t="s">
        <v>495</v>
      </c>
      <c r="E87" s="216">
        <f t="shared" si="22"/>
        <v>0</v>
      </c>
      <c r="F87" s="216">
        <f t="shared" si="22"/>
        <v>0</v>
      </c>
      <c r="G87" s="216">
        <f t="shared" si="22"/>
        <v>0</v>
      </c>
      <c r="H87" s="216">
        <f t="shared" si="22"/>
        <v>178.94788561037481</v>
      </c>
      <c r="I87" s="216">
        <f t="shared" si="22"/>
        <v>183.38888422165715</v>
      </c>
      <c r="J87" s="216">
        <f t="shared" si="22"/>
        <v>187.94244835747722</v>
      </c>
      <c r="K87" s="148"/>
      <c r="L87" s="36"/>
      <c r="M87" s="36"/>
    </row>
    <row r="88" spans="1:13">
      <c r="A88" s="149">
        <v>4</v>
      </c>
      <c r="C88" s="149" t="s">
        <v>496</v>
      </c>
      <c r="E88" s="216">
        <f t="shared" si="22"/>
        <v>0</v>
      </c>
      <c r="F88" s="216">
        <f t="shared" si="22"/>
        <v>0</v>
      </c>
      <c r="G88" s="216">
        <f t="shared" si="22"/>
        <v>0</v>
      </c>
      <c r="H88" s="216">
        <f t="shared" si="22"/>
        <v>0</v>
      </c>
      <c r="I88" s="216">
        <f t="shared" si="22"/>
        <v>189.18978215288877</v>
      </c>
      <c r="J88" s="216">
        <f t="shared" si="22"/>
        <v>193.88495671135851</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202.78267344420351</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7234</v>
      </c>
      <c r="F91" s="139">
        <f t="shared" si="23"/>
        <v>7216.5659681610141</v>
      </c>
      <c r="G91" s="139">
        <f t="shared" si="23"/>
        <v>7228.2034594716079</v>
      </c>
      <c r="H91" s="139">
        <f t="shared" si="23"/>
        <v>7235.5036886194239</v>
      </c>
      <c r="I91" s="139">
        <f t="shared" si="23"/>
        <v>7238.8049210340087</v>
      </c>
      <c r="J91" s="216">
        <f t="shared" si="23"/>
        <v>7237.9039401849923</v>
      </c>
      <c r="K91" s="148"/>
      <c r="L91" s="36"/>
      <c r="M91" s="36"/>
    </row>
    <row r="92" spans="1:13">
      <c r="A92" s="149">
        <v>2</v>
      </c>
      <c r="C92" s="149" t="s">
        <v>500</v>
      </c>
      <c r="E92" s="139">
        <f t="shared" si="23"/>
        <v>0</v>
      </c>
      <c r="F92" s="139">
        <f t="shared" si="23"/>
        <v>8473.0157223198967</v>
      </c>
      <c r="G92" s="139">
        <f t="shared" si="23"/>
        <v>8490.9586753032472</v>
      </c>
      <c r="H92" s="139">
        <f t="shared" si="23"/>
        <v>8504.0220641457763</v>
      </c>
      <c r="I92" s="139">
        <f t="shared" si="23"/>
        <v>8512.6108248377568</v>
      </c>
      <c r="J92" s="216">
        <f t="shared" si="23"/>
        <v>8516.4947433591315</v>
      </c>
      <c r="K92" s="148"/>
      <c r="L92" s="36"/>
      <c r="M92" s="36"/>
    </row>
    <row r="93" spans="1:13">
      <c r="A93" s="149">
        <v>3</v>
      </c>
      <c r="C93" s="149" t="s">
        <v>501</v>
      </c>
      <c r="E93" s="139">
        <f t="shared" si="23"/>
        <v>0</v>
      </c>
      <c r="F93" s="139">
        <f t="shared" si="23"/>
        <v>0</v>
      </c>
      <c r="G93" s="139">
        <f t="shared" si="23"/>
        <v>8052.654852466866</v>
      </c>
      <c r="H93" s="139">
        <f t="shared" si="23"/>
        <v>8069.1109057529147</v>
      </c>
      <c r="I93" s="139">
        <f t="shared" si="23"/>
        <v>8081.5252793715199</v>
      </c>
      <c r="J93" s="216">
        <f t="shared" si="23"/>
        <v>8089.6873332946097</v>
      </c>
      <c r="K93" s="148"/>
      <c r="L93" s="36"/>
      <c r="M93" s="36"/>
    </row>
    <row r="94" spans="1:13">
      <c r="A94" s="149">
        <v>4</v>
      </c>
      <c r="C94" s="149" t="s">
        <v>502</v>
      </c>
      <c r="E94" s="139">
        <f t="shared" si="23"/>
        <v>0</v>
      </c>
      <c r="F94" s="139">
        <f t="shared" si="23"/>
        <v>0</v>
      </c>
      <c r="G94" s="139">
        <f t="shared" si="23"/>
        <v>0</v>
      </c>
      <c r="H94" s="139">
        <f t="shared" si="23"/>
        <v>8513.5401968799943</v>
      </c>
      <c r="I94" s="139">
        <f t="shared" si="23"/>
        <v>8530.9380952997744</v>
      </c>
      <c r="J94" s="216">
        <f t="shared" si="23"/>
        <v>8544.0629927103091</v>
      </c>
      <c r="K94" s="148"/>
      <c r="L94" s="36"/>
      <c r="M94" s="36"/>
    </row>
    <row r="95" spans="1:13">
      <c r="A95" s="149">
        <v>5</v>
      </c>
      <c r="C95" s="149" t="s">
        <v>503</v>
      </c>
      <c r="E95" s="139">
        <f t="shared" si="23"/>
        <v>0</v>
      </c>
      <c r="F95" s="139">
        <f t="shared" si="23"/>
        <v>0</v>
      </c>
      <c r="G95" s="139">
        <f t="shared" si="23"/>
        <v>0</v>
      </c>
      <c r="H95" s="139">
        <f t="shared" si="23"/>
        <v>0</v>
      </c>
      <c r="I95" s="139">
        <f t="shared" si="23"/>
        <v>9125.2203049891577</v>
      </c>
      <c r="J95" s="216">
        <f t="shared" si="23"/>
        <v>9143.8682061269828</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8572.690046828222</v>
      </c>
      <c r="K96" s="148"/>
      <c r="L96" s="36"/>
      <c r="M96" s="36"/>
    </row>
    <row r="97" spans="1:13">
      <c r="C97" s="149" t="s">
        <v>260</v>
      </c>
      <c r="E97" s="139">
        <f t="shared" ref="E97:J97" si="24">SUM(E67:E72)</f>
        <v>0</v>
      </c>
      <c r="F97" s="139">
        <f t="shared" si="24"/>
        <v>7234</v>
      </c>
      <c r="G97" s="139">
        <f t="shared" si="24"/>
        <v>15689.581690480911</v>
      </c>
      <c r="H97" s="139">
        <f t="shared" si="24"/>
        <v>23771.81698724172</v>
      </c>
      <c r="I97" s="139">
        <f t="shared" si="24"/>
        <v>32322.176855398109</v>
      </c>
      <c r="J97" s="216">
        <f t="shared" si="24"/>
        <v>41489.099425532215</v>
      </c>
      <c r="K97" s="148"/>
      <c r="L97" s="36"/>
      <c r="M97" s="36"/>
    </row>
    <row r="98" spans="1:13">
      <c r="C98" s="149" t="s">
        <v>261</v>
      </c>
      <c r="E98" s="139">
        <f t="shared" ref="E98:J98" si="25">SUM(E79:E84)</f>
        <v>0</v>
      </c>
      <c r="F98" s="139">
        <f t="shared" si="25"/>
        <v>143.32152371656974</v>
      </c>
      <c r="G98" s="139">
        <f t="shared" si="25"/>
        <v>381.88254548047092</v>
      </c>
      <c r="H98" s="139">
        <f t="shared" si="25"/>
        <v>576.84164528782082</v>
      </c>
      <c r="I98" s="139">
        <f t="shared" si="25"/>
        <v>784.32278384771246</v>
      </c>
      <c r="J98" s="216">
        <f t="shared" si="25"/>
        <v>1006.7652963582287</v>
      </c>
      <c r="K98" s="148"/>
      <c r="L98" s="36"/>
      <c r="M98" s="36"/>
    </row>
    <row r="99" spans="1:13">
      <c r="C99" s="149" t="s">
        <v>75</v>
      </c>
      <c r="E99" s="139">
        <f t="shared" ref="E99:J99" si="26">SUM(E85:E90)</f>
        <v>0</v>
      </c>
      <c r="F99" s="139">
        <f t="shared" si="26"/>
        <v>160.75555555555556</v>
      </c>
      <c r="G99" s="139">
        <f t="shared" si="26"/>
        <v>352.30210118652576</v>
      </c>
      <c r="H99" s="139">
        <f t="shared" si="26"/>
        <v>540.02197401142678</v>
      </c>
      <c r="I99" s="216">
        <f t="shared" si="26"/>
        <v>742.62051870276173</v>
      </c>
      <c r="J99" s="216">
        <f t="shared" si="26"/>
        <v>963.84750621441935</v>
      </c>
      <c r="K99" s="148"/>
      <c r="L99" s="36"/>
      <c r="M99" s="36"/>
    </row>
    <row r="100" spans="1:13">
      <c r="C100" s="149" t="s">
        <v>262</v>
      </c>
      <c r="E100" s="139">
        <f t="shared" ref="E100:J100" si="27">SUM(E91:E96)</f>
        <v>7234</v>
      </c>
      <c r="F100" s="139">
        <f t="shared" si="27"/>
        <v>15689.581690480911</v>
      </c>
      <c r="G100" s="139">
        <f t="shared" si="27"/>
        <v>23771.81698724172</v>
      </c>
      <c r="H100" s="139">
        <f t="shared" si="27"/>
        <v>32322.176855398109</v>
      </c>
      <c r="I100" s="216">
        <f t="shared" si="27"/>
        <v>41489.099425532215</v>
      </c>
      <c r="J100" s="216">
        <f t="shared" si="27"/>
        <v>50104.707262504249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7234</v>
      </c>
      <c r="F104" s="139">
        <f t="shared" ref="F104:J104" si="28">F$25</f>
        <v>8473.0157223198967</v>
      </c>
      <c r="G104" s="139">
        <f t="shared" si="28"/>
        <v>8052.654852466866</v>
      </c>
      <c r="H104" s="139">
        <f t="shared" si="28"/>
        <v>8513.5401968799943</v>
      </c>
      <c r="I104" s="139">
        <f t="shared" si="28"/>
        <v>9125.2203049891577</v>
      </c>
      <c r="J104" s="139">
        <f t="shared" si="28"/>
        <v>8572.690046828222</v>
      </c>
      <c r="K104" s="148"/>
      <c r="L104" s="36"/>
      <c r="M104" s="36"/>
    </row>
    <row r="105" spans="1:13">
      <c r="A105" s="149">
        <v>1</v>
      </c>
      <c r="C105" s="149" t="s">
        <v>457</v>
      </c>
      <c r="E105" s="135">
        <v>0</v>
      </c>
      <c r="F105" s="139">
        <f>E123</f>
        <v>7234</v>
      </c>
      <c r="G105" s="139">
        <f t="shared" ref="G105:J105" si="29">F123</f>
        <v>7073.2444444444445</v>
      </c>
      <c r="H105" s="139">
        <f t="shared" si="29"/>
        <v>6912.4888888888891</v>
      </c>
      <c r="I105" s="139">
        <f t="shared" si="29"/>
        <v>6751.7333333333336</v>
      </c>
      <c r="J105" s="139">
        <f t="shared" si="29"/>
        <v>6590.9777777777781</v>
      </c>
      <c r="K105" s="148"/>
      <c r="L105" s="36"/>
      <c r="M105" s="36"/>
    </row>
    <row r="106" spans="1:13">
      <c r="A106" s="149">
        <v>2</v>
      </c>
      <c r="C106" s="149" t="s">
        <v>458</v>
      </c>
      <c r="E106" s="135">
        <v>0</v>
      </c>
      <c r="F106" s="139">
        <f t="shared" ref="F106:J109" si="30">E124</f>
        <v>0</v>
      </c>
      <c r="G106" s="139">
        <f t="shared" si="30"/>
        <v>8473.0157223198967</v>
      </c>
      <c r="H106" s="139">
        <f t="shared" si="30"/>
        <v>8284.7264840461212</v>
      </c>
      <c r="I106" s="139">
        <f t="shared" si="30"/>
        <v>8096.4372457723457</v>
      </c>
      <c r="J106" s="139">
        <f t="shared" si="30"/>
        <v>7908.1480074985702</v>
      </c>
      <c r="K106" s="148"/>
      <c r="L106" s="36"/>
      <c r="M106" s="36"/>
    </row>
    <row r="107" spans="1:13">
      <c r="A107" s="149">
        <v>3</v>
      </c>
      <c r="C107" s="149" t="s">
        <v>459</v>
      </c>
      <c r="E107" s="135">
        <v>0</v>
      </c>
      <c r="F107" s="139">
        <f t="shared" si="30"/>
        <v>0</v>
      </c>
      <c r="G107" s="139">
        <f t="shared" si="30"/>
        <v>0</v>
      </c>
      <c r="H107" s="139">
        <f t="shared" si="30"/>
        <v>8052.654852466866</v>
      </c>
      <c r="I107" s="139">
        <f t="shared" si="30"/>
        <v>7873.7069668564909</v>
      </c>
      <c r="J107" s="139">
        <f t="shared" si="30"/>
        <v>7694.7590812461158</v>
      </c>
      <c r="K107" s="148"/>
      <c r="L107" s="36"/>
      <c r="M107" s="36"/>
    </row>
    <row r="108" spans="1:13">
      <c r="A108" s="149">
        <v>4</v>
      </c>
      <c r="C108" s="149" t="s">
        <v>460</v>
      </c>
      <c r="E108" s="135">
        <v>0</v>
      </c>
      <c r="F108" s="139">
        <f t="shared" si="30"/>
        <v>0</v>
      </c>
      <c r="G108" s="139">
        <f t="shared" si="30"/>
        <v>0</v>
      </c>
      <c r="H108" s="139">
        <f t="shared" si="30"/>
        <v>0</v>
      </c>
      <c r="I108" s="139">
        <f t="shared" si="30"/>
        <v>8513.5401968799943</v>
      </c>
      <c r="J108" s="139">
        <f t="shared" si="30"/>
        <v>8324.3504147271051</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9125.2203049891577</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160.75555555555556</v>
      </c>
      <c r="G117" s="139">
        <f t="shared" si="33"/>
        <v>160.75555555555556</v>
      </c>
      <c r="H117" s="139">
        <f t="shared" si="33"/>
        <v>160.75555555555556</v>
      </c>
      <c r="I117" s="139">
        <f t="shared" si="33"/>
        <v>160.75555555555556</v>
      </c>
      <c r="J117" s="139">
        <f t="shared" si="33"/>
        <v>160.75555555555556</v>
      </c>
      <c r="K117" s="148"/>
      <c r="L117" s="36"/>
      <c r="M117" s="36"/>
    </row>
    <row r="118" spans="1:13">
      <c r="A118" s="149">
        <v>2</v>
      </c>
      <c r="C118" s="149" t="s">
        <v>470</v>
      </c>
      <c r="E118" s="139">
        <f t="shared" si="33"/>
        <v>0</v>
      </c>
      <c r="F118" s="139">
        <f t="shared" si="33"/>
        <v>0</v>
      </c>
      <c r="G118" s="139">
        <f t="shared" si="33"/>
        <v>188.28923827377548</v>
      </c>
      <c r="H118" s="139">
        <f t="shared" si="33"/>
        <v>188.28923827377548</v>
      </c>
      <c r="I118" s="139">
        <f t="shared" si="33"/>
        <v>188.28923827377548</v>
      </c>
      <c r="J118" s="139">
        <f t="shared" si="33"/>
        <v>188.28923827377548</v>
      </c>
      <c r="K118" s="148"/>
      <c r="L118" s="36"/>
      <c r="M118" s="36"/>
    </row>
    <row r="119" spans="1:13">
      <c r="A119" s="149">
        <v>3</v>
      </c>
      <c r="C119" s="149" t="s">
        <v>471</v>
      </c>
      <c r="E119" s="139">
        <f t="shared" si="33"/>
        <v>0</v>
      </c>
      <c r="F119" s="139">
        <f t="shared" si="33"/>
        <v>0</v>
      </c>
      <c r="G119" s="139">
        <f t="shared" si="33"/>
        <v>0</v>
      </c>
      <c r="H119" s="139">
        <f t="shared" si="33"/>
        <v>178.94788561037481</v>
      </c>
      <c r="I119" s="139">
        <f t="shared" si="33"/>
        <v>178.94788561037478</v>
      </c>
      <c r="J119" s="139">
        <f t="shared" si="33"/>
        <v>178.94788561037478</v>
      </c>
      <c r="K119" s="148"/>
      <c r="L119" s="36"/>
      <c r="M119" s="36"/>
    </row>
    <row r="120" spans="1:13">
      <c r="A120" s="149">
        <v>4</v>
      </c>
      <c r="C120" s="149" t="s">
        <v>472</v>
      </c>
      <c r="E120" s="139">
        <f t="shared" si="33"/>
        <v>0</v>
      </c>
      <c r="F120" s="139">
        <f t="shared" si="33"/>
        <v>0</v>
      </c>
      <c r="G120" s="139">
        <f t="shared" si="33"/>
        <v>0</v>
      </c>
      <c r="H120" s="139">
        <f t="shared" si="33"/>
        <v>0</v>
      </c>
      <c r="I120" s="139">
        <f t="shared" si="33"/>
        <v>189.18978215288877</v>
      </c>
      <c r="J120" s="139">
        <f t="shared" si="33"/>
        <v>189.18978215288874</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202.78267344420351</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7234</v>
      </c>
      <c r="F123" s="139">
        <f t="shared" ref="F123:J123" si="34">F105-F117+IF($A123=F$103,F$104,0)</f>
        <v>7073.2444444444445</v>
      </c>
      <c r="G123" s="139">
        <f t="shared" si="34"/>
        <v>6912.4888888888891</v>
      </c>
      <c r="H123" s="139">
        <f t="shared" si="34"/>
        <v>6751.7333333333336</v>
      </c>
      <c r="I123" s="139">
        <f t="shared" si="34"/>
        <v>6590.9777777777781</v>
      </c>
      <c r="J123" s="139">
        <f t="shared" si="34"/>
        <v>6430.2222222222226</v>
      </c>
      <c r="K123" s="148"/>
      <c r="L123" s="36"/>
      <c r="M123" s="36"/>
    </row>
    <row r="124" spans="1:13">
      <c r="A124" s="149">
        <v>2</v>
      </c>
      <c r="C124" s="149" t="s">
        <v>476</v>
      </c>
      <c r="E124" s="139">
        <f t="shared" ref="E124:J128" si="35">E106-E118+IF($A124=E$103,E$104,0)</f>
        <v>0</v>
      </c>
      <c r="F124" s="139">
        <f t="shared" si="35"/>
        <v>8473.0157223198967</v>
      </c>
      <c r="G124" s="139">
        <f t="shared" si="35"/>
        <v>8284.7264840461212</v>
      </c>
      <c r="H124" s="139">
        <f t="shared" si="35"/>
        <v>8096.4372457723457</v>
      </c>
      <c r="I124" s="139">
        <f t="shared" si="35"/>
        <v>7908.1480074985702</v>
      </c>
      <c r="J124" s="139">
        <f t="shared" si="35"/>
        <v>7719.8587692247947</v>
      </c>
      <c r="K124" s="148"/>
      <c r="L124" s="36"/>
      <c r="M124" s="36"/>
    </row>
    <row r="125" spans="1:13">
      <c r="A125" s="149">
        <v>3</v>
      </c>
      <c r="C125" s="149" t="s">
        <v>477</v>
      </c>
      <c r="E125" s="139">
        <f t="shared" si="35"/>
        <v>0</v>
      </c>
      <c r="F125" s="139">
        <f t="shared" si="35"/>
        <v>0</v>
      </c>
      <c r="G125" s="139">
        <f t="shared" si="35"/>
        <v>8052.654852466866</v>
      </c>
      <c r="H125" s="139">
        <f t="shared" si="35"/>
        <v>7873.7069668564909</v>
      </c>
      <c r="I125" s="139">
        <f t="shared" si="35"/>
        <v>7694.7590812461158</v>
      </c>
      <c r="J125" s="139">
        <f t="shared" si="35"/>
        <v>7515.8111956357407</v>
      </c>
      <c r="K125" s="148"/>
      <c r="L125" s="36"/>
      <c r="M125" s="36"/>
    </row>
    <row r="126" spans="1:13">
      <c r="A126" s="149">
        <v>4</v>
      </c>
      <c r="C126" s="149" t="s">
        <v>478</v>
      </c>
      <c r="E126" s="139">
        <f t="shared" si="35"/>
        <v>0</v>
      </c>
      <c r="F126" s="139">
        <f t="shared" si="35"/>
        <v>0</v>
      </c>
      <c r="G126" s="139">
        <f t="shared" si="35"/>
        <v>0</v>
      </c>
      <c r="H126" s="139">
        <f t="shared" si="35"/>
        <v>8513.5401968799943</v>
      </c>
      <c r="I126" s="139">
        <f t="shared" si="35"/>
        <v>8324.3504147271051</v>
      </c>
      <c r="J126" s="139">
        <f t="shared" si="35"/>
        <v>8135.1606325742159</v>
      </c>
      <c r="K126" s="148"/>
      <c r="L126" s="36"/>
      <c r="M126" s="36"/>
    </row>
    <row r="127" spans="1:13">
      <c r="A127" s="149">
        <v>5</v>
      </c>
      <c r="C127" s="149" t="s">
        <v>479</v>
      </c>
      <c r="E127" s="139">
        <f t="shared" si="35"/>
        <v>0</v>
      </c>
      <c r="F127" s="139">
        <f t="shared" si="35"/>
        <v>0</v>
      </c>
      <c r="G127" s="139">
        <f t="shared" si="35"/>
        <v>0</v>
      </c>
      <c r="H127" s="139">
        <f t="shared" si="35"/>
        <v>0</v>
      </c>
      <c r="I127" s="139">
        <f t="shared" si="35"/>
        <v>9125.2203049891577</v>
      </c>
      <c r="J127" s="139">
        <f t="shared" si="35"/>
        <v>8922.4376315449535</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8572.690046828222</v>
      </c>
      <c r="K128" s="148"/>
      <c r="L128" s="36"/>
      <c r="M128" s="36"/>
    </row>
    <row r="129" spans="3:13">
      <c r="C129" s="149" t="s">
        <v>72</v>
      </c>
      <c r="E129" s="139">
        <f>SUM(E105:E110)</f>
        <v>0</v>
      </c>
      <c r="F129" s="139">
        <f t="shared" ref="F129:J129" si="36">SUM(F105:F110)</f>
        <v>7234</v>
      </c>
      <c r="G129" s="139">
        <f t="shared" si="36"/>
        <v>15546.260166764341</v>
      </c>
      <c r="H129" s="139">
        <f t="shared" si="36"/>
        <v>23249.870225401875</v>
      </c>
      <c r="I129" s="139">
        <f t="shared" si="36"/>
        <v>31235.417742842161</v>
      </c>
      <c r="J129" s="139">
        <f t="shared" si="36"/>
        <v>39643.455586238728</v>
      </c>
      <c r="K129" s="148"/>
      <c r="L129" s="36"/>
      <c r="M129" s="36"/>
    </row>
    <row r="130" spans="3:13">
      <c r="C130" s="149" t="s">
        <v>67</v>
      </c>
      <c r="E130" s="139">
        <f>SUM(E117:E122)</f>
        <v>0</v>
      </c>
      <c r="F130" s="139">
        <f t="shared" ref="F130:J130" si="37">SUM(F117:F122)</f>
        <v>160.75555555555556</v>
      </c>
      <c r="G130" s="139">
        <f t="shared" si="37"/>
        <v>349.04479382933107</v>
      </c>
      <c r="H130" s="139">
        <f t="shared" si="37"/>
        <v>527.99267943970585</v>
      </c>
      <c r="I130" s="139">
        <f t="shared" si="37"/>
        <v>717.18246159259456</v>
      </c>
      <c r="J130" s="139">
        <f t="shared" si="37"/>
        <v>919.96513503679807</v>
      </c>
      <c r="K130" s="148"/>
      <c r="L130" s="36"/>
      <c r="M130" s="36"/>
    </row>
    <row r="131" spans="3:13" s="36" customFormat="1">
      <c r="C131" s="36" t="s">
        <v>73</v>
      </c>
      <c r="E131" s="139">
        <f>SUM(E123:E128)</f>
        <v>7234</v>
      </c>
      <c r="F131" s="139">
        <f t="shared" ref="F131:J131" si="38">SUM(F123:F128)</f>
        <v>15546.260166764341</v>
      </c>
      <c r="G131" s="139">
        <f t="shared" si="38"/>
        <v>23249.870225401875</v>
      </c>
      <c r="H131" s="139">
        <f t="shared" si="38"/>
        <v>31235.417742842161</v>
      </c>
      <c r="I131" s="139">
        <f t="shared" si="38"/>
        <v>39643.455586238728</v>
      </c>
      <c r="J131" s="139">
        <f t="shared" si="38"/>
        <v>47296.180498030153</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168425.5917478186</v>
      </c>
      <c r="F134" s="139">
        <f>E137</f>
        <v>162622.14162130069</v>
      </c>
      <c r="G134" s="139">
        <f t="shared" ref="G134:J134" si="39">F137</f>
        <v>156992.63953703298</v>
      </c>
      <c r="H134" s="139">
        <f t="shared" si="39"/>
        <v>151363.13745276528</v>
      </c>
      <c r="I134" s="139">
        <f t="shared" si="39"/>
        <v>145733.63536849758</v>
      </c>
      <c r="J134" s="139">
        <f t="shared" si="39"/>
        <v>140104.13328422987</v>
      </c>
      <c r="K134" s="148"/>
      <c r="L134" s="36"/>
      <c r="M134" s="36"/>
    </row>
    <row r="135" spans="3:13">
      <c r="C135" s="149" t="s">
        <v>41</v>
      </c>
      <c r="E135" s="139">
        <f t="shared" ref="E135:J135" si="40">E55</f>
        <v>168.12794537129605</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5635.3221811466228</v>
      </c>
      <c r="F136" s="139">
        <f t="shared" si="41"/>
        <v>5629.5020842677159</v>
      </c>
      <c r="G136" s="139">
        <f t="shared" si="41"/>
        <v>5629.5020842677159</v>
      </c>
      <c r="H136" s="139">
        <f t="shared" si="41"/>
        <v>5629.5020842677168</v>
      </c>
      <c r="I136" s="139">
        <f t="shared" si="41"/>
        <v>5629.5020842677168</v>
      </c>
      <c r="J136" s="139">
        <f t="shared" si="41"/>
        <v>5629.5020842677177</v>
      </c>
      <c r="K136" s="148"/>
      <c r="L136" s="36"/>
      <c r="M136" s="36"/>
    </row>
    <row r="137" spans="3:13">
      <c r="C137" s="149" t="s">
        <v>66</v>
      </c>
      <c r="E137" s="139">
        <f t="shared" ref="E137:J137" si="42">E134-E135-E136</f>
        <v>162622.14162130069</v>
      </c>
      <c r="F137" s="139">
        <f t="shared" si="42"/>
        <v>156992.63953703298</v>
      </c>
      <c r="G137" s="139">
        <f t="shared" si="42"/>
        <v>151363.13745276528</v>
      </c>
      <c r="H137" s="139">
        <f t="shared" si="42"/>
        <v>145733.63536849758</v>
      </c>
      <c r="I137" s="139">
        <f t="shared" si="42"/>
        <v>140104.13328422987</v>
      </c>
      <c r="J137" s="139">
        <f t="shared" si="42"/>
        <v>134474.63119996217</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168425.5917478186</v>
      </c>
      <c r="F140" s="139">
        <f t="shared" si="43"/>
        <v>172755.86551758982</v>
      </c>
      <c r="G140" s="139">
        <f t="shared" si="43"/>
        <v>178760.91905916715</v>
      </c>
      <c r="H140" s="139">
        <f t="shared" si="43"/>
        <v>184964.8168867483</v>
      </c>
      <c r="I140" s="139">
        <f t="shared" si="43"/>
        <v>191431.55577831727</v>
      </c>
      <c r="J140" s="139">
        <f t="shared" si="43"/>
        <v>198313.20151309224</v>
      </c>
      <c r="K140" s="148"/>
      <c r="L140" s="36"/>
      <c r="M140" s="36"/>
    </row>
    <row r="141" spans="3:13">
      <c r="C141" s="149" t="s">
        <v>268</v>
      </c>
      <c r="E141" s="139">
        <f t="shared" ref="E141:J143" si="44">E60+E98</f>
        <v>2899.723896289142</v>
      </c>
      <c r="F141" s="139">
        <f t="shared" si="44"/>
        <v>3422.6754046109736</v>
      </c>
      <c r="G141" s="139">
        <f t="shared" si="44"/>
        <v>4351.0194312038875</v>
      </c>
      <c r="H141" s="139">
        <f t="shared" si="44"/>
        <v>4488.3152747884424</v>
      </c>
      <c r="I141" s="139">
        <f t="shared" si="44"/>
        <v>4645.235728275924</v>
      </c>
      <c r="J141" s="139">
        <f t="shared" si="44"/>
        <v>4812.2242193141137</v>
      </c>
      <c r="K141" s="148"/>
      <c r="L141" s="36"/>
      <c r="M141" s="36"/>
    </row>
    <row r="142" spans="3:13">
      <c r="C142" s="149" t="s">
        <v>267</v>
      </c>
      <c r="E142" s="139">
        <f>E61+E99</f>
        <v>5635.3221811466228</v>
      </c>
      <c r="F142" s="139">
        <f t="shared" si="44"/>
        <v>5890.6375853535319</v>
      </c>
      <c r="G142" s="139">
        <f t="shared" si="44"/>
        <v>6199.7764560896021</v>
      </c>
      <c r="H142" s="139">
        <f t="shared" si="44"/>
        <v>6535.1165800994841</v>
      </c>
      <c r="I142" s="139">
        <f t="shared" si="44"/>
        <v>6888.810298490107</v>
      </c>
      <c r="J142" s="139">
        <f t="shared" si="44"/>
        <v>7265.1720201337048</v>
      </c>
      <c r="K142" s="148"/>
      <c r="L142" s="36"/>
      <c r="M142" s="36"/>
    </row>
    <row r="143" spans="3:13">
      <c r="C143" s="149" t="s">
        <v>270</v>
      </c>
      <c r="E143" s="139">
        <f t="shared" si="44"/>
        <v>172755.86551758982</v>
      </c>
      <c r="F143" s="139">
        <f t="shared" si="44"/>
        <v>178760.91905916715</v>
      </c>
      <c r="G143" s="139">
        <f t="shared" si="44"/>
        <v>184964.8168867483</v>
      </c>
      <c r="H143" s="139">
        <f t="shared" si="44"/>
        <v>191431.55577831727</v>
      </c>
      <c r="I143" s="139">
        <f t="shared" si="44"/>
        <v>198313.20151309224</v>
      </c>
      <c r="J143" s="216">
        <f t="shared" si="44"/>
        <v>204432.94375910086</v>
      </c>
      <c r="K143" s="148"/>
      <c r="L143" s="36"/>
      <c r="M143" s="36"/>
    </row>
    <row r="144" spans="3:13">
      <c r="C144" s="149" t="s">
        <v>46</v>
      </c>
      <c r="E144" s="139">
        <f t="shared" ref="E144:J144" si="45">E130+E136</f>
        <v>5635.3221811466228</v>
      </c>
      <c r="F144" s="139">
        <f t="shared" si="45"/>
        <v>5790.2576398232713</v>
      </c>
      <c r="G144" s="139">
        <f t="shared" si="45"/>
        <v>5978.5468780970468</v>
      </c>
      <c r="H144" s="139">
        <f t="shared" si="45"/>
        <v>6157.4947637074229</v>
      </c>
      <c r="I144" s="139">
        <f t="shared" si="45"/>
        <v>6346.6845458603111</v>
      </c>
      <c r="J144" s="139">
        <f t="shared" si="45"/>
        <v>6549.4672193045153</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1.025710307589448</v>
      </c>
      <c r="G148" s="308">
        <f t="shared" ref="G148:J148" si="46">G140/$E140</f>
        <v>1.0613643520803151</v>
      </c>
      <c r="H148" s="308">
        <f t="shared" si="46"/>
        <v>1.0981990027008108</v>
      </c>
      <c r="I148" s="308">
        <f t="shared" si="46"/>
        <v>1.1365942300796259</v>
      </c>
      <c r="J148" s="308">
        <f t="shared" si="46"/>
        <v>1.1774529004477179</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0.12295552292742845</v>
      </c>
      <c r="E152" s="36"/>
      <c r="F152" s="36"/>
      <c r="G152" s="36"/>
      <c r="H152" s="36"/>
      <c r="I152" s="36"/>
      <c r="J152" s="36"/>
      <c r="K152" s="148"/>
      <c r="L152" s="36"/>
      <c r="M152" s="36"/>
    </row>
    <row r="153" spans="1:13">
      <c r="C153" s="149" t="s">
        <v>282</v>
      </c>
      <c r="E153" s="135">
        <f>E16</f>
        <v>39460.43495739979</v>
      </c>
      <c r="F153" s="139">
        <f>E157</f>
        <v>41674.428596897618</v>
      </c>
      <c r="G153" s="139">
        <f t="shared" ref="G153:J153" si="48">F157</f>
        <v>45023.343158384196</v>
      </c>
      <c r="H153" s="139">
        <f t="shared" si="48"/>
        <v>47540.129308870877</v>
      </c>
      <c r="I153" s="139">
        <f t="shared" si="48"/>
        <v>50208.348046541083</v>
      </c>
      <c r="J153" s="139">
        <f t="shared" si="48"/>
        <v>53160.174662145451</v>
      </c>
      <c r="K153" s="148"/>
      <c r="L153" s="36"/>
      <c r="M153" s="36"/>
    </row>
    <row r="154" spans="1:13">
      <c r="C154" s="149" t="s">
        <v>35</v>
      </c>
      <c r="E154" s="135">
        <f>E15</f>
        <v>4851.8784151308691</v>
      </c>
      <c r="F154" s="139">
        <f t="shared" ref="F154:J154" si="49">F153*$D152</f>
        <v>5124.1011608333247</v>
      </c>
      <c r="G154" s="139">
        <f t="shared" si="49"/>
        <v>5535.8687019801864</v>
      </c>
      <c r="H154" s="139">
        <f t="shared" si="49"/>
        <v>5845.3214592097866</v>
      </c>
      <c r="I154" s="139">
        <f t="shared" si="49"/>
        <v>6173.3936893847895</v>
      </c>
      <c r="J154" s="139">
        <f t="shared" si="49"/>
        <v>6536.3370744975264</v>
      </c>
      <c r="K154" s="148"/>
      <c r="L154" s="36"/>
      <c r="M154" s="36"/>
    </row>
    <row r="155" spans="1:13">
      <c r="C155" s="149" t="s">
        <v>124</v>
      </c>
      <c r="E155" s="139">
        <f t="shared" ref="E155:J155" si="50">E25</f>
        <v>7234</v>
      </c>
      <c r="F155" s="139">
        <f t="shared" si="50"/>
        <v>8473.0157223198967</v>
      </c>
      <c r="G155" s="139">
        <f t="shared" si="50"/>
        <v>8052.654852466866</v>
      </c>
      <c r="H155" s="139">
        <f t="shared" si="50"/>
        <v>8513.5401968799943</v>
      </c>
      <c r="I155" s="139">
        <f t="shared" si="50"/>
        <v>9125.2203049891577</v>
      </c>
      <c r="J155" s="139">
        <f t="shared" si="50"/>
        <v>8572.690046828222</v>
      </c>
      <c r="K155" s="148"/>
      <c r="L155" s="309"/>
      <c r="M155" s="36"/>
    </row>
    <row r="156" spans="1:13">
      <c r="C156" s="149" t="s">
        <v>41</v>
      </c>
      <c r="E156" s="139">
        <f>E55</f>
        <v>168.12794537129605</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41674.428596897618</v>
      </c>
      <c r="F157" s="139">
        <f t="shared" ref="F157:J157" si="52">F153-F154+F155-F156</f>
        <v>45023.343158384196</v>
      </c>
      <c r="G157" s="139">
        <f t="shared" si="52"/>
        <v>47540.129308870877</v>
      </c>
      <c r="H157" s="139">
        <f t="shared" si="52"/>
        <v>50208.348046541083</v>
      </c>
      <c r="I157" s="139">
        <f t="shared" si="52"/>
        <v>53160.174662145451</v>
      </c>
      <c r="J157" s="139">
        <f t="shared" si="52"/>
        <v>55196.527634476151</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783.44376601575368</v>
      </c>
      <c r="F160" s="139">
        <f t="shared" si="53"/>
        <v>666.15647898994666</v>
      </c>
      <c r="G160" s="139">
        <f t="shared" si="53"/>
        <v>442.67817611686041</v>
      </c>
      <c r="H160" s="139">
        <f t="shared" si="53"/>
        <v>312.17330449763631</v>
      </c>
      <c r="I160" s="139">
        <f t="shared" si="53"/>
        <v>173.29085647552165</v>
      </c>
      <c r="J160" s="139">
        <f t="shared" si="53"/>
        <v>13.130144806988937</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-2545.5009658877061</v>
      </c>
      <c r="G163" s="310">
        <f t="shared" ref="G163:J163" si="54">F166</f>
        <v>-5126.1881178831536</v>
      </c>
      <c r="H163" s="310">
        <f t="shared" si="54"/>
        <v>-7597.4033845500362</v>
      </c>
      <c r="I163" s="310">
        <f t="shared" si="54"/>
        <v>-10105.160015270301</v>
      </c>
      <c r="J163" s="310">
        <f t="shared" si="54"/>
        <v>-12651.803731436759</v>
      </c>
      <c r="K163" s="148"/>
      <c r="L163" s="36"/>
      <c r="M163" s="36"/>
    </row>
    <row r="164" spans="3:13">
      <c r="C164" s="149" t="s">
        <v>238</v>
      </c>
      <c r="E164" s="139">
        <f t="shared" ref="E164:J164" si="55">E160</f>
        <v>783.44376601575368</v>
      </c>
      <c r="F164" s="139">
        <f t="shared" si="55"/>
        <v>666.15647898994666</v>
      </c>
      <c r="G164" s="139">
        <f t="shared" si="55"/>
        <v>442.67817611686041</v>
      </c>
      <c r="H164" s="139">
        <f t="shared" si="55"/>
        <v>312.17330449763631</v>
      </c>
      <c r="I164" s="139">
        <f t="shared" si="55"/>
        <v>173.29085647552165</v>
      </c>
      <c r="J164" s="139">
        <f t="shared" si="55"/>
        <v>13.130144806988937</v>
      </c>
      <c r="K164" s="148"/>
      <c r="L164" s="36"/>
      <c r="M164" s="36"/>
    </row>
    <row r="165" spans="3:13">
      <c r="C165" s="149" t="s">
        <v>49</v>
      </c>
      <c r="E165" s="135">
        <f>(E11-E16)/E17</f>
        <v>9268.4469856414416</v>
      </c>
      <c r="F165" s="139">
        <f>E165</f>
        <v>9268.4469856414416</v>
      </c>
      <c r="G165" s="139">
        <f t="shared" ref="G165:J165" si="56">F165</f>
        <v>9268.4469856414416</v>
      </c>
      <c r="H165" s="139">
        <f t="shared" si="56"/>
        <v>9268.4469856414416</v>
      </c>
      <c r="I165" s="139">
        <f t="shared" si="56"/>
        <v>9268.4469856414416</v>
      </c>
      <c r="J165" s="139">
        <f t="shared" si="56"/>
        <v>9268.4469856414416</v>
      </c>
      <c r="K165" s="148"/>
      <c r="L165" s="36"/>
      <c r="M165" s="36"/>
    </row>
    <row r="166" spans="3:13">
      <c r="C166" s="149" t="s">
        <v>266</v>
      </c>
      <c r="E166" s="310">
        <f t="shared" ref="E166:J166" si="57">E163+(E164-E165)*E52</f>
        <v>-2545.5009658877061</v>
      </c>
      <c r="F166" s="310">
        <f t="shared" si="57"/>
        <v>-5126.1881178831536</v>
      </c>
      <c r="G166" s="310">
        <f t="shared" si="57"/>
        <v>-7597.4033845500362</v>
      </c>
      <c r="H166" s="310">
        <f t="shared" si="57"/>
        <v>-10105.160015270301</v>
      </c>
      <c r="I166" s="310">
        <f t="shared" si="57"/>
        <v>-12651.803731436759</v>
      </c>
      <c r="J166" s="310">
        <f t="shared" si="57"/>
        <v>-15243.292446870408</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168425.5917478186</v>
      </c>
      <c r="F169" s="139">
        <f t="shared" si="58"/>
        <v>170210.36455170211</v>
      </c>
      <c r="G169" s="139">
        <f t="shared" si="58"/>
        <v>173634.73094128398</v>
      </c>
      <c r="H169" s="139">
        <f t="shared" si="58"/>
        <v>177367.41350219827</v>
      </c>
      <c r="I169" s="139">
        <f t="shared" si="58"/>
        <v>181326.39576304698</v>
      </c>
      <c r="J169" s="139">
        <f t="shared" si="58"/>
        <v>185661.39778165548</v>
      </c>
      <c r="K169" s="148"/>
      <c r="L169" s="36"/>
      <c r="M169" s="36"/>
    </row>
    <row r="170" spans="3:13">
      <c r="C170" s="149" t="s">
        <v>124</v>
      </c>
      <c r="E170" s="139">
        <f t="shared" ref="E170:J170" si="59">E25</f>
        <v>7234</v>
      </c>
      <c r="F170" s="139">
        <f t="shared" si="59"/>
        <v>8473.0157223198967</v>
      </c>
      <c r="G170" s="139">
        <f t="shared" si="59"/>
        <v>8052.654852466866</v>
      </c>
      <c r="H170" s="139">
        <f t="shared" si="59"/>
        <v>8513.5401968799943</v>
      </c>
      <c r="I170" s="139">
        <f t="shared" si="59"/>
        <v>9125.2203049891577</v>
      </c>
      <c r="J170" s="139">
        <f t="shared" si="59"/>
        <v>8572.690046828222</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2899.723896289142</v>
      </c>
      <c r="F172" s="95">
        <f t="shared" si="61"/>
        <v>3422.6754046109736</v>
      </c>
      <c r="G172" s="95">
        <f t="shared" si="61"/>
        <v>4351.0194312038875</v>
      </c>
      <c r="H172" s="95">
        <f t="shared" si="61"/>
        <v>4488.3152747884424</v>
      </c>
      <c r="I172" s="95">
        <f t="shared" si="61"/>
        <v>4645.235728275924</v>
      </c>
      <c r="J172" s="95">
        <f t="shared" si="61"/>
        <v>4812.2242193141137</v>
      </c>
      <c r="K172" s="148"/>
      <c r="L172" s="36"/>
      <c r="M172" s="36"/>
    </row>
    <row r="173" spans="3:13">
      <c r="C173" s="149" t="s">
        <v>334</v>
      </c>
      <c r="E173" s="139">
        <f t="shared" ref="E173:J173" si="62">E169*WACC+E170*($D$46-1)+E171-E172</f>
        <v>12180.877002931042</v>
      </c>
      <c r="F173" s="139">
        <f t="shared" si="62"/>
        <v>11867.490442190381</v>
      </c>
      <c r="G173" s="139">
        <f t="shared" si="62"/>
        <v>11221.468340478668</v>
      </c>
      <c r="H173" s="139">
        <f t="shared" si="62"/>
        <v>11431.258555898312</v>
      </c>
      <c r="I173" s="139">
        <f t="shared" si="62"/>
        <v>11647.725938862419</v>
      </c>
      <c r="J173" s="139">
        <f t="shared" si="62"/>
        <v>11837.264147511174</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5876.7057472648867</v>
      </c>
      <c r="F176" s="310">
        <f t="shared" si="63"/>
        <v>5938.9800399379901</v>
      </c>
      <c r="G176" s="310">
        <f t="shared" si="63"/>
        <v>6058.4630320032802</v>
      </c>
      <c r="H176" s="310">
        <f t="shared" si="63"/>
        <v>6188.7037919187023</v>
      </c>
      <c r="I176" s="310">
        <f t="shared" si="63"/>
        <v>6326.8406009642349</v>
      </c>
      <c r="J176" s="310">
        <f t="shared" si="63"/>
        <v>6478.0974913975224</v>
      </c>
      <c r="K176" s="148"/>
      <c r="L176" s="36"/>
      <c r="M176" s="36"/>
    </row>
    <row r="177" spans="3:13">
      <c r="C177" s="149" t="s">
        <v>52</v>
      </c>
      <c r="E177" s="310">
        <f t="shared" ref="E177:J177" si="64">E142-E144</f>
        <v>0</v>
      </c>
      <c r="F177" s="310">
        <f t="shared" si="64"/>
        <v>100.37994553026056</v>
      </c>
      <c r="G177" s="310">
        <f t="shared" si="64"/>
        <v>221.22957799255528</v>
      </c>
      <c r="H177" s="310">
        <f t="shared" si="64"/>
        <v>377.62181639206119</v>
      </c>
      <c r="I177" s="310">
        <f t="shared" si="64"/>
        <v>542.1257526297959</v>
      </c>
      <c r="J177" s="310">
        <f t="shared" si="64"/>
        <v>715.70480082918948</v>
      </c>
      <c r="K177" s="148"/>
      <c r="L177" s="36"/>
      <c r="M177" s="36"/>
    </row>
    <row r="178" spans="3:13">
      <c r="C178" s="149" t="s">
        <v>53</v>
      </c>
      <c r="E178" s="310">
        <f t="shared" ref="E178:J178" si="65">E165+E177-E176</f>
        <v>3391.741238376555</v>
      </c>
      <c r="F178" s="310">
        <f t="shared" si="65"/>
        <v>3429.8468912337112</v>
      </c>
      <c r="G178" s="310">
        <f t="shared" si="65"/>
        <v>3431.2135316307167</v>
      </c>
      <c r="H178" s="310">
        <f t="shared" si="65"/>
        <v>3457.3650101148014</v>
      </c>
      <c r="I178" s="310">
        <f t="shared" si="65"/>
        <v>3483.7321373070026</v>
      </c>
      <c r="J178" s="310">
        <f t="shared" si="65"/>
        <v>3506.0542950731087</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5635.3221811466228</v>
      </c>
      <c r="F181" s="139">
        <f t="shared" si="66"/>
        <v>5890.6375853535319</v>
      </c>
      <c r="G181" s="139">
        <f t="shared" si="66"/>
        <v>6199.7764560896021</v>
      </c>
      <c r="H181" s="139">
        <f t="shared" si="66"/>
        <v>6535.1165800994841</v>
      </c>
      <c r="I181" s="139">
        <f t="shared" si="66"/>
        <v>6888.810298490107</v>
      </c>
      <c r="J181" s="139">
        <f t="shared" si="66"/>
        <v>7265.1720201337048</v>
      </c>
      <c r="K181" s="148"/>
      <c r="L181" s="36"/>
      <c r="M181" s="36"/>
    </row>
    <row r="182" spans="3:13">
      <c r="C182" s="149" t="s">
        <v>275</v>
      </c>
      <c r="E182" s="139">
        <f>E55</f>
        <v>168.12794537129605</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5803.4501265179188</v>
      </c>
      <c r="F183" s="95">
        <f>F181+F182</f>
        <v>5890.6375853535319</v>
      </c>
      <c r="G183" s="95">
        <f t="shared" ref="G183:J183" si="68">G181+G182</f>
        <v>6199.7764560896021</v>
      </c>
      <c r="H183" s="95">
        <f t="shared" si="68"/>
        <v>6535.1165800994841</v>
      </c>
      <c r="I183" s="95">
        <f t="shared" si="68"/>
        <v>6888.810298490107</v>
      </c>
      <c r="J183" s="95">
        <f t="shared" si="68"/>
        <v>7265.1720201337048</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42.936383973436293</v>
      </c>
      <c r="F186" s="139">
        <f t="shared" ref="F186:J186" si="69">F40</f>
        <v>44.85423521746398</v>
      </c>
      <c r="G186" s="139">
        <f t="shared" si="69"/>
        <v>45.558752000984363</v>
      </c>
      <c r="H186" s="139">
        <f t="shared" si="69"/>
        <v>46.419828069731487</v>
      </c>
      <c r="I186" s="139">
        <f t="shared" si="69"/>
        <v>47.398323602398676</v>
      </c>
      <c r="J186" s="139">
        <f t="shared" si="69"/>
        <v>48.455098777679247</v>
      </c>
      <c r="K186" s="148"/>
      <c r="L186" s="36"/>
      <c r="M186" s="36"/>
    </row>
    <row r="187" spans="3:13">
      <c r="E187" s="36"/>
      <c r="F187" s="95"/>
      <c r="G187" s="95"/>
      <c r="H187" s="95"/>
      <c r="I187" s="95"/>
      <c r="J187" s="95"/>
      <c r="K187" s="148"/>
      <c r="L187" s="36"/>
      <c r="M187" s="36"/>
    </row>
    <row r="188" spans="3:13" ht="15.75">
      <c r="C188" s="5" t="s">
        <v>297</v>
      </c>
      <c r="E188" s="139">
        <f t="shared" ref="E188:J188" si="70">E24</f>
        <v>8265.6569168820151</v>
      </c>
      <c r="F188" s="139">
        <f t="shared" si="70"/>
        <v>8510.6887582750405</v>
      </c>
      <c r="G188" s="139">
        <f t="shared" si="70"/>
        <v>8766.1873986952887</v>
      </c>
      <c r="H188" s="139">
        <f t="shared" si="70"/>
        <v>9008.28553059773</v>
      </c>
      <c r="I188" s="139">
        <f t="shared" si="70"/>
        <v>9264.4242256025245</v>
      </c>
      <c r="J188" s="139">
        <f t="shared" si="70"/>
        <v>9532.1902983299169</v>
      </c>
      <c r="K188" s="148"/>
      <c r="L188" s="309"/>
      <c r="M188" s="36"/>
    </row>
    <row r="189" spans="3:13">
      <c r="C189" s="149" t="s">
        <v>298</v>
      </c>
      <c r="E189" s="139">
        <f t="shared" ref="E189:J189" si="71">E188*$D$44</f>
        <v>8619.4970784099187</v>
      </c>
      <c r="F189" s="139">
        <f t="shared" si="71"/>
        <v>8875.0183590828292</v>
      </c>
      <c r="G189" s="139">
        <f t="shared" si="71"/>
        <v>9141.454506479904</v>
      </c>
      <c r="H189" s="139">
        <f t="shared" si="71"/>
        <v>9393.9164900349588</v>
      </c>
      <c r="I189" s="139">
        <f t="shared" si="71"/>
        <v>9661.0200917768016</v>
      </c>
      <c r="J189" s="139">
        <f t="shared" si="71"/>
        <v>9940.2488215414141</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-2545.5009658877061</v>
      </c>
      <c r="F192" s="310">
        <f t="shared" si="72"/>
        <v>-2580.6871519954475</v>
      </c>
      <c r="G192" s="310">
        <f t="shared" si="72"/>
        <v>-2471.2152666668826</v>
      </c>
      <c r="H192" s="310">
        <f t="shared" si="72"/>
        <v>-2507.7566307202651</v>
      </c>
      <c r="I192" s="310">
        <f t="shared" si="72"/>
        <v>-2546.643716166458</v>
      </c>
      <c r="J192" s="310">
        <f t="shared" si="72"/>
        <v>-2591.4887154336484</v>
      </c>
      <c r="K192" s="148"/>
      <c r="L192" s="309"/>
      <c r="M192" s="36"/>
    </row>
    <row r="193" spans="2:15">
      <c r="C193" s="149" t="s">
        <v>285</v>
      </c>
      <c r="E193" s="36"/>
      <c r="F193" s="310">
        <f>(F173+F183+F189+((F186-F188-F142+F178)*F52+F192)*$D45-F192-F186*$D47)/($D48-F52*$D45)</f>
        <v>31943.150552237927</v>
      </c>
      <c r="G193" s="310">
        <f>(G173+G183+G189+((G186-G188-G142+G178)*G52+G192)*$D45-G192-G186*$D47)/($D48-G52*$D45)</f>
        <v>31042.259007564244</v>
      </c>
      <c r="H193" s="310">
        <f>(H173+H183+H189+((H186-H188-H142+H178)*H52+H192)*$D45-H192-H186*$D47)/($D48-H52*$D45)</f>
        <v>31896.471386395173</v>
      </c>
      <c r="I193" s="310">
        <f>(I173+I183+I189+((I186-I188-I142+I178)*I52+I192)*$D45-I192-I186*$D47)/($D48-I52*$D45)</f>
        <v>32791.196221740007</v>
      </c>
      <c r="J193" s="310">
        <f>(J173+J183+J189+((J186-J188-J142+J178)*J52+J192)*$D45-J192-J186*$D47)/($D48-J52*$D45)</f>
        <v>33681.01357767688</v>
      </c>
      <c r="K193" s="148"/>
      <c r="L193" s="309"/>
      <c r="M193" s="36"/>
    </row>
    <row r="194" spans="2:15">
      <c r="C194" s="149" t="s">
        <v>293</v>
      </c>
      <c r="E194" s="36"/>
      <c r="F194" s="310">
        <f>(F193+F186-F188-F181+F178)*F52</f>
        <v>6304.9576005181589</v>
      </c>
      <c r="G194" s="310">
        <f>(G193+G186-G188-G181+G178)*G52</f>
        <v>5474.8588821950952</v>
      </c>
      <c r="H194" s="310">
        <f>(H193+H186-H188-H181+H178)*H52</f>
        <v>5559.9191518870966</v>
      </c>
      <c r="I194" s="310">
        <f>(I193+I186-I188-I181+I178)*I52</f>
        <v>5647.3458043958981</v>
      </c>
      <c r="J194" s="310">
        <f>(J193+J186-J188-J181+J178)*J52</f>
        <v>5722.6849828579343</v>
      </c>
      <c r="K194" s="148"/>
      <c r="L194" s="309"/>
      <c r="M194" s="36"/>
    </row>
    <row r="195" spans="2:15">
      <c r="C195" s="149" t="s">
        <v>277</v>
      </c>
      <c r="E195" s="36"/>
      <c r="F195" s="310">
        <f>IF(F194&lt;0,#N/A,F194)</f>
        <v>6304.9576005181589</v>
      </c>
      <c r="G195" s="310">
        <f t="shared" ref="G195:J195" si="73">IF(G194&lt;0,#N/A,G194)</f>
        <v>5474.8588821950952</v>
      </c>
      <c r="H195" s="310">
        <f t="shared" si="73"/>
        <v>5559.9191518870966</v>
      </c>
      <c r="I195" s="310">
        <f>IF(I194&lt;0,#N/A,I194)</f>
        <v>5647.3458043958981</v>
      </c>
      <c r="J195" s="310">
        <f t="shared" si="73"/>
        <v>5722.6849828579343</v>
      </c>
      <c r="K195" s="148"/>
      <c r="L195" s="309"/>
      <c r="M195" s="36"/>
    </row>
    <row r="196" spans="2:15">
      <c r="C196" s="149" t="s">
        <v>286</v>
      </c>
      <c r="E196" s="36"/>
      <c r="F196" s="310">
        <f>F173+F183+F189+(F195+F192)*$D$45-F192-F186*$D$47</f>
        <v>33050.759946257574</v>
      </c>
      <c r="G196" s="310">
        <f>G173+G183+G189+(G195+G192)*$D$45-G192-G186*$D$47</f>
        <v>32118.630533038595</v>
      </c>
      <c r="H196" s="310">
        <f>H173+H183+H189+(H195+H192)*$D$45-H192-H186*$D$47</f>
        <v>33002.462208617777</v>
      </c>
      <c r="I196" s="310">
        <f>I173+I183+I189+(I195+I192)*$D$45-I192-I186*$D$47</f>
        <v>33928.211085597773</v>
      </c>
      <c r="J196" s="310">
        <f>J173+J183+J189+(J195+J192)*$D$45-J192-J186*$D$47</f>
        <v>34848.882319294309</v>
      </c>
      <c r="K196" s="148"/>
      <c r="L196" s="309"/>
      <c r="M196" s="36"/>
    </row>
    <row r="197" spans="2:15">
      <c r="C197" s="149" t="s">
        <v>287</v>
      </c>
      <c r="E197" s="36"/>
      <c r="F197" s="310">
        <f>F196/$D$48</f>
        <v>31943.150552237927</v>
      </c>
      <c r="G197" s="310">
        <f t="shared" ref="G197:J197" si="74">G196/$D$48</f>
        <v>31042.259007564244</v>
      </c>
      <c r="H197" s="310">
        <f t="shared" si="74"/>
        <v>31896.471386395169</v>
      </c>
      <c r="I197" s="310">
        <f t="shared" si="74"/>
        <v>32791.196221740014</v>
      </c>
      <c r="J197" s="310">
        <f t="shared" si="74"/>
        <v>33681.01357767688</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3724.2704485227114</v>
      </c>
      <c r="G199" s="310">
        <f t="shared" ref="G199:J199" si="75">G195+G192</f>
        <v>3003.6436155282126</v>
      </c>
      <c r="H199" s="310">
        <f t="shared" si="75"/>
        <v>3052.1625211668315</v>
      </c>
      <c r="I199" s="310">
        <f t="shared" si="75"/>
        <v>3100.7020882294401</v>
      </c>
      <c r="J199" s="310">
        <f t="shared" si="75"/>
        <v>3131.1962674242859</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33002.462208617777</v>
      </c>
      <c r="I204" s="310">
        <f>I196</f>
        <v>33928.211085597773</v>
      </c>
      <c r="J204" s="310">
        <f>J196</f>
        <v>34848.882319294309</v>
      </c>
      <c r="K204" s="148"/>
      <c r="L204" s="36"/>
      <c r="M204" s="36"/>
    </row>
    <row r="205" spans="2:15">
      <c r="B205" s="149" t="s">
        <v>247</v>
      </c>
      <c r="C205" s="149" t="s">
        <v>249</v>
      </c>
      <c r="D205" s="155"/>
      <c r="E205" s="36"/>
      <c r="F205" s="310"/>
      <c r="G205" s="310"/>
      <c r="H205" s="310">
        <f>H204/(1+WACC)^H$203</f>
        <v>30341.511637967989</v>
      </c>
      <c r="I205" s="310">
        <f>I204/(1+WACC)^I$203</f>
        <v>28677.59349796057</v>
      </c>
      <c r="J205" s="310">
        <f>J204/(1+WACC)^J$203</f>
        <v>27080.798658191416</v>
      </c>
      <c r="K205" s="148"/>
      <c r="L205" s="36"/>
      <c r="M205" s="36"/>
    </row>
    <row r="206" spans="2:15">
      <c r="B206" s="149" t="s">
        <v>247</v>
      </c>
      <c r="C206" s="149" t="s">
        <v>159</v>
      </c>
      <c r="D206" s="92">
        <f>SUM(H205:J205)</f>
        <v>86099.903794119979</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86099.903794119979</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1.0247819421699895</v>
      </c>
      <c r="J211" s="316">
        <f>I211*(1+J$31)*(1+J$26)*(1-X_industry_wide)</f>
        <v>1.0504923967102187</v>
      </c>
      <c r="K211" s="148"/>
      <c r="L211" s="36" t="s">
        <v>509</v>
      </c>
      <c r="M211" s="36"/>
    </row>
    <row r="212" spans="1:13">
      <c r="C212" s="149" t="s">
        <v>160</v>
      </c>
      <c r="D212" s="155"/>
      <c r="E212" s="36"/>
      <c r="F212" s="317"/>
      <c r="G212" s="316"/>
      <c r="H212" s="316">
        <f>H211/(1+WACC)^H$203</f>
        <v>0.91937115013330895</v>
      </c>
      <c r="I212" s="316">
        <f>I211/(1+WACC)^I$203</f>
        <v>0.86619008256749974</v>
      </c>
      <c r="J212" s="316">
        <f>J211/(1+WACC)^J$203</f>
        <v>0.81632956909840004</v>
      </c>
      <c r="K212" s="148"/>
      <c r="L212" s="36" t="s">
        <v>280</v>
      </c>
      <c r="M212" s="36"/>
    </row>
    <row r="213" spans="1:13">
      <c r="C213" s="149" t="s">
        <v>99</v>
      </c>
      <c r="D213" s="140">
        <f>SUM(H212:J212)</f>
        <v>2.6018908017992088</v>
      </c>
      <c r="E213" s="36"/>
      <c r="F213" s="317"/>
      <c r="G213" s="316"/>
      <c r="H213" s="316"/>
      <c r="I213" s="316"/>
      <c r="J213" s="316"/>
      <c r="K213" s="148"/>
      <c r="L213" s="36" t="s">
        <v>510</v>
      </c>
      <c r="M213" s="36"/>
    </row>
    <row r="214" spans="1:13">
      <c r="C214" s="149" t="s">
        <v>256</v>
      </c>
      <c r="D214" s="26">
        <f>D210/D213</f>
        <v>33091.282591330062</v>
      </c>
      <c r="E214" s="36"/>
      <c r="F214" s="317"/>
      <c r="G214" s="316"/>
      <c r="H214" s="310"/>
      <c r="I214" s="310"/>
      <c r="J214" s="310"/>
      <c r="K214" s="148"/>
      <c r="L214" s="36"/>
      <c r="M214" s="36"/>
    </row>
    <row r="215" spans="1:13">
      <c r="C215" s="149" t="s">
        <v>252</v>
      </c>
      <c r="D215" s="26"/>
      <c r="E215" s="36"/>
      <c r="F215" s="317"/>
      <c r="G215" s="316"/>
      <c r="H215" s="310">
        <f t="shared" ref="H215:J215" si="76">$D214*H211</f>
        <v>33091.282591330062</v>
      </c>
      <c r="I215" s="310">
        <f t="shared" si="76"/>
        <v>33911.348842839187</v>
      </c>
      <c r="J215" s="310">
        <f t="shared" si="76"/>
        <v>34762.140759581453</v>
      </c>
      <c r="K215" s="148"/>
      <c r="L215" s="36" t="s">
        <v>243</v>
      </c>
      <c r="M215" s="36"/>
    </row>
    <row r="216" spans="1:13">
      <c r="C216" s="149" t="s">
        <v>253</v>
      </c>
      <c r="D216" s="26"/>
      <c r="E216" s="36"/>
      <c r="F216" s="317"/>
      <c r="G216" s="316"/>
      <c r="H216" s="247">
        <f t="shared" ref="H216:J216" si="77">H215/$D$48</f>
        <v>31982.315187315311</v>
      </c>
      <c r="I216" s="247">
        <f t="shared" si="77"/>
        <v>32774.899072749737</v>
      </c>
      <c r="J216" s="247">
        <f t="shared" si="77"/>
        <v>33597.178933464485</v>
      </c>
      <c r="K216" s="148"/>
      <c r="L216" s="36" t="s">
        <v>245</v>
      </c>
      <c r="M216" s="36"/>
    </row>
    <row r="217" spans="1:13">
      <c r="C217" s="149" t="s">
        <v>252</v>
      </c>
      <c r="D217" s="26"/>
      <c r="E217" s="36"/>
      <c r="F217" s="317"/>
      <c r="G217" s="316"/>
      <c r="H217" s="247">
        <f>H216*$D$48</f>
        <v>33091.282591330062</v>
      </c>
      <c r="I217" s="247">
        <f t="shared" ref="I217:J217" si="78">I216*$D$48</f>
        <v>33911.348842839187</v>
      </c>
      <c r="J217" s="247">
        <f t="shared" si="78"/>
        <v>34762.140759581453</v>
      </c>
      <c r="K217" s="148"/>
      <c r="L217" s="36" t="s">
        <v>299</v>
      </c>
      <c r="M217" s="36"/>
    </row>
    <row r="218" spans="1:13">
      <c r="C218" s="149" t="s">
        <v>254</v>
      </c>
      <c r="D218" s="155"/>
      <c r="E218" s="36"/>
      <c r="F218" s="317"/>
      <c r="G218" s="316"/>
      <c r="H218" s="310">
        <f>H215/(1+WACC)^H$203</f>
        <v>30423.170535377463</v>
      </c>
      <c r="I218" s="310">
        <f>I215/(1+WACC)^I$203</f>
        <v>28663.340800048656</v>
      </c>
      <c r="J218" s="310">
        <f>J215/(1+WACC)^J$203</f>
        <v>27013.392458693856</v>
      </c>
      <c r="K218" s="148"/>
      <c r="L218" s="36" t="s">
        <v>246</v>
      </c>
      <c r="M218" s="36"/>
    </row>
    <row r="219" spans="1:13">
      <c r="C219" s="149" t="s">
        <v>255</v>
      </c>
      <c r="D219" s="26">
        <f>SUM(H218:J218)</f>
        <v>86099.903794119979</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55676.733258742512</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1.1749948577632382E-3</v>
      </c>
      <c r="G226" s="204">
        <f t="shared" ref="G226:J226" si="80">G$26</f>
        <v>-8.0534829636515707E-3</v>
      </c>
      <c r="H226" s="204">
        <f t="shared" si="80"/>
        <v>3.3986784083851265E-3</v>
      </c>
      <c r="I226" s="204">
        <f t="shared" si="80"/>
        <v>3.221823687710641E-4</v>
      </c>
      <c r="J226" s="204">
        <f t="shared" si="80"/>
        <v>8.0343321717298998E-4</v>
      </c>
      <c r="K226" s="148"/>
      <c r="L226" s="36"/>
      <c r="M226" s="36"/>
    </row>
    <row r="227" spans="1:14">
      <c r="A227" s="19"/>
      <c r="B227" s="19" t="s">
        <v>263</v>
      </c>
      <c r="C227" s="149" t="s">
        <v>411</v>
      </c>
      <c r="E227" s="163">
        <f>E$8-E$9-E$10</f>
        <v>23704.090899999996</v>
      </c>
      <c r="F227" s="247">
        <f>E227*(1+F225)*(1+F226)*(1-X_industry_wide)</f>
        <v>24316.944763235242</v>
      </c>
      <c r="G227" s="247">
        <f>F227*(1+G225)*(1+G226)*(1-X_industry_wide)</f>
        <v>24550.746730642717</v>
      </c>
      <c r="H227" s="320">
        <f>G227*(1+H225)*(1+H226)*(1-X_industry_wide)</f>
        <v>25765.119945815906</v>
      </c>
      <c r="I227" s="247">
        <f>H227*(1+I225)*(1+I226)*(1-X_industry_wide)</f>
        <v>26403.62965831596</v>
      </c>
      <c r="J227" s="247">
        <f>I227*(1+J225)*(1+J226)*(1-X_industry_wide)</f>
        <v>27066.062603406408</v>
      </c>
      <c r="K227" s="148"/>
      <c r="L227" s="300"/>
      <c r="M227" s="36"/>
    </row>
    <row r="228" spans="1:14">
      <c r="A228" s="19"/>
      <c r="B228" s="19"/>
      <c r="C228" s="149" t="s">
        <v>358</v>
      </c>
      <c r="E228" s="215"/>
      <c r="F228" s="247"/>
      <c r="G228" s="320">
        <f>G227*$D$48</f>
        <v>25402.029000517374</v>
      </c>
      <c r="H228" s="320">
        <f>H227*$D$48</f>
        <v>26658.509871251092</v>
      </c>
      <c r="I228" s="320">
        <f>I227*$D$48</f>
        <v>27319.159521218531</v>
      </c>
      <c r="J228" s="320">
        <f>J227*$D$48</f>
        <v>28004.561927373579</v>
      </c>
      <c r="K228" s="148"/>
      <c r="L228" s="300"/>
      <c r="M228" s="36"/>
    </row>
    <row r="229" spans="1:14">
      <c r="A229" s="19"/>
      <c r="B229" s="19" t="s">
        <v>263</v>
      </c>
      <c r="C229" s="149" t="s">
        <v>335</v>
      </c>
      <c r="D229" s="92">
        <f>H227</f>
        <v>25765.119945815906</v>
      </c>
      <c r="E229" s="36"/>
      <c r="F229" s="247"/>
      <c r="G229" s="310"/>
      <c r="H229" s="310"/>
      <c r="I229" s="310"/>
      <c r="J229" s="310"/>
      <c r="K229" s="148"/>
      <c r="L229" s="300"/>
      <c r="M229" s="36"/>
    </row>
    <row r="230" spans="1:14">
      <c r="B230" s="19" t="s">
        <v>263</v>
      </c>
      <c r="C230" s="149" t="s">
        <v>336</v>
      </c>
      <c r="D230" s="92">
        <f>D214/D48</f>
        <v>31982.315187315311</v>
      </c>
      <c r="E230" s="36"/>
      <c r="F230" s="321"/>
      <c r="G230" s="310"/>
      <c r="H230" s="310"/>
      <c r="I230" s="310"/>
      <c r="J230" s="310"/>
      <c r="K230" s="148"/>
      <c r="L230" s="36"/>
      <c r="M230" s="36"/>
    </row>
    <row r="231" spans="1:14">
      <c r="B231" s="19" t="s">
        <v>263</v>
      </c>
      <c r="C231" s="149" t="s">
        <v>329</v>
      </c>
      <c r="D231" s="32">
        <f>(D230-D229)/D229</f>
        <v>0.24130278665786062</v>
      </c>
      <c r="E231" s="36"/>
      <c r="F231" s="247"/>
      <c r="G231" s="310"/>
      <c r="H231" s="310"/>
      <c r="I231" s="310"/>
      <c r="J231" s="310"/>
      <c r="K231" s="310"/>
      <c r="L231" s="310"/>
      <c r="M231" s="310"/>
      <c r="N231" s="19"/>
    </row>
    <row r="232" spans="1:14">
      <c r="C232" s="149" t="s">
        <v>452</v>
      </c>
      <c r="D232" s="125">
        <f>NPV(WACC,H228:J228)</f>
        <v>69362.531623681614</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6217.1952414994048</v>
      </c>
      <c r="F235" s="36"/>
      <c r="G235" s="36"/>
      <c r="H235" s="36"/>
      <c r="I235" s="310"/>
      <c r="J235" s="310"/>
      <c r="K235" s="148"/>
      <c r="L235" s="36"/>
      <c r="M235" s="36"/>
    </row>
    <row r="236" spans="1:14">
      <c r="C236" s="149" t="s">
        <v>341</v>
      </c>
      <c r="D236" s="94"/>
      <c r="E236" s="310">
        <f>H217-H228</f>
        <v>6432.7727200789705</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55676.733258742512</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-0.15</v>
      </c>
      <c r="K243" s="148"/>
      <c r="L243" s="36"/>
      <c r="M243" s="36"/>
    </row>
    <row r="244" spans="1:13">
      <c r="A244" s="155"/>
      <c r="B244" s="155" t="s">
        <v>264</v>
      </c>
      <c r="C244" s="149" t="s">
        <v>257</v>
      </c>
      <c r="D244" s="155"/>
      <c r="E244" s="36"/>
      <c r="F244" s="317"/>
      <c r="G244" s="316"/>
      <c r="H244" s="316"/>
      <c r="I244" s="162">
        <v>1</v>
      </c>
      <c r="J244" s="316">
        <f>I244*(1+J$31)*(1+J$26)*(1-J243)</f>
        <v>1.178852013784176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0.91607684116221122</v>
      </c>
      <c r="K245" s="148"/>
      <c r="L245" s="36" t="s">
        <v>280</v>
      </c>
      <c r="M245" s="36"/>
    </row>
    <row r="246" spans="1:13">
      <c r="A246" s="155"/>
      <c r="B246" s="155" t="s">
        <v>264</v>
      </c>
      <c r="C246" s="149" t="s">
        <v>99</v>
      </c>
      <c r="D246" s="140">
        <f>SUM(I245:J245)</f>
        <v>1.7613201528596545</v>
      </c>
      <c r="E246" s="36"/>
      <c r="F246" s="317"/>
      <c r="G246" s="316"/>
      <c r="H246" s="316"/>
      <c r="I246" s="316"/>
      <c r="J246" s="316"/>
      <c r="K246" s="148"/>
      <c r="L246" s="36" t="s">
        <v>510</v>
      </c>
      <c r="M246" s="36"/>
    </row>
    <row r="247" spans="1:13">
      <c r="A247" s="155"/>
      <c r="B247" s="155" t="s">
        <v>264</v>
      </c>
      <c r="C247" s="149" t="s">
        <v>256</v>
      </c>
      <c r="D247" s="26">
        <f>D242/D246</f>
        <v>31610.796690395302</v>
      </c>
      <c r="E247" s="36"/>
      <c r="F247" s="317"/>
      <c r="G247" s="316"/>
      <c r="H247" s="310"/>
      <c r="I247" s="310"/>
      <c r="J247" s="310"/>
      <c r="K247" s="148"/>
      <c r="L247" s="36"/>
      <c r="M247" s="36"/>
    </row>
    <row r="248" spans="1:13">
      <c r="A248" s="155"/>
      <c r="B248" s="155" t="s">
        <v>264</v>
      </c>
      <c r="C248" s="149" t="s">
        <v>252</v>
      </c>
      <c r="D248" s="26"/>
      <c r="E248" s="36"/>
      <c r="F248" s="317"/>
      <c r="G248" s="316"/>
      <c r="H248" s="163">
        <f>H215</f>
        <v>33091.282591330062</v>
      </c>
      <c r="I248" s="310">
        <f t="shared" ref="I248:J248" si="81">$D247*I244</f>
        <v>31610.796690395302</v>
      </c>
      <c r="J248" s="310">
        <f t="shared" si="81"/>
        <v>37264.451335794671</v>
      </c>
      <c r="K248" s="148"/>
      <c r="L248" s="36" t="s">
        <v>243</v>
      </c>
      <c r="M248" s="36"/>
    </row>
    <row r="249" spans="1:13">
      <c r="A249" s="155"/>
      <c r="B249" s="155" t="s">
        <v>264</v>
      </c>
      <c r="C249" s="149" t="s">
        <v>253</v>
      </c>
      <c r="D249" s="26"/>
      <c r="E249" s="36"/>
      <c r="F249" s="317"/>
      <c r="G249" s="316"/>
      <c r="H249" s="247">
        <f>H248/$D$48</f>
        <v>31982.315187315311</v>
      </c>
      <c r="I249" s="247">
        <f>I248/$D$48</f>
        <v>30551.443882058695</v>
      </c>
      <c r="J249" s="247">
        <f>J248/$D$48</f>
        <v>36015.631144379142</v>
      </c>
      <c r="K249" s="148"/>
      <c r="L249" s="36" t="s">
        <v>245</v>
      </c>
      <c r="M249" s="36"/>
    </row>
    <row r="250" spans="1:13">
      <c r="A250" s="155"/>
      <c r="B250" s="155" t="s">
        <v>264</v>
      </c>
      <c r="C250" s="149" t="s">
        <v>370</v>
      </c>
      <c r="D250" s="155"/>
      <c r="E250" s="36"/>
      <c r="F250" s="317"/>
      <c r="G250" s="316"/>
      <c r="H250" s="310"/>
      <c r="I250" s="310">
        <f>I248/(1+WACC)^I$203</f>
        <v>26718.814479984307</v>
      </c>
      <c r="J250" s="310">
        <f>J248/(1+WACC)^J$203</f>
        <v>28957.918778758209</v>
      </c>
      <c r="K250" s="148"/>
      <c r="L250" s="36" t="s">
        <v>299</v>
      </c>
      <c r="M250" s="36"/>
    </row>
    <row r="251" spans="1:13">
      <c r="A251" s="155"/>
      <c r="B251" s="155" t="s">
        <v>264</v>
      </c>
      <c r="C251" s="149" t="s">
        <v>255</v>
      </c>
      <c r="D251" s="26">
        <f>SUM(I250:J250)</f>
        <v>55676.733258742519</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5583.9554161447368</v>
      </c>
      <c r="I253" s="324">
        <f>(I249+I186-I$188-I$181+I$178)*I$52</f>
        <v>5020.2151492851308</v>
      </c>
      <c r="J253" s="324">
        <f>(J249+J186-J$188-J$181+J$178)*J$52</f>
        <v>6376.3779015345681</v>
      </c>
      <c r="K253" s="247"/>
      <c r="L253" s="36"/>
      <c r="M253" s="36"/>
    </row>
    <row r="254" spans="1:13">
      <c r="A254" s="155"/>
      <c r="B254" s="214" t="s">
        <v>264</v>
      </c>
      <c r="C254" s="143" t="s">
        <v>325</v>
      </c>
      <c r="D254" s="214"/>
      <c r="E254" s="36"/>
      <c r="F254" s="322"/>
      <c r="G254" s="323"/>
      <c r="H254" s="324">
        <f>H253+H192</f>
        <v>3076.1987854244717</v>
      </c>
      <c r="I254" s="324">
        <f>I253+I192</f>
        <v>2473.5714331186728</v>
      </c>
      <c r="J254" s="324">
        <f>J253+J192</f>
        <v>3784.8891861009197</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30184.691297609177</v>
      </c>
      <c r="G257" s="138">
        <f>H257/((1+H32)*(1+H26)*(1+X_industry_wide))</f>
        <v>30474.910331278166</v>
      </c>
      <c r="H257" s="310">
        <f>H249</f>
        <v>31982.315187315311</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1.0037219557714165</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26658.509871251092</v>
      </c>
      <c r="I266" s="334">
        <f>H266*(1+I$225)*(1+I$226)*(1+$E265)</f>
        <v>31417.033449401308</v>
      </c>
      <c r="J266" s="247">
        <f>I266*(1+J$225)*(1+J$226)*(1-$J243)</f>
        <v>37036.033148951552</v>
      </c>
      <c r="K266" s="36"/>
      <c r="L266" s="36"/>
      <c r="M266" s="36"/>
    </row>
    <row r="267" spans="3:14">
      <c r="C267" s="149" t="s">
        <v>409</v>
      </c>
      <c r="D267" s="94"/>
      <c r="E267" s="36"/>
      <c r="F267" s="36"/>
      <c r="G267" s="36"/>
      <c r="H267" s="247">
        <f>H266/$D$48</f>
        <v>25765.119945815906</v>
      </c>
      <c r="I267" s="247">
        <f t="shared" ref="I267:J267" si="82">I266/$D$48</f>
        <v>30364.174107063354</v>
      </c>
      <c r="J267" s="247">
        <f t="shared" si="82"/>
        <v>35794.867793004967</v>
      </c>
      <c r="K267" s="36"/>
      <c r="L267" s="36"/>
      <c r="M267" s="36"/>
    </row>
    <row r="268" spans="3:14">
      <c r="C268" s="149" t="s">
        <v>347</v>
      </c>
      <c r="D268" s="94"/>
      <c r="E268" s="36"/>
      <c r="F268" s="36"/>
      <c r="G268" s="36"/>
      <c r="H268" s="247">
        <f>H266/(1+WACC)^H$203</f>
        <v>24509.064881172286</v>
      </c>
      <c r="I268" s="247">
        <f>I266/(1+WACC)^I$203</f>
        <v>26555.037396481312</v>
      </c>
      <c r="J268" s="247">
        <f>J266/(1+WACC)^J$203</f>
        <v>28780.41676101508</v>
      </c>
      <c r="K268" s="36"/>
      <c r="L268" s="36"/>
      <c r="M268" s="36"/>
    </row>
    <row r="269" spans="3:14">
      <c r="C269" s="149" t="s">
        <v>348</v>
      </c>
      <c r="D269" s="94"/>
      <c r="E269" s="310">
        <f>SUM(H268:J268)</f>
        <v>79844.519038668674</v>
      </c>
      <c r="F269" s="36"/>
      <c r="G269" s="36"/>
      <c r="H269" s="36"/>
      <c r="I269" s="36"/>
      <c r="J269" s="36"/>
      <c r="K269" s="36"/>
      <c r="L269" s="36"/>
      <c r="M269" s="36"/>
    </row>
    <row r="270" spans="3:14">
      <c r="C270" s="149" t="str">
        <f>C206</f>
        <v>PV of BBAR before tax over the PV period</v>
      </c>
      <c r="E270" s="310">
        <f>D206</f>
        <v>86099.903794119979</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30184.691297609177</v>
      </c>
      <c r="G274" s="247">
        <f t="shared" ref="G274:H274" si="83">G257</f>
        <v>30474.910331278166</v>
      </c>
      <c r="H274" s="333">
        <f t="shared" si="83"/>
        <v>31982.315187315311</v>
      </c>
      <c r="I274" s="310">
        <f>I249</f>
        <v>30551.443882058695</v>
      </c>
      <c r="J274" s="310">
        <f>J249</f>
        <v>36015.631144379142</v>
      </c>
      <c r="K274" s="36"/>
      <c r="L274" s="36"/>
      <c r="M274" s="36"/>
    </row>
    <row r="275" spans="3:13">
      <c r="C275" s="149" t="s">
        <v>407</v>
      </c>
      <c r="D275" s="94"/>
      <c r="E275" s="36"/>
      <c r="F275" s="247">
        <f>F274</f>
        <v>30184.691297609177</v>
      </c>
      <c r="G275" s="247">
        <f t="shared" ref="G275:H275" si="84">G274</f>
        <v>30474.910331278166</v>
      </c>
      <c r="H275" s="333">
        <f t="shared" si="84"/>
        <v>31982.315187315311</v>
      </c>
      <c r="I275" s="247">
        <f>I267</f>
        <v>30364.174107063354</v>
      </c>
      <c r="J275" s="247">
        <f>J267</f>
        <v>35794.867793004967</v>
      </c>
      <c r="K275" s="36"/>
      <c r="L275" s="36"/>
      <c r="M275" s="36"/>
    </row>
    <row r="276" spans="3:13">
      <c r="C276" s="149" t="s">
        <v>408</v>
      </c>
      <c r="D276" s="94"/>
      <c r="E276" s="36"/>
      <c r="F276" s="247">
        <f>IF($E$22=-15%,F275,F274)</f>
        <v>30184.691297609177</v>
      </c>
      <c r="G276" s="247">
        <f t="shared" ref="G276:J276" si="85">IF($E$22=-15%,G275,G274)</f>
        <v>30474.910331278166</v>
      </c>
      <c r="H276" s="247">
        <f t="shared" si="85"/>
        <v>31982.315187315311</v>
      </c>
      <c r="I276" s="247">
        <f t="shared" si="85"/>
        <v>30364.174107063354</v>
      </c>
      <c r="J276" s="247">
        <f t="shared" si="85"/>
        <v>35794.867793004967</v>
      </c>
      <c r="K276" s="36"/>
      <c r="L276" s="36"/>
      <c r="M276" s="36"/>
    </row>
    <row r="277" spans="3:13">
      <c r="C277" s="149" t="s">
        <v>449</v>
      </c>
      <c r="D277" s="94"/>
      <c r="E277" s="328">
        <f>(I276/H267)/((1+I225)*(1+I226))-1</f>
        <v>0.15000000000000013</v>
      </c>
      <c r="F277" s="247"/>
      <c r="G277" s="247"/>
      <c r="H277" s="247"/>
      <c r="I277" s="36"/>
      <c r="J277" s="36"/>
      <c r="K277" s="36"/>
      <c r="L277" s="36"/>
      <c r="M277" s="36"/>
    </row>
    <row r="278" spans="3:13">
      <c r="C278" s="149" t="s">
        <v>450</v>
      </c>
      <c r="D278" s="94"/>
      <c r="E278" s="328">
        <f>(J276/I276)/((1+J225)*(1+J226))-1</f>
        <v>0.14999999999999991</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26403.62965831596</v>
      </c>
      <c r="E281" s="36"/>
      <c r="F281" s="313"/>
      <c r="G281" s="36"/>
      <c r="H281" s="36"/>
      <c r="I281" s="36"/>
      <c r="J281" s="36"/>
      <c r="K281" s="36"/>
      <c r="L281" s="36"/>
      <c r="M281" s="36"/>
    </row>
    <row r="282" spans="3:13">
      <c r="C282" s="149" t="s">
        <v>443</v>
      </c>
      <c r="D282" s="19">
        <f>I276</f>
        <v>30364.174107063354</v>
      </c>
      <c r="E282" s="36"/>
      <c r="F282" s="313"/>
      <c r="G282" s="36"/>
      <c r="H282" s="36"/>
      <c r="I282" s="36"/>
      <c r="J282" s="36"/>
      <c r="K282" s="36"/>
      <c r="L282" s="36"/>
      <c r="M282" s="36"/>
    </row>
    <row r="283" spans="3:13">
      <c r="C283" s="149" t="s">
        <v>445</v>
      </c>
      <c r="D283" s="152">
        <f>(D282-D281)/D281</f>
        <v>0.15</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69362.531623681614</v>
      </c>
      <c r="G286" s="36"/>
      <c r="H286" s="36"/>
      <c r="I286" s="36"/>
      <c r="J286" s="36"/>
      <c r="K286" s="36"/>
      <c r="L286" s="36"/>
      <c r="M286" s="36"/>
    </row>
    <row r="287" spans="3:13">
      <c r="C287" s="149" t="str">
        <f>C206</f>
        <v>PV of BBAR before tax over the PV period</v>
      </c>
      <c r="E287" s="36"/>
      <c r="F287" s="310">
        <f>D206</f>
        <v>86099.903794119979</v>
      </c>
      <c r="G287" s="36"/>
      <c r="H287" s="36"/>
      <c r="I287" s="36"/>
      <c r="J287" s="36"/>
      <c r="K287" s="36"/>
      <c r="L287" s="36"/>
      <c r="M287" s="36"/>
    </row>
    <row r="288" spans="3:13">
      <c r="C288" s="149" t="s">
        <v>405</v>
      </c>
      <c r="D288" s="94"/>
      <c r="E288" s="36"/>
      <c r="F288" s="247">
        <f>F286-F287</f>
        <v>-16737.372170438364</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-177367.41350219827</v>
      </c>
      <c r="F293" s="247"/>
      <c r="G293" s="310"/>
      <c r="H293" s="310"/>
      <c r="I293" s="310"/>
      <c r="J293" s="310"/>
      <c r="K293" s="310"/>
      <c r="L293" s="36"/>
      <c r="M293" s="36"/>
      <c r="N293" s="19">
        <f>J$143+J$166</f>
        <v>189189.65131223045</v>
      </c>
    </row>
    <row r="294" spans="3:14">
      <c r="C294" s="149" t="s">
        <v>57</v>
      </c>
      <c r="D294" s="19"/>
      <c r="E294" s="90"/>
      <c r="F294" s="247"/>
      <c r="G294" s="138">
        <f>H$249</f>
        <v>31982.315187315311</v>
      </c>
      <c r="H294" s="36">
        <v>0</v>
      </c>
      <c r="I294" s="36">
        <v>0</v>
      </c>
      <c r="J294" s="164">
        <f>I$249</f>
        <v>30551.443882058695</v>
      </c>
      <c r="K294" s="310">
        <v>0</v>
      </c>
      <c r="L294" s="138">
        <v>0</v>
      </c>
      <c r="M294" s="310">
        <f>J$249</f>
        <v>36015.631144379142</v>
      </c>
    </row>
    <row r="295" spans="3:14">
      <c r="C295" s="149" t="s">
        <v>234</v>
      </c>
      <c r="D295" s="19"/>
      <c r="E295" s="299"/>
      <c r="F295" s="320">
        <f>H186</f>
        <v>46.419828069731487</v>
      </c>
      <c r="G295" s="215"/>
      <c r="H295" s="300"/>
      <c r="I295" s="216">
        <f>I186</f>
        <v>47.398323602398676</v>
      </c>
      <c r="J295" s="215"/>
      <c r="K295" s="215"/>
      <c r="L295" s="215">
        <f>J186</f>
        <v>48.455098777679247</v>
      </c>
      <c r="M295" s="215"/>
    </row>
    <row r="296" spans="3:14">
      <c r="C296" s="149" t="s">
        <v>54</v>
      </c>
      <c r="D296" s="19"/>
      <c r="E296" s="299"/>
      <c r="F296" s="320">
        <f>-H$24</f>
        <v>-9008.28553059773</v>
      </c>
      <c r="G296" s="300"/>
      <c r="H296" s="215"/>
      <c r="I296" s="215">
        <f>-I$24</f>
        <v>-9264.4242256025245</v>
      </c>
      <c r="J296" s="300"/>
      <c r="K296" s="215"/>
      <c r="L296" s="215">
        <f>-J$24</f>
        <v>-9532.1902983299169</v>
      </c>
      <c r="M296" s="300"/>
    </row>
    <row r="297" spans="3:14">
      <c r="C297" s="149" t="s">
        <v>125</v>
      </c>
      <c r="D297" s="19"/>
      <c r="E297" s="299"/>
      <c r="F297" s="320">
        <f>-H$25</f>
        <v>-8513.5401968799943</v>
      </c>
      <c r="G297" s="300"/>
      <c r="H297" s="215"/>
      <c r="I297" s="215">
        <f>-I$25</f>
        <v>-9125.2203049891577</v>
      </c>
      <c r="J297" s="300"/>
      <c r="K297" s="215"/>
      <c r="L297" s="215">
        <f>-J$25</f>
        <v>-8572.690046828222</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-3076.1987854244717</v>
      </c>
      <c r="G299" s="300">
        <v>0</v>
      </c>
      <c r="H299" s="300">
        <v>0</v>
      </c>
      <c r="I299" s="336">
        <f>-I$254</f>
        <v>-2473.5714331186728</v>
      </c>
      <c r="J299" s="215">
        <v>0</v>
      </c>
      <c r="K299" s="163">
        <v>0</v>
      </c>
      <c r="L299" s="215">
        <f>-J$254</f>
        <v>-3784.8891861009197</v>
      </c>
      <c r="M299" s="300"/>
    </row>
    <row r="300" spans="3:14" ht="15.75" thickBot="1">
      <c r="C300" s="149" t="s">
        <v>217</v>
      </c>
      <c r="D300" s="19"/>
      <c r="E300" s="332">
        <f>SUM(E293:E299)</f>
        <v>-177367.41350219827</v>
      </c>
      <c r="F300" s="332">
        <f t="shared" ref="F300:K300" si="87">SUM(F293:F299)</f>
        <v>-20551.604684832466</v>
      </c>
      <c r="G300" s="332">
        <f t="shared" si="87"/>
        <v>31982.315187315311</v>
      </c>
      <c r="H300" s="332">
        <f t="shared" si="87"/>
        <v>0</v>
      </c>
      <c r="I300" s="332">
        <f t="shared" si="87"/>
        <v>-20815.817640107958</v>
      </c>
      <c r="J300" s="332">
        <f t="shared" si="87"/>
        <v>30551.443882058695</v>
      </c>
      <c r="K300" s="332">
        <f t="shared" si="87"/>
        <v>0</v>
      </c>
      <c r="L300" s="332">
        <f>SUM(L293:L299)</f>
        <v>-21841.314432481377</v>
      </c>
      <c r="M300" s="332">
        <f>SUM(M293:M299)</f>
        <v>36015.631144379142</v>
      </c>
      <c r="N300" s="129">
        <f>SUM(N293:N299)</f>
        <v>189189.65131223045</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2.9103830456733704E-11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4"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8.xml><?xml version="1.0" encoding="utf-8"?>
<worksheet xmlns="http://schemas.openxmlformats.org/spreadsheetml/2006/main" xmlns:r="http://schemas.openxmlformats.org/officeDocument/2006/relationships">
  <sheetPr codeName="Sheet15">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Top Energy </v>
      </c>
      <c r="D1" s="2"/>
      <c r="E1" s="2"/>
      <c r="F1" s="6" t="s">
        <v>169</v>
      </c>
      <c r="G1" s="7">
        <v>13</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27054</v>
      </c>
    </row>
    <row r="9" spans="1:16">
      <c r="A9" s="9">
        <f>A8+1</f>
        <v>2</v>
      </c>
      <c r="B9" s="9"/>
      <c r="C9" s="149" t="str">
        <f>Inputs!B21</f>
        <v>Pass-through costs</v>
      </c>
      <c r="E9" s="1">
        <f t="shared" si="0"/>
        <v>437</v>
      </c>
    </row>
    <row r="10" spans="1:16">
      <c r="A10" s="9">
        <f t="shared" ref="A10:A22" si="1">A9+1</f>
        <v>3</v>
      </c>
      <c r="B10" s="9"/>
      <c r="C10" s="149" t="str">
        <f>Inputs!B22</f>
        <v>Recoverable costs</v>
      </c>
      <c r="E10" s="1">
        <f t="shared" si="0"/>
        <v>5208</v>
      </c>
    </row>
    <row r="11" spans="1:16">
      <c r="A11" s="9">
        <f t="shared" si="1"/>
        <v>4</v>
      </c>
      <c r="B11" s="9"/>
      <c r="C11" s="155" t="str">
        <f>Inputs!B23</f>
        <v>Opening RAB</v>
      </c>
      <c r="E11" s="1">
        <f t="shared" si="0"/>
        <v>137423.16468491277</v>
      </c>
      <c r="L11" s="13"/>
    </row>
    <row r="12" spans="1:16">
      <c r="A12" s="9">
        <f t="shared" si="1"/>
        <v>5</v>
      </c>
      <c r="B12" s="9"/>
      <c r="C12" s="155" t="str">
        <f>Inputs!B24</f>
        <v>Total Depreciation</v>
      </c>
      <c r="E12" s="1">
        <f t="shared" si="0"/>
        <v>5234</v>
      </c>
      <c r="F12" s="161"/>
      <c r="G12" s="337" t="s">
        <v>511</v>
      </c>
    </row>
    <row r="13" spans="1:16">
      <c r="A13" s="9">
        <f t="shared" si="1"/>
        <v>6</v>
      </c>
      <c r="B13" s="9"/>
      <c r="C13" s="155" t="str">
        <f>Inputs!B25</f>
        <v>RAB of disposed assets</v>
      </c>
      <c r="E13" s="1">
        <f t="shared" si="0"/>
        <v>29</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3774</v>
      </c>
      <c r="G15" s="23" t="s">
        <v>514</v>
      </c>
    </row>
    <row r="16" spans="1:16">
      <c r="A16" s="9">
        <f t="shared" si="1"/>
        <v>9</v>
      </c>
      <c r="B16" s="9"/>
      <c r="C16" s="155" t="str">
        <f>Inputs!B28</f>
        <v>Opening regulatory tax asset value</v>
      </c>
      <c r="E16" s="1">
        <f t="shared" si="0"/>
        <v>45374</v>
      </c>
    </row>
    <row r="17" spans="1:21">
      <c r="A17" s="9">
        <f t="shared" si="1"/>
        <v>10</v>
      </c>
      <c r="B17" s="9"/>
      <c r="C17" s="155" t="str">
        <f>Inputs!B29</f>
        <v>Weighted Average Remaining Life at year-end</v>
      </c>
      <c r="E17" s="1">
        <f t="shared" si="0"/>
        <v>26</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0</v>
      </c>
    </row>
    <row r="20" spans="1:21">
      <c r="A20" s="9">
        <f t="shared" si="1"/>
        <v>13</v>
      </c>
      <c r="B20" s="9"/>
      <c r="C20" s="155" t="str">
        <f>Inputs!B32</f>
        <v>Operating expenditure 2009/10</v>
      </c>
      <c r="E20" s="1">
        <f t="shared" si="0"/>
        <v>11132.692409059506</v>
      </c>
    </row>
    <row r="21" spans="1:21">
      <c r="A21" s="9">
        <f t="shared" si="1"/>
        <v>14</v>
      </c>
      <c r="B21" s="9"/>
      <c r="C21" s="155" t="str">
        <f>Inputs!B33</f>
        <v>Other regulated income</v>
      </c>
      <c r="E21" s="1">
        <f t="shared" si="0"/>
        <v>0</v>
      </c>
      <c r="K21" s="90"/>
    </row>
    <row r="22" spans="1:21">
      <c r="A22" s="9">
        <f t="shared" si="1"/>
        <v>15</v>
      </c>
      <c r="C22" s="155" t="str">
        <f>Inputs!B34</f>
        <v>Alternate X value to 2014/15</v>
      </c>
      <c r="D22" s="90"/>
      <c r="E22" s="126">
        <f t="shared" si="0"/>
        <v>-0.15</v>
      </c>
      <c r="K22" s="90"/>
    </row>
    <row r="23" spans="1:21">
      <c r="C23" s="155"/>
      <c r="K23" s="90"/>
    </row>
    <row r="24" spans="1:21">
      <c r="A24" s="9"/>
      <c r="B24" s="9"/>
      <c r="C24" s="149" t="s">
        <v>31</v>
      </c>
      <c r="E24" s="161">
        <f>E20</f>
        <v>11132.692409059506</v>
      </c>
      <c r="F24" s="39">
        <f>INDEX(OpexBlock,F7-1,$G$1)</f>
        <v>11471.952806665466</v>
      </c>
      <c r="G24" s="39">
        <f>INDEX(OpexBlock,G7-1,$G$1)</f>
        <v>11847.434938917511</v>
      </c>
      <c r="H24" s="39">
        <f>INDEX(OpexBlock,H7-1,$G$1)</f>
        <v>12187.309976863842</v>
      </c>
      <c r="I24" s="39">
        <f>INDEX(OpexBlock,I7-1,$G$1)</f>
        <v>12551.230397802448</v>
      </c>
      <c r="J24" s="39">
        <f>INDEX(OpexBlock,J7-1,$G$1)</f>
        <v>12931.234335586736</v>
      </c>
      <c r="K24" s="90"/>
      <c r="L24" s="36"/>
      <c r="M24" s="36"/>
    </row>
    <row r="25" spans="1:21">
      <c r="A25" s="9"/>
      <c r="B25" s="9"/>
      <c r="C25" s="149" t="s">
        <v>272</v>
      </c>
      <c r="D25" s="1"/>
      <c r="E25" s="39">
        <f t="shared" ref="E25:J25" si="2">INDEX(CommAssetsBlock,E7,$G$1)</f>
        <v>8110</v>
      </c>
      <c r="F25" s="39">
        <f t="shared" si="2"/>
        <v>15549.171556820065</v>
      </c>
      <c r="G25" s="39">
        <f t="shared" si="2"/>
        <v>17591.777688912756</v>
      </c>
      <c r="H25" s="39">
        <f t="shared" si="2"/>
        <v>16866.933448347052</v>
      </c>
      <c r="I25" s="39">
        <f t="shared" si="2"/>
        <v>16715.530513329184</v>
      </c>
      <c r="J25" s="39">
        <f t="shared" si="2"/>
        <v>17589.629697104338</v>
      </c>
      <c r="K25" s="90"/>
      <c r="L25" s="36"/>
      <c r="M25" s="36"/>
    </row>
    <row r="26" spans="1:21">
      <c r="A26" s="9"/>
      <c r="B26" s="9"/>
      <c r="C26" s="149" t="s">
        <v>342</v>
      </c>
      <c r="D26" s="1"/>
      <c r="E26" s="90"/>
      <c r="F26" s="90">
        <f t="shared" ref="F26:J26" si="3">INDEX(ConstPriceRevGrwth,F$7-1,$G$1)</f>
        <v>1.1332448368492863E-3</v>
      </c>
      <c r="G26" s="90">
        <f t="shared" si="3"/>
        <v>2.2074634811314283E-3</v>
      </c>
      <c r="H26" s="90">
        <f t="shared" si="3"/>
        <v>4.6761328409900653E-3</v>
      </c>
      <c r="I26" s="90">
        <f t="shared" si="3"/>
        <v>3.5536954567734627E-3</v>
      </c>
      <c r="J26" s="90">
        <f t="shared" si="3"/>
        <v>3.7427897729352096E-3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0</v>
      </c>
      <c r="F40" s="295">
        <f>E40*(1+F39)</f>
        <v>0</v>
      </c>
      <c r="G40" s="295">
        <f t="shared" ref="G40:J40" si="5">F40*(1+G39)</f>
        <v>0</v>
      </c>
      <c r="H40" s="295">
        <f t="shared" si="5"/>
        <v>0</v>
      </c>
      <c r="I40" s="295">
        <f t="shared" si="5"/>
        <v>0</v>
      </c>
      <c r="J40" s="295">
        <f t="shared" si="5"/>
        <v>0</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26.255858747595102</v>
      </c>
      <c r="F53" s="45">
        <f>E53-1</f>
        <v>25.255858747595102</v>
      </c>
      <c r="G53" s="45">
        <f t="shared" ref="G53:J53" si="6">F53-1</f>
        <v>24.255858747595102</v>
      </c>
      <c r="H53" s="45">
        <f t="shared" si="6"/>
        <v>23.255858747595102</v>
      </c>
      <c r="I53" s="45">
        <f t="shared" si="6"/>
        <v>22.255858747595102</v>
      </c>
      <c r="J53" s="45">
        <f t="shared" si="6"/>
        <v>21.255858747595102</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29</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137423.16468491277</v>
      </c>
      <c r="F58" s="216">
        <f>E62</f>
        <v>134527.99511301966</v>
      </c>
      <c r="G58" s="216">
        <f t="shared" ref="G58:J58" si="9">F62</f>
        <v>131866.68647897438</v>
      </c>
      <c r="H58" s="216">
        <f t="shared" si="9"/>
        <v>129639.81782642173</v>
      </c>
      <c r="I58" s="216">
        <f t="shared" si="9"/>
        <v>127211.12749989206</v>
      </c>
      <c r="J58" s="216">
        <f t="shared" si="9"/>
        <v>124582.15556207956</v>
      </c>
      <c r="K58" s="148"/>
      <c r="L58" s="36"/>
      <c r="M58" s="36"/>
    </row>
    <row r="59" spans="3:16">
      <c r="C59" s="149" t="s">
        <v>41</v>
      </c>
      <c r="D59" s="153"/>
      <c r="E59" s="216">
        <f>E55</f>
        <v>29</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2367.830428106884</v>
      </c>
      <c r="F60" s="216">
        <f t="shared" si="11"/>
        <v>2665.296826393866</v>
      </c>
      <c r="G60" s="216">
        <f t="shared" si="11"/>
        <v>3209.6194079679376</v>
      </c>
      <c r="H60" s="216">
        <f t="shared" si="11"/>
        <v>3145.8111026995371</v>
      </c>
      <c r="I60" s="216">
        <f t="shared" si="11"/>
        <v>3086.8770412181666</v>
      </c>
      <c r="J60" s="216">
        <f t="shared" si="11"/>
        <v>3023.0829905220344</v>
      </c>
      <c r="K60" s="148"/>
      <c r="L60" s="36"/>
      <c r="M60" s="36"/>
    </row>
    <row r="61" spans="3:16">
      <c r="C61" s="149" t="s">
        <v>43</v>
      </c>
      <c r="E61" s="136">
        <f>E12</f>
        <v>5234</v>
      </c>
      <c r="F61" s="216">
        <f t="shared" ref="F61:J61" si="12">F58/F53</f>
        <v>5326.6054604391384</v>
      </c>
      <c r="G61" s="216">
        <f t="shared" si="12"/>
        <v>5436.4880605205781</v>
      </c>
      <c r="H61" s="216">
        <f t="shared" si="12"/>
        <v>5574.501429229219</v>
      </c>
      <c r="I61" s="216">
        <f t="shared" si="12"/>
        <v>5715.8489790306603</v>
      </c>
      <c r="J61" s="216">
        <f t="shared" si="12"/>
        <v>5861.073741665452</v>
      </c>
      <c r="K61" s="148"/>
      <c r="L61" s="36"/>
      <c r="M61" s="36"/>
    </row>
    <row r="62" spans="3:16">
      <c r="C62" s="149" t="s">
        <v>44</v>
      </c>
      <c r="E62" s="139">
        <f>E58-E59+E60-E61</f>
        <v>134527.99511301966</v>
      </c>
      <c r="F62" s="139">
        <f>F58-F59+F60-F61</f>
        <v>131866.68647897438</v>
      </c>
      <c r="G62" s="139">
        <f t="shared" ref="G62:J62" si="13">G58-G59+G60-G61</f>
        <v>129639.81782642173</v>
      </c>
      <c r="H62" s="139">
        <f t="shared" si="13"/>
        <v>127211.12749989206</v>
      </c>
      <c r="I62" s="216">
        <f t="shared" si="13"/>
        <v>124582.15556207956</v>
      </c>
      <c r="J62" s="216">
        <f t="shared" si="13"/>
        <v>121744.16481093614</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8110</v>
      </c>
      <c r="F66" s="139">
        <f t="shared" ref="F66:J66" si="15">F$25</f>
        <v>15549.171556820065</v>
      </c>
      <c r="G66" s="139">
        <f t="shared" si="15"/>
        <v>17591.777688912756</v>
      </c>
      <c r="H66" s="139">
        <f t="shared" si="15"/>
        <v>16866.933448347052</v>
      </c>
      <c r="I66" s="139">
        <f t="shared" si="15"/>
        <v>16715.530513329184</v>
      </c>
      <c r="J66" s="139">
        <f t="shared" si="15"/>
        <v>17589.629697104338</v>
      </c>
      <c r="K66" s="148"/>
      <c r="L66" s="36"/>
      <c r="M66" s="36"/>
    </row>
    <row r="67" spans="1:13">
      <c r="A67" s="149">
        <v>1</v>
      </c>
      <c r="C67" s="149" t="s">
        <v>481</v>
      </c>
      <c r="E67" s="135">
        <v>0</v>
      </c>
      <c r="F67" s="139">
        <f>E91</f>
        <v>8110</v>
      </c>
      <c r="G67" s="139">
        <f t="shared" ref="G67:J67" si="16">F91</f>
        <v>8090.4547970397871</v>
      </c>
      <c r="H67" s="139">
        <f t="shared" si="16"/>
        <v>8103.5015283819093</v>
      </c>
      <c r="I67" s="139">
        <f t="shared" si="16"/>
        <v>8111.6857775371182</v>
      </c>
      <c r="J67" s="139">
        <f t="shared" si="16"/>
        <v>8115.3867721296374</v>
      </c>
      <c r="K67" s="148"/>
      <c r="L67" s="36"/>
      <c r="M67" s="36"/>
    </row>
    <row r="68" spans="1:13">
      <c r="A68" s="149">
        <v>2</v>
      </c>
      <c r="C68" s="149" t="s">
        <v>482</v>
      </c>
      <c r="E68" s="135">
        <v>0</v>
      </c>
      <c r="F68" s="139">
        <f t="shared" ref="F68:J71" si="17">E92</f>
        <v>0</v>
      </c>
      <c r="G68" s="139">
        <f t="shared" si="17"/>
        <v>15549.171556820065</v>
      </c>
      <c r="H68" s="139">
        <f t="shared" si="17"/>
        <v>15582.099390700881</v>
      </c>
      <c r="I68" s="139">
        <f t="shared" si="17"/>
        <v>15606.072540389589</v>
      </c>
      <c r="J68" s="139">
        <f t="shared" si="17"/>
        <v>15621.834120190306</v>
      </c>
      <c r="K68" s="148"/>
      <c r="L68" s="36"/>
      <c r="M68" s="36"/>
    </row>
    <row r="69" spans="1:13">
      <c r="A69" s="149">
        <v>3</v>
      </c>
      <c r="C69" s="149" t="s">
        <v>483</v>
      </c>
      <c r="E69" s="135">
        <v>0</v>
      </c>
      <c r="F69" s="139">
        <f t="shared" si="17"/>
        <v>0</v>
      </c>
      <c r="G69" s="139">
        <f t="shared" si="17"/>
        <v>0</v>
      </c>
      <c r="H69" s="139">
        <f t="shared" si="17"/>
        <v>17591.777688912756</v>
      </c>
      <c r="I69" s="139">
        <f t="shared" si="17"/>
        <v>17627.727476448526</v>
      </c>
      <c r="J69" s="139">
        <f t="shared" si="17"/>
        <v>17654.847836733024</v>
      </c>
      <c r="K69" s="148"/>
      <c r="L69" s="36"/>
      <c r="M69" s="36"/>
    </row>
    <row r="70" spans="1:13">
      <c r="A70" s="149">
        <v>4</v>
      </c>
      <c r="C70" s="149" t="s">
        <v>484</v>
      </c>
      <c r="E70" s="135">
        <v>0</v>
      </c>
      <c r="F70" s="139">
        <f t="shared" si="17"/>
        <v>0</v>
      </c>
      <c r="G70" s="139">
        <f t="shared" si="17"/>
        <v>0</v>
      </c>
      <c r="H70" s="139">
        <f t="shared" si="17"/>
        <v>0</v>
      </c>
      <c r="I70" s="139">
        <f t="shared" si="17"/>
        <v>16866.933448347052</v>
      </c>
      <c r="J70" s="139">
        <f t="shared" si="17"/>
        <v>16901.401975892746</v>
      </c>
      <c r="K70" s="148"/>
      <c r="L70" s="36"/>
      <c r="M70" s="36"/>
    </row>
    <row r="71" spans="1:13">
      <c r="A71" s="149">
        <v>5</v>
      </c>
      <c r="C71" s="149" t="s">
        <v>485</v>
      </c>
      <c r="E71" s="135">
        <v>0</v>
      </c>
      <c r="F71" s="139">
        <f t="shared" si="17"/>
        <v>0</v>
      </c>
      <c r="G71" s="139">
        <f t="shared" si="17"/>
        <v>0</v>
      </c>
      <c r="H71" s="139">
        <f t="shared" si="17"/>
        <v>0</v>
      </c>
      <c r="I71" s="139">
        <f t="shared" si="17"/>
        <v>0</v>
      </c>
      <c r="J71" s="139">
        <f t="shared" si="17"/>
        <v>16715.530513329184</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160.67701926201005</v>
      </c>
      <c r="G79" s="139">
        <f t="shared" si="20"/>
        <v>196.92070400211793</v>
      </c>
      <c r="H79" s="139">
        <f t="shared" si="20"/>
        <v>196.63777307106776</v>
      </c>
      <c r="I79" s="139">
        <f t="shared" si="20"/>
        <v>196.83637024816488</v>
      </c>
      <c r="J79" s="139">
        <f t="shared" si="20"/>
        <v>196.92617776313509</v>
      </c>
      <c r="K79" s="148"/>
      <c r="L79" s="36"/>
      <c r="M79" s="36"/>
    </row>
    <row r="80" spans="1:13">
      <c r="A80" s="149">
        <v>2</v>
      </c>
      <c r="C80" s="149" t="s">
        <v>488</v>
      </c>
      <c r="E80" s="139">
        <f t="shared" ref="E80:J84" si="21">E68*E$38</f>
        <v>0</v>
      </c>
      <c r="F80" s="139">
        <f t="shared" si="21"/>
        <v>0</v>
      </c>
      <c r="G80" s="139">
        <f t="shared" si="21"/>
        <v>378.46497958792776</v>
      </c>
      <c r="H80" s="139">
        <f t="shared" si="21"/>
        <v>378.11177220463634</v>
      </c>
      <c r="I80" s="139">
        <f t="shared" si="21"/>
        <v>378.69349934466049</v>
      </c>
      <c r="J80" s="139">
        <f t="shared" si="21"/>
        <v>379.07596634873761</v>
      </c>
      <c r="K80" s="148"/>
      <c r="L80" s="36"/>
      <c r="M80" s="36"/>
    </row>
    <row r="81" spans="1:13">
      <c r="A81" s="149">
        <v>3</v>
      </c>
      <c r="C81" s="149" t="s">
        <v>489</v>
      </c>
      <c r="E81" s="139">
        <f t="shared" si="21"/>
        <v>0</v>
      </c>
      <c r="F81" s="139">
        <f t="shared" si="21"/>
        <v>0</v>
      </c>
      <c r="G81" s="139">
        <f t="shared" si="21"/>
        <v>0</v>
      </c>
      <c r="H81" s="139">
        <f t="shared" si="21"/>
        <v>426.87818062271987</v>
      </c>
      <c r="I81" s="139">
        <f t="shared" si="21"/>
        <v>427.75053020378095</v>
      </c>
      <c r="J81" s="139">
        <f t="shared" si="21"/>
        <v>428.40862685898003</v>
      </c>
      <c r="K81" s="148"/>
      <c r="L81" s="36"/>
      <c r="M81" s="36"/>
    </row>
    <row r="82" spans="1:13">
      <c r="A82" s="149">
        <v>4</v>
      </c>
      <c r="C82" s="149" t="s">
        <v>490</v>
      </c>
      <c r="E82" s="139">
        <f t="shared" si="21"/>
        <v>0</v>
      </c>
      <c r="F82" s="139">
        <f t="shared" si="21"/>
        <v>0</v>
      </c>
      <c r="G82" s="139">
        <f t="shared" si="21"/>
        <v>0</v>
      </c>
      <c r="H82" s="139">
        <f t="shared" si="21"/>
        <v>0</v>
      </c>
      <c r="I82" s="139">
        <f t="shared" si="21"/>
        <v>409.28927084229684</v>
      </c>
      <c r="J82" s="139">
        <f t="shared" si="21"/>
        <v>410.12567649655449</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405.61536075860471</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180.22222222222223</v>
      </c>
      <c r="G85" s="216">
        <f t="shared" si="22"/>
        <v>183.87397265999516</v>
      </c>
      <c r="H85" s="216">
        <f t="shared" si="22"/>
        <v>188.45352391585837</v>
      </c>
      <c r="I85" s="216">
        <f t="shared" si="22"/>
        <v>193.13537565564567</v>
      </c>
      <c r="J85" s="216">
        <f t="shared" si="22"/>
        <v>197.93626273486922</v>
      </c>
      <c r="K85" s="148"/>
      <c r="L85" s="36"/>
      <c r="M85" s="36"/>
    </row>
    <row r="86" spans="1:13">
      <c r="A86" s="149">
        <v>2</v>
      </c>
      <c r="C86" s="149" t="s">
        <v>494</v>
      </c>
      <c r="E86" s="216">
        <f t="shared" si="22"/>
        <v>0</v>
      </c>
      <c r="F86" s="216">
        <f t="shared" si="22"/>
        <v>0</v>
      </c>
      <c r="G86" s="216">
        <f t="shared" si="22"/>
        <v>345.53714570711259</v>
      </c>
      <c r="H86" s="216">
        <f t="shared" si="22"/>
        <v>354.13862251592911</v>
      </c>
      <c r="I86" s="216">
        <f t="shared" si="22"/>
        <v>362.93191954394393</v>
      </c>
      <c r="J86" s="216">
        <f t="shared" si="22"/>
        <v>371.94843143310254</v>
      </c>
      <c r="K86" s="148"/>
      <c r="L86" s="36"/>
      <c r="M86" s="36"/>
    </row>
    <row r="87" spans="1:13">
      <c r="A87" s="149">
        <v>3</v>
      </c>
      <c r="C87" s="149" t="s">
        <v>495</v>
      </c>
      <c r="E87" s="216">
        <f t="shared" si="22"/>
        <v>0</v>
      </c>
      <c r="F87" s="216">
        <f t="shared" si="22"/>
        <v>0</v>
      </c>
      <c r="G87" s="216">
        <f t="shared" si="22"/>
        <v>0</v>
      </c>
      <c r="H87" s="216">
        <f t="shared" si="22"/>
        <v>390.92839308695017</v>
      </c>
      <c r="I87" s="216">
        <f t="shared" si="22"/>
        <v>400.6301699192847</v>
      </c>
      <c r="J87" s="216">
        <f t="shared" si="22"/>
        <v>410.57785666820985</v>
      </c>
      <c r="K87" s="148"/>
      <c r="L87" s="36"/>
      <c r="M87" s="36"/>
    </row>
    <row r="88" spans="1:13">
      <c r="A88" s="149">
        <v>4</v>
      </c>
      <c r="C88" s="149" t="s">
        <v>496</v>
      </c>
      <c r="E88" s="216">
        <f t="shared" si="22"/>
        <v>0</v>
      </c>
      <c r="F88" s="216">
        <f t="shared" si="22"/>
        <v>0</v>
      </c>
      <c r="G88" s="216">
        <f t="shared" si="22"/>
        <v>0</v>
      </c>
      <c r="H88" s="216">
        <f t="shared" si="22"/>
        <v>0</v>
      </c>
      <c r="I88" s="216">
        <f t="shared" si="22"/>
        <v>374.82074329660117</v>
      </c>
      <c r="J88" s="216">
        <f t="shared" si="22"/>
        <v>384.1227721793806</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371.45623362953745</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8110</v>
      </c>
      <c r="F91" s="139">
        <f t="shared" si="23"/>
        <v>8090.4547970397871</v>
      </c>
      <c r="G91" s="139">
        <f t="shared" si="23"/>
        <v>8103.5015283819093</v>
      </c>
      <c r="H91" s="139">
        <f t="shared" si="23"/>
        <v>8111.6857775371182</v>
      </c>
      <c r="I91" s="139">
        <f t="shared" si="23"/>
        <v>8115.3867721296374</v>
      </c>
      <c r="J91" s="216">
        <f t="shared" si="23"/>
        <v>8114.3766871579028</v>
      </c>
      <c r="K91" s="148"/>
      <c r="L91" s="36"/>
      <c r="M91" s="36"/>
    </row>
    <row r="92" spans="1:13">
      <c r="A92" s="149">
        <v>2</v>
      </c>
      <c r="C92" s="149" t="s">
        <v>500</v>
      </c>
      <c r="E92" s="139">
        <f t="shared" si="23"/>
        <v>0</v>
      </c>
      <c r="F92" s="139">
        <f t="shared" si="23"/>
        <v>15549.171556820065</v>
      </c>
      <c r="G92" s="139">
        <f t="shared" si="23"/>
        <v>15582.099390700881</v>
      </c>
      <c r="H92" s="139">
        <f t="shared" si="23"/>
        <v>15606.072540389589</v>
      </c>
      <c r="I92" s="139">
        <f t="shared" si="23"/>
        <v>15621.834120190306</v>
      </c>
      <c r="J92" s="216">
        <f t="shared" si="23"/>
        <v>15628.961655105941</v>
      </c>
      <c r="K92" s="148"/>
      <c r="L92" s="36"/>
      <c r="M92" s="36"/>
    </row>
    <row r="93" spans="1:13">
      <c r="A93" s="149">
        <v>3</v>
      </c>
      <c r="C93" s="149" t="s">
        <v>501</v>
      </c>
      <c r="E93" s="139">
        <f t="shared" si="23"/>
        <v>0</v>
      </c>
      <c r="F93" s="139">
        <f t="shared" si="23"/>
        <v>0</v>
      </c>
      <c r="G93" s="139">
        <f t="shared" si="23"/>
        <v>17591.777688912756</v>
      </c>
      <c r="H93" s="139">
        <f t="shared" si="23"/>
        <v>17627.727476448526</v>
      </c>
      <c r="I93" s="139">
        <f t="shared" si="23"/>
        <v>17654.847836733024</v>
      </c>
      <c r="J93" s="216">
        <f t="shared" si="23"/>
        <v>17672.678606923797</v>
      </c>
      <c r="K93" s="148"/>
      <c r="L93" s="36"/>
      <c r="M93" s="36"/>
    </row>
    <row r="94" spans="1:13">
      <c r="A94" s="149">
        <v>4</v>
      </c>
      <c r="C94" s="149" t="s">
        <v>502</v>
      </c>
      <c r="E94" s="139">
        <f t="shared" si="23"/>
        <v>0</v>
      </c>
      <c r="F94" s="139">
        <f t="shared" si="23"/>
        <v>0</v>
      </c>
      <c r="G94" s="139">
        <f t="shared" si="23"/>
        <v>0</v>
      </c>
      <c r="H94" s="139">
        <f t="shared" si="23"/>
        <v>16866.933448347052</v>
      </c>
      <c r="I94" s="139">
        <f t="shared" si="23"/>
        <v>16901.401975892746</v>
      </c>
      <c r="J94" s="216">
        <f t="shared" si="23"/>
        <v>16927.404880209921</v>
      </c>
      <c r="K94" s="148"/>
      <c r="L94" s="36"/>
      <c r="M94" s="36"/>
    </row>
    <row r="95" spans="1:13">
      <c r="A95" s="149">
        <v>5</v>
      </c>
      <c r="C95" s="149" t="s">
        <v>503</v>
      </c>
      <c r="E95" s="139">
        <f t="shared" si="23"/>
        <v>0</v>
      </c>
      <c r="F95" s="139">
        <f t="shared" si="23"/>
        <v>0</v>
      </c>
      <c r="G95" s="139">
        <f t="shared" si="23"/>
        <v>0</v>
      </c>
      <c r="H95" s="139">
        <f t="shared" si="23"/>
        <v>0</v>
      </c>
      <c r="I95" s="139">
        <f t="shared" si="23"/>
        <v>16715.530513329184</v>
      </c>
      <c r="J95" s="216">
        <f t="shared" si="23"/>
        <v>16749.689640458251</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17589.629697104338</v>
      </c>
      <c r="K96" s="148"/>
      <c r="L96" s="36"/>
      <c r="M96" s="36"/>
    </row>
    <row r="97" spans="1:13">
      <c r="C97" s="149" t="s">
        <v>260</v>
      </c>
      <c r="E97" s="139">
        <f t="shared" ref="E97:J97" si="24">SUM(E67:E72)</f>
        <v>0</v>
      </c>
      <c r="F97" s="139">
        <f t="shared" si="24"/>
        <v>8110</v>
      </c>
      <c r="G97" s="139">
        <f t="shared" si="24"/>
        <v>23639.62635385985</v>
      </c>
      <c r="H97" s="139">
        <f t="shared" si="24"/>
        <v>41277.378607995546</v>
      </c>
      <c r="I97" s="139">
        <f t="shared" si="24"/>
        <v>58212.419242722281</v>
      </c>
      <c r="J97" s="216">
        <f t="shared" si="24"/>
        <v>75009.001218274905</v>
      </c>
      <c r="K97" s="148"/>
      <c r="L97" s="36"/>
      <c r="M97" s="36"/>
    </row>
    <row r="98" spans="1:13">
      <c r="C98" s="149" t="s">
        <v>261</v>
      </c>
      <c r="E98" s="139">
        <f t="shared" ref="E98:J98" si="25">SUM(E79:E84)</f>
        <v>0</v>
      </c>
      <c r="F98" s="139">
        <f t="shared" si="25"/>
        <v>160.67701926201005</v>
      </c>
      <c r="G98" s="139">
        <f t="shared" si="25"/>
        <v>575.38568359004569</v>
      </c>
      <c r="H98" s="139">
        <f t="shared" si="25"/>
        <v>1001.6277258984239</v>
      </c>
      <c r="I98" s="139">
        <f t="shared" si="25"/>
        <v>1412.5696706389033</v>
      </c>
      <c r="J98" s="216">
        <f t="shared" si="25"/>
        <v>1820.151808226012</v>
      </c>
      <c r="K98" s="148"/>
      <c r="L98" s="36"/>
      <c r="M98" s="36"/>
    </row>
    <row r="99" spans="1:13">
      <c r="C99" s="149" t="s">
        <v>75</v>
      </c>
      <c r="E99" s="139">
        <f t="shared" ref="E99:J99" si="26">SUM(E85:E90)</f>
        <v>0</v>
      </c>
      <c r="F99" s="139">
        <f t="shared" si="26"/>
        <v>180.22222222222223</v>
      </c>
      <c r="G99" s="139">
        <f t="shared" si="26"/>
        <v>529.41111836710775</v>
      </c>
      <c r="H99" s="139">
        <f t="shared" si="26"/>
        <v>933.52053951873768</v>
      </c>
      <c r="I99" s="216">
        <f t="shared" si="26"/>
        <v>1331.5182084154756</v>
      </c>
      <c r="J99" s="216">
        <f t="shared" si="26"/>
        <v>1736.0415566450997</v>
      </c>
      <c r="K99" s="148"/>
      <c r="L99" s="36"/>
      <c r="M99" s="36"/>
    </row>
    <row r="100" spans="1:13">
      <c r="C100" s="149" t="s">
        <v>262</v>
      </c>
      <c r="E100" s="139">
        <f t="shared" ref="E100:J100" si="27">SUM(E91:E96)</f>
        <v>8110</v>
      </c>
      <c r="F100" s="139">
        <f t="shared" si="27"/>
        <v>23639.62635385985</v>
      </c>
      <c r="G100" s="139">
        <f t="shared" si="27"/>
        <v>41277.378607995546</v>
      </c>
      <c r="H100" s="139">
        <f t="shared" si="27"/>
        <v>58212.419242722281</v>
      </c>
      <c r="I100" s="216">
        <f t="shared" si="27"/>
        <v>75009.001218274905</v>
      </c>
      <c r="J100" s="216">
        <f t="shared" si="27"/>
        <v>92682.741166960157</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8110</v>
      </c>
      <c r="F104" s="139">
        <f t="shared" ref="F104:J104" si="28">F$25</f>
        <v>15549.171556820065</v>
      </c>
      <c r="G104" s="139">
        <f t="shared" si="28"/>
        <v>17591.777688912756</v>
      </c>
      <c r="H104" s="139">
        <f t="shared" si="28"/>
        <v>16866.933448347052</v>
      </c>
      <c r="I104" s="139">
        <f t="shared" si="28"/>
        <v>16715.530513329184</v>
      </c>
      <c r="J104" s="139">
        <f t="shared" si="28"/>
        <v>17589.629697104338</v>
      </c>
      <c r="K104" s="148"/>
      <c r="L104" s="36"/>
      <c r="M104" s="36"/>
    </row>
    <row r="105" spans="1:13">
      <c r="A105" s="149">
        <v>1</v>
      </c>
      <c r="C105" s="149" t="s">
        <v>457</v>
      </c>
      <c r="E105" s="135">
        <v>0</v>
      </c>
      <c r="F105" s="139">
        <f>E123</f>
        <v>8110</v>
      </c>
      <c r="G105" s="139">
        <f t="shared" ref="G105:J105" si="29">F123</f>
        <v>7929.7777777777774</v>
      </c>
      <c r="H105" s="139">
        <f t="shared" si="29"/>
        <v>7749.5555555555547</v>
      </c>
      <c r="I105" s="139">
        <f t="shared" si="29"/>
        <v>7569.3333333333321</v>
      </c>
      <c r="J105" s="139">
        <f t="shared" si="29"/>
        <v>7389.1111111111095</v>
      </c>
      <c r="K105" s="148"/>
      <c r="L105" s="36"/>
      <c r="M105" s="36"/>
    </row>
    <row r="106" spans="1:13">
      <c r="A106" s="149">
        <v>2</v>
      </c>
      <c r="C106" s="149" t="s">
        <v>458</v>
      </c>
      <c r="E106" s="135">
        <v>0</v>
      </c>
      <c r="F106" s="139">
        <f t="shared" ref="F106:J109" si="30">E124</f>
        <v>0</v>
      </c>
      <c r="G106" s="139">
        <f t="shared" si="30"/>
        <v>15549.171556820065</v>
      </c>
      <c r="H106" s="139">
        <f t="shared" si="30"/>
        <v>15203.634411112953</v>
      </c>
      <c r="I106" s="139">
        <f t="shared" si="30"/>
        <v>14858.097265405841</v>
      </c>
      <c r="J106" s="139">
        <f t="shared" si="30"/>
        <v>14512.560119698728</v>
      </c>
      <c r="K106" s="148"/>
      <c r="L106" s="36"/>
      <c r="M106" s="36"/>
    </row>
    <row r="107" spans="1:13">
      <c r="A107" s="149">
        <v>3</v>
      </c>
      <c r="C107" s="149" t="s">
        <v>459</v>
      </c>
      <c r="E107" s="135">
        <v>0</v>
      </c>
      <c r="F107" s="139">
        <f t="shared" si="30"/>
        <v>0</v>
      </c>
      <c r="G107" s="139">
        <f t="shared" si="30"/>
        <v>0</v>
      </c>
      <c r="H107" s="139">
        <f t="shared" si="30"/>
        <v>17591.777688912756</v>
      </c>
      <c r="I107" s="139">
        <f t="shared" si="30"/>
        <v>17200.849295825807</v>
      </c>
      <c r="J107" s="139">
        <f t="shared" si="30"/>
        <v>16809.920902738857</v>
      </c>
      <c r="K107" s="148"/>
      <c r="L107" s="36"/>
      <c r="M107" s="36"/>
    </row>
    <row r="108" spans="1:13">
      <c r="A108" s="149">
        <v>4</v>
      </c>
      <c r="C108" s="149" t="s">
        <v>460</v>
      </c>
      <c r="E108" s="135">
        <v>0</v>
      </c>
      <c r="F108" s="139">
        <f t="shared" si="30"/>
        <v>0</v>
      </c>
      <c r="G108" s="139">
        <f t="shared" si="30"/>
        <v>0</v>
      </c>
      <c r="H108" s="139">
        <f t="shared" si="30"/>
        <v>0</v>
      </c>
      <c r="I108" s="139">
        <f t="shared" si="30"/>
        <v>16866.933448347052</v>
      </c>
      <c r="J108" s="139">
        <f t="shared" si="30"/>
        <v>16492.112705050451</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16715.530513329184</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180.22222222222223</v>
      </c>
      <c r="G117" s="139">
        <f t="shared" si="33"/>
        <v>180.2222222222222</v>
      </c>
      <c r="H117" s="139">
        <f t="shared" si="33"/>
        <v>180.2222222222222</v>
      </c>
      <c r="I117" s="139">
        <f t="shared" si="33"/>
        <v>180.2222222222222</v>
      </c>
      <c r="J117" s="139">
        <f t="shared" si="33"/>
        <v>180.22222222222217</v>
      </c>
      <c r="K117" s="148"/>
      <c r="L117" s="36"/>
      <c r="M117" s="36"/>
    </row>
    <row r="118" spans="1:13">
      <c r="A118" s="149">
        <v>2</v>
      </c>
      <c r="C118" s="149" t="s">
        <v>470</v>
      </c>
      <c r="E118" s="139">
        <f t="shared" si="33"/>
        <v>0</v>
      </c>
      <c r="F118" s="139">
        <f t="shared" si="33"/>
        <v>0</v>
      </c>
      <c r="G118" s="139">
        <f t="shared" si="33"/>
        <v>345.53714570711259</v>
      </c>
      <c r="H118" s="139">
        <f t="shared" si="33"/>
        <v>345.53714570711259</v>
      </c>
      <c r="I118" s="139">
        <f t="shared" si="33"/>
        <v>345.53714570711259</v>
      </c>
      <c r="J118" s="139">
        <f t="shared" si="33"/>
        <v>345.53714570711259</v>
      </c>
      <c r="K118" s="148"/>
      <c r="L118" s="36"/>
      <c r="M118" s="36"/>
    </row>
    <row r="119" spans="1:13">
      <c r="A119" s="149">
        <v>3</v>
      </c>
      <c r="C119" s="149" t="s">
        <v>471</v>
      </c>
      <c r="E119" s="139">
        <f t="shared" si="33"/>
        <v>0</v>
      </c>
      <c r="F119" s="139">
        <f t="shared" si="33"/>
        <v>0</v>
      </c>
      <c r="G119" s="139">
        <f t="shared" si="33"/>
        <v>0</v>
      </c>
      <c r="H119" s="139">
        <f t="shared" si="33"/>
        <v>390.92839308695017</v>
      </c>
      <c r="I119" s="139">
        <f t="shared" si="33"/>
        <v>390.92839308695017</v>
      </c>
      <c r="J119" s="139">
        <f t="shared" si="33"/>
        <v>390.92839308695017</v>
      </c>
      <c r="K119" s="148"/>
      <c r="L119" s="36"/>
      <c r="M119" s="36"/>
    </row>
    <row r="120" spans="1:13">
      <c r="A120" s="149">
        <v>4</v>
      </c>
      <c r="C120" s="149" t="s">
        <v>472</v>
      </c>
      <c r="E120" s="139">
        <f t="shared" si="33"/>
        <v>0</v>
      </c>
      <c r="F120" s="139">
        <f t="shared" si="33"/>
        <v>0</v>
      </c>
      <c r="G120" s="139">
        <f t="shared" si="33"/>
        <v>0</v>
      </c>
      <c r="H120" s="139">
        <f t="shared" si="33"/>
        <v>0</v>
      </c>
      <c r="I120" s="139">
        <f t="shared" si="33"/>
        <v>374.82074329660117</v>
      </c>
      <c r="J120" s="139">
        <f t="shared" si="33"/>
        <v>374.82074329660117</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371.45623362953745</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8110</v>
      </c>
      <c r="F123" s="139">
        <f t="shared" ref="F123:J123" si="34">F105-F117+IF($A123=F$103,F$104,0)</f>
        <v>7929.7777777777774</v>
      </c>
      <c r="G123" s="139">
        <f t="shared" si="34"/>
        <v>7749.5555555555547</v>
      </c>
      <c r="H123" s="139">
        <f t="shared" si="34"/>
        <v>7569.3333333333321</v>
      </c>
      <c r="I123" s="139">
        <f t="shared" si="34"/>
        <v>7389.1111111111095</v>
      </c>
      <c r="J123" s="139">
        <f t="shared" si="34"/>
        <v>7208.8888888888869</v>
      </c>
      <c r="K123" s="148"/>
      <c r="L123" s="36"/>
      <c r="M123" s="36"/>
    </row>
    <row r="124" spans="1:13">
      <c r="A124" s="149">
        <v>2</v>
      </c>
      <c r="C124" s="149" t="s">
        <v>476</v>
      </c>
      <c r="E124" s="139">
        <f t="shared" ref="E124:J128" si="35">E106-E118+IF($A124=E$103,E$104,0)</f>
        <v>0</v>
      </c>
      <c r="F124" s="139">
        <f t="shared" si="35"/>
        <v>15549.171556820065</v>
      </c>
      <c r="G124" s="139">
        <f t="shared" si="35"/>
        <v>15203.634411112953</v>
      </c>
      <c r="H124" s="139">
        <f t="shared" si="35"/>
        <v>14858.097265405841</v>
      </c>
      <c r="I124" s="139">
        <f t="shared" si="35"/>
        <v>14512.560119698728</v>
      </c>
      <c r="J124" s="139">
        <f t="shared" si="35"/>
        <v>14167.022973991616</v>
      </c>
      <c r="K124" s="148"/>
      <c r="L124" s="36"/>
      <c r="M124" s="36"/>
    </row>
    <row r="125" spans="1:13">
      <c r="A125" s="149">
        <v>3</v>
      </c>
      <c r="C125" s="149" t="s">
        <v>477</v>
      </c>
      <c r="E125" s="139">
        <f t="shared" si="35"/>
        <v>0</v>
      </c>
      <c r="F125" s="139">
        <f t="shared" si="35"/>
        <v>0</v>
      </c>
      <c r="G125" s="139">
        <f t="shared" si="35"/>
        <v>17591.777688912756</v>
      </c>
      <c r="H125" s="139">
        <f t="shared" si="35"/>
        <v>17200.849295825807</v>
      </c>
      <c r="I125" s="139">
        <f t="shared" si="35"/>
        <v>16809.920902738857</v>
      </c>
      <c r="J125" s="139">
        <f t="shared" si="35"/>
        <v>16418.992509651907</v>
      </c>
      <c r="K125" s="148"/>
      <c r="L125" s="36"/>
      <c r="M125" s="36"/>
    </row>
    <row r="126" spans="1:13">
      <c r="A126" s="149">
        <v>4</v>
      </c>
      <c r="C126" s="149" t="s">
        <v>478</v>
      </c>
      <c r="E126" s="139">
        <f t="shared" si="35"/>
        <v>0</v>
      </c>
      <c r="F126" s="139">
        <f t="shared" si="35"/>
        <v>0</v>
      </c>
      <c r="G126" s="139">
        <f t="shared" si="35"/>
        <v>0</v>
      </c>
      <c r="H126" s="139">
        <f t="shared" si="35"/>
        <v>16866.933448347052</v>
      </c>
      <c r="I126" s="139">
        <f t="shared" si="35"/>
        <v>16492.112705050451</v>
      </c>
      <c r="J126" s="139">
        <f t="shared" si="35"/>
        <v>16117.29196175385</v>
      </c>
      <c r="K126" s="148"/>
      <c r="L126" s="36"/>
      <c r="M126" s="36"/>
    </row>
    <row r="127" spans="1:13">
      <c r="A127" s="149">
        <v>5</v>
      </c>
      <c r="C127" s="149" t="s">
        <v>479</v>
      </c>
      <c r="E127" s="139">
        <f t="shared" si="35"/>
        <v>0</v>
      </c>
      <c r="F127" s="139">
        <f t="shared" si="35"/>
        <v>0</v>
      </c>
      <c r="G127" s="139">
        <f t="shared" si="35"/>
        <v>0</v>
      </c>
      <c r="H127" s="139">
        <f t="shared" si="35"/>
        <v>0</v>
      </c>
      <c r="I127" s="139">
        <f t="shared" si="35"/>
        <v>16715.530513329184</v>
      </c>
      <c r="J127" s="139">
        <f t="shared" si="35"/>
        <v>16344.074279699647</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17589.629697104338</v>
      </c>
      <c r="K128" s="148"/>
      <c r="L128" s="36"/>
      <c r="M128" s="36"/>
    </row>
    <row r="129" spans="3:13">
      <c r="C129" s="149" t="s">
        <v>72</v>
      </c>
      <c r="E129" s="139">
        <f>SUM(E105:E110)</f>
        <v>0</v>
      </c>
      <c r="F129" s="139">
        <f t="shared" ref="F129:J129" si="36">SUM(F105:F110)</f>
        <v>8110</v>
      </c>
      <c r="G129" s="139">
        <f t="shared" si="36"/>
        <v>23478.949334597841</v>
      </c>
      <c r="H129" s="139">
        <f t="shared" si="36"/>
        <v>40544.967655581262</v>
      </c>
      <c r="I129" s="139">
        <f t="shared" si="36"/>
        <v>56495.213342912029</v>
      </c>
      <c r="J129" s="139">
        <f t="shared" si="36"/>
        <v>71919.235351928335</v>
      </c>
      <c r="K129" s="148"/>
      <c r="L129" s="36"/>
      <c r="M129" s="36"/>
    </row>
    <row r="130" spans="3:13">
      <c r="C130" s="149" t="s">
        <v>67</v>
      </c>
      <c r="E130" s="139">
        <f>SUM(E117:E122)</f>
        <v>0</v>
      </c>
      <c r="F130" s="139">
        <f t="shared" ref="F130:J130" si="37">SUM(F117:F122)</f>
        <v>180.22222222222223</v>
      </c>
      <c r="G130" s="139">
        <f t="shared" si="37"/>
        <v>525.75936792933476</v>
      </c>
      <c r="H130" s="139">
        <f t="shared" si="37"/>
        <v>916.68776101628487</v>
      </c>
      <c r="I130" s="139">
        <f t="shared" si="37"/>
        <v>1291.5085043128861</v>
      </c>
      <c r="J130" s="139">
        <f t="shared" si="37"/>
        <v>1662.9647379424237</v>
      </c>
      <c r="K130" s="148"/>
      <c r="L130" s="36"/>
      <c r="M130" s="36"/>
    </row>
    <row r="131" spans="3:13" s="36" customFormat="1">
      <c r="C131" s="36" t="s">
        <v>73</v>
      </c>
      <c r="E131" s="139">
        <f>SUM(E123:E128)</f>
        <v>8110</v>
      </c>
      <c r="F131" s="139">
        <f t="shared" ref="F131:J131" si="38">SUM(F123:F128)</f>
        <v>23478.949334597841</v>
      </c>
      <c r="G131" s="139">
        <f t="shared" si="38"/>
        <v>40544.967655581262</v>
      </c>
      <c r="H131" s="139">
        <f t="shared" si="38"/>
        <v>56495.213342912029</v>
      </c>
      <c r="I131" s="139">
        <f t="shared" si="38"/>
        <v>71919.235351928335</v>
      </c>
      <c r="J131" s="139">
        <f t="shared" si="38"/>
        <v>87845.900311090241</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137423.16468491277</v>
      </c>
      <c r="F134" s="139">
        <f>E137</f>
        <v>132160.16468491277</v>
      </c>
      <c r="G134" s="139">
        <f t="shared" ref="G134:J134" si="39">F137</f>
        <v>126927.31293333662</v>
      </c>
      <c r="H134" s="139">
        <f t="shared" si="39"/>
        <v>121694.46118176047</v>
      </c>
      <c r="I134" s="139">
        <f t="shared" si="39"/>
        <v>116461.60943018433</v>
      </c>
      <c r="J134" s="139">
        <f t="shared" si="39"/>
        <v>111228.75767860818</v>
      </c>
      <c r="K134" s="148"/>
      <c r="L134" s="36"/>
      <c r="M134" s="36"/>
    </row>
    <row r="135" spans="3:13">
      <c r="C135" s="149" t="s">
        <v>41</v>
      </c>
      <c r="E135" s="139">
        <f t="shared" ref="E135:J135" si="40">E55</f>
        <v>29</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5234</v>
      </c>
      <c r="F136" s="139">
        <f t="shared" si="41"/>
        <v>5232.8517515761469</v>
      </c>
      <c r="G136" s="139">
        <f t="shared" si="41"/>
        <v>5232.8517515761469</v>
      </c>
      <c r="H136" s="139">
        <f t="shared" si="41"/>
        <v>5232.8517515761459</v>
      </c>
      <c r="I136" s="139">
        <f t="shared" si="41"/>
        <v>5232.8517515761459</v>
      </c>
      <c r="J136" s="139">
        <f t="shared" si="41"/>
        <v>5232.8517515761459</v>
      </c>
      <c r="K136" s="148"/>
      <c r="L136" s="36"/>
      <c r="M136" s="36"/>
    </row>
    <row r="137" spans="3:13">
      <c r="C137" s="149" t="s">
        <v>66</v>
      </c>
      <c r="E137" s="139">
        <f t="shared" ref="E137:J137" si="42">E134-E135-E136</f>
        <v>132160.16468491277</v>
      </c>
      <c r="F137" s="139">
        <f t="shared" si="42"/>
        <v>126927.31293333662</v>
      </c>
      <c r="G137" s="139">
        <f t="shared" si="42"/>
        <v>121694.46118176047</v>
      </c>
      <c r="H137" s="139">
        <f t="shared" si="42"/>
        <v>116461.60943018433</v>
      </c>
      <c r="I137" s="139">
        <f t="shared" si="42"/>
        <v>111228.75767860818</v>
      </c>
      <c r="J137" s="139">
        <f t="shared" si="42"/>
        <v>105995.90592703203</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137423.16468491277</v>
      </c>
      <c r="F140" s="139">
        <f t="shared" si="43"/>
        <v>142637.99511301966</v>
      </c>
      <c r="G140" s="139">
        <f t="shared" si="43"/>
        <v>155506.31283283423</v>
      </c>
      <c r="H140" s="139">
        <f t="shared" si="43"/>
        <v>170917.19643441727</v>
      </c>
      <c r="I140" s="139">
        <f t="shared" si="43"/>
        <v>185423.54674261433</v>
      </c>
      <c r="J140" s="139">
        <f t="shared" si="43"/>
        <v>199591.15678035445</v>
      </c>
      <c r="K140" s="148"/>
      <c r="L140" s="36"/>
      <c r="M140" s="36"/>
    </row>
    <row r="141" spans="3:13">
      <c r="C141" s="149" t="s">
        <v>268</v>
      </c>
      <c r="E141" s="139">
        <f t="shared" ref="E141:J143" si="44">E60+E98</f>
        <v>2367.830428106884</v>
      </c>
      <c r="F141" s="139">
        <f t="shared" si="44"/>
        <v>2825.9738456558762</v>
      </c>
      <c r="G141" s="139">
        <f t="shared" si="44"/>
        <v>3785.0050915579832</v>
      </c>
      <c r="H141" s="139">
        <f t="shared" si="44"/>
        <v>4147.4388285979612</v>
      </c>
      <c r="I141" s="139">
        <f t="shared" si="44"/>
        <v>4499.4467118570701</v>
      </c>
      <c r="J141" s="139">
        <f t="shared" si="44"/>
        <v>4843.2347987480462</v>
      </c>
      <c r="K141" s="148"/>
      <c r="L141" s="36"/>
      <c r="M141" s="36"/>
    </row>
    <row r="142" spans="3:13">
      <c r="C142" s="149" t="s">
        <v>267</v>
      </c>
      <c r="E142" s="139">
        <f>E61+E99</f>
        <v>5234</v>
      </c>
      <c r="F142" s="139">
        <f t="shared" si="44"/>
        <v>5506.827682661361</v>
      </c>
      <c r="G142" s="139">
        <f t="shared" si="44"/>
        <v>5965.8991788876856</v>
      </c>
      <c r="H142" s="139">
        <f t="shared" si="44"/>
        <v>6508.0219687479566</v>
      </c>
      <c r="I142" s="139">
        <f t="shared" si="44"/>
        <v>7047.3671874461361</v>
      </c>
      <c r="J142" s="139">
        <f t="shared" si="44"/>
        <v>7597.1152983105512</v>
      </c>
      <c r="K142" s="148"/>
      <c r="L142" s="36"/>
      <c r="M142" s="36"/>
    </row>
    <row r="143" spans="3:13">
      <c r="C143" s="149" t="s">
        <v>270</v>
      </c>
      <c r="E143" s="139">
        <f t="shared" si="44"/>
        <v>142637.99511301966</v>
      </c>
      <c r="F143" s="139">
        <f t="shared" si="44"/>
        <v>155506.31283283423</v>
      </c>
      <c r="G143" s="139">
        <f t="shared" si="44"/>
        <v>170917.19643441727</v>
      </c>
      <c r="H143" s="139">
        <f t="shared" si="44"/>
        <v>185423.54674261433</v>
      </c>
      <c r="I143" s="139">
        <f t="shared" si="44"/>
        <v>199591.15678035445</v>
      </c>
      <c r="J143" s="216">
        <f t="shared" si="44"/>
        <v>214426.9059778963</v>
      </c>
      <c r="K143" s="148"/>
      <c r="L143" s="36"/>
      <c r="M143" s="36"/>
    </row>
    <row r="144" spans="3:13">
      <c r="C144" s="149" t="s">
        <v>46</v>
      </c>
      <c r="E144" s="139">
        <f t="shared" ref="E144:J144" si="45">E130+E136</f>
        <v>5234</v>
      </c>
      <c r="F144" s="139">
        <f t="shared" si="45"/>
        <v>5413.0739737983695</v>
      </c>
      <c r="G144" s="139">
        <f t="shared" si="45"/>
        <v>5758.6111195054818</v>
      </c>
      <c r="H144" s="139">
        <f t="shared" si="45"/>
        <v>6149.5395125924306</v>
      </c>
      <c r="I144" s="139">
        <f t="shared" si="45"/>
        <v>6524.3602558890325</v>
      </c>
      <c r="J144" s="139">
        <f t="shared" si="45"/>
        <v>6895.8164895185691</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1.0379472444843165</v>
      </c>
      <c r="G148" s="308">
        <f t="shared" ref="G148:J148" si="46">G140/$E140</f>
        <v>1.1315873360170605</v>
      </c>
      <c r="H148" s="308">
        <f t="shared" si="46"/>
        <v>1.2437291545883145</v>
      </c>
      <c r="I148" s="308">
        <f t="shared" si="46"/>
        <v>1.3492888711139641</v>
      </c>
      <c r="J148" s="308">
        <f t="shared" si="46"/>
        <v>1.452383644620483</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8.3175386785383706E-2</v>
      </c>
      <c r="E152" s="36"/>
      <c r="F152" s="36"/>
      <c r="G152" s="36"/>
      <c r="H152" s="36"/>
      <c r="I152" s="36"/>
      <c r="J152" s="36"/>
      <c r="K152" s="148"/>
      <c r="L152" s="36"/>
      <c r="M152" s="36"/>
    </row>
    <row r="153" spans="1:13">
      <c r="C153" s="149" t="s">
        <v>282</v>
      </c>
      <c r="E153" s="135">
        <f>E16</f>
        <v>45374</v>
      </c>
      <c r="F153" s="139">
        <f>E157</f>
        <v>49681</v>
      </c>
      <c r="G153" s="139">
        <f t="shared" ref="G153:J153" si="48">F157</f>
        <v>61097.935165935422</v>
      </c>
      <c r="H153" s="139">
        <f t="shared" si="48"/>
        <v>73607.868465633204</v>
      </c>
      <c r="I153" s="139">
        <f t="shared" si="48"/>
        <v>84352.438983903558</v>
      </c>
      <c r="J153" s="139">
        <f t="shared" si="48"/>
        <v>94051.922758456087</v>
      </c>
      <c r="K153" s="148"/>
      <c r="L153" s="36"/>
      <c r="M153" s="36"/>
    </row>
    <row r="154" spans="1:13">
      <c r="C154" s="149" t="s">
        <v>35</v>
      </c>
      <c r="E154" s="135">
        <f>E15</f>
        <v>3774</v>
      </c>
      <c r="F154" s="139">
        <f t="shared" ref="F154:J154" si="49">F153*$D152</f>
        <v>4132.2363908846482</v>
      </c>
      <c r="G154" s="139">
        <f t="shared" si="49"/>
        <v>5081.8443892149753</v>
      </c>
      <c r="H154" s="139">
        <f t="shared" si="49"/>
        <v>6122.3629300766897</v>
      </c>
      <c r="I154" s="139">
        <f t="shared" si="49"/>
        <v>7016.0467387766575</v>
      </c>
      <c r="J154" s="139">
        <f t="shared" si="49"/>
        <v>7822.8050533436171</v>
      </c>
      <c r="K154" s="148"/>
      <c r="L154" s="36"/>
      <c r="M154" s="36"/>
    </row>
    <row r="155" spans="1:13">
      <c r="C155" s="149" t="s">
        <v>124</v>
      </c>
      <c r="E155" s="139">
        <f t="shared" ref="E155:J155" si="50">E25</f>
        <v>8110</v>
      </c>
      <c r="F155" s="139">
        <f t="shared" si="50"/>
        <v>15549.171556820065</v>
      </c>
      <c r="G155" s="139">
        <f t="shared" si="50"/>
        <v>17591.777688912756</v>
      </c>
      <c r="H155" s="139">
        <f t="shared" si="50"/>
        <v>16866.933448347052</v>
      </c>
      <c r="I155" s="139">
        <f t="shared" si="50"/>
        <v>16715.530513329184</v>
      </c>
      <c r="J155" s="139">
        <f t="shared" si="50"/>
        <v>17589.629697104338</v>
      </c>
      <c r="K155" s="148"/>
      <c r="L155" s="309"/>
      <c r="M155" s="36"/>
    </row>
    <row r="156" spans="1:13">
      <c r="C156" s="149" t="s">
        <v>41</v>
      </c>
      <c r="E156" s="139">
        <f>E55</f>
        <v>29</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49681</v>
      </c>
      <c r="F157" s="139">
        <f t="shared" ref="F157:J157" si="52">F153-F154+F155-F156</f>
        <v>61097.935165935422</v>
      </c>
      <c r="G157" s="139">
        <f t="shared" si="52"/>
        <v>73607.868465633204</v>
      </c>
      <c r="H157" s="139">
        <f t="shared" si="52"/>
        <v>84352.438983903558</v>
      </c>
      <c r="I157" s="139">
        <f t="shared" si="52"/>
        <v>94051.922758456087</v>
      </c>
      <c r="J157" s="139">
        <f t="shared" si="52"/>
        <v>103818.7474022168</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1460</v>
      </c>
      <c r="F160" s="139">
        <f t="shared" si="53"/>
        <v>1280.8375829137212</v>
      </c>
      <c r="G160" s="139">
        <f t="shared" si="53"/>
        <v>676.76673029050653</v>
      </c>
      <c r="H160" s="139">
        <f t="shared" si="53"/>
        <v>27.176582515740847</v>
      </c>
      <c r="I160" s="139">
        <f t="shared" si="53"/>
        <v>-491.68648288762506</v>
      </c>
      <c r="J160" s="139">
        <f t="shared" si="53"/>
        <v>-926.988563825048</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-624.10574636437809</v>
      </c>
      <c r="G163" s="310">
        <f t="shared" ref="G163:J163" si="54">F166</f>
        <v>-1301.9602178546397</v>
      </c>
      <c r="H163" s="310">
        <f t="shared" si="54"/>
        <v>-2103.7642299800509</v>
      </c>
      <c r="I163" s="310">
        <f t="shared" si="54"/>
        <v>-3087.4534834823962</v>
      </c>
      <c r="J163" s="310">
        <f t="shared" si="54"/>
        <v>-4216.424395297684</v>
      </c>
      <c r="K163" s="148"/>
      <c r="L163" s="36"/>
      <c r="M163" s="36"/>
    </row>
    <row r="164" spans="3:13">
      <c r="C164" s="149" t="s">
        <v>238</v>
      </c>
      <c r="E164" s="139">
        <f t="shared" ref="E164:J164" si="55">E160</f>
        <v>1460</v>
      </c>
      <c r="F164" s="139">
        <f t="shared" si="55"/>
        <v>1280.8375829137212</v>
      </c>
      <c r="G164" s="139">
        <f t="shared" si="55"/>
        <v>676.76673029050653</v>
      </c>
      <c r="H164" s="139">
        <f t="shared" si="55"/>
        <v>27.176582515740847</v>
      </c>
      <c r="I164" s="139">
        <f t="shared" si="55"/>
        <v>-491.68648288762506</v>
      </c>
      <c r="J164" s="139">
        <f t="shared" si="55"/>
        <v>-926.988563825048</v>
      </c>
      <c r="K164" s="148"/>
      <c r="L164" s="36"/>
      <c r="M164" s="36"/>
    </row>
    <row r="165" spans="3:13">
      <c r="C165" s="149" t="s">
        <v>49</v>
      </c>
      <c r="E165" s="135">
        <f>(E11-E16)/E17</f>
        <v>3540.3524878812605</v>
      </c>
      <c r="F165" s="139">
        <f>E165</f>
        <v>3540.3524878812605</v>
      </c>
      <c r="G165" s="139">
        <f t="shared" ref="G165:J165" si="56">F165</f>
        <v>3540.3524878812605</v>
      </c>
      <c r="H165" s="139">
        <f t="shared" si="56"/>
        <v>3540.3524878812605</v>
      </c>
      <c r="I165" s="139">
        <f t="shared" si="56"/>
        <v>3540.3524878812605</v>
      </c>
      <c r="J165" s="139">
        <f t="shared" si="56"/>
        <v>3540.3524878812605</v>
      </c>
      <c r="K165" s="148"/>
      <c r="L165" s="36"/>
      <c r="M165" s="36"/>
    </row>
    <row r="166" spans="3:13">
      <c r="C166" s="149" t="s">
        <v>266</v>
      </c>
      <c r="E166" s="310">
        <f t="shared" ref="E166:J166" si="57">E163+(E164-E165)*E52</f>
        <v>-624.10574636437809</v>
      </c>
      <c r="F166" s="310">
        <f t="shared" si="57"/>
        <v>-1301.9602178546397</v>
      </c>
      <c r="G166" s="310">
        <f t="shared" si="57"/>
        <v>-2103.7642299800509</v>
      </c>
      <c r="H166" s="310">
        <f t="shared" si="57"/>
        <v>-3087.4534834823962</v>
      </c>
      <c r="I166" s="310">
        <f t="shared" si="57"/>
        <v>-4216.424395297684</v>
      </c>
      <c r="J166" s="310">
        <f t="shared" si="57"/>
        <v>-5467.279889775451</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137423.16468491277</v>
      </c>
      <c r="F169" s="139">
        <f t="shared" si="58"/>
        <v>142013.88936665529</v>
      </c>
      <c r="G169" s="139">
        <f t="shared" si="58"/>
        <v>154204.35261497958</v>
      </c>
      <c r="H169" s="139">
        <f t="shared" si="58"/>
        <v>168813.43220443721</v>
      </c>
      <c r="I169" s="139">
        <f t="shared" si="58"/>
        <v>182336.09325913194</v>
      </c>
      <c r="J169" s="139">
        <f t="shared" si="58"/>
        <v>195374.73238505676</v>
      </c>
      <c r="K169" s="148"/>
      <c r="L169" s="36"/>
      <c r="M169" s="36"/>
    </row>
    <row r="170" spans="3:13">
      <c r="C170" s="149" t="s">
        <v>124</v>
      </c>
      <c r="E170" s="139">
        <f t="shared" ref="E170:J170" si="59">E25</f>
        <v>8110</v>
      </c>
      <c r="F170" s="139">
        <f t="shared" si="59"/>
        <v>15549.171556820065</v>
      </c>
      <c r="G170" s="139">
        <f t="shared" si="59"/>
        <v>17591.777688912756</v>
      </c>
      <c r="H170" s="139">
        <f t="shared" si="59"/>
        <v>16866.933448347052</v>
      </c>
      <c r="I170" s="139">
        <f t="shared" si="59"/>
        <v>16715.530513329184</v>
      </c>
      <c r="J170" s="139">
        <f t="shared" si="59"/>
        <v>17589.629697104338</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2367.830428106884</v>
      </c>
      <c r="F172" s="95">
        <f t="shared" si="61"/>
        <v>2825.9738456558762</v>
      </c>
      <c r="G172" s="95">
        <f t="shared" si="61"/>
        <v>3785.0050915579832</v>
      </c>
      <c r="H172" s="95">
        <f t="shared" si="61"/>
        <v>4147.4388285979612</v>
      </c>
      <c r="I172" s="95">
        <f t="shared" si="61"/>
        <v>4499.4467118570701</v>
      </c>
      <c r="J172" s="95">
        <f t="shared" si="61"/>
        <v>4843.2347987480462</v>
      </c>
      <c r="K172" s="148"/>
      <c r="L172" s="36"/>
      <c r="M172" s="36"/>
    </row>
    <row r="173" spans="3:13">
      <c r="C173" s="149" t="s">
        <v>334</v>
      </c>
      <c r="E173" s="139">
        <f t="shared" ref="E173:J173" si="62">E169*WACC+E170*($D$46-1)+E171-E172</f>
        <v>10031.357841165132</v>
      </c>
      <c r="F173" s="139">
        <f t="shared" si="62"/>
        <v>10294.280562454427</v>
      </c>
      <c r="G173" s="139">
        <f t="shared" si="62"/>
        <v>10491.793795498801</v>
      </c>
      <c r="H173" s="139">
        <f t="shared" si="62"/>
        <v>11379.546862425497</v>
      </c>
      <c r="I173" s="139">
        <f t="shared" si="62"/>
        <v>12206.995025013593</v>
      </c>
      <c r="J173" s="139">
        <f t="shared" si="62"/>
        <v>13044.114441892427</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4794.9690621859763</v>
      </c>
      <c r="F176" s="310">
        <f t="shared" si="63"/>
        <v>4955.1486277813365</v>
      </c>
      <c r="G176" s="310">
        <f t="shared" si="63"/>
        <v>5380.4982714418666</v>
      </c>
      <c r="H176" s="310">
        <f t="shared" si="63"/>
        <v>5890.2382764772228</v>
      </c>
      <c r="I176" s="310">
        <f t="shared" si="63"/>
        <v>6362.070965997631</v>
      </c>
      <c r="J176" s="310">
        <f t="shared" si="63"/>
        <v>6817.0151623794</v>
      </c>
      <c r="K176" s="148"/>
      <c r="L176" s="36"/>
      <c r="M176" s="36"/>
    </row>
    <row r="177" spans="3:13">
      <c r="C177" s="149" t="s">
        <v>52</v>
      </c>
      <c r="E177" s="310">
        <f t="shared" ref="E177:J177" si="64">E142-E144</f>
        <v>0</v>
      </c>
      <c r="F177" s="310">
        <f t="shared" si="64"/>
        <v>93.753708862991516</v>
      </c>
      <c r="G177" s="310">
        <f t="shared" si="64"/>
        <v>207.28805938220376</v>
      </c>
      <c r="H177" s="310">
        <f t="shared" si="64"/>
        <v>358.48245615552605</v>
      </c>
      <c r="I177" s="310">
        <f t="shared" si="64"/>
        <v>523.0069315571036</v>
      </c>
      <c r="J177" s="310">
        <f t="shared" si="64"/>
        <v>701.29880879198208</v>
      </c>
      <c r="K177" s="148"/>
      <c r="L177" s="36"/>
      <c r="M177" s="36"/>
    </row>
    <row r="178" spans="3:13">
      <c r="C178" s="149" t="s">
        <v>53</v>
      </c>
      <c r="E178" s="310">
        <f t="shared" ref="E178:J178" si="65">E165+E177-E176</f>
        <v>-1254.6165743047159</v>
      </c>
      <c r="F178" s="310">
        <f t="shared" si="65"/>
        <v>-1321.0424310370845</v>
      </c>
      <c r="G178" s="310">
        <f t="shared" si="65"/>
        <v>-1632.8577241784023</v>
      </c>
      <c r="H178" s="310">
        <f t="shared" si="65"/>
        <v>-1991.4033324404363</v>
      </c>
      <c r="I178" s="310">
        <f t="shared" si="65"/>
        <v>-2298.7115465592669</v>
      </c>
      <c r="J178" s="310">
        <f t="shared" si="65"/>
        <v>-2575.3638657061574</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5234</v>
      </c>
      <c r="F181" s="139">
        <f t="shared" si="66"/>
        <v>5506.827682661361</v>
      </c>
      <c r="G181" s="139">
        <f t="shared" si="66"/>
        <v>5965.8991788876856</v>
      </c>
      <c r="H181" s="139">
        <f t="shared" si="66"/>
        <v>6508.0219687479566</v>
      </c>
      <c r="I181" s="139">
        <f t="shared" si="66"/>
        <v>7047.3671874461361</v>
      </c>
      <c r="J181" s="139">
        <f t="shared" si="66"/>
        <v>7597.1152983105512</v>
      </c>
      <c r="K181" s="148"/>
      <c r="L181" s="36"/>
      <c r="M181" s="36"/>
    </row>
    <row r="182" spans="3:13">
      <c r="C182" s="149" t="s">
        <v>275</v>
      </c>
      <c r="E182" s="139">
        <f>E55</f>
        <v>29</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5263</v>
      </c>
      <c r="F183" s="95">
        <f>F181+F182</f>
        <v>5506.827682661361</v>
      </c>
      <c r="G183" s="95">
        <f t="shared" ref="G183:J183" si="68">G181+G182</f>
        <v>5965.8991788876856</v>
      </c>
      <c r="H183" s="95">
        <f t="shared" si="68"/>
        <v>6508.0219687479566</v>
      </c>
      <c r="I183" s="95">
        <f t="shared" si="68"/>
        <v>7047.3671874461361</v>
      </c>
      <c r="J183" s="95">
        <f t="shared" si="68"/>
        <v>7597.1152983105512</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0</v>
      </c>
      <c r="F186" s="139">
        <f t="shared" ref="F186:J186" si="69">F40</f>
        <v>0</v>
      </c>
      <c r="G186" s="139">
        <f t="shared" si="69"/>
        <v>0</v>
      </c>
      <c r="H186" s="139">
        <f t="shared" si="69"/>
        <v>0</v>
      </c>
      <c r="I186" s="139">
        <f t="shared" si="69"/>
        <v>0</v>
      </c>
      <c r="J186" s="139">
        <f t="shared" si="69"/>
        <v>0</v>
      </c>
      <c r="K186" s="148"/>
      <c r="L186" s="36"/>
      <c r="M186" s="36"/>
    </row>
    <row r="187" spans="3:13">
      <c r="E187" s="36"/>
      <c r="F187" s="95"/>
      <c r="G187" s="95"/>
      <c r="H187" s="95"/>
      <c r="I187" s="95"/>
      <c r="J187" s="95"/>
      <c r="K187" s="148"/>
      <c r="L187" s="36"/>
      <c r="M187" s="36"/>
    </row>
    <row r="188" spans="3:13" ht="15.75">
      <c r="C188" s="5" t="s">
        <v>297</v>
      </c>
      <c r="E188" s="139">
        <f t="shared" ref="E188:J188" si="70">E24</f>
        <v>11132.692409059506</v>
      </c>
      <c r="F188" s="139">
        <f t="shared" si="70"/>
        <v>11471.952806665466</v>
      </c>
      <c r="G188" s="139">
        <f t="shared" si="70"/>
        <v>11847.434938917511</v>
      </c>
      <c r="H188" s="139">
        <f t="shared" si="70"/>
        <v>12187.309976863842</v>
      </c>
      <c r="I188" s="139">
        <f t="shared" si="70"/>
        <v>12551.230397802448</v>
      </c>
      <c r="J188" s="139">
        <f t="shared" si="70"/>
        <v>12931.234335586736</v>
      </c>
      <c r="K188" s="148"/>
      <c r="L188" s="309"/>
      <c r="M188" s="36"/>
    </row>
    <row r="189" spans="3:13">
      <c r="C189" s="149" t="s">
        <v>298</v>
      </c>
      <c r="E189" s="139">
        <f t="shared" ref="E189:J189" si="71">E188*$D$44</f>
        <v>11609.265985712145</v>
      </c>
      <c r="F189" s="139">
        <f t="shared" si="71"/>
        <v>11963.049603323007</v>
      </c>
      <c r="G189" s="139">
        <f t="shared" si="71"/>
        <v>12354.605552775902</v>
      </c>
      <c r="H189" s="139">
        <f t="shared" si="71"/>
        <v>12709.030122542337</v>
      </c>
      <c r="I189" s="139">
        <f t="shared" si="71"/>
        <v>13088.529421460407</v>
      </c>
      <c r="J189" s="139">
        <f t="shared" si="71"/>
        <v>13484.800748041369</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-624.10574636437809</v>
      </c>
      <c r="F192" s="310">
        <f t="shared" si="72"/>
        <v>-677.85447149026163</v>
      </c>
      <c r="G192" s="310">
        <f t="shared" si="72"/>
        <v>-801.80401212541119</v>
      </c>
      <c r="H192" s="310">
        <f t="shared" si="72"/>
        <v>-983.68925350234531</v>
      </c>
      <c r="I192" s="310">
        <f t="shared" si="72"/>
        <v>-1128.9709118152878</v>
      </c>
      <c r="J192" s="310">
        <f t="shared" si="72"/>
        <v>-1250.855494477767</v>
      </c>
      <c r="K192" s="148"/>
      <c r="L192" s="309"/>
      <c r="M192" s="36"/>
    </row>
    <row r="193" spans="2:15">
      <c r="C193" s="149" t="s">
        <v>285</v>
      </c>
      <c r="E193" s="36"/>
      <c r="F193" s="310">
        <f>(F173+F183+F189+((F186-F188-F142+F178)*F52+F192)*$D45-F192-F186*$D47)/($D48-F52*$D45)</f>
        <v>30492.110799434067</v>
      </c>
      <c r="G193" s="310">
        <f>(G173+G183+G189+((G186-G188-G142+G178)*G52+G192)*$D45-G192-G186*$D47)/($D48-G52*$D45)</f>
        <v>31103.169614431143</v>
      </c>
      <c r="H193" s="310">
        <f>(H173+H183+H189+((H186-H188-H142+H178)*H52+H192)*$D45-H192-H186*$D47)/($D48-H52*$D45)</f>
        <v>33007.458330470268</v>
      </c>
      <c r="I193" s="310">
        <f>(I173+I183+I189+((I186-I188-I142+I178)*I52+I192)*$D45-I192-I186*$D47)/($D48-I52*$D45)</f>
        <v>34874.463432968587</v>
      </c>
      <c r="J193" s="310">
        <f>(J173+J183+J189+((J186-J188-J142+J178)*J52+J192)*$D45-J192-J186*$D47)/($D48-J52*$D45)</f>
        <v>36794.068280161293</v>
      </c>
      <c r="K193" s="148"/>
      <c r="L193" s="309"/>
      <c r="M193" s="36"/>
    </row>
    <row r="194" spans="2:15">
      <c r="C194" s="149" t="s">
        <v>293</v>
      </c>
      <c r="E194" s="36"/>
      <c r="F194" s="310">
        <f>(F193+F186-F188-F181+F178)*F52</f>
        <v>3657.6863637210472</v>
      </c>
      <c r="G194" s="310">
        <f>(G193+G186-G188-G181+G178)*G52</f>
        <v>3263.9537762853129</v>
      </c>
      <c r="H194" s="310">
        <f>(H193+H186-H188-H181+H178)*H52</f>
        <v>3449.8024546770498</v>
      </c>
      <c r="I194" s="310">
        <f>(I193+I186-I188-I181+I178)*I52</f>
        <v>3633.6032043250057</v>
      </c>
      <c r="J194" s="310">
        <f>(J193+J186-J188-J181+J178)*J52</f>
        <v>3833.2993385561981</v>
      </c>
      <c r="K194" s="148"/>
      <c r="L194" s="309"/>
      <c r="M194" s="36"/>
    </row>
    <row r="195" spans="2:15">
      <c r="C195" s="149" t="s">
        <v>277</v>
      </c>
      <c r="E195" s="36"/>
      <c r="F195" s="310">
        <f>IF(F194&lt;0,#N/A,F194)</f>
        <v>3657.6863637210472</v>
      </c>
      <c r="G195" s="310">
        <f t="shared" ref="G195:J195" si="73">IF(G194&lt;0,#N/A,G194)</f>
        <v>3263.9537762853129</v>
      </c>
      <c r="H195" s="310">
        <f t="shared" si="73"/>
        <v>3449.8024546770498</v>
      </c>
      <c r="I195" s="310">
        <f>IF(I194&lt;0,#N/A,I194)</f>
        <v>3633.6032043250057</v>
      </c>
      <c r="J195" s="310">
        <f t="shared" si="73"/>
        <v>3833.2993385561981</v>
      </c>
      <c r="K195" s="148"/>
      <c r="L195" s="309"/>
      <c r="M195" s="36"/>
    </row>
    <row r="196" spans="2:15">
      <c r="C196" s="149" t="s">
        <v>286</v>
      </c>
      <c r="E196" s="36"/>
      <c r="F196" s="310">
        <f>F173+F183+F189+(F195+F192)*$D$45-F192-F186*$D$47</f>
        <v>31549.406269075054</v>
      </c>
      <c r="G196" s="310">
        <f>G173+G183+G189+(G195+G192)*$D$45-G192-G186*$D$47</f>
        <v>32181.653178298537</v>
      </c>
      <c r="H196" s="310">
        <f>H173+H183+H189+(H195+H192)*$D$45-H192-H186*$D$47</f>
        <v>34151.971951935186</v>
      </c>
      <c r="I196" s="310">
        <f>I173+I183+I189+(I195+I192)*$D$45-I192-I186*$D$47</f>
        <v>36083.714325318164</v>
      </c>
      <c r="J196" s="310">
        <f>J173+J183+J189+(J195+J192)*$D$45-J192-J186*$D$47</f>
        <v>38069.880307677522</v>
      </c>
      <c r="K196" s="148"/>
      <c r="L196" s="309"/>
      <c r="M196" s="36"/>
    </row>
    <row r="197" spans="2:15">
      <c r="C197" s="149" t="s">
        <v>287</v>
      </c>
      <c r="E197" s="36"/>
      <c r="F197" s="310">
        <f>F196/$D$48</f>
        <v>30492.110799434067</v>
      </c>
      <c r="G197" s="310">
        <f t="shared" ref="G197:J197" si="74">G196/$D$48</f>
        <v>31103.169614431139</v>
      </c>
      <c r="H197" s="310">
        <f t="shared" si="74"/>
        <v>33007.458330470268</v>
      </c>
      <c r="I197" s="310">
        <f t="shared" si="74"/>
        <v>34874.463432968587</v>
      </c>
      <c r="J197" s="310">
        <f t="shared" si="74"/>
        <v>36794.068280161286</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2979.8318922307853</v>
      </c>
      <c r="G199" s="310">
        <f t="shared" ref="G199:J199" si="75">G195+G192</f>
        <v>2462.1497641599017</v>
      </c>
      <c r="H199" s="310">
        <f t="shared" si="75"/>
        <v>2466.1132011747045</v>
      </c>
      <c r="I199" s="310">
        <f t="shared" si="75"/>
        <v>2504.6322925097179</v>
      </c>
      <c r="J199" s="310">
        <f t="shared" si="75"/>
        <v>2582.4438440784311</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34151.971951935186</v>
      </c>
      <c r="I204" s="310">
        <f>I196</f>
        <v>36083.714325318164</v>
      </c>
      <c r="J204" s="310">
        <f>J196</f>
        <v>38069.880307677522</v>
      </c>
      <c r="K204" s="148"/>
      <c r="L204" s="36"/>
      <c r="M204" s="36"/>
    </row>
    <row r="205" spans="2:15">
      <c r="B205" s="149" t="s">
        <v>247</v>
      </c>
      <c r="C205" s="149" t="s">
        <v>249</v>
      </c>
      <c r="D205" s="155"/>
      <c r="E205" s="36"/>
      <c r="F205" s="310"/>
      <c r="G205" s="310"/>
      <c r="H205" s="310">
        <f>H204/(1+WACC)^H$203</f>
        <v>31398.337732771157</v>
      </c>
      <c r="I205" s="310">
        <f>I204/(1+WACC)^I$203</f>
        <v>30499.518194676399</v>
      </c>
      <c r="J205" s="310">
        <f>J204/(1+WACC)^J$203</f>
        <v>29583.811443584291</v>
      </c>
      <c r="K205" s="148"/>
      <c r="L205" s="36"/>
      <c r="M205" s="36"/>
    </row>
    <row r="206" spans="2:15">
      <c r="B206" s="149" t="s">
        <v>247</v>
      </c>
      <c r="C206" s="149" t="s">
        <v>159</v>
      </c>
      <c r="D206" s="92">
        <f>SUM(H205:J205)</f>
        <v>91481.667371031843</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91481.667371031843</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1.0280924718341711</v>
      </c>
      <c r="J211" s="316">
        <f>I211*(1+J$31)*(1+J$26)*(1-X_industry_wide)</f>
        <v>1.0569812431246979</v>
      </c>
      <c r="K211" s="148"/>
      <c r="L211" s="36" t="s">
        <v>509</v>
      </c>
      <c r="M211" s="36"/>
    </row>
    <row r="212" spans="1:13">
      <c r="C212" s="149" t="s">
        <v>160</v>
      </c>
      <c r="D212" s="155"/>
      <c r="E212" s="36"/>
      <c r="F212" s="317"/>
      <c r="G212" s="316"/>
      <c r="H212" s="316">
        <f>H211/(1+WACC)^H$203</f>
        <v>0.91937115013330895</v>
      </c>
      <c r="I212" s="316">
        <f>I211/(1+WACC)^I$203</f>
        <v>0.86898828562432517</v>
      </c>
      <c r="J212" s="316">
        <f>J211/(1+WACC)^J$203</f>
        <v>0.82137200178431569</v>
      </c>
      <c r="K212" s="148"/>
      <c r="L212" s="36" t="s">
        <v>280</v>
      </c>
      <c r="M212" s="36"/>
    </row>
    <row r="213" spans="1:13">
      <c r="C213" s="149" t="s">
        <v>99</v>
      </c>
      <c r="D213" s="140">
        <f>SUM(H212:J212)</f>
        <v>2.6097314375419498</v>
      </c>
      <c r="E213" s="36"/>
      <c r="F213" s="317"/>
      <c r="G213" s="316"/>
      <c r="H213" s="316"/>
      <c r="I213" s="316"/>
      <c r="J213" s="316"/>
      <c r="K213" s="148"/>
      <c r="L213" s="36" t="s">
        <v>510</v>
      </c>
      <c r="M213" s="36"/>
    </row>
    <row r="214" spans="1:13">
      <c r="C214" s="149" t="s">
        <v>256</v>
      </c>
      <c r="D214" s="26">
        <f>D210/D213</f>
        <v>35054.054242913386</v>
      </c>
      <c r="E214" s="36"/>
      <c r="F214" s="317"/>
      <c r="G214" s="316"/>
      <c r="H214" s="310"/>
      <c r="I214" s="310"/>
      <c r="J214" s="310"/>
      <c r="K214" s="148"/>
      <c r="L214" s="36"/>
      <c r="M214" s="36"/>
    </row>
    <row r="215" spans="1:13">
      <c r="C215" s="149" t="s">
        <v>252</v>
      </c>
      <c r="D215" s="26"/>
      <c r="E215" s="36"/>
      <c r="F215" s="317"/>
      <c r="G215" s="316"/>
      <c r="H215" s="310">
        <f t="shared" ref="H215:J215" si="76">$D214*H211</f>
        <v>35054.054242913386</v>
      </c>
      <c r="I215" s="310">
        <f t="shared" si="76"/>
        <v>36038.809274405932</v>
      </c>
      <c r="J215" s="310">
        <f t="shared" si="76"/>
        <v>37051.477830235177</v>
      </c>
      <c r="K215" s="148"/>
      <c r="L215" s="36" t="s">
        <v>243</v>
      </c>
      <c r="M215" s="36"/>
    </row>
    <row r="216" spans="1:13">
      <c r="C216" s="149" t="s">
        <v>253</v>
      </c>
      <c r="D216" s="26"/>
      <c r="E216" s="36"/>
      <c r="F216" s="317"/>
      <c r="G216" s="316"/>
      <c r="H216" s="247">
        <f t="shared" ref="H216:J216" si="77">H215/$D$48</f>
        <v>33879.309703270163</v>
      </c>
      <c r="I216" s="247">
        <f t="shared" si="77"/>
        <v>34831.063256870431</v>
      </c>
      <c r="J216" s="247">
        <f t="shared" si="77"/>
        <v>35809.794886369127</v>
      </c>
      <c r="K216" s="148"/>
      <c r="L216" s="36" t="s">
        <v>245</v>
      </c>
      <c r="M216" s="36"/>
    </row>
    <row r="217" spans="1:13">
      <c r="C217" s="149" t="s">
        <v>252</v>
      </c>
      <c r="D217" s="26"/>
      <c r="E217" s="36"/>
      <c r="F217" s="317"/>
      <c r="G217" s="316"/>
      <c r="H217" s="247">
        <f>H216*$D$48</f>
        <v>35054.054242913393</v>
      </c>
      <c r="I217" s="247">
        <f t="shared" ref="I217:J217" si="78">I216*$D$48</f>
        <v>36038.809274405932</v>
      </c>
      <c r="J217" s="247">
        <f t="shared" si="78"/>
        <v>37051.477830235177</v>
      </c>
      <c r="K217" s="148"/>
      <c r="L217" s="36" t="s">
        <v>299</v>
      </c>
      <c r="M217" s="36"/>
    </row>
    <row r="218" spans="1:13">
      <c r="C218" s="149" t="s">
        <v>254</v>
      </c>
      <c r="D218" s="155"/>
      <c r="E218" s="36"/>
      <c r="F218" s="317"/>
      <c r="G218" s="316"/>
      <c r="H218" s="310">
        <f>H215/(1+WACC)^H$203</f>
        <v>32227.686166142677</v>
      </c>
      <c r="I218" s="310">
        <f>I215/(1+WACC)^I$203</f>
        <v>30461.562500731405</v>
      </c>
      <c r="J218" s="310">
        <f>J215/(1+WACC)^J$203</f>
        <v>28792.41870415775</v>
      </c>
      <c r="K218" s="148"/>
      <c r="L218" s="36" t="s">
        <v>246</v>
      </c>
      <c r="M218" s="36"/>
    </row>
    <row r="219" spans="1:13">
      <c r="C219" s="149" t="s">
        <v>255</v>
      </c>
      <c r="D219" s="26">
        <f>SUM(H218:J218)</f>
        <v>91481.667371031828</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59253.981204889154</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1.1332448368492863E-3</v>
      </c>
      <c r="G226" s="204">
        <f t="shared" ref="G226:J226" si="80">G$26</f>
        <v>2.2074634811314283E-3</v>
      </c>
      <c r="H226" s="204">
        <f t="shared" si="80"/>
        <v>4.6761328409900653E-3</v>
      </c>
      <c r="I226" s="204">
        <f t="shared" si="80"/>
        <v>3.5536954567734627E-3</v>
      </c>
      <c r="J226" s="204">
        <f t="shared" si="80"/>
        <v>3.7427897729352096E-3</v>
      </c>
      <c r="K226" s="148"/>
      <c r="L226" s="36"/>
      <c r="M226" s="36"/>
    </row>
    <row r="227" spans="1:14">
      <c r="A227" s="19"/>
      <c r="B227" s="19" t="s">
        <v>263</v>
      </c>
      <c r="C227" s="149" t="s">
        <v>411</v>
      </c>
      <c r="E227" s="163">
        <f>E$8-E$9-E$10</f>
        <v>21409</v>
      </c>
      <c r="F227" s="247">
        <f>E227*(1+F225)*(1+F226)*(1-X_industry_wide)</f>
        <v>21961.599920396406</v>
      </c>
      <c r="G227" s="247">
        <f>F227*(1+G225)*(1+G226)*(1-X_industry_wide)</f>
        <v>22402.116386980048</v>
      </c>
      <c r="H227" s="320">
        <f>G227*(1+H225)*(1+H226)*(1-X_industry_wide)</f>
        <v>23540.141676202897</v>
      </c>
      <c r="I227" s="247">
        <f>H227*(1+I225)*(1+I226)*(1-X_industry_wide)</f>
        <v>24201.442443214026</v>
      </c>
      <c r="J227" s="247">
        <f>I227*(1+J225)*(1+J226)*(1-X_industry_wide)</f>
        <v>24881.488212244447</v>
      </c>
      <c r="K227" s="148"/>
      <c r="L227" s="300"/>
      <c r="M227" s="36"/>
    </row>
    <row r="228" spans="1:14">
      <c r="A228" s="19"/>
      <c r="B228" s="19"/>
      <c r="C228" s="149" t="s">
        <v>358</v>
      </c>
      <c r="E228" s="215"/>
      <c r="F228" s="247"/>
      <c r="G228" s="320">
        <f>G227*$D$48</f>
        <v>23178.896201343166</v>
      </c>
      <c r="H228" s="320">
        <f>H227*$D$48</f>
        <v>24356.381828046313</v>
      </c>
      <c r="I228" s="320">
        <f>I227*$D$48</f>
        <v>25040.61279853302</v>
      </c>
      <c r="J228" s="320">
        <f>J227*$D$48</f>
        <v>25744.238742628193</v>
      </c>
      <c r="K228" s="148"/>
      <c r="L228" s="300"/>
      <c r="M228" s="36"/>
    </row>
    <row r="229" spans="1:14">
      <c r="A229" s="19"/>
      <c r="B229" s="19" t="s">
        <v>263</v>
      </c>
      <c r="C229" s="149" t="s">
        <v>335</v>
      </c>
      <c r="D229" s="92">
        <f>H227</f>
        <v>23540.141676202897</v>
      </c>
      <c r="E229" s="36"/>
      <c r="F229" s="247"/>
      <c r="G229" s="310"/>
      <c r="H229" s="310"/>
      <c r="I229" s="310"/>
      <c r="J229" s="310"/>
      <c r="K229" s="148"/>
      <c r="L229" s="300"/>
      <c r="M229" s="36"/>
    </row>
    <row r="230" spans="1:14">
      <c r="B230" s="19" t="s">
        <v>263</v>
      </c>
      <c r="C230" s="149" t="s">
        <v>336</v>
      </c>
      <c r="D230" s="92">
        <f>D214/D48</f>
        <v>33879.309703270163</v>
      </c>
      <c r="E230" s="36"/>
      <c r="F230" s="321"/>
      <c r="G230" s="310"/>
      <c r="H230" s="310"/>
      <c r="I230" s="310"/>
      <c r="J230" s="310"/>
      <c r="K230" s="148"/>
      <c r="L230" s="36"/>
      <c r="M230" s="36"/>
    </row>
    <row r="231" spans="1:14">
      <c r="B231" s="19" t="s">
        <v>263</v>
      </c>
      <c r="C231" s="149" t="s">
        <v>329</v>
      </c>
      <c r="D231" s="32">
        <f>(D230-D229)/D229</f>
        <v>0.43921435007841503</v>
      </c>
      <c r="E231" s="36"/>
      <c r="F231" s="247"/>
      <c r="G231" s="310"/>
      <c r="H231" s="310"/>
      <c r="I231" s="310"/>
      <c r="J231" s="310"/>
      <c r="K231" s="310"/>
      <c r="L231" s="310"/>
      <c r="M231" s="310"/>
      <c r="N231" s="19"/>
    </row>
    <row r="232" spans="1:14">
      <c r="C232" s="149" t="s">
        <v>452</v>
      </c>
      <c r="D232" s="125">
        <f>NPV(WACC,H228:J228)</f>
        <v>63563.615361427925</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10339.168027067266</v>
      </c>
      <c r="F235" s="36"/>
      <c r="G235" s="36"/>
      <c r="H235" s="36"/>
      <c r="I235" s="310"/>
      <c r="J235" s="310"/>
      <c r="K235" s="148"/>
      <c r="L235" s="36"/>
      <c r="M235" s="36"/>
    </row>
    <row r="236" spans="1:14">
      <c r="C236" s="149" t="s">
        <v>341</v>
      </c>
      <c r="D236" s="94"/>
      <c r="E236" s="310">
        <f>H217-H228</f>
        <v>10697.67241486708</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59253.981204889154</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-0.15</v>
      </c>
      <c r="K243" s="148"/>
      <c r="L243" s="36"/>
      <c r="M243" s="36"/>
    </row>
    <row r="244" spans="1:13">
      <c r="A244" s="155"/>
      <c r="B244" s="155" t="s">
        <v>264</v>
      </c>
      <c r="C244" s="149" t="s">
        <v>257</v>
      </c>
      <c r="D244" s="155"/>
      <c r="E244" s="36"/>
      <c r="F244" s="317"/>
      <c r="G244" s="316"/>
      <c r="H244" s="316"/>
      <c r="I244" s="162">
        <v>1</v>
      </c>
      <c r="J244" s="316">
        <f>I244*(1+J$31)*(1+J$26)*(1-J243)</f>
        <v>1.1823142984646466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0.91876735598188608</v>
      </c>
      <c r="K245" s="148"/>
      <c r="L245" s="36" t="s">
        <v>280</v>
      </c>
      <c r="M245" s="36"/>
    </row>
    <row r="246" spans="1:13">
      <c r="A246" s="155"/>
      <c r="B246" s="155" t="s">
        <v>264</v>
      </c>
      <c r="C246" s="149" t="s">
        <v>99</v>
      </c>
      <c r="D246" s="140">
        <f>SUM(I245:J245)</f>
        <v>1.7640106676793295</v>
      </c>
      <c r="E246" s="36"/>
      <c r="F246" s="317"/>
      <c r="G246" s="316"/>
      <c r="H246" s="316"/>
      <c r="I246" s="316"/>
      <c r="J246" s="316"/>
      <c r="K246" s="148"/>
      <c r="L246" s="36" t="s">
        <v>510</v>
      </c>
      <c r="M246" s="36"/>
    </row>
    <row r="247" spans="1:13">
      <c r="A247" s="155"/>
      <c r="B247" s="155" t="s">
        <v>264</v>
      </c>
      <c r="C247" s="149" t="s">
        <v>256</v>
      </c>
      <c r="D247" s="26">
        <f>D242/D246</f>
        <v>33590.489156645301</v>
      </c>
      <c r="E247" s="36"/>
      <c r="F247" s="317"/>
      <c r="G247" s="316"/>
      <c r="H247" s="310"/>
      <c r="I247" s="310"/>
      <c r="J247" s="310"/>
      <c r="K247" s="148"/>
      <c r="L247" s="36"/>
      <c r="M247" s="36"/>
    </row>
    <row r="248" spans="1:13">
      <c r="A248" s="155"/>
      <c r="B248" s="155" t="s">
        <v>264</v>
      </c>
      <c r="C248" s="149" t="s">
        <v>252</v>
      </c>
      <c r="D248" s="26"/>
      <c r="E248" s="36"/>
      <c r="F248" s="317"/>
      <c r="G248" s="316"/>
      <c r="H248" s="163">
        <f>H215</f>
        <v>35054.054242913386</v>
      </c>
      <c r="I248" s="310">
        <f t="shared" ref="I248:J248" si="81">$D247*I244</f>
        <v>33590.489156645301</v>
      </c>
      <c r="J248" s="310">
        <f t="shared" si="81"/>
        <v>39714.515622323408</v>
      </c>
      <c r="K248" s="148"/>
      <c r="L248" s="36" t="s">
        <v>243</v>
      </c>
      <c r="M248" s="36"/>
    </row>
    <row r="249" spans="1:13">
      <c r="A249" s="155"/>
      <c r="B249" s="155" t="s">
        <v>264</v>
      </c>
      <c r="C249" s="149" t="s">
        <v>253</v>
      </c>
      <c r="D249" s="26"/>
      <c r="E249" s="36"/>
      <c r="F249" s="317"/>
      <c r="G249" s="316"/>
      <c r="H249" s="247">
        <f>H248/$D$48</f>
        <v>33879.309703270163</v>
      </c>
      <c r="I249" s="247">
        <f>I248/$D$48</f>
        <v>32464.792156028278</v>
      </c>
      <c r="J249" s="247">
        <f>J248/$D$48</f>
        <v>38383.587962755133</v>
      </c>
      <c r="K249" s="148"/>
      <c r="L249" s="36" t="s">
        <v>245</v>
      </c>
      <c r="M249" s="36"/>
    </row>
    <row r="250" spans="1:13">
      <c r="A250" s="155"/>
      <c r="B250" s="155" t="s">
        <v>264</v>
      </c>
      <c r="C250" s="149" t="s">
        <v>370</v>
      </c>
      <c r="D250" s="155"/>
      <c r="E250" s="36"/>
      <c r="F250" s="317"/>
      <c r="G250" s="316"/>
      <c r="H250" s="310"/>
      <c r="I250" s="310">
        <f>I248/(1+WACC)^I$203</f>
        <v>28392.136296299934</v>
      </c>
      <c r="J250" s="310">
        <f>J248/(1+WACC)^J$203</f>
        <v>30861.844908589213</v>
      </c>
      <c r="K250" s="148"/>
      <c r="L250" s="36" t="s">
        <v>299</v>
      </c>
      <c r="M250" s="36"/>
    </row>
    <row r="251" spans="1:13">
      <c r="A251" s="155"/>
      <c r="B251" s="155" t="s">
        <v>264</v>
      </c>
      <c r="C251" s="149" t="s">
        <v>255</v>
      </c>
      <c r="D251" s="26">
        <f>SUM(I250:J250)</f>
        <v>59253.981204889147</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3693.9208390610202</v>
      </c>
      <c r="I253" s="324">
        <f>(I249+I186-I$188-I$181+I$178)*I$52</f>
        <v>2958.8952467817189</v>
      </c>
      <c r="J253" s="324">
        <f>(J249+J186-J$188-J$181+J$178)*J$52</f>
        <v>4278.3648496824744</v>
      </c>
      <c r="K253" s="247"/>
      <c r="L253" s="36"/>
      <c r="M253" s="36"/>
    </row>
    <row r="254" spans="1:13">
      <c r="A254" s="155"/>
      <c r="B254" s="214" t="s">
        <v>264</v>
      </c>
      <c r="C254" s="143" t="s">
        <v>325</v>
      </c>
      <c r="D254" s="214"/>
      <c r="E254" s="36"/>
      <c r="F254" s="322"/>
      <c r="G254" s="323"/>
      <c r="H254" s="324">
        <f>H253+H192</f>
        <v>2710.2315855586749</v>
      </c>
      <c r="I254" s="324">
        <f>I253+I192</f>
        <v>1829.9243349664312</v>
      </c>
      <c r="J254" s="324">
        <f>J253+J192</f>
        <v>3027.5093552047074</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31607.449756115486</v>
      </c>
      <c r="G257" s="138">
        <f>H257/((1+H32)*(1+H26)*(1+X_industry_wide))</f>
        <v>32241.447376268501</v>
      </c>
      <c r="H257" s="310">
        <f>H249</f>
        <v>33879.309703270163</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1.0082464458497957</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24356.381828046313</v>
      </c>
      <c r="I266" s="334">
        <f>H266*(1+I$225)*(1+I$226)*(1+$E265)</f>
        <v>28796.704718312973</v>
      </c>
      <c r="J266" s="247">
        <f>I266*(1+J$225)*(1+J$226)*(1-$J243)</f>
        <v>34046.755737125786</v>
      </c>
      <c r="K266" s="36"/>
      <c r="L266" s="36"/>
      <c r="M266" s="36"/>
    </row>
    <row r="267" spans="3:14">
      <c r="C267" s="149" t="s">
        <v>409</v>
      </c>
      <c r="D267" s="94"/>
      <c r="E267" s="36"/>
      <c r="F267" s="36"/>
      <c r="G267" s="36"/>
      <c r="H267" s="247">
        <f>H266/$D$48</f>
        <v>23540.141676202897</v>
      </c>
      <c r="I267" s="247">
        <f t="shared" ref="I267:J267" si="82">I266/$D$48</f>
        <v>27831.658809696128</v>
      </c>
      <c r="J267" s="247">
        <f t="shared" si="82"/>
        <v>32905.768160693282</v>
      </c>
      <c r="K267" s="36"/>
      <c r="L267" s="36"/>
      <c r="M267" s="36"/>
    </row>
    <row r="268" spans="3:14">
      <c r="C268" s="149" t="s">
        <v>347</v>
      </c>
      <c r="D268" s="94"/>
      <c r="E268" s="36"/>
      <c r="F268" s="36"/>
      <c r="G268" s="36"/>
      <c r="H268" s="247">
        <f>H266/(1+WACC)^H$203</f>
        <v>22392.554774336964</v>
      </c>
      <c r="I268" s="247">
        <f>I266/(1+WACC)^I$203</f>
        <v>24340.222062080247</v>
      </c>
      <c r="J268" s="247">
        <f>J266/(1+WACC)^J$203</f>
        <v>26457.472255035515</v>
      </c>
      <c r="K268" s="36"/>
      <c r="L268" s="36"/>
      <c r="M268" s="36"/>
    </row>
    <row r="269" spans="3:14">
      <c r="C269" s="149" t="s">
        <v>348</v>
      </c>
      <c r="D269" s="94"/>
      <c r="E269" s="310">
        <f>SUM(H268:J268)</f>
        <v>73190.249091452715</v>
      </c>
      <c r="F269" s="36"/>
      <c r="G269" s="36"/>
      <c r="H269" s="36"/>
      <c r="I269" s="36"/>
      <c r="J269" s="36"/>
      <c r="K269" s="36"/>
      <c r="L269" s="36"/>
      <c r="M269" s="36"/>
    </row>
    <row r="270" spans="3:14">
      <c r="C270" s="149" t="str">
        <f>C206</f>
        <v>PV of BBAR before tax over the PV period</v>
      </c>
      <c r="E270" s="310">
        <f>D206</f>
        <v>91481.667371031843</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31607.449756115486</v>
      </c>
      <c r="G274" s="247">
        <f t="shared" ref="G274:H274" si="83">G257</f>
        <v>32241.447376268501</v>
      </c>
      <c r="H274" s="333">
        <f t="shared" si="83"/>
        <v>33879.309703270163</v>
      </c>
      <c r="I274" s="310">
        <f>I249</f>
        <v>32464.792156028278</v>
      </c>
      <c r="J274" s="310">
        <f>J249</f>
        <v>38383.587962755133</v>
      </c>
      <c r="K274" s="36"/>
      <c r="L274" s="36"/>
      <c r="M274" s="36"/>
    </row>
    <row r="275" spans="3:13">
      <c r="C275" s="149" t="s">
        <v>407</v>
      </c>
      <c r="D275" s="94"/>
      <c r="E275" s="36"/>
      <c r="F275" s="247">
        <f>F274</f>
        <v>31607.449756115486</v>
      </c>
      <c r="G275" s="247">
        <f t="shared" ref="G275:H275" si="84">G274</f>
        <v>32241.447376268501</v>
      </c>
      <c r="H275" s="333">
        <f t="shared" si="84"/>
        <v>33879.309703270163</v>
      </c>
      <c r="I275" s="247">
        <f>I267</f>
        <v>27831.658809696128</v>
      </c>
      <c r="J275" s="247">
        <f>J267</f>
        <v>32905.768160693282</v>
      </c>
      <c r="K275" s="36"/>
      <c r="L275" s="36"/>
      <c r="M275" s="36"/>
    </row>
    <row r="276" spans="3:13">
      <c r="C276" s="149" t="s">
        <v>408</v>
      </c>
      <c r="D276" s="94"/>
      <c r="E276" s="36"/>
      <c r="F276" s="247">
        <f>IF($E$22=-15%,F275,F274)</f>
        <v>31607.449756115486</v>
      </c>
      <c r="G276" s="247">
        <f t="shared" ref="G276:J276" si="85">IF($E$22=-15%,G275,G274)</f>
        <v>32241.447376268501</v>
      </c>
      <c r="H276" s="247">
        <f t="shared" si="85"/>
        <v>33879.309703270163</v>
      </c>
      <c r="I276" s="247">
        <f t="shared" si="85"/>
        <v>27831.658809696128</v>
      </c>
      <c r="J276" s="247">
        <f t="shared" si="85"/>
        <v>32905.768160693282</v>
      </c>
      <c r="K276" s="36"/>
      <c r="L276" s="36"/>
      <c r="M276" s="36"/>
    </row>
    <row r="277" spans="3:13">
      <c r="C277" s="149" t="s">
        <v>449</v>
      </c>
      <c r="D277" s="94"/>
      <c r="E277" s="328">
        <f>(I276/H267)/((1+I225)*(1+I226))-1</f>
        <v>0.15000000000000013</v>
      </c>
      <c r="F277" s="247"/>
      <c r="G277" s="247"/>
      <c r="H277" s="247"/>
      <c r="I277" s="36"/>
      <c r="J277" s="36"/>
      <c r="K277" s="36"/>
      <c r="L277" s="36"/>
      <c r="M277" s="36"/>
    </row>
    <row r="278" spans="3:13">
      <c r="C278" s="149" t="s">
        <v>450</v>
      </c>
      <c r="D278" s="94"/>
      <c r="E278" s="328">
        <f>(J276/I276)/((1+J225)*(1+J226))-1</f>
        <v>0.14999999999999991</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24201.442443214026</v>
      </c>
      <c r="E281" s="36"/>
      <c r="F281" s="313"/>
      <c r="G281" s="36"/>
      <c r="H281" s="36"/>
      <c r="I281" s="36"/>
      <c r="J281" s="36"/>
      <c r="K281" s="36"/>
      <c r="L281" s="36"/>
      <c r="M281" s="36"/>
    </row>
    <row r="282" spans="3:13">
      <c r="C282" s="149" t="s">
        <v>443</v>
      </c>
      <c r="D282" s="19">
        <f>I276</f>
        <v>27831.658809696128</v>
      </c>
      <c r="E282" s="36"/>
      <c r="F282" s="313"/>
      <c r="G282" s="36"/>
      <c r="H282" s="36"/>
      <c r="I282" s="36"/>
      <c r="J282" s="36"/>
      <c r="K282" s="36"/>
      <c r="L282" s="36"/>
      <c r="M282" s="36"/>
    </row>
    <row r="283" spans="3:13">
      <c r="C283" s="149" t="s">
        <v>445</v>
      </c>
      <c r="D283" s="152">
        <f>(D282-D281)/D281</f>
        <v>0.14999999999999991</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63563.615361427925</v>
      </c>
      <c r="G286" s="36"/>
      <c r="H286" s="36"/>
      <c r="I286" s="36"/>
      <c r="J286" s="36"/>
      <c r="K286" s="36"/>
      <c r="L286" s="36"/>
      <c r="M286" s="36"/>
    </row>
    <row r="287" spans="3:13">
      <c r="C287" s="149" t="str">
        <f>C206</f>
        <v>PV of BBAR before tax over the PV period</v>
      </c>
      <c r="E287" s="36"/>
      <c r="F287" s="310">
        <f>D206</f>
        <v>91481.667371031843</v>
      </c>
      <c r="G287" s="36"/>
      <c r="H287" s="36"/>
      <c r="I287" s="36"/>
      <c r="J287" s="36"/>
      <c r="K287" s="36"/>
      <c r="L287" s="36"/>
      <c r="M287" s="36"/>
    </row>
    <row r="288" spans="3:13">
      <c r="C288" s="149" t="s">
        <v>405</v>
      </c>
      <c r="D288" s="94"/>
      <c r="E288" s="36"/>
      <c r="F288" s="247">
        <f>F286-F287</f>
        <v>-27918.052009603918</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-168813.43220443721</v>
      </c>
      <c r="F293" s="247"/>
      <c r="G293" s="310"/>
      <c r="H293" s="310"/>
      <c r="I293" s="310"/>
      <c r="J293" s="310"/>
      <c r="K293" s="310"/>
      <c r="L293" s="36"/>
      <c r="M293" s="36"/>
      <c r="N293" s="19">
        <f>J$143+J$166</f>
        <v>208959.62608812086</v>
      </c>
    </row>
    <row r="294" spans="3:14">
      <c r="C294" s="149" t="s">
        <v>57</v>
      </c>
      <c r="D294" s="19"/>
      <c r="E294" s="90"/>
      <c r="F294" s="247"/>
      <c r="G294" s="138">
        <f>H$249</f>
        <v>33879.309703270163</v>
      </c>
      <c r="H294" s="36">
        <v>0</v>
      </c>
      <c r="I294" s="36">
        <v>0</v>
      </c>
      <c r="J294" s="164">
        <f>I$249</f>
        <v>32464.792156028278</v>
      </c>
      <c r="K294" s="310">
        <v>0</v>
      </c>
      <c r="L294" s="138">
        <v>0</v>
      </c>
      <c r="M294" s="310">
        <f>J$249</f>
        <v>38383.587962755133</v>
      </c>
    </row>
    <row r="295" spans="3:14">
      <c r="C295" s="149" t="s">
        <v>234</v>
      </c>
      <c r="D295" s="19"/>
      <c r="E295" s="299"/>
      <c r="F295" s="320">
        <f>H186</f>
        <v>0</v>
      </c>
      <c r="G295" s="215"/>
      <c r="H295" s="300"/>
      <c r="I295" s="216">
        <f>I186</f>
        <v>0</v>
      </c>
      <c r="J295" s="215"/>
      <c r="K295" s="215"/>
      <c r="L295" s="215">
        <f>J186</f>
        <v>0</v>
      </c>
      <c r="M295" s="215"/>
    </row>
    <row r="296" spans="3:14">
      <c r="C296" s="149" t="s">
        <v>54</v>
      </c>
      <c r="D296" s="19"/>
      <c r="E296" s="299"/>
      <c r="F296" s="320">
        <f>-H$24</f>
        <v>-12187.309976863842</v>
      </c>
      <c r="G296" s="300"/>
      <c r="H296" s="215"/>
      <c r="I296" s="215">
        <f>-I$24</f>
        <v>-12551.230397802448</v>
      </c>
      <c r="J296" s="300"/>
      <c r="K296" s="215"/>
      <c r="L296" s="215">
        <f>-J$24</f>
        <v>-12931.234335586736</v>
      </c>
      <c r="M296" s="300"/>
    </row>
    <row r="297" spans="3:14">
      <c r="C297" s="149" t="s">
        <v>125</v>
      </c>
      <c r="D297" s="19"/>
      <c r="E297" s="299"/>
      <c r="F297" s="320">
        <f>-H$25</f>
        <v>-16866.933448347052</v>
      </c>
      <c r="G297" s="300"/>
      <c r="H297" s="215"/>
      <c r="I297" s="215">
        <f>-I$25</f>
        <v>-16715.530513329184</v>
      </c>
      <c r="J297" s="300"/>
      <c r="K297" s="215"/>
      <c r="L297" s="215">
        <f>-J$25</f>
        <v>-17589.629697104338</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-2710.2315855586749</v>
      </c>
      <c r="G299" s="300">
        <v>0</v>
      </c>
      <c r="H299" s="300">
        <v>0</v>
      </c>
      <c r="I299" s="336">
        <f>-I$254</f>
        <v>-1829.9243349664312</v>
      </c>
      <c r="J299" s="215">
        <v>0</v>
      </c>
      <c r="K299" s="163">
        <v>0</v>
      </c>
      <c r="L299" s="215">
        <f>-J$254</f>
        <v>-3027.5093552047074</v>
      </c>
      <c r="M299" s="300"/>
    </row>
    <row r="300" spans="3:14" ht="15.75" thickBot="1">
      <c r="C300" s="149" t="s">
        <v>217</v>
      </c>
      <c r="D300" s="19"/>
      <c r="E300" s="332">
        <f>SUM(E293:E299)</f>
        <v>-168813.43220443721</v>
      </c>
      <c r="F300" s="332">
        <f t="shared" ref="F300:K300" si="87">SUM(F293:F299)</f>
        <v>-31764.475010769569</v>
      </c>
      <c r="G300" s="332">
        <f t="shared" si="87"/>
        <v>33879.309703270163</v>
      </c>
      <c r="H300" s="332">
        <f t="shared" si="87"/>
        <v>0</v>
      </c>
      <c r="I300" s="332">
        <f t="shared" si="87"/>
        <v>-31096.685246098066</v>
      </c>
      <c r="J300" s="332">
        <f t="shared" si="87"/>
        <v>32464.792156028278</v>
      </c>
      <c r="K300" s="332">
        <f t="shared" si="87"/>
        <v>0</v>
      </c>
      <c r="L300" s="332">
        <f>SUM(L293:L299)</f>
        <v>-33548.373387895786</v>
      </c>
      <c r="M300" s="332">
        <f>SUM(M293:M299)</f>
        <v>38383.587962755133</v>
      </c>
      <c r="N300" s="129">
        <f>SUM(N293:N299)</f>
        <v>208959.62608812086</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5.8207660913467407E-11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3"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19.xml><?xml version="1.0" encoding="utf-8"?>
<worksheet xmlns="http://schemas.openxmlformats.org/spreadsheetml/2006/main" xmlns:r="http://schemas.openxmlformats.org/officeDocument/2006/relationships">
  <sheetPr codeName="Sheet14">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Unison </v>
      </c>
      <c r="D1" s="2"/>
      <c r="E1" s="2"/>
      <c r="F1" s="6" t="s">
        <v>169</v>
      </c>
      <c r="G1" s="7">
        <v>14</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103734.355</v>
      </c>
    </row>
    <row r="9" spans="1:16">
      <c r="A9" s="9">
        <f>A8+1</f>
        <v>2</v>
      </c>
      <c r="B9" s="9"/>
      <c r="C9" s="149" t="str">
        <f>Inputs!B21</f>
        <v>Pass-through costs</v>
      </c>
      <c r="E9" s="1">
        <f t="shared" si="0"/>
        <v>449.51900000000001</v>
      </c>
    </row>
    <row r="10" spans="1:16">
      <c r="A10" s="9">
        <f t="shared" ref="A10:A22" si="1">A9+1</f>
        <v>3</v>
      </c>
      <c r="B10" s="9"/>
      <c r="C10" s="149" t="str">
        <f>Inputs!B22</f>
        <v>Recoverable costs</v>
      </c>
      <c r="E10" s="1">
        <f t="shared" si="0"/>
        <v>26374.566999999999</v>
      </c>
    </row>
    <row r="11" spans="1:16">
      <c r="A11" s="9">
        <f t="shared" si="1"/>
        <v>4</v>
      </c>
      <c r="B11" s="9"/>
      <c r="C11" s="155" t="str">
        <f>Inputs!B23</f>
        <v>Opening RAB</v>
      </c>
      <c r="E11" s="1">
        <f t="shared" si="0"/>
        <v>425167.66445999703</v>
      </c>
      <c r="L11" s="13"/>
    </row>
    <row r="12" spans="1:16">
      <c r="A12" s="9">
        <f t="shared" si="1"/>
        <v>5</v>
      </c>
      <c r="B12" s="9"/>
      <c r="C12" s="155" t="str">
        <f>Inputs!B24</f>
        <v>Total Depreciation</v>
      </c>
      <c r="E12" s="1">
        <f t="shared" si="0"/>
        <v>16299.4722399277</v>
      </c>
      <c r="F12" s="161"/>
      <c r="G12" s="337" t="s">
        <v>511</v>
      </c>
    </row>
    <row r="13" spans="1:16">
      <c r="A13" s="9">
        <f t="shared" si="1"/>
        <v>6</v>
      </c>
      <c r="B13" s="9"/>
      <c r="C13" s="155" t="str">
        <f>Inputs!B25</f>
        <v>RAB of disposed assets</v>
      </c>
      <c r="E13" s="1">
        <f t="shared" si="0"/>
        <v>871.83328869499996</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23479</v>
      </c>
      <c r="G15" s="23" t="s">
        <v>514</v>
      </c>
    </row>
    <row r="16" spans="1:16">
      <c r="A16" s="9">
        <f t="shared" si="1"/>
        <v>9</v>
      </c>
      <c r="B16" s="9"/>
      <c r="C16" s="155" t="str">
        <f>Inputs!B28</f>
        <v>Opening regulatory tax asset value</v>
      </c>
      <c r="E16" s="1">
        <f t="shared" si="0"/>
        <v>268092.72069799999</v>
      </c>
    </row>
    <row r="17" spans="1:21">
      <c r="A17" s="9">
        <f t="shared" si="1"/>
        <v>10</v>
      </c>
      <c r="B17" s="9"/>
      <c r="C17" s="155" t="str">
        <f>Inputs!B29</f>
        <v>Weighted Average Remaining Life at year-end</v>
      </c>
      <c r="E17" s="1">
        <f t="shared" si="0"/>
        <v>27.63</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451.71499999999997</v>
      </c>
    </row>
    <row r="20" spans="1:21">
      <c r="A20" s="9">
        <f t="shared" si="1"/>
        <v>13</v>
      </c>
      <c r="B20" s="9"/>
      <c r="C20" s="155" t="str">
        <f>Inputs!B32</f>
        <v>Operating expenditure 2009/10</v>
      </c>
      <c r="E20" s="1">
        <f t="shared" si="0"/>
        <v>26102.297999999999</v>
      </c>
    </row>
    <row r="21" spans="1:21">
      <c r="A21" s="9">
        <f t="shared" si="1"/>
        <v>14</v>
      </c>
      <c r="B21" s="9"/>
      <c r="C21" s="155" t="str">
        <f>Inputs!B33</f>
        <v>Other regulated income</v>
      </c>
      <c r="E21" s="1">
        <f t="shared" si="0"/>
        <v>276.78451291306197</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26102.297999999999</v>
      </c>
      <c r="F24" s="39">
        <f>INDEX(OpexBlock,F7-1,$G$1)</f>
        <v>26634.800824492308</v>
      </c>
      <c r="G24" s="39">
        <f>INDEX(OpexBlock,G7-1,$G$1)</f>
        <v>27506.707306543209</v>
      </c>
      <c r="H24" s="39">
        <f>INDEX(OpexBlock,H7-1,$G$1)</f>
        <v>28755.695541235458</v>
      </c>
      <c r="I24" s="39">
        <f>INDEX(OpexBlock,I7-1,$G$1)</f>
        <v>29512.184230097246</v>
      </c>
      <c r="J24" s="39">
        <f>INDEX(OpexBlock,J7-1,$G$1)</f>
        <v>30180.818517551801</v>
      </c>
      <c r="K24" s="90"/>
      <c r="L24" s="36"/>
      <c r="M24" s="36"/>
    </row>
    <row r="25" spans="1:21">
      <c r="A25" s="9"/>
      <c r="B25" s="9"/>
      <c r="C25" s="149" t="s">
        <v>272</v>
      </c>
      <c r="D25" s="1"/>
      <c r="E25" s="39">
        <f t="shared" ref="E25:J25" si="2">INDEX(CommAssetsBlock,E7,$G$1)</f>
        <v>36417.770770000003</v>
      </c>
      <c r="F25" s="39">
        <f t="shared" si="2"/>
        <v>43246.822270499397</v>
      </c>
      <c r="G25" s="39">
        <f t="shared" si="2"/>
        <v>51812.004939191007</v>
      </c>
      <c r="H25" s="39">
        <f t="shared" si="2"/>
        <v>47773.372816136514</v>
      </c>
      <c r="I25" s="39">
        <f t="shared" si="2"/>
        <v>50631.445402853024</v>
      </c>
      <c r="J25" s="39">
        <f t="shared" si="2"/>
        <v>33676.24857230232</v>
      </c>
      <c r="K25" s="90"/>
      <c r="L25" s="36"/>
      <c r="M25" s="36"/>
    </row>
    <row r="26" spans="1:21">
      <c r="A26" s="9"/>
      <c r="B26" s="9"/>
      <c r="C26" s="149" t="s">
        <v>342</v>
      </c>
      <c r="D26" s="1"/>
      <c r="E26" s="90"/>
      <c r="F26" s="90">
        <f t="shared" ref="F26:J26" si="3">INDEX(ConstPriceRevGrwth,F$7-1,$G$1)</f>
        <v>7.2447645028497947E-3</v>
      </c>
      <c r="G26" s="90">
        <f t="shared" si="3"/>
        <v>-1.2913154271305476E-2</v>
      </c>
      <c r="H26" s="90">
        <f t="shared" si="3"/>
        <v>4.5546603195417276E-3</v>
      </c>
      <c r="I26" s="90">
        <f t="shared" si="3"/>
        <v>4.3112899384150551E-3</v>
      </c>
      <c r="J26" s="90">
        <f t="shared" si="3"/>
        <v>4.9742770689090851E-3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276.78451291306197</v>
      </c>
      <c r="F40" s="295">
        <f>E40*(1+F39)</f>
        <v>289.14772269678122</v>
      </c>
      <c r="G40" s="295">
        <f t="shared" ref="G40:J40" si="5">F40*(1+G39)</f>
        <v>293.68930996426997</v>
      </c>
      <c r="H40" s="295">
        <f t="shared" si="5"/>
        <v>299.24013884675617</v>
      </c>
      <c r="I40" s="295">
        <f t="shared" si="5"/>
        <v>305.54789894049048</v>
      </c>
      <c r="J40" s="295">
        <f t="shared" si="5"/>
        <v>312.36027984172358</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26.084750365014454</v>
      </c>
      <c r="F53" s="45">
        <f>E53-1</f>
        <v>25.084750365014454</v>
      </c>
      <c r="G53" s="45">
        <f t="shared" ref="G53:J53" si="6">F53-1</f>
        <v>24.084750365014454</v>
      </c>
      <c r="H53" s="45">
        <f t="shared" si="6"/>
        <v>23.084750365014454</v>
      </c>
      <c r="I53" s="45">
        <f t="shared" si="6"/>
        <v>22.084750365014454</v>
      </c>
      <c r="J53" s="45">
        <f t="shared" si="6"/>
        <v>21.084750365014454</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871.83328869499996</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425167.66445999703</v>
      </c>
      <c r="F58" s="216">
        <f>E62</f>
        <v>415308.60965083033</v>
      </c>
      <c r="G58" s="216">
        <f t="shared" ref="G58:J58" si="9">F62</f>
        <v>406980.57228012622</v>
      </c>
      <c r="H58" s="216">
        <f t="shared" si="9"/>
        <v>399988.57778369775</v>
      </c>
      <c r="I58" s="216">
        <f t="shared" si="9"/>
        <v>392367.65064140194</v>
      </c>
      <c r="J58" s="216">
        <f t="shared" si="9"/>
        <v>384122.30543916294</v>
      </c>
      <c r="K58" s="148"/>
      <c r="L58" s="36"/>
      <c r="M58" s="36"/>
    </row>
    <row r="59" spans="3:16">
      <c r="C59" s="149" t="s">
        <v>41</v>
      </c>
      <c r="D59" s="153"/>
      <c r="E59" s="216">
        <f>E55</f>
        <v>871.83328869499996</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7312.2507194560039</v>
      </c>
      <c r="F60" s="216">
        <f t="shared" si="11"/>
        <v>8228.181192668937</v>
      </c>
      <c r="G60" s="216">
        <f t="shared" si="11"/>
        <v>9905.8585480152178</v>
      </c>
      <c r="H60" s="216">
        <f t="shared" si="11"/>
        <v>9706.0342265345553</v>
      </c>
      <c r="I60" s="216">
        <f t="shared" si="11"/>
        <v>9521.1064966206031</v>
      </c>
      <c r="J60" s="216">
        <f t="shared" si="11"/>
        <v>9321.0267763796874</v>
      </c>
      <c r="K60" s="148"/>
      <c r="L60" s="36"/>
      <c r="M60" s="36"/>
    </row>
    <row r="61" spans="3:16">
      <c r="C61" s="149" t="s">
        <v>43</v>
      </c>
      <c r="E61" s="136">
        <f>E12</f>
        <v>16299.4722399277</v>
      </c>
      <c r="F61" s="216">
        <f t="shared" ref="F61:J61" si="12">F58/F53</f>
        <v>16556.218563373015</v>
      </c>
      <c r="G61" s="216">
        <f t="shared" si="12"/>
        <v>16897.853044443709</v>
      </c>
      <c r="H61" s="216">
        <f t="shared" si="12"/>
        <v>17326.961368830351</v>
      </c>
      <c r="I61" s="216">
        <f t="shared" si="12"/>
        <v>17766.451698859633</v>
      </c>
      <c r="J61" s="216">
        <f t="shared" si="12"/>
        <v>18218.015332850711</v>
      </c>
      <c r="K61" s="148"/>
      <c r="L61" s="36"/>
      <c r="M61" s="36"/>
    </row>
    <row r="62" spans="3:16">
      <c r="C62" s="149" t="s">
        <v>44</v>
      </c>
      <c r="E62" s="139">
        <f>E58-E59+E60-E61</f>
        <v>415308.60965083033</v>
      </c>
      <c r="F62" s="139">
        <f>F58-F59+F60-F61</f>
        <v>406980.57228012622</v>
      </c>
      <c r="G62" s="139">
        <f t="shared" ref="G62:J62" si="13">G58-G59+G60-G61</f>
        <v>399988.57778369775</v>
      </c>
      <c r="H62" s="139">
        <f t="shared" si="13"/>
        <v>392367.65064140194</v>
      </c>
      <c r="I62" s="216">
        <f t="shared" si="13"/>
        <v>384122.30543916294</v>
      </c>
      <c r="J62" s="216">
        <f t="shared" si="13"/>
        <v>375225.31688269193</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36417.770770000003</v>
      </c>
      <c r="F66" s="139">
        <f t="shared" ref="F66:J66" si="15">F$25</f>
        <v>43246.822270499397</v>
      </c>
      <c r="G66" s="139">
        <f t="shared" si="15"/>
        <v>51812.004939191007</v>
      </c>
      <c r="H66" s="139">
        <f t="shared" si="15"/>
        <v>47773.372816136514</v>
      </c>
      <c r="I66" s="139">
        <f t="shared" si="15"/>
        <v>50631.445402853024</v>
      </c>
      <c r="J66" s="139">
        <f t="shared" si="15"/>
        <v>33676.24857230232</v>
      </c>
      <c r="K66" s="148"/>
      <c r="L66" s="36"/>
      <c r="M66" s="36"/>
    </row>
    <row r="67" spans="1:13">
      <c r="A67" s="149">
        <v>1</v>
      </c>
      <c r="C67" s="149" t="s">
        <v>481</v>
      </c>
      <c r="E67" s="135">
        <v>0</v>
      </c>
      <c r="F67" s="139">
        <f>E91</f>
        <v>36417.770770000003</v>
      </c>
      <c r="G67" s="139">
        <f t="shared" ref="G67:J67" si="16">F91</f>
        <v>36330.003480103805</v>
      </c>
      <c r="H67" s="139">
        <f t="shared" si="16"/>
        <v>36388.589530820849</v>
      </c>
      <c r="I67" s="139">
        <f t="shared" si="16"/>
        <v>36425.340715735641</v>
      </c>
      <c r="J67" s="139">
        <f t="shared" si="16"/>
        <v>36441.959947880081</v>
      </c>
      <c r="K67" s="148"/>
      <c r="L67" s="36"/>
      <c r="M67" s="36"/>
    </row>
    <row r="68" spans="1:13">
      <c r="A68" s="149">
        <v>2</v>
      </c>
      <c r="C68" s="149" t="s">
        <v>482</v>
      </c>
      <c r="E68" s="135">
        <v>0</v>
      </c>
      <c r="F68" s="139">
        <f t="shared" ref="F68:J71" si="17">E92</f>
        <v>0</v>
      </c>
      <c r="G68" s="139">
        <f t="shared" si="17"/>
        <v>43246.822270499397</v>
      </c>
      <c r="H68" s="139">
        <f t="shared" si="17"/>
        <v>43338.404267288905</v>
      </c>
      <c r="I68" s="139">
        <f t="shared" si="17"/>
        <v>43405.080651947923</v>
      </c>
      <c r="J68" s="139">
        <f t="shared" si="17"/>
        <v>43448.918244057124</v>
      </c>
      <c r="K68" s="148"/>
      <c r="L68" s="36"/>
      <c r="M68" s="36"/>
    </row>
    <row r="69" spans="1:13">
      <c r="A69" s="149">
        <v>3</v>
      </c>
      <c r="C69" s="149" t="s">
        <v>483</v>
      </c>
      <c r="E69" s="135">
        <v>0</v>
      </c>
      <c r="F69" s="139">
        <f t="shared" si="17"/>
        <v>0</v>
      </c>
      <c r="G69" s="139">
        <f t="shared" si="17"/>
        <v>0</v>
      </c>
      <c r="H69" s="139">
        <f t="shared" si="17"/>
        <v>51812.004939191007</v>
      </c>
      <c r="I69" s="139">
        <f t="shared" si="17"/>
        <v>51917.885686566529</v>
      </c>
      <c r="J69" s="139">
        <f t="shared" si="17"/>
        <v>51997.76165281971</v>
      </c>
      <c r="K69" s="148"/>
      <c r="L69" s="36"/>
      <c r="M69" s="36"/>
    </row>
    <row r="70" spans="1:13">
      <c r="A70" s="149">
        <v>4</v>
      </c>
      <c r="C70" s="149" t="s">
        <v>484</v>
      </c>
      <c r="E70" s="135">
        <v>0</v>
      </c>
      <c r="F70" s="139">
        <f t="shared" si="17"/>
        <v>0</v>
      </c>
      <c r="G70" s="139">
        <f t="shared" si="17"/>
        <v>0</v>
      </c>
      <c r="H70" s="139">
        <f t="shared" si="17"/>
        <v>0</v>
      </c>
      <c r="I70" s="139">
        <f t="shared" si="17"/>
        <v>47773.372816136514</v>
      </c>
      <c r="J70" s="139">
        <f t="shared" si="17"/>
        <v>47871.000391528716</v>
      </c>
      <c r="K70" s="148"/>
      <c r="L70" s="36"/>
      <c r="M70" s="36"/>
    </row>
    <row r="71" spans="1:13">
      <c r="A71" s="149">
        <v>5</v>
      </c>
      <c r="C71" s="149" t="s">
        <v>485</v>
      </c>
      <c r="E71" s="135">
        <v>0</v>
      </c>
      <c r="F71" s="139">
        <f t="shared" si="17"/>
        <v>0</v>
      </c>
      <c r="G71" s="139">
        <f t="shared" si="17"/>
        <v>0</v>
      </c>
      <c r="H71" s="139">
        <f t="shared" si="17"/>
        <v>0</v>
      </c>
      <c r="I71" s="139">
        <f t="shared" si="17"/>
        <v>0</v>
      </c>
      <c r="J71" s="139">
        <f t="shared" si="17"/>
        <v>50631.445402853024</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721.5165049926951</v>
      </c>
      <c r="G79" s="139">
        <f t="shared" si="20"/>
        <v>884.26794799212735</v>
      </c>
      <c r="H79" s="139">
        <f t="shared" si="20"/>
        <v>882.99745307341868</v>
      </c>
      <c r="I79" s="139">
        <f t="shared" si="20"/>
        <v>883.8892491857606</v>
      </c>
      <c r="J79" s="139">
        <f t="shared" si="20"/>
        <v>884.29252779163096</v>
      </c>
      <c r="K79" s="148"/>
      <c r="L79" s="36"/>
      <c r="M79" s="36"/>
    </row>
    <row r="80" spans="1:13">
      <c r="A80" s="149">
        <v>2</v>
      </c>
      <c r="C80" s="149" t="s">
        <v>488</v>
      </c>
      <c r="E80" s="139">
        <f t="shared" ref="E80:J84" si="21">E68*E$38</f>
        <v>0</v>
      </c>
      <c r="F80" s="139">
        <f t="shared" si="21"/>
        <v>0</v>
      </c>
      <c r="G80" s="139">
        <f t="shared" si="21"/>
        <v>1052.6224916894907</v>
      </c>
      <c r="H80" s="139">
        <f t="shared" si="21"/>
        <v>1051.6401180064934</v>
      </c>
      <c r="I80" s="139">
        <f t="shared" si="21"/>
        <v>1053.2580723870606</v>
      </c>
      <c r="J80" s="139">
        <f t="shared" si="21"/>
        <v>1054.3218256866633</v>
      </c>
      <c r="K80" s="148"/>
      <c r="L80" s="36"/>
      <c r="M80" s="36"/>
    </row>
    <row r="81" spans="1:13">
      <c r="A81" s="149">
        <v>3</v>
      </c>
      <c r="C81" s="149" t="s">
        <v>489</v>
      </c>
      <c r="E81" s="139">
        <f t="shared" si="21"/>
        <v>0</v>
      </c>
      <c r="F81" s="139">
        <f t="shared" si="21"/>
        <v>0</v>
      </c>
      <c r="G81" s="139">
        <f t="shared" si="21"/>
        <v>0</v>
      </c>
      <c r="H81" s="139">
        <f t="shared" si="21"/>
        <v>1257.2586349131029</v>
      </c>
      <c r="I81" s="139">
        <f t="shared" si="21"/>
        <v>1259.8279136751421</v>
      </c>
      <c r="J81" s="139">
        <f t="shared" si="21"/>
        <v>1261.7661661788177</v>
      </c>
      <c r="K81" s="148"/>
      <c r="L81" s="36"/>
      <c r="M81" s="36"/>
    </row>
    <row r="82" spans="1:13">
      <c r="A82" s="149">
        <v>4</v>
      </c>
      <c r="C82" s="149" t="s">
        <v>490</v>
      </c>
      <c r="E82" s="139">
        <f t="shared" si="21"/>
        <v>0</v>
      </c>
      <c r="F82" s="139">
        <f t="shared" si="21"/>
        <v>0</v>
      </c>
      <c r="G82" s="139">
        <f t="shared" si="21"/>
        <v>0</v>
      </c>
      <c r="H82" s="139">
        <f t="shared" si="21"/>
        <v>0</v>
      </c>
      <c r="I82" s="139">
        <f t="shared" si="21"/>
        <v>1159.2580824174599</v>
      </c>
      <c r="J82" s="139">
        <f t="shared" si="21"/>
        <v>1161.6270915363223</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1228.6114387115288</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809.28379488888891</v>
      </c>
      <c r="G85" s="216">
        <f t="shared" si="22"/>
        <v>825.6818972750865</v>
      </c>
      <c r="H85" s="216">
        <f t="shared" si="22"/>
        <v>846.24626815862439</v>
      </c>
      <c r="I85" s="216">
        <f t="shared" si="22"/>
        <v>867.27001704132476</v>
      </c>
      <c r="J85" s="216">
        <f t="shared" si="22"/>
        <v>888.8282914117093</v>
      </c>
      <c r="K85" s="148"/>
      <c r="L85" s="36"/>
      <c r="M85" s="36"/>
    </row>
    <row r="86" spans="1:13">
      <c r="A86" s="149">
        <v>2</v>
      </c>
      <c r="C86" s="149" t="s">
        <v>494</v>
      </c>
      <c r="E86" s="216">
        <f t="shared" si="22"/>
        <v>0</v>
      </c>
      <c r="F86" s="216">
        <f t="shared" si="22"/>
        <v>0</v>
      </c>
      <c r="G86" s="216">
        <f t="shared" si="22"/>
        <v>961.04049489998658</v>
      </c>
      <c r="H86" s="216">
        <f t="shared" si="22"/>
        <v>984.96373334747511</v>
      </c>
      <c r="I86" s="216">
        <f t="shared" si="22"/>
        <v>1009.4204802778587</v>
      </c>
      <c r="J86" s="216">
        <f t="shared" si="22"/>
        <v>1034.4980534299316</v>
      </c>
      <c r="K86" s="148"/>
      <c r="L86" s="36"/>
      <c r="M86" s="36"/>
    </row>
    <row r="87" spans="1:13">
      <c r="A87" s="149">
        <v>3</v>
      </c>
      <c r="C87" s="149" t="s">
        <v>495</v>
      </c>
      <c r="E87" s="216">
        <f t="shared" si="22"/>
        <v>0</v>
      </c>
      <c r="F87" s="216">
        <f t="shared" si="22"/>
        <v>0</v>
      </c>
      <c r="G87" s="216">
        <f t="shared" si="22"/>
        <v>0</v>
      </c>
      <c r="H87" s="216">
        <f t="shared" si="22"/>
        <v>1151.3778875375779</v>
      </c>
      <c r="I87" s="216">
        <f t="shared" si="22"/>
        <v>1179.9519474219667</v>
      </c>
      <c r="J87" s="216">
        <f t="shared" si="22"/>
        <v>1209.2502709958071</v>
      </c>
      <c r="K87" s="148"/>
      <c r="L87" s="36"/>
      <c r="M87" s="36"/>
    </row>
    <row r="88" spans="1:13">
      <c r="A88" s="149">
        <v>4</v>
      </c>
      <c r="C88" s="149" t="s">
        <v>496</v>
      </c>
      <c r="E88" s="216">
        <f t="shared" si="22"/>
        <v>0</v>
      </c>
      <c r="F88" s="216">
        <f t="shared" si="22"/>
        <v>0</v>
      </c>
      <c r="G88" s="216">
        <f t="shared" si="22"/>
        <v>0</v>
      </c>
      <c r="H88" s="216">
        <f t="shared" si="22"/>
        <v>0</v>
      </c>
      <c r="I88" s="216">
        <f t="shared" si="22"/>
        <v>1061.6305070252558</v>
      </c>
      <c r="J88" s="216">
        <f t="shared" si="22"/>
        <v>1087.9772816256527</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1125.1432311745116</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36417.770770000003</v>
      </c>
      <c r="F91" s="139">
        <f t="shared" si="23"/>
        <v>36330.003480103805</v>
      </c>
      <c r="G91" s="139">
        <f t="shared" si="23"/>
        <v>36388.589530820849</v>
      </c>
      <c r="H91" s="139">
        <f t="shared" si="23"/>
        <v>36425.340715735641</v>
      </c>
      <c r="I91" s="139">
        <f t="shared" si="23"/>
        <v>36441.959947880081</v>
      </c>
      <c r="J91" s="216">
        <f t="shared" si="23"/>
        <v>36437.424184260002</v>
      </c>
      <c r="K91" s="148"/>
      <c r="L91" s="36"/>
      <c r="M91" s="36"/>
    </row>
    <row r="92" spans="1:13">
      <c r="A92" s="149">
        <v>2</v>
      </c>
      <c r="C92" s="149" t="s">
        <v>500</v>
      </c>
      <c r="E92" s="139">
        <f t="shared" si="23"/>
        <v>0</v>
      </c>
      <c r="F92" s="139">
        <f t="shared" si="23"/>
        <v>43246.822270499397</v>
      </c>
      <c r="G92" s="139">
        <f t="shared" si="23"/>
        <v>43338.404267288905</v>
      </c>
      <c r="H92" s="139">
        <f t="shared" si="23"/>
        <v>43405.080651947923</v>
      </c>
      <c r="I92" s="139">
        <f t="shared" si="23"/>
        <v>43448.918244057124</v>
      </c>
      <c r="J92" s="216">
        <f t="shared" si="23"/>
        <v>43468.742016313852</v>
      </c>
      <c r="K92" s="148"/>
      <c r="L92" s="36"/>
      <c r="M92" s="36"/>
    </row>
    <row r="93" spans="1:13">
      <c r="A93" s="149">
        <v>3</v>
      </c>
      <c r="C93" s="149" t="s">
        <v>501</v>
      </c>
      <c r="E93" s="139">
        <f t="shared" si="23"/>
        <v>0</v>
      </c>
      <c r="F93" s="139">
        <f t="shared" si="23"/>
        <v>0</v>
      </c>
      <c r="G93" s="139">
        <f t="shared" si="23"/>
        <v>51812.004939191007</v>
      </c>
      <c r="H93" s="139">
        <f t="shared" si="23"/>
        <v>51917.885686566529</v>
      </c>
      <c r="I93" s="139">
        <f t="shared" si="23"/>
        <v>51997.76165281971</v>
      </c>
      <c r="J93" s="216">
        <f t="shared" si="23"/>
        <v>52050.277548002719</v>
      </c>
      <c r="K93" s="148"/>
      <c r="L93" s="36"/>
      <c r="M93" s="36"/>
    </row>
    <row r="94" spans="1:13">
      <c r="A94" s="149">
        <v>4</v>
      </c>
      <c r="C94" s="149" t="s">
        <v>502</v>
      </c>
      <c r="E94" s="139">
        <f t="shared" si="23"/>
        <v>0</v>
      </c>
      <c r="F94" s="139">
        <f t="shared" si="23"/>
        <v>0</v>
      </c>
      <c r="G94" s="139">
        <f t="shared" si="23"/>
        <v>0</v>
      </c>
      <c r="H94" s="139">
        <f t="shared" si="23"/>
        <v>47773.372816136514</v>
      </c>
      <c r="I94" s="139">
        <f t="shared" si="23"/>
        <v>47871.000391528716</v>
      </c>
      <c r="J94" s="216">
        <f t="shared" si="23"/>
        <v>47944.650201439385</v>
      </c>
      <c r="K94" s="148"/>
      <c r="L94" s="36"/>
      <c r="M94" s="36"/>
    </row>
    <row r="95" spans="1:13">
      <c r="A95" s="149">
        <v>5</v>
      </c>
      <c r="C95" s="149" t="s">
        <v>503</v>
      </c>
      <c r="E95" s="139">
        <f t="shared" si="23"/>
        <v>0</v>
      </c>
      <c r="F95" s="139">
        <f t="shared" si="23"/>
        <v>0</v>
      </c>
      <c r="G95" s="139">
        <f t="shared" si="23"/>
        <v>0</v>
      </c>
      <c r="H95" s="139">
        <f t="shared" si="23"/>
        <v>0</v>
      </c>
      <c r="I95" s="139">
        <f t="shared" si="23"/>
        <v>50631.445402853024</v>
      </c>
      <c r="J95" s="216">
        <f t="shared" si="23"/>
        <v>50734.913610390046</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33676.24857230232</v>
      </c>
      <c r="K96" s="148"/>
      <c r="L96" s="36"/>
      <c r="M96" s="36"/>
    </row>
    <row r="97" spans="1:13">
      <c r="C97" s="149" t="s">
        <v>260</v>
      </c>
      <c r="E97" s="139">
        <f t="shared" ref="E97:J97" si="24">SUM(E67:E72)</f>
        <v>0</v>
      </c>
      <c r="F97" s="139">
        <f t="shared" si="24"/>
        <v>36417.770770000003</v>
      </c>
      <c r="G97" s="139">
        <f t="shared" si="24"/>
        <v>79576.825750603195</v>
      </c>
      <c r="H97" s="139">
        <f t="shared" si="24"/>
        <v>131538.99873730078</v>
      </c>
      <c r="I97" s="139">
        <f t="shared" si="24"/>
        <v>179521.67987038661</v>
      </c>
      <c r="J97" s="216">
        <f t="shared" si="24"/>
        <v>230391.08563913865</v>
      </c>
      <c r="K97" s="148"/>
      <c r="L97" s="36"/>
      <c r="M97" s="36"/>
    </row>
    <row r="98" spans="1:13">
      <c r="C98" s="149" t="s">
        <v>261</v>
      </c>
      <c r="E98" s="139">
        <f t="shared" ref="E98:J98" si="25">SUM(E79:E84)</f>
        <v>0</v>
      </c>
      <c r="F98" s="139">
        <f t="shared" si="25"/>
        <v>721.5165049926951</v>
      </c>
      <c r="G98" s="139">
        <f t="shared" si="25"/>
        <v>1936.8904396816181</v>
      </c>
      <c r="H98" s="139">
        <f t="shared" si="25"/>
        <v>3191.896205993015</v>
      </c>
      <c r="I98" s="139">
        <f t="shared" si="25"/>
        <v>4356.2333176654229</v>
      </c>
      <c r="J98" s="216">
        <f t="shared" si="25"/>
        <v>5590.6190499049626</v>
      </c>
      <c r="K98" s="148"/>
      <c r="L98" s="36"/>
      <c r="M98" s="36"/>
    </row>
    <row r="99" spans="1:13">
      <c r="C99" s="149" t="s">
        <v>75</v>
      </c>
      <c r="E99" s="139">
        <f t="shared" ref="E99:J99" si="26">SUM(E85:E90)</f>
        <v>0</v>
      </c>
      <c r="F99" s="139">
        <f t="shared" si="26"/>
        <v>809.28379488888891</v>
      </c>
      <c r="G99" s="139">
        <f t="shared" si="26"/>
        <v>1786.7223921750731</v>
      </c>
      <c r="H99" s="139">
        <f t="shared" si="26"/>
        <v>2982.5878890436775</v>
      </c>
      <c r="I99" s="216">
        <f t="shared" si="26"/>
        <v>4118.2729517664056</v>
      </c>
      <c r="J99" s="216">
        <f t="shared" si="26"/>
        <v>5345.697128637612</v>
      </c>
      <c r="K99" s="148"/>
      <c r="L99" s="36"/>
      <c r="M99" s="36"/>
    </row>
    <row r="100" spans="1:13">
      <c r="C100" s="149" t="s">
        <v>262</v>
      </c>
      <c r="E100" s="139">
        <f t="shared" ref="E100:J100" si="27">SUM(E91:E96)</f>
        <v>36417.770770000003</v>
      </c>
      <c r="F100" s="139">
        <f t="shared" si="27"/>
        <v>79576.825750603195</v>
      </c>
      <c r="G100" s="139">
        <f t="shared" si="27"/>
        <v>131538.99873730078</v>
      </c>
      <c r="H100" s="139">
        <f t="shared" si="27"/>
        <v>179521.67987038661</v>
      </c>
      <c r="I100" s="216">
        <f t="shared" si="27"/>
        <v>230391.08563913865</v>
      </c>
      <c r="J100" s="216">
        <f t="shared" si="27"/>
        <v>264312.25613270834</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36417.770770000003</v>
      </c>
      <c r="F104" s="139">
        <f t="shared" ref="F104:J104" si="28">F$25</f>
        <v>43246.822270499397</v>
      </c>
      <c r="G104" s="139">
        <f t="shared" si="28"/>
        <v>51812.004939191007</v>
      </c>
      <c r="H104" s="139">
        <f t="shared" si="28"/>
        <v>47773.372816136514</v>
      </c>
      <c r="I104" s="139">
        <f t="shared" si="28"/>
        <v>50631.445402853024</v>
      </c>
      <c r="J104" s="139">
        <f t="shared" si="28"/>
        <v>33676.24857230232</v>
      </c>
      <c r="K104" s="148"/>
      <c r="L104" s="36"/>
      <c r="M104" s="36"/>
    </row>
    <row r="105" spans="1:13">
      <c r="A105" s="149">
        <v>1</v>
      </c>
      <c r="C105" s="149" t="s">
        <v>457</v>
      </c>
      <c r="E105" s="135">
        <v>0</v>
      </c>
      <c r="F105" s="139">
        <f>E123</f>
        <v>36417.770770000003</v>
      </c>
      <c r="G105" s="139">
        <f t="shared" ref="G105:J105" si="29">F123</f>
        <v>35608.486975111111</v>
      </c>
      <c r="H105" s="139">
        <f t="shared" si="29"/>
        <v>34799.203180222219</v>
      </c>
      <c r="I105" s="139">
        <f t="shared" si="29"/>
        <v>33989.919385333327</v>
      </c>
      <c r="J105" s="139">
        <f t="shared" si="29"/>
        <v>33180.635590444435</v>
      </c>
      <c r="K105" s="148"/>
      <c r="L105" s="36"/>
      <c r="M105" s="36"/>
    </row>
    <row r="106" spans="1:13">
      <c r="A106" s="149">
        <v>2</v>
      </c>
      <c r="C106" s="149" t="s">
        <v>458</v>
      </c>
      <c r="E106" s="135">
        <v>0</v>
      </c>
      <c r="F106" s="139">
        <f t="shared" ref="F106:J109" si="30">E124</f>
        <v>0</v>
      </c>
      <c r="G106" s="139">
        <f t="shared" si="30"/>
        <v>43246.822270499397</v>
      </c>
      <c r="H106" s="139">
        <f t="shared" si="30"/>
        <v>42285.781775599411</v>
      </c>
      <c r="I106" s="139">
        <f t="shared" si="30"/>
        <v>41324.741280699425</v>
      </c>
      <c r="J106" s="139">
        <f t="shared" si="30"/>
        <v>40363.700785799439</v>
      </c>
      <c r="K106" s="148"/>
      <c r="L106" s="36"/>
      <c r="M106" s="36"/>
    </row>
    <row r="107" spans="1:13">
      <c r="A107" s="149">
        <v>3</v>
      </c>
      <c r="C107" s="149" t="s">
        <v>459</v>
      </c>
      <c r="E107" s="135">
        <v>0</v>
      </c>
      <c r="F107" s="139">
        <f t="shared" si="30"/>
        <v>0</v>
      </c>
      <c r="G107" s="139">
        <f t="shared" si="30"/>
        <v>0</v>
      </c>
      <c r="H107" s="139">
        <f t="shared" si="30"/>
        <v>51812.004939191007</v>
      </c>
      <c r="I107" s="139">
        <f t="shared" si="30"/>
        <v>50660.627051653428</v>
      </c>
      <c r="J107" s="139">
        <f t="shared" si="30"/>
        <v>49509.249164115849</v>
      </c>
      <c r="K107" s="148"/>
      <c r="L107" s="36"/>
      <c r="M107" s="36"/>
    </row>
    <row r="108" spans="1:13">
      <c r="A108" s="149">
        <v>4</v>
      </c>
      <c r="C108" s="149" t="s">
        <v>460</v>
      </c>
      <c r="E108" s="135">
        <v>0</v>
      </c>
      <c r="F108" s="139">
        <f t="shared" si="30"/>
        <v>0</v>
      </c>
      <c r="G108" s="139">
        <f t="shared" si="30"/>
        <v>0</v>
      </c>
      <c r="H108" s="139">
        <f t="shared" si="30"/>
        <v>0</v>
      </c>
      <c r="I108" s="139">
        <f t="shared" si="30"/>
        <v>47773.372816136514</v>
      </c>
      <c r="J108" s="139">
        <f t="shared" si="30"/>
        <v>46711.742309111258</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50631.445402853024</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809.28379488888891</v>
      </c>
      <c r="G117" s="139">
        <f t="shared" si="33"/>
        <v>809.28379488888891</v>
      </c>
      <c r="H117" s="139">
        <f t="shared" si="33"/>
        <v>809.28379488888879</v>
      </c>
      <c r="I117" s="139">
        <f t="shared" si="33"/>
        <v>809.28379488888879</v>
      </c>
      <c r="J117" s="139">
        <f t="shared" si="33"/>
        <v>809.28379488888868</v>
      </c>
      <c r="K117" s="148"/>
      <c r="L117" s="36"/>
      <c r="M117" s="36"/>
    </row>
    <row r="118" spans="1:13">
      <c r="A118" s="149">
        <v>2</v>
      </c>
      <c r="C118" s="149" t="s">
        <v>470</v>
      </c>
      <c r="E118" s="139">
        <f t="shared" si="33"/>
        <v>0</v>
      </c>
      <c r="F118" s="139">
        <f t="shared" si="33"/>
        <v>0</v>
      </c>
      <c r="G118" s="139">
        <f t="shared" si="33"/>
        <v>961.04049489998658</v>
      </c>
      <c r="H118" s="139">
        <f t="shared" si="33"/>
        <v>961.04049489998658</v>
      </c>
      <c r="I118" s="139">
        <f t="shared" si="33"/>
        <v>961.04049489998658</v>
      </c>
      <c r="J118" s="139">
        <f t="shared" si="33"/>
        <v>961.0404948999867</v>
      </c>
      <c r="K118" s="148"/>
      <c r="L118" s="36"/>
      <c r="M118" s="36"/>
    </row>
    <row r="119" spans="1:13">
      <c r="A119" s="149">
        <v>3</v>
      </c>
      <c r="C119" s="149" t="s">
        <v>471</v>
      </c>
      <c r="E119" s="139">
        <f t="shared" si="33"/>
        <v>0</v>
      </c>
      <c r="F119" s="139">
        <f t="shared" si="33"/>
        <v>0</v>
      </c>
      <c r="G119" s="139">
        <f t="shared" si="33"/>
        <v>0</v>
      </c>
      <c r="H119" s="139">
        <f t="shared" si="33"/>
        <v>1151.3778875375779</v>
      </c>
      <c r="I119" s="139">
        <f t="shared" si="33"/>
        <v>1151.3778875375779</v>
      </c>
      <c r="J119" s="139">
        <f t="shared" si="33"/>
        <v>1151.3778875375779</v>
      </c>
      <c r="K119" s="148"/>
      <c r="L119" s="36"/>
      <c r="M119" s="36"/>
    </row>
    <row r="120" spans="1:13">
      <c r="A120" s="149">
        <v>4</v>
      </c>
      <c r="C120" s="149" t="s">
        <v>472</v>
      </c>
      <c r="E120" s="139">
        <f t="shared" si="33"/>
        <v>0</v>
      </c>
      <c r="F120" s="139">
        <f t="shared" si="33"/>
        <v>0</v>
      </c>
      <c r="G120" s="139">
        <f t="shared" si="33"/>
        <v>0</v>
      </c>
      <c r="H120" s="139">
        <f t="shared" si="33"/>
        <v>0</v>
      </c>
      <c r="I120" s="139">
        <f t="shared" si="33"/>
        <v>1061.6305070252558</v>
      </c>
      <c r="J120" s="139">
        <f t="shared" si="33"/>
        <v>1061.6305070252558</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1125.1432311745116</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36417.770770000003</v>
      </c>
      <c r="F123" s="139">
        <f t="shared" ref="F123:J123" si="34">F105-F117+IF($A123=F$103,F$104,0)</f>
        <v>35608.486975111111</v>
      </c>
      <c r="G123" s="139">
        <f t="shared" si="34"/>
        <v>34799.203180222219</v>
      </c>
      <c r="H123" s="139">
        <f t="shared" si="34"/>
        <v>33989.919385333327</v>
      </c>
      <c r="I123" s="139">
        <f t="shared" si="34"/>
        <v>33180.635590444435</v>
      </c>
      <c r="J123" s="139">
        <f t="shared" si="34"/>
        <v>32371.351795555547</v>
      </c>
      <c r="K123" s="148"/>
      <c r="L123" s="36"/>
      <c r="M123" s="36"/>
    </row>
    <row r="124" spans="1:13">
      <c r="A124" s="149">
        <v>2</v>
      </c>
      <c r="C124" s="149" t="s">
        <v>476</v>
      </c>
      <c r="E124" s="139">
        <f t="shared" ref="E124:J128" si="35">E106-E118+IF($A124=E$103,E$104,0)</f>
        <v>0</v>
      </c>
      <c r="F124" s="139">
        <f t="shared" si="35"/>
        <v>43246.822270499397</v>
      </c>
      <c r="G124" s="139">
        <f t="shared" si="35"/>
        <v>42285.781775599411</v>
      </c>
      <c r="H124" s="139">
        <f t="shared" si="35"/>
        <v>41324.741280699425</v>
      </c>
      <c r="I124" s="139">
        <f t="shared" si="35"/>
        <v>40363.700785799439</v>
      </c>
      <c r="J124" s="139">
        <f t="shared" si="35"/>
        <v>39402.660290899454</v>
      </c>
      <c r="K124" s="148"/>
      <c r="L124" s="36"/>
      <c r="M124" s="36"/>
    </row>
    <row r="125" spans="1:13">
      <c r="A125" s="149">
        <v>3</v>
      </c>
      <c r="C125" s="149" t="s">
        <v>477</v>
      </c>
      <c r="E125" s="139">
        <f t="shared" si="35"/>
        <v>0</v>
      </c>
      <c r="F125" s="139">
        <f t="shared" si="35"/>
        <v>0</v>
      </c>
      <c r="G125" s="139">
        <f t="shared" si="35"/>
        <v>51812.004939191007</v>
      </c>
      <c r="H125" s="139">
        <f t="shared" si="35"/>
        <v>50660.627051653428</v>
      </c>
      <c r="I125" s="139">
        <f t="shared" si="35"/>
        <v>49509.249164115849</v>
      </c>
      <c r="J125" s="139">
        <f t="shared" si="35"/>
        <v>48357.871276578269</v>
      </c>
      <c r="K125" s="148"/>
      <c r="L125" s="36"/>
      <c r="M125" s="36"/>
    </row>
    <row r="126" spans="1:13">
      <c r="A126" s="149">
        <v>4</v>
      </c>
      <c r="C126" s="149" t="s">
        <v>478</v>
      </c>
      <c r="E126" s="139">
        <f t="shared" si="35"/>
        <v>0</v>
      </c>
      <c r="F126" s="139">
        <f t="shared" si="35"/>
        <v>0</v>
      </c>
      <c r="G126" s="139">
        <f t="shared" si="35"/>
        <v>0</v>
      </c>
      <c r="H126" s="139">
        <f t="shared" si="35"/>
        <v>47773.372816136514</v>
      </c>
      <c r="I126" s="139">
        <f t="shared" si="35"/>
        <v>46711.742309111258</v>
      </c>
      <c r="J126" s="139">
        <f t="shared" si="35"/>
        <v>45650.111802086001</v>
      </c>
      <c r="K126" s="148"/>
      <c r="L126" s="36"/>
      <c r="M126" s="36"/>
    </row>
    <row r="127" spans="1:13">
      <c r="A127" s="149">
        <v>5</v>
      </c>
      <c r="C127" s="149" t="s">
        <v>479</v>
      </c>
      <c r="E127" s="139">
        <f t="shared" si="35"/>
        <v>0</v>
      </c>
      <c r="F127" s="139">
        <f t="shared" si="35"/>
        <v>0</v>
      </c>
      <c r="G127" s="139">
        <f t="shared" si="35"/>
        <v>0</v>
      </c>
      <c r="H127" s="139">
        <f t="shared" si="35"/>
        <v>0</v>
      </c>
      <c r="I127" s="139">
        <f t="shared" si="35"/>
        <v>50631.445402853024</v>
      </c>
      <c r="J127" s="139">
        <f t="shared" si="35"/>
        <v>49506.302171678515</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33676.24857230232</v>
      </c>
      <c r="K128" s="148"/>
      <c r="L128" s="36"/>
      <c r="M128" s="36"/>
    </row>
    <row r="129" spans="3:13">
      <c r="C129" s="149" t="s">
        <v>72</v>
      </c>
      <c r="E129" s="139">
        <f>SUM(E105:E110)</f>
        <v>0</v>
      </c>
      <c r="F129" s="139">
        <f t="shared" ref="F129:J129" si="36">SUM(F105:F110)</f>
        <v>36417.770770000003</v>
      </c>
      <c r="G129" s="139">
        <f t="shared" si="36"/>
        <v>78855.309245610508</v>
      </c>
      <c r="H129" s="139">
        <f t="shared" si="36"/>
        <v>128896.98989501264</v>
      </c>
      <c r="I129" s="139">
        <f t="shared" si="36"/>
        <v>173748.66053382269</v>
      </c>
      <c r="J129" s="139">
        <f t="shared" si="36"/>
        <v>220396.773252324</v>
      </c>
      <c r="K129" s="148"/>
      <c r="L129" s="36"/>
      <c r="M129" s="36"/>
    </row>
    <row r="130" spans="3:13">
      <c r="C130" s="149" t="s">
        <v>67</v>
      </c>
      <c r="E130" s="139">
        <f>SUM(E117:E122)</f>
        <v>0</v>
      </c>
      <c r="F130" s="139">
        <f t="shared" ref="F130:J130" si="37">SUM(F117:F122)</f>
        <v>809.28379488888891</v>
      </c>
      <c r="G130" s="139">
        <f t="shared" si="37"/>
        <v>1770.3242897888754</v>
      </c>
      <c r="H130" s="139">
        <f t="shared" si="37"/>
        <v>2921.7021773264532</v>
      </c>
      <c r="I130" s="139">
        <f t="shared" si="37"/>
        <v>3983.3326843517088</v>
      </c>
      <c r="J130" s="139">
        <f t="shared" si="37"/>
        <v>5108.47591552622</v>
      </c>
      <c r="K130" s="148"/>
      <c r="L130" s="36"/>
      <c r="M130" s="36"/>
    </row>
    <row r="131" spans="3:13" s="36" customFormat="1">
      <c r="C131" s="36" t="s">
        <v>73</v>
      </c>
      <c r="E131" s="139">
        <f>SUM(E123:E128)</f>
        <v>36417.770770000003</v>
      </c>
      <c r="F131" s="139">
        <f t="shared" ref="F131:J131" si="38">SUM(F123:F128)</f>
        <v>78855.309245610508</v>
      </c>
      <c r="G131" s="139">
        <f t="shared" si="38"/>
        <v>128896.98989501264</v>
      </c>
      <c r="H131" s="139">
        <f t="shared" si="38"/>
        <v>173748.66053382269</v>
      </c>
      <c r="I131" s="139">
        <f t="shared" si="38"/>
        <v>220396.773252324</v>
      </c>
      <c r="J131" s="139">
        <f t="shared" si="38"/>
        <v>248964.5459091001</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425167.66445999703</v>
      </c>
      <c r="F134" s="139">
        <f>E137</f>
        <v>407996.35893137433</v>
      </c>
      <c r="G134" s="139">
        <f t="shared" ref="G134:J134" si="39">F137</f>
        <v>391731.64220130857</v>
      </c>
      <c r="H134" s="139">
        <f t="shared" si="39"/>
        <v>375466.92547124281</v>
      </c>
      <c r="I134" s="139">
        <f t="shared" si="39"/>
        <v>359202.20874117705</v>
      </c>
      <c r="J134" s="139">
        <f t="shared" si="39"/>
        <v>342937.49201111129</v>
      </c>
      <c r="K134" s="148"/>
      <c r="L134" s="36"/>
      <c r="M134" s="36"/>
    </row>
    <row r="135" spans="3:13">
      <c r="C135" s="149" t="s">
        <v>41</v>
      </c>
      <c r="E135" s="139">
        <f t="shared" ref="E135:J135" si="40">E55</f>
        <v>871.83328869499996</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16299.4722399277</v>
      </c>
      <c r="F136" s="139">
        <f t="shared" si="41"/>
        <v>16264.716730065782</v>
      </c>
      <c r="G136" s="139">
        <f t="shared" si="41"/>
        <v>16264.716730065784</v>
      </c>
      <c r="H136" s="139">
        <f t="shared" si="41"/>
        <v>16264.716730065784</v>
      </c>
      <c r="I136" s="139">
        <f t="shared" si="41"/>
        <v>16264.716730065786</v>
      </c>
      <c r="J136" s="139">
        <f t="shared" si="41"/>
        <v>16264.716730065786</v>
      </c>
      <c r="K136" s="148"/>
      <c r="L136" s="36"/>
      <c r="M136" s="36"/>
    </row>
    <row r="137" spans="3:13">
      <c r="C137" s="149" t="s">
        <v>66</v>
      </c>
      <c r="E137" s="139">
        <f t="shared" ref="E137:J137" si="42">E134-E135-E136</f>
        <v>407996.35893137433</v>
      </c>
      <c r="F137" s="139">
        <f t="shared" si="42"/>
        <v>391731.64220130857</v>
      </c>
      <c r="G137" s="139">
        <f t="shared" si="42"/>
        <v>375466.92547124281</v>
      </c>
      <c r="H137" s="139">
        <f t="shared" si="42"/>
        <v>359202.20874117705</v>
      </c>
      <c r="I137" s="139">
        <f t="shared" si="42"/>
        <v>342937.49201111129</v>
      </c>
      <c r="J137" s="139">
        <f t="shared" si="42"/>
        <v>326672.77528104553</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425167.66445999703</v>
      </c>
      <c r="F140" s="139">
        <f t="shared" si="43"/>
        <v>451726.38042083033</v>
      </c>
      <c r="G140" s="139">
        <f t="shared" si="43"/>
        <v>486557.39803072938</v>
      </c>
      <c r="H140" s="139">
        <f t="shared" si="43"/>
        <v>531527.5765209985</v>
      </c>
      <c r="I140" s="139">
        <f t="shared" si="43"/>
        <v>571889.3305117886</v>
      </c>
      <c r="J140" s="139">
        <f t="shared" si="43"/>
        <v>614513.39107830159</v>
      </c>
      <c r="K140" s="148"/>
      <c r="L140" s="36"/>
      <c r="M140" s="36"/>
    </row>
    <row r="141" spans="3:13">
      <c r="C141" s="149" t="s">
        <v>268</v>
      </c>
      <c r="E141" s="139">
        <f t="shared" ref="E141:J143" si="44">E60+E98</f>
        <v>7312.2507194560039</v>
      </c>
      <c r="F141" s="139">
        <f t="shared" si="44"/>
        <v>8949.6976976616315</v>
      </c>
      <c r="G141" s="139">
        <f t="shared" si="44"/>
        <v>11842.748987696836</v>
      </c>
      <c r="H141" s="139">
        <f t="shared" si="44"/>
        <v>12897.93043252757</v>
      </c>
      <c r="I141" s="139">
        <f t="shared" si="44"/>
        <v>13877.339814286026</v>
      </c>
      <c r="J141" s="139">
        <f t="shared" si="44"/>
        <v>14911.64582628465</v>
      </c>
      <c r="K141" s="148"/>
      <c r="L141" s="36"/>
      <c r="M141" s="36"/>
    </row>
    <row r="142" spans="3:13">
      <c r="C142" s="149" t="s">
        <v>267</v>
      </c>
      <c r="E142" s="139">
        <f>E61+E99</f>
        <v>16299.4722399277</v>
      </c>
      <c r="F142" s="139">
        <f t="shared" si="44"/>
        <v>17365.502358261903</v>
      </c>
      <c r="G142" s="139">
        <f t="shared" si="44"/>
        <v>18684.575436618783</v>
      </c>
      <c r="H142" s="139">
        <f t="shared" si="44"/>
        <v>20309.549257874027</v>
      </c>
      <c r="I142" s="139">
        <f t="shared" si="44"/>
        <v>21884.724650626038</v>
      </c>
      <c r="J142" s="139">
        <f t="shared" si="44"/>
        <v>23563.712461488321</v>
      </c>
      <c r="K142" s="148"/>
      <c r="L142" s="36"/>
      <c r="M142" s="36"/>
    </row>
    <row r="143" spans="3:13">
      <c r="C143" s="149" t="s">
        <v>270</v>
      </c>
      <c r="E143" s="139">
        <f t="shared" si="44"/>
        <v>451726.38042083033</v>
      </c>
      <c r="F143" s="139">
        <f t="shared" si="44"/>
        <v>486557.39803072938</v>
      </c>
      <c r="G143" s="139">
        <f t="shared" si="44"/>
        <v>531527.5765209985</v>
      </c>
      <c r="H143" s="139">
        <f t="shared" si="44"/>
        <v>571889.3305117886</v>
      </c>
      <c r="I143" s="139">
        <f t="shared" si="44"/>
        <v>614513.39107830159</v>
      </c>
      <c r="J143" s="216">
        <f t="shared" si="44"/>
        <v>639537.57301540021</v>
      </c>
      <c r="K143" s="148"/>
      <c r="L143" s="36"/>
      <c r="M143" s="36"/>
    </row>
    <row r="144" spans="3:13">
      <c r="C144" s="149" t="s">
        <v>46</v>
      </c>
      <c r="E144" s="139">
        <f t="shared" ref="E144:J144" si="45">E130+E136</f>
        <v>16299.4722399277</v>
      </c>
      <c r="F144" s="139">
        <f t="shared" si="45"/>
        <v>17074.00052495467</v>
      </c>
      <c r="G144" s="139">
        <f t="shared" si="45"/>
        <v>18035.04101985466</v>
      </c>
      <c r="H144" s="139">
        <f t="shared" si="45"/>
        <v>19186.418907392239</v>
      </c>
      <c r="I144" s="139">
        <f t="shared" si="45"/>
        <v>20248.049414417495</v>
      </c>
      <c r="J144" s="139">
        <f t="shared" si="45"/>
        <v>21373.192645592004</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1.0624664530746133</v>
      </c>
      <c r="G148" s="308">
        <f t="shared" ref="G148:J148" si="46">G140/$E140</f>
        <v>1.1443894696194807</v>
      </c>
      <c r="H148" s="308">
        <f t="shared" si="46"/>
        <v>1.2501599273690971</v>
      </c>
      <c r="I148" s="308">
        <f t="shared" si="46"/>
        <v>1.3450913094205832</v>
      </c>
      <c r="J148" s="308">
        <f t="shared" si="46"/>
        <v>1.4453436666186537</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8.7577909384748007E-2</v>
      </c>
      <c r="E152" s="36"/>
      <c r="F152" s="36"/>
      <c r="G152" s="36"/>
      <c r="H152" s="36"/>
      <c r="I152" s="36"/>
      <c r="J152" s="36"/>
      <c r="K152" s="148"/>
      <c r="L152" s="36"/>
      <c r="M152" s="36"/>
    </row>
    <row r="153" spans="1:13">
      <c r="C153" s="149" t="s">
        <v>282</v>
      </c>
      <c r="E153" s="135">
        <f>E16</f>
        <v>268092.72069799999</v>
      </c>
      <c r="F153" s="139">
        <f>E157</f>
        <v>280159.65817930497</v>
      </c>
      <c r="G153" s="139">
        <f t="shared" ref="G153:J153" si="48">F157</f>
        <v>298870.68329251523</v>
      </c>
      <c r="H153" s="139">
        <f t="shared" si="48"/>
        <v>324508.21861255658</v>
      </c>
      <c r="I153" s="139">
        <f t="shared" si="48"/>
        <v>343861.8400644366</v>
      </c>
      <c r="J153" s="139">
        <f t="shared" si="48"/>
        <v>364378.5843972537</v>
      </c>
      <c r="K153" s="148"/>
      <c r="L153" s="36"/>
      <c r="M153" s="36"/>
    </row>
    <row r="154" spans="1:13">
      <c r="C154" s="149" t="s">
        <v>35</v>
      </c>
      <c r="E154" s="135">
        <f>E15</f>
        <v>23479</v>
      </c>
      <c r="F154" s="139">
        <f t="shared" ref="F154:J154" si="49">F153*$D152</f>
        <v>24535.797157289147</v>
      </c>
      <c r="G154" s="139">
        <f t="shared" si="49"/>
        <v>26174.469619149619</v>
      </c>
      <c r="H154" s="139">
        <f t="shared" si="49"/>
        <v>28419.751364256477</v>
      </c>
      <c r="I154" s="139">
        <f t="shared" si="49"/>
        <v>30114.701070035942</v>
      </c>
      <c r="J154" s="139">
        <f t="shared" si="49"/>
        <v>31911.514646085438</v>
      </c>
      <c r="K154" s="148"/>
      <c r="L154" s="36"/>
      <c r="M154" s="36"/>
    </row>
    <row r="155" spans="1:13">
      <c r="C155" s="149" t="s">
        <v>124</v>
      </c>
      <c r="E155" s="139">
        <f t="shared" ref="E155:J155" si="50">E25</f>
        <v>36417.770770000003</v>
      </c>
      <c r="F155" s="139">
        <f t="shared" si="50"/>
        <v>43246.822270499397</v>
      </c>
      <c r="G155" s="139">
        <f t="shared" si="50"/>
        <v>51812.004939191007</v>
      </c>
      <c r="H155" s="139">
        <f t="shared" si="50"/>
        <v>47773.372816136514</v>
      </c>
      <c r="I155" s="139">
        <f t="shared" si="50"/>
        <v>50631.445402853024</v>
      </c>
      <c r="J155" s="139">
        <f t="shared" si="50"/>
        <v>33676.24857230232</v>
      </c>
      <c r="K155" s="148"/>
      <c r="L155" s="309"/>
      <c r="M155" s="36"/>
    </row>
    <row r="156" spans="1:13">
      <c r="C156" s="149" t="s">
        <v>41</v>
      </c>
      <c r="E156" s="139">
        <f>E55</f>
        <v>871.83328869499996</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280159.65817930497</v>
      </c>
      <c r="F157" s="139">
        <f t="shared" ref="F157:J157" si="52">F153-F154+F155-F156</f>
        <v>298870.68329251523</v>
      </c>
      <c r="G157" s="139">
        <f t="shared" si="52"/>
        <v>324508.21861255658</v>
      </c>
      <c r="H157" s="139">
        <f t="shared" si="52"/>
        <v>343861.8400644366</v>
      </c>
      <c r="I157" s="139">
        <f t="shared" si="52"/>
        <v>364378.5843972537</v>
      </c>
      <c r="J157" s="139">
        <f t="shared" si="52"/>
        <v>366143.31832347059</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-7179.5277600723002</v>
      </c>
      <c r="F160" s="139">
        <f t="shared" si="53"/>
        <v>-7461.7966323344772</v>
      </c>
      <c r="G160" s="139">
        <f t="shared" si="53"/>
        <v>-8139.428599294959</v>
      </c>
      <c r="H160" s="139">
        <f t="shared" si="53"/>
        <v>-9233.3324568642383</v>
      </c>
      <c r="I160" s="139">
        <f t="shared" si="53"/>
        <v>-9866.651655618447</v>
      </c>
      <c r="J160" s="139">
        <f t="shared" si="53"/>
        <v>-10538.322000493434</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-3859.3408878696487</v>
      </c>
      <c r="G163" s="310">
        <f t="shared" ref="G163:J163" si="54">F166</f>
        <v>-7803.3624374179508</v>
      </c>
      <c r="H163" s="310">
        <f t="shared" si="54"/>
        <v>-11674.186167745302</v>
      </c>
      <c r="I163" s="310">
        <f t="shared" si="54"/>
        <v>-15851.302978192052</v>
      </c>
      <c r="J163" s="310">
        <f t="shared" si="54"/>
        <v>-20205.74916428998</v>
      </c>
      <c r="K163" s="148"/>
      <c r="L163" s="36"/>
      <c r="M163" s="36"/>
    </row>
    <row r="164" spans="3:13">
      <c r="C164" s="149" t="s">
        <v>238</v>
      </c>
      <c r="E164" s="139">
        <f t="shared" ref="E164:J164" si="55">E160</f>
        <v>-7179.5277600723002</v>
      </c>
      <c r="F164" s="139">
        <f t="shared" si="55"/>
        <v>-7461.7966323344772</v>
      </c>
      <c r="G164" s="139">
        <f t="shared" si="55"/>
        <v>-8139.428599294959</v>
      </c>
      <c r="H164" s="139">
        <f t="shared" si="55"/>
        <v>-9233.3324568642383</v>
      </c>
      <c r="I164" s="139">
        <f t="shared" si="55"/>
        <v>-9866.651655618447</v>
      </c>
      <c r="J164" s="139">
        <f t="shared" si="55"/>
        <v>-10538.322000493434</v>
      </c>
      <c r="K164" s="148"/>
      <c r="L164" s="36"/>
      <c r="M164" s="36"/>
    </row>
    <row r="165" spans="3:13">
      <c r="C165" s="149" t="s">
        <v>49</v>
      </c>
      <c r="E165" s="135">
        <f>(E11-E16)/E17</f>
        <v>5684.9418661598638</v>
      </c>
      <c r="F165" s="139">
        <f>E165</f>
        <v>5684.9418661598638</v>
      </c>
      <c r="G165" s="139">
        <f t="shared" ref="G165:J165" si="56">F165</f>
        <v>5684.9418661598638</v>
      </c>
      <c r="H165" s="139">
        <f t="shared" si="56"/>
        <v>5684.9418661598638</v>
      </c>
      <c r="I165" s="139">
        <f t="shared" si="56"/>
        <v>5684.9418661598638</v>
      </c>
      <c r="J165" s="139">
        <f t="shared" si="56"/>
        <v>5684.9418661598638</v>
      </c>
      <c r="K165" s="148"/>
      <c r="L165" s="36"/>
      <c r="M165" s="36"/>
    </row>
    <row r="166" spans="3:13">
      <c r="C166" s="149" t="s">
        <v>266</v>
      </c>
      <c r="E166" s="310">
        <f t="shared" ref="E166:J166" si="57">E163+(E164-E165)*E52</f>
        <v>-3859.3408878696487</v>
      </c>
      <c r="F166" s="310">
        <f t="shared" si="57"/>
        <v>-7803.3624374179508</v>
      </c>
      <c r="G166" s="310">
        <f t="shared" si="57"/>
        <v>-11674.186167745302</v>
      </c>
      <c r="H166" s="310">
        <f t="shared" si="57"/>
        <v>-15851.302978192052</v>
      </c>
      <c r="I166" s="310">
        <f t="shared" si="57"/>
        <v>-20205.74916428998</v>
      </c>
      <c r="J166" s="310">
        <f t="shared" si="57"/>
        <v>-24748.263046952903</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425167.66445999703</v>
      </c>
      <c r="F169" s="139">
        <f t="shared" si="58"/>
        <v>447867.03953296068</v>
      </c>
      <c r="G169" s="139">
        <f t="shared" si="58"/>
        <v>478754.03559331142</v>
      </c>
      <c r="H169" s="139">
        <f t="shared" si="58"/>
        <v>519853.39035325317</v>
      </c>
      <c r="I169" s="139">
        <f t="shared" si="58"/>
        <v>556038.0275335965</v>
      </c>
      <c r="J169" s="139">
        <f t="shared" si="58"/>
        <v>594307.64191401156</v>
      </c>
      <c r="K169" s="148"/>
      <c r="L169" s="36"/>
      <c r="M169" s="36"/>
    </row>
    <row r="170" spans="3:13">
      <c r="C170" s="149" t="s">
        <v>124</v>
      </c>
      <c r="E170" s="139">
        <f t="shared" ref="E170:J170" si="59">E25</f>
        <v>36417.770770000003</v>
      </c>
      <c r="F170" s="139">
        <f t="shared" si="59"/>
        <v>43246.822270499397</v>
      </c>
      <c r="G170" s="139">
        <f t="shared" si="59"/>
        <v>51812.004939191007</v>
      </c>
      <c r="H170" s="139">
        <f t="shared" si="59"/>
        <v>47773.372816136514</v>
      </c>
      <c r="I170" s="139">
        <f t="shared" si="59"/>
        <v>50631.445402853024</v>
      </c>
      <c r="J170" s="139">
        <f t="shared" si="59"/>
        <v>33676.24857230232</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7312.2507194560039</v>
      </c>
      <c r="F172" s="95">
        <f t="shared" si="61"/>
        <v>8949.6976976616315</v>
      </c>
      <c r="G172" s="95">
        <f t="shared" si="61"/>
        <v>11842.748987696836</v>
      </c>
      <c r="H172" s="95">
        <f t="shared" si="61"/>
        <v>12897.93043252757</v>
      </c>
      <c r="I172" s="95">
        <f t="shared" si="61"/>
        <v>13877.339814286026</v>
      </c>
      <c r="J172" s="95">
        <f t="shared" si="61"/>
        <v>14911.64582628465</v>
      </c>
      <c r="K172" s="148"/>
      <c r="L172" s="36"/>
      <c r="M172" s="36"/>
    </row>
    <row r="173" spans="3:13">
      <c r="C173" s="149" t="s">
        <v>334</v>
      </c>
      <c r="E173" s="139">
        <f t="shared" ref="E173:J173" si="62">E169*WACC+E170*($D$46-1)+E171-E172</f>
        <v>31533.942657002917</v>
      </c>
      <c r="F173" s="139">
        <f t="shared" si="62"/>
        <v>32179.572148207375</v>
      </c>
      <c r="G173" s="139">
        <f t="shared" si="62"/>
        <v>32361.972814635159</v>
      </c>
      <c r="H173" s="139">
        <f t="shared" si="62"/>
        <v>34738.317102887959</v>
      </c>
      <c r="I173" s="139">
        <f t="shared" si="62"/>
        <v>37054.650128662463</v>
      </c>
      <c r="J173" s="139">
        <f t="shared" si="62"/>
        <v>38650.763190405058</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14834.950148338216</v>
      </c>
      <c r="F176" s="310">
        <f t="shared" si="63"/>
        <v>15626.976743384064</v>
      </c>
      <c r="G176" s="310">
        <f t="shared" si="63"/>
        <v>16704.685809921823</v>
      </c>
      <c r="H176" s="310">
        <f t="shared" si="63"/>
        <v>18138.724496205708</v>
      </c>
      <c r="I176" s="310">
        <f t="shared" si="63"/>
        <v>19401.278856702247</v>
      </c>
      <c r="J176" s="310">
        <f t="shared" si="63"/>
        <v>20736.582241663691</v>
      </c>
      <c r="K176" s="148"/>
      <c r="L176" s="36"/>
      <c r="M176" s="36"/>
    </row>
    <row r="177" spans="3:13">
      <c r="C177" s="149" t="s">
        <v>52</v>
      </c>
      <c r="E177" s="310">
        <f t="shared" ref="E177:J177" si="64">E142-E144</f>
        <v>0</v>
      </c>
      <c r="F177" s="310">
        <f t="shared" si="64"/>
        <v>291.50183330723303</v>
      </c>
      <c r="G177" s="310">
        <f t="shared" si="64"/>
        <v>649.53441676412331</v>
      </c>
      <c r="H177" s="310">
        <f t="shared" si="64"/>
        <v>1123.1303504817879</v>
      </c>
      <c r="I177" s="310">
        <f t="shared" si="64"/>
        <v>1636.6752362085426</v>
      </c>
      <c r="J177" s="310">
        <f t="shared" si="64"/>
        <v>2190.5198158963176</v>
      </c>
      <c r="K177" s="148"/>
      <c r="L177" s="36"/>
      <c r="M177" s="36"/>
    </row>
    <row r="178" spans="3:13">
      <c r="C178" s="149" t="s">
        <v>53</v>
      </c>
      <c r="E178" s="310">
        <f t="shared" ref="E178:J178" si="65">E165+E177-E176</f>
        <v>-9150.0082821783508</v>
      </c>
      <c r="F178" s="310">
        <f t="shared" si="65"/>
        <v>-9650.5330439169666</v>
      </c>
      <c r="G178" s="310">
        <f t="shared" si="65"/>
        <v>-10370.209526997834</v>
      </c>
      <c r="H178" s="310">
        <f t="shared" si="65"/>
        <v>-11330.652279564056</v>
      </c>
      <c r="I178" s="310">
        <f t="shared" si="65"/>
        <v>-12079.66175433384</v>
      </c>
      <c r="J178" s="310">
        <f t="shared" si="65"/>
        <v>-12861.120559607509</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16299.4722399277</v>
      </c>
      <c r="F181" s="139">
        <f t="shared" si="66"/>
        <v>17365.502358261903</v>
      </c>
      <c r="G181" s="139">
        <f t="shared" si="66"/>
        <v>18684.575436618783</v>
      </c>
      <c r="H181" s="139">
        <f t="shared" si="66"/>
        <v>20309.549257874027</v>
      </c>
      <c r="I181" s="139">
        <f t="shared" si="66"/>
        <v>21884.724650626038</v>
      </c>
      <c r="J181" s="139">
        <f t="shared" si="66"/>
        <v>23563.712461488321</v>
      </c>
      <c r="K181" s="148"/>
      <c r="L181" s="36"/>
      <c r="M181" s="36"/>
    </row>
    <row r="182" spans="3:13">
      <c r="C182" s="149" t="s">
        <v>275</v>
      </c>
      <c r="E182" s="139">
        <f>E55</f>
        <v>871.83328869499996</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17171.305528622699</v>
      </c>
      <c r="F183" s="95">
        <f>F181+F182</f>
        <v>17365.502358261903</v>
      </c>
      <c r="G183" s="95">
        <f t="shared" ref="G183:J183" si="68">G181+G182</f>
        <v>18684.575436618783</v>
      </c>
      <c r="H183" s="95">
        <f t="shared" si="68"/>
        <v>20309.549257874027</v>
      </c>
      <c r="I183" s="95">
        <f t="shared" si="68"/>
        <v>21884.724650626038</v>
      </c>
      <c r="J183" s="95">
        <f t="shared" si="68"/>
        <v>23563.712461488321</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276.78451291306197</v>
      </c>
      <c r="F186" s="139">
        <f t="shared" ref="F186:J186" si="69">F40</f>
        <v>289.14772269678122</v>
      </c>
      <c r="G186" s="139">
        <f t="shared" si="69"/>
        <v>293.68930996426997</v>
      </c>
      <c r="H186" s="139">
        <f t="shared" si="69"/>
        <v>299.24013884675617</v>
      </c>
      <c r="I186" s="139">
        <f t="shared" si="69"/>
        <v>305.54789894049048</v>
      </c>
      <c r="J186" s="139">
        <f t="shared" si="69"/>
        <v>312.36027984172358</v>
      </c>
      <c r="K186" s="148"/>
      <c r="L186" s="36"/>
      <c r="M186" s="36"/>
    </row>
    <row r="187" spans="3:13">
      <c r="E187" s="36"/>
      <c r="F187" s="95"/>
      <c r="G187" s="95"/>
      <c r="H187" s="95"/>
      <c r="I187" s="95"/>
      <c r="J187" s="95"/>
      <c r="K187" s="148"/>
      <c r="L187" s="36"/>
      <c r="M187" s="36"/>
    </row>
    <row r="188" spans="3:13" ht="15.75">
      <c r="C188" s="5" t="s">
        <v>297</v>
      </c>
      <c r="E188" s="139">
        <f t="shared" ref="E188:J188" si="70">E24</f>
        <v>26102.297999999999</v>
      </c>
      <c r="F188" s="139">
        <f t="shared" si="70"/>
        <v>26634.800824492308</v>
      </c>
      <c r="G188" s="139">
        <f t="shared" si="70"/>
        <v>27506.707306543209</v>
      </c>
      <c r="H188" s="139">
        <f t="shared" si="70"/>
        <v>28755.695541235458</v>
      </c>
      <c r="I188" s="139">
        <f t="shared" si="70"/>
        <v>29512.184230097246</v>
      </c>
      <c r="J188" s="139">
        <f t="shared" si="70"/>
        <v>30180.818517551801</v>
      </c>
      <c r="K188" s="148"/>
      <c r="L188" s="309"/>
      <c r="M188" s="36"/>
    </row>
    <row r="189" spans="3:13">
      <c r="C189" s="149" t="s">
        <v>298</v>
      </c>
      <c r="E189" s="139">
        <f t="shared" ref="E189:J189" si="71">E188*$D$44</f>
        <v>27219.697552563757</v>
      </c>
      <c r="F189" s="139">
        <f t="shared" si="71"/>
        <v>27774.996010522002</v>
      </c>
      <c r="G189" s="139">
        <f t="shared" si="71"/>
        <v>28684.227478783738</v>
      </c>
      <c r="H189" s="139">
        <f t="shared" si="71"/>
        <v>29986.682994195966</v>
      </c>
      <c r="I189" s="139">
        <f t="shared" si="71"/>
        <v>30775.555809637477</v>
      </c>
      <c r="J189" s="139">
        <f t="shared" si="71"/>
        <v>31472.813310788792</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-3859.3408878696487</v>
      </c>
      <c r="F192" s="310">
        <f t="shared" si="72"/>
        <v>-3944.0215495483021</v>
      </c>
      <c r="G192" s="310">
        <f t="shared" si="72"/>
        <v>-3870.8237303273509</v>
      </c>
      <c r="H192" s="310">
        <f t="shared" si="72"/>
        <v>-4177.1168104467506</v>
      </c>
      <c r="I192" s="310">
        <f t="shared" si="72"/>
        <v>-4354.4461860979281</v>
      </c>
      <c r="J192" s="310">
        <f t="shared" si="72"/>
        <v>-4542.5138826629227</v>
      </c>
      <c r="K192" s="148"/>
      <c r="L192" s="309"/>
      <c r="M192" s="36"/>
    </row>
    <row r="193" spans="2:15">
      <c r="C193" s="149" t="s">
        <v>285</v>
      </c>
      <c r="E193" s="36"/>
      <c r="F193" s="310">
        <f>(F173+F183+F189+((F186-F188-F142+F178)*F52+F192)*$D45-F192-F186*$D47)/($D48-F52*$D45)</f>
        <v>83337.831137711895</v>
      </c>
      <c r="G193" s="310">
        <f>(G173+G183+G189+((G186-G188-G142+G178)*G52+G192)*$D45-G192-G186*$D47)/($D48-G52*$D45)</f>
        <v>84597.268932682622</v>
      </c>
      <c r="H193" s="310">
        <f>(H173+H183+H189+((H186-H188-H142+H178)*H52+H192)*$D45-H192-H186*$D47)/($D48-H52*$D45)</f>
        <v>90207.834780731646</v>
      </c>
      <c r="I193" s="310">
        <f>(I173+I183+I189+((I186-I188-I142+I178)*I52+I192)*$D45-I192-I186*$D47)/($D48-I52*$D45)</f>
        <v>95282.02370285838</v>
      </c>
      <c r="J193" s="310">
        <f>(J173+J183+J189+((J186-J188-J142+J178)*J52+J192)*$D45-J192-J186*$D47)/($D48-J52*$D45)</f>
        <v>99382.727532050194</v>
      </c>
      <c r="K193" s="148"/>
      <c r="L193" s="309"/>
      <c r="M193" s="36"/>
    </row>
    <row r="194" spans="2:15">
      <c r="C194" s="149" t="s">
        <v>293</v>
      </c>
      <c r="E194" s="36"/>
      <c r="F194" s="310">
        <f>(F193+F186-F188-F181+F178)*F52</f>
        <v>8992.842790121249</v>
      </c>
      <c r="G194" s="310">
        <f>(G193+G186-G188-G181+G178)*G52</f>
        <v>7932.2504722963822</v>
      </c>
      <c r="H194" s="310">
        <f>(H193+H186-H188-H181+H178)*H52</f>
        <v>8431.129795453362</v>
      </c>
      <c r="I194" s="310">
        <f>(I193+I186-I188-I181+I178)*I52</f>
        <v>8991.0802706876893</v>
      </c>
      <c r="J194" s="310">
        <f>(J193+J186-J188-J181+J178)*J52</f>
        <v>9265.0421565084016</v>
      </c>
      <c r="K194" s="148"/>
      <c r="L194" s="309"/>
      <c r="M194" s="36"/>
    </row>
    <row r="195" spans="2:15">
      <c r="C195" s="149" t="s">
        <v>277</v>
      </c>
      <c r="E195" s="36"/>
      <c r="F195" s="310">
        <f>IF(F194&lt;0,#N/A,F194)</f>
        <v>8992.842790121249</v>
      </c>
      <c r="G195" s="310">
        <f t="shared" ref="G195:J195" si="73">IF(G194&lt;0,#N/A,G194)</f>
        <v>7932.2504722963822</v>
      </c>
      <c r="H195" s="310">
        <f t="shared" si="73"/>
        <v>8431.129795453362</v>
      </c>
      <c r="I195" s="310">
        <f>IF(I194&lt;0,#N/A,I194)</f>
        <v>8991.0802706876893</v>
      </c>
      <c r="J195" s="310">
        <f t="shared" si="73"/>
        <v>9265.0421565084016</v>
      </c>
      <c r="K195" s="148"/>
      <c r="L195" s="309"/>
      <c r="M195" s="36"/>
    </row>
    <row r="196" spans="2:15">
      <c r="C196" s="149" t="s">
        <v>286</v>
      </c>
      <c r="E196" s="36"/>
      <c r="F196" s="310">
        <f>F173+F183+F189+(F195+F192)*$D$45-F192-F186*$D$47</f>
        <v>86227.519945783642</v>
      </c>
      <c r="G196" s="310">
        <f>G173+G183+G189+(G195+G192)*$D$45-G192-G186*$D$47</f>
        <v>87530.627983318947</v>
      </c>
      <c r="H196" s="310">
        <f>H173+H183+H189+(H195+H192)*$D$45-H192-H186*$D$47</f>
        <v>93335.736803229884</v>
      </c>
      <c r="I196" s="310">
        <f>I173+I183+I189+(I195+I192)*$D$45-I192-I186*$D$47</f>
        <v>98585.870152252988</v>
      </c>
      <c r="J196" s="310">
        <f>J173+J183+J189+(J195+J192)*$D$45-J192-J186*$D$47</f>
        <v>102828.76340248759</v>
      </c>
      <c r="K196" s="148"/>
      <c r="L196" s="309"/>
      <c r="M196" s="36"/>
    </row>
    <row r="197" spans="2:15">
      <c r="C197" s="149" t="s">
        <v>287</v>
      </c>
      <c r="E197" s="36"/>
      <c r="F197" s="310">
        <f>F196/$D$48</f>
        <v>83337.831137711895</v>
      </c>
      <c r="G197" s="310">
        <f t="shared" ref="G197:J197" si="74">G196/$D$48</f>
        <v>84597.268932682622</v>
      </c>
      <c r="H197" s="310">
        <f t="shared" si="74"/>
        <v>90207.834780731646</v>
      </c>
      <c r="I197" s="310">
        <f t="shared" si="74"/>
        <v>95282.02370285838</v>
      </c>
      <c r="J197" s="310">
        <f t="shared" si="74"/>
        <v>99382.727532050194</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5048.8212405729464</v>
      </c>
      <c r="G199" s="310">
        <f t="shared" ref="G199:J199" si="75">G195+G192</f>
        <v>4061.4267419690314</v>
      </c>
      <c r="H199" s="310">
        <f t="shared" si="75"/>
        <v>4254.0129850066114</v>
      </c>
      <c r="I199" s="310">
        <f t="shared" si="75"/>
        <v>4636.6340845897612</v>
      </c>
      <c r="J199" s="310">
        <f t="shared" si="75"/>
        <v>4722.5282738454789</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93335.736803229884</v>
      </c>
      <c r="I204" s="310">
        <f>I196</f>
        <v>98585.870152252988</v>
      </c>
      <c r="J204" s="310">
        <f>J196</f>
        <v>102828.76340248759</v>
      </c>
      <c r="K204" s="148"/>
      <c r="L204" s="36"/>
      <c r="M204" s="36"/>
    </row>
    <row r="205" spans="2:15">
      <c r="B205" s="149" t="s">
        <v>247</v>
      </c>
      <c r="C205" s="149" t="s">
        <v>249</v>
      </c>
      <c r="D205" s="155"/>
      <c r="E205" s="36"/>
      <c r="F205" s="310"/>
      <c r="G205" s="310"/>
      <c r="H205" s="310">
        <f>H204/(1+WACC)^H$203</f>
        <v>85810.183693325263</v>
      </c>
      <c r="I205" s="310">
        <f>I204/(1+WACC)^I$203</f>
        <v>83329.047374064437</v>
      </c>
      <c r="J205" s="310">
        <f>J204/(1+WACC)^J$203</f>
        <v>79907.441864550405</v>
      </c>
      <c r="K205" s="148"/>
      <c r="L205" s="36"/>
      <c r="M205" s="36"/>
    </row>
    <row r="206" spans="2:15">
      <c r="B206" s="149" t="s">
        <v>247</v>
      </c>
      <c r="C206" s="149" t="s">
        <v>159</v>
      </c>
      <c r="D206" s="92">
        <f>SUM(H205:J205)</f>
        <v>249046.67293194012</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249046.67293194012</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1.0288685909265574</v>
      </c>
      <c r="J211" s="316">
        <f>I211*(1+J$31)*(1+J$26)*(1-X_industry_wide)</f>
        <v>1.0590769549670553</v>
      </c>
      <c r="K211" s="148"/>
      <c r="L211" s="36" t="s">
        <v>509</v>
      </c>
      <c r="M211" s="36"/>
    </row>
    <row r="212" spans="1:13">
      <c r="C212" s="149" t="s">
        <v>160</v>
      </c>
      <c r="D212" s="155"/>
      <c r="E212" s="36"/>
      <c r="F212" s="317"/>
      <c r="G212" s="316"/>
      <c r="H212" s="316">
        <f>H211/(1+WACC)^H$203</f>
        <v>0.91937115013330895</v>
      </c>
      <c r="I212" s="316">
        <f>I211/(1+WACC)^I$203</f>
        <v>0.86964429509624541</v>
      </c>
      <c r="J212" s="316">
        <f>J211/(1+WACC)^J$203</f>
        <v>0.82300056335276084</v>
      </c>
      <c r="K212" s="148"/>
      <c r="L212" s="36" t="s">
        <v>280</v>
      </c>
      <c r="M212" s="36"/>
    </row>
    <row r="213" spans="1:13">
      <c r="C213" s="149" t="s">
        <v>99</v>
      </c>
      <c r="D213" s="140">
        <f>SUM(H212:J212)</f>
        <v>2.612016008582315</v>
      </c>
      <c r="E213" s="36"/>
      <c r="F213" s="317"/>
      <c r="G213" s="316"/>
      <c r="H213" s="316"/>
      <c r="I213" s="316"/>
      <c r="J213" s="316"/>
      <c r="K213" s="148"/>
      <c r="L213" s="36" t="s">
        <v>510</v>
      </c>
      <c r="M213" s="36"/>
    </row>
    <row r="214" spans="1:13">
      <c r="C214" s="149" t="s">
        <v>256</v>
      </c>
      <c r="D214" s="26">
        <f>D210/D213</f>
        <v>95346.533908538899</v>
      </c>
      <c r="E214" s="36"/>
      <c r="F214" s="317"/>
      <c r="G214" s="316"/>
      <c r="H214" s="310"/>
      <c r="I214" s="310"/>
      <c r="J214" s="310"/>
      <c r="K214" s="148"/>
      <c r="L214" s="36"/>
      <c r="M214" s="36"/>
    </row>
    <row r="215" spans="1:13">
      <c r="C215" s="149" t="s">
        <v>252</v>
      </c>
      <c r="D215" s="26"/>
      <c r="E215" s="36"/>
      <c r="F215" s="317"/>
      <c r="G215" s="316"/>
      <c r="H215" s="310">
        <f t="shared" ref="H215:J215" si="76">$D214*H211</f>
        <v>95346.533908538899</v>
      </c>
      <c r="I215" s="310">
        <f t="shared" si="76"/>
        <v>98099.053992209636</v>
      </c>
      <c r="J215" s="310">
        <f t="shared" si="76"/>
        <v>100979.31679851847</v>
      </c>
      <c r="K215" s="148"/>
      <c r="L215" s="36" t="s">
        <v>243</v>
      </c>
      <c r="M215" s="36"/>
    </row>
    <row r="216" spans="1:13">
      <c r="C216" s="149" t="s">
        <v>253</v>
      </c>
      <c r="D216" s="26"/>
      <c r="E216" s="36"/>
      <c r="F216" s="317"/>
      <c r="G216" s="316"/>
      <c r="H216" s="247">
        <f t="shared" ref="H216:J216" si="77">H215/$D$48</f>
        <v>92151.245303495234</v>
      </c>
      <c r="I216" s="247">
        <f t="shared" si="77"/>
        <v>94811.521907534669</v>
      </c>
      <c r="J216" s="247">
        <f t="shared" si="77"/>
        <v>97595.260272447893</v>
      </c>
      <c r="K216" s="148"/>
      <c r="L216" s="36" t="s">
        <v>245</v>
      </c>
      <c r="M216" s="36"/>
    </row>
    <row r="217" spans="1:13">
      <c r="C217" s="149" t="s">
        <v>252</v>
      </c>
      <c r="D217" s="26"/>
      <c r="E217" s="36"/>
      <c r="F217" s="317"/>
      <c r="G217" s="316"/>
      <c r="H217" s="247">
        <f>H216*$D$48</f>
        <v>95346.533908538899</v>
      </c>
      <c r="I217" s="247">
        <f t="shared" ref="I217:J217" si="78">I216*$D$48</f>
        <v>98099.053992209636</v>
      </c>
      <c r="J217" s="247">
        <f t="shared" si="78"/>
        <v>100979.31679851847</v>
      </c>
      <c r="K217" s="148"/>
      <c r="L217" s="36" t="s">
        <v>299</v>
      </c>
      <c r="M217" s="36"/>
    </row>
    <row r="218" spans="1:13">
      <c r="C218" s="149" t="s">
        <v>254</v>
      </c>
      <c r="D218" s="155"/>
      <c r="E218" s="36"/>
      <c r="F218" s="317"/>
      <c r="G218" s="316"/>
      <c r="H218" s="310">
        <f>H215/(1+WACC)^H$203</f>
        <v>87658.85254071794</v>
      </c>
      <c r="I218" s="310">
        <f>I215/(1+WACC)^I$203</f>
        <v>82917.569270761567</v>
      </c>
      <c r="J218" s="310">
        <f>J215/(1+WACC)^J$203</f>
        <v>78470.251120460627</v>
      </c>
      <c r="K218" s="148"/>
      <c r="L218" s="36" t="s">
        <v>246</v>
      </c>
      <c r="M218" s="36"/>
    </row>
    <row r="219" spans="1:13">
      <c r="C219" s="149" t="s">
        <v>255</v>
      </c>
      <c r="D219" s="26">
        <f>SUM(H218:J218)</f>
        <v>249046.67293194012</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161387.82039122219</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7.2447645028497947E-3</v>
      </c>
      <c r="G226" s="204">
        <f t="shared" ref="G226:J226" si="80">G$26</f>
        <v>-1.2913154271305476E-2</v>
      </c>
      <c r="H226" s="204">
        <f t="shared" si="80"/>
        <v>4.5546603195417276E-3</v>
      </c>
      <c r="I226" s="204">
        <f t="shared" si="80"/>
        <v>4.3112899384150551E-3</v>
      </c>
      <c r="J226" s="204">
        <f t="shared" si="80"/>
        <v>4.9742770689090851E-3</v>
      </c>
      <c r="K226" s="148"/>
      <c r="L226" s="36"/>
      <c r="M226" s="36"/>
    </row>
    <row r="227" spans="1:14">
      <c r="A227" s="19"/>
      <c r="B227" s="19" t="s">
        <v>263</v>
      </c>
      <c r="C227" s="149" t="s">
        <v>411</v>
      </c>
      <c r="E227" s="163">
        <f>E$8-E$9-E$10</f>
        <v>76910.269</v>
      </c>
      <c r="F227" s="247">
        <f>E227*(1+F225)*(1+F226)*(1-X_industry_wide)</f>
        <v>79377.069114990605</v>
      </c>
      <c r="G227" s="247">
        <f>F227*(1+G225)*(1+G226)*(1-X_industry_wide)</f>
        <v>79747.64455562814</v>
      </c>
      <c r="H227" s="320">
        <f>G227*(1+H225)*(1+H226)*(1-X_industry_wide)</f>
        <v>83788.685109123529</v>
      </c>
      <c r="I227" s="247">
        <f>H227*(1+I225)*(1+I226)*(1-X_industry_wide)</f>
        <v>86207.546383812951</v>
      </c>
      <c r="J227" s="247">
        <f>I227*(1+J225)*(1+J226)*(1-X_industry_wide)</f>
        <v>88738.665486063997</v>
      </c>
      <c r="K227" s="148"/>
      <c r="L227" s="300"/>
      <c r="M227" s="36"/>
    </row>
    <row r="228" spans="1:14">
      <c r="A228" s="19"/>
      <c r="B228" s="19"/>
      <c r="C228" s="149" t="s">
        <v>358</v>
      </c>
      <c r="E228" s="215"/>
      <c r="F228" s="247"/>
      <c r="G228" s="320">
        <f>G227*$D$48</f>
        <v>82512.845818925736</v>
      </c>
      <c r="H228" s="320">
        <f>H227*$D$48</f>
        <v>86694.007005523556</v>
      </c>
      <c r="I228" s="320">
        <f>I227*$D$48</f>
        <v>89196.740829550123</v>
      </c>
      <c r="J228" s="320">
        <f>J227*$D$48</f>
        <v>91815.624953302453</v>
      </c>
      <c r="K228" s="148"/>
      <c r="L228" s="300"/>
      <c r="M228" s="36"/>
    </row>
    <row r="229" spans="1:14">
      <c r="A229" s="19"/>
      <c r="B229" s="19" t="s">
        <v>263</v>
      </c>
      <c r="C229" s="149" t="s">
        <v>335</v>
      </c>
      <c r="D229" s="92">
        <f>H227</f>
        <v>83788.685109123529</v>
      </c>
      <c r="E229" s="36"/>
      <c r="F229" s="247"/>
      <c r="G229" s="310"/>
      <c r="H229" s="310"/>
      <c r="I229" s="310"/>
      <c r="J229" s="310"/>
      <c r="K229" s="148"/>
      <c r="L229" s="300"/>
      <c r="M229" s="36"/>
    </row>
    <row r="230" spans="1:14">
      <c r="B230" s="19" t="s">
        <v>263</v>
      </c>
      <c r="C230" s="149" t="s">
        <v>336</v>
      </c>
      <c r="D230" s="92">
        <f>D214/D48</f>
        <v>92151.245303495234</v>
      </c>
      <c r="E230" s="36"/>
      <c r="F230" s="321"/>
      <c r="G230" s="310"/>
      <c r="H230" s="310"/>
      <c r="I230" s="310"/>
      <c r="J230" s="310"/>
      <c r="K230" s="148"/>
      <c r="L230" s="36"/>
      <c r="M230" s="36"/>
    </row>
    <row r="231" spans="1:14">
      <c r="B231" s="19" t="s">
        <v>263</v>
      </c>
      <c r="C231" s="149" t="s">
        <v>329</v>
      </c>
      <c r="D231" s="32">
        <f>(D230-D229)/D229</f>
        <v>9.9805363737127409E-2</v>
      </c>
      <c r="E231" s="36"/>
      <c r="F231" s="247"/>
      <c r="G231" s="310"/>
      <c r="H231" s="310"/>
      <c r="I231" s="310"/>
      <c r="J231" s="310"/>
      <c r="K231" s="310"/>
      <c r="L231" s="310"/>
      <c r="M231" s="310"/>
      <c r="N231" s="19"/>
    </row>
    <row r="232" spans="1:14">
      <c r="C232" s="149" t="s">
        <v>452</v>
      </c>
      <c r="D232" s="125">
        <f>NPV(WACC,H228:J228)</f>
        <v>226446.13414657491</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8362.5601943717047</v>
      </c>
      <c r="F235" s="36"/>
      <c r="G235" s="36"/>
      <c r="H235" s="36"/>
      <c r="I235" s="310"/>
      <c r="J235" s="310"/>
      <c r="K235" s="148"/>
      <c r="L235" s="36"/>
      <c r="M235" s="36"/>
    </row>
    <row r="236" spans="1:14">
      <c r="C236" s="149" t="s">
        <v>341</v>
      </c>
      <c r="D236" s="94"/>
      <c r="E236" s="310">
        <f>H217-H228</f>
        <v>8652.5269030153431</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161387.82039122219</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1.0293607602631678</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0.79990833679896856</v>
      </c>
      <c r="K245" s="148"/>
      <c r="L245" s="36" t="s">
        <v>280</v>
      </c>
      <c r="M245" s="36"/>
    </row>
    <row r="246" spans="1:13">
      <c r="A246" s="155"/>
      <c r="B246" s="155" t="s">
        <v>264</v>
      </c>
      <c r="C246" s="149" t="s">
        <v>99</v>
      </c>
      <c r="D246" s="140">
        <f>SUM(I245:J245)</f>
        <v>1.6451516484964119</v>
      </c>
      <c r="E246" s="36"/>
      <c r="F246" s="317"/>
      <c r="G246" s="316"/>
      <c r="H246" s="316"/>
      <c r="I246" s="316"/>
      <c r="J246" s="316"/>
      <c r="K246" s="148"/>
      <c r="L246" s="36" t="s">
        <v>510</v>
      </c>
      <c r="M246" s="36"/>
    </row>
    <row r="247" spans="1:13">
      <c r="A247" s="155"/>
      <c r="B247" s="155" t="s">
        <v>264</v>
      </c>
      <c r="C247" s="149" t="s">
        <v>256</v>
      </c>
      <c r="D247" s="26">
        <f>D242/D246</f>
        <v>98099.053992209636</v>
      </c>
      <c r="E247" s="36"/>
      <c r="F247" s="317"/>
      <c r="G247" s="316"/>
      <c r="H247" s="310"/>
      <c r="I247" s="310"/>
      <c r="J247" s="310"/>
      <c r="K247" s="148"/>
      <c r="L247" s="36"/>
      <c r="M247" s="36"/>
    </row>
    <row r="248" spans="1:13">
      <c r="A248" s="155"/>
      <c r="B248" s="155" t="s">
        <v>264</v>
      </c>
      <c r="C248" s="149" t="s">
        <v>252</v>
      </c>
      <c r="D248" s="26"/>
      <c r="E248" s="36"/>
      <c r="F248" s="317"/>
      <c r="G248" s="316"/>
      <c r="H248" s="163">
        <f>H215</f>
        <v>95346.533908538899</v>
      </c>
      <c r="I248" s="310">
        <f t="shared" ref="I248:J248" si="81">$D247*I244</f>
        <v>98099.053992209636</v>
      </c>
      <c r="J248" s="310">
        <f t="shared" si="81"/>
        <v>100979.31679851846</v>
      </c>
      <c r="K248" s="148"/>
      <c r="L248" s="36" t="s">
        <v>243</v>
      </c>
      <c r="M248" s="36"/>
    </row>
    <row r="249" spans="1:13">
      <c r="A249" s="155"/>
      <c r="B249" s="155" t="s">
        <v>264</v>
      </c>
      <c r="C249" s="149" t="s">
        <v>253</v>
      </c>
      <c r="D249" s="26"/>
      <c r="E249" s="36"/>
      <c r="F249" s="317"/>
      <c r="G249" s="316"/>
      <c r="H249" s="247">
        <f>H248/$D$48</f>
        <v>92151.245303495234</v>
      </c>
      <c r="I249" s="247">
        <f>I248/$D$48</f>
        <v>94811.521907534669</v>
      </c>
      <c r="J249" s="247">
        <f>J248/$D$48</f>
        <v>97595.260272447878</v>
      </c>
      <c r="K249" s="148"/>
      <c r="L249" s="36" t="s">
        <v>245</v>
      </c>
      <c r="M249" s="36"/>
    </row>
    <row r="250" spans="1:13">
      <c r="A250" s="155"/>
      <c r="B250" s="155" t="s">
        <v>264</v>
      </c>
      <c r="C250" s="149" t="s">
        <v>370</v>
      </c>
      <c r="D250" s="155"/>
      <c r="E250" s="36"/>
      <c r="F250" s="317"/>
      <c r="G250" s="316"/>
      <c r="H250" s="310"/>
      <c r="I250" s="310">
        <f>I248/(1+WACC)^I$203</f>
        <v>82917.569270761567</v>
      </c>
      <c r="J250" s="310">
        <f>J248/(1+WACC)^J$203</f>
        <v>78470.251120460613</v>
      </c>
      <c r="K250" s="148"/>
      <c r="L250" s="36" t="s">
        <v>299</v>
      </c>
      <c r="M250" s="36"/>
    </row>
    <row r="251" spans="1:13">
      <c r="A251" s="155"/>
      <c r="B251" s="155" t="s">
        <v>264</v>
      </c>
      <c r="C251" s="149" t="s">
        <v>255</v>
      </c>
      <c r="D251" s="26">
        <f>SUM(I250:J250)</f>
        <v>161387.82039122219</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8975.2847418271667</v>
      </c>
      <c r="I253" s="324">
        <f>(I249+I186-I$188-I$181+I$178)*I$52</f>
        <v>8859.3397679970494</v>
      </c>
      <c r="J253" s="324">
        <f>(J249+J186-J$188-J$181+J$178)*J$52</f>
        <v>8764.5513238197527</v>
      </c>
      <c r="K253" s="247"/>
      <c r="L253" s="36"/>
      <c r="M253" s="36"/>
    </row>
    <row r="254" spans="1:13">
      <c r="A254" s="155"/>
      <c r="B254" s="214" t="s">
        <v>264</v>
      </c>
      <c r="C254" s="143" t="s">
        <v>325</v>
      </c>
      <c r="D254" s="214"/>
      <c r="E254" s="36"/>
      <c r="F254" s="322"/>
      <c r="G254" s="323"/>
      <c r="H254" s="324">
        <f>H253+H192</f>
        <v>4798.1679313804161</v>
      </c>
      <c r="I254" s="324">
        <f>I253+I192</f>
        <v>4504.8935818991213</v>
      </c>
      <c r="J254" s="324">
        <f>J253+J192</f>
        <v>4222.03744115683</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87299.326370399343</v>
      </c>
      <c r="G257" s="138">
        <f>H257/((1+H32)*(1+H26)*(1+X_industry_wide))</f>
        <v>87706.887227681756</v>
      </c>
      <c r="H257" s="310">
        <f>H249</f>
        <v>92151.245303495234</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1.0088855867191653</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86694.007005523556</v>
      </c>
      <c r="I266" s="334">
        <f>H266*(1+I$225)*(1+I$226)*(1+$E265)</f>
        <v>102576.25195398263</v>
      </c>
      <c r="J266" s="247">
        <f>I266*(1+J$225)*(1+J$226)*(1-$J243)</f>
        <v>105587.96869629783</v>
      </c>
      <c r="K266" s="36"/>
      <c r="L266" s="36"/>
      <c r="M266" s="36"/>
    </row>
    <row r="267" spans="3:14">
      <c r="C267" s="149" t="s">
        <v>409</v>
      </c>
      <c r="D267" s="94"/>
      <c r="E267" s="36"/>
      <c r="F267" s="36"/>
      <c r="G267" s="36"/>
      <c r="H267" s="247">
        <f>H266/$D$48</f>
        <v>83788.685109123529</v>
      </c>
      <c r="I267" s="247">
        <f t="shared" ref="I267:J267" si="82">I266/$D$48</f>
        <v>99138.67834138489</v>
      </c>
      <c r="J267" s="247">
        <f t="shared" si="82"/>
        <v>102049.46530897361</v>
      </c>
      <c r="K267" s="36"/>
      <c r="L267" s="36"/>
      <c r="M267" s="36"/>
    </row>
    <row r="268" spans="3:14">
      <c r="C268" s="149" t="s">
        <v>347</v>
      </c>
      <c r="D268" s="94"/>
      <c r="E268" s="36"/>
      <c r="F268" s="36"/>
      <c r="G268" s="36"/>
      <c r="H268" s="247">
        <f>H266/(1+WACC)^H$203</f>
        <v>79703.968930333329</v>
      </c>
      <c r="I268" s="247">
        <f>I266/(1+WACC)^I$203</f>
        <v>86701.890903095613</v>
      </c>
      <c r="J268" s="247">
        <f>J266/(1+WACC)^J$203</f>
        <v>82051.599095582205</v>
      </c>
      <c r="K268" s="36"/>
      <c r="L268" s="36"/>
      <c r="M268" s="36"/>
    </row>
    <row r="269" spans="3:14">
      <c r="C269" s="149" t="s">
        <v>348</v>
      </c>
      <c r="D269" s="94"/>
      <c r="E269" s="310">
        <f>SUM(H268:J268)</f>
        <v>248457.45892901113</v>
      </c>
      <c r="F269" s="36"/>
      <c r="G269" s="36"/>
      <c r="H269" s="36"/>
      <c r="I269" s="36"/>
      <c r="J269" s="36"/>
      <c r="K269" s="36"/>
      <c r="L269" s="36"/>
      <c r="M269" s="36"/>
    </row>
    <row r="270" spans="3:14">
      <c r="C270" s="149" t="str">
        <f>C206</f>
        <v>PV of BBAR before tax over the PV period</v>
      </c>
      <c r="E270" s="310">
        <f>D206</f>
        <v>249046.67293194012</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87299.326370399343</v>
      </c>
      <c r="G274" s="247">
        <f t="shared" ref="G274:H274" si="83">G257</f>
        <v>87706.887227681756</v>
      </c>
      <c r="H274" s="333">
        <f t="shared" si="83"/>
        <v>92151.245303495234</v>
      </c>
      <c r="I274" s="310">
        <f>I249</f>
        <v>94811.521907534669</v>
      </c>
      <c r="J274" s="310">
        <f>J249</f>
        <v>97595.260272447878</v>
      </c>
      <c r="K274" s="36"/>
      <c r="L274" s="36"/>
      <c r="M274" s="36"/>
    </row>
    <row r="275" spans="3:13">
      <c r="C275" s="149" t="s">
        <v>407</v>
      </c>
      <c r="D275" s="94"/>
      <c r="E275" s="36"/>
      <c r="F275" s="247">
        <f>F274</f>
        <v>87299.326370399343</v>
      </c>
      <c r="G275" s="247">
        <f t="shared" ref="G275:H275" si="84">G274</f>
        <v>87706.887227681756</v>
      </c>
      <c r="H275" s="333">
        <f t="shared" si="84"/>
        <v>92151.245303495234</v>
      </c>
      <c r="I275" s="247">
        <f>I267</f>
        <v>99138.67834138489</v>
      </c>
      <c r="J275" s="247">
        <f>J267</f>
        <v>102049.46530897361</v>
      </c>
      <c r="K275" s="36"/>
      <c r="L275" s="36"/>
      <c r="M275" s="36"/>
    </row>
    <row r="276" spans="3:13">
      <c r="C276" s="149" t="s">
        <v>408</v>
      </c>
      <c r="D276" s="94"/>
      <c r="E276" s="36"/>
      <c r="F276" s="247">
        <f>IF($E$22=-15%,F275,F274)</f>
        <v>87299.326370399343</v>
      </c>
      <c r="G276" s="247">
        <f t="shared" ref="G276:J276" si="85">IF($E$22=-15%,G275,G274)</f>
        <v>87706.887227681756</v>
      </c>
      <c r="H276" s="247">
        <f t="shared" si="85"/>
        <v>92151.245303495234</v>
      </c>
      <c r="I276" s="247">
        <f t="shared" si="85"/>
        <v>94811.521907534669</v>
      </c>
      <c r="J276" s="247">
        <f t="shared" si="85"/>
        <v>97595.260272447878</v>
      </c>
      <c r="K276" s="36"/>
      <c r="L276" s="36"/>
      <c r="M276" s="36"/>
    </row>
    <row r="277" spans="3:13">
      <c r="C277" s="149" t="s">
        <v>449</v>
      </c>
      <c r="D277" s="94"/>
      <c r="E277" s="328">
        <f>(I276/H267)/((1+I225)*(1+I226))-1</f>
        <v>9.9805363737127228E-2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86207.546383812951</v>
      </c>
      <c r="E281" s="36"/>
      <c r="F281" s="313"/>
      <c r="G281" s="36"/>
      <c r="H281" s="36"/>
      <c r="I281" s="36"/>
      <c r="J281" s="36"/>
      <c r="K281" s="36"/>
      <c r="L281" s="36"/>
      <c r="M281" s="36"/>
    </row>
    <row r="282" spans="3:13">
      <c r="C282" s="149" t="s">
        <v>443</v>
      </c>
      <c r="D282" s="19">
        <f>I276</f>
        <v>94811.521907534669</v>
      </c>
      <c r="E282" s="36"/>
      <c r="F282" s="313"/>
      <c r="G282" s="36"/>
      <c r="H282" s="36"/>
      <c r="I282" s="36"/>
      <c r="J282" s="36"/>
      <c r="K282" s="36"/>
      <c r="L282" s="36"/>
      <c r="M282" s="36"/>
    </row>
    <row r="283" spans="3:13">
      <c r="C283" s="149" t="s">
        <v>445</v>
      </c>
      <c r="D283" s="152">
        <f>(D282-D281)/D281</f>
        <v>9.9805363737127215E-2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226446.13414657491</v>
      </c>
      <c r="G286" s="36"/>
      <c r="H286" s="36"/>
      <c r="I286" s="36"/>
      <c r="J286" s="36"/>
      <c r="K286" s="36"/>
      <c r="L286" s="36"/>
      <c r="M286" s="36"/>
    </row>
    <row r="287" spans="3:13">
      <c r="C287" s="149" t="str">
        <f>C206</f>
        <v>PV of BBAR before tax over the PV period</v>
      </c>
      <c r="E287" s="36"/>
      <c r="F287" s="310">
        <f>D206</f>
        <v>249046.67293194012</v>
      </c>
      <c r="G287" s="36"/>
      <c r="H287" s="36"/>
      <c r="I287" s="36"/>
      <c r="J287" s="36"/>
      <c r="K287" s="36"/>
      <c r="L287" s="36"/>
      <c r="M287" s="36"/>
    </row>
    <row r="288" spans="3:13">
      <c r="C288" s="149" t="s">
        <v>405</v>
      </c>
      <c r="D288" s="94"/>
      <c r="E288" s="36"/>
      <c r="F288" s="247">
        <f>F286-F287</f>
        <v>-22600.538785365206</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-519853.39035325317</v>
      </c>
      <c r="F293" s="247"/>
      <c r="G293" s="310"/>
      <c r="H293" s="310"/>
      <c r="I293" s="310"/>
      <c r="J293" s="310"/>
      <c r="K293" s="310"/>
      <c r="L293" s="36"/>
      <c r="M293" s="36"/>
      <c r="N293" s="19">
        <f>J$143+J$166</f>
        <v>614789.30996844731</v>
      </c>
    </row>
    <row r="294" spans="3:14">
      <c r="C294" s="149" t="s">
        <v>57</v>
      </c>
      <c r="D294" s="19"/>
      <c r="E294" s="90"/>
      <c r="F294" s="247"/>
      <c r="G294" s="138">
        <f>H$249</f>
        <v>92151.245303495234</v>
      </c>
      <c r="H294" s="36">
        <v>0</v>
      </c>
      <c r="I294" s="36">
        <v>0</v>
      </c>
      <c r="J294" s="164">
        <f>I$249</f>
        <v>94811.521907534669</v>
      </c>
      <c r="K294" s="310">
        <v>0</v>
      </c>
      <c r="L294" s="138">
        <v>0</v>
      </c>
      <c r="M294" s="310">
        <f>J$249</f>
        <v>97595.260272447878</v>
      </c>
    </row>
    <row r="295" spans="3:14">
      <c r="C295" s="149" t="s">
        <v>234</v>
      </c>
      <c r="D295" s="19"/>
      <c r="E295" s="299"/>
      <c r="F295" s="320">
        <f>H186</f>
        <v>299.24013884675617</v>
      </c>
      <c r="G295" s="215"/>
      <c r="H295" s="300"/>
      <c r="I295" s="216">
        <f>I186</f>
        <v>305.54789894049048</v>
      </c>
      <c r="J295" s="215"/>
      <c r="K295" s="215"/>
      <c r="L295" s="215">
        <f>J186</f>
        <v>312.36027984172358</v>
      </c>
      <c r="M295" s="215"/>
    </row>
    <row r="296" spans="3:14">
      <c r="C296" s="149" t="s">
        <v>54</v>
      </c>
      <c r="D296" s="19"/>
      <c r="E296" s="299"/>
      <c r="F296" s="320">
        <f>-H$24</f>
        <v>-28755.695541235458</v>
      </c>
      <c r="G296" s="300"/>
      <c r="H296" s="215"/>
      <c r="I296" s="215">
        <f>-I$24</f>
        <v>-29512.184230097246</v>
      </c>
      <c r="J296" s="300"/>
      <c r="K296" s="215"/>
      <c r="L296" s="215">
        <f>-J$24</f>
        <v>-30180.818517551801</v>
      </c>
      <c r="M296" s="300"/>
    </row>
    <row r="297" spans="3:14">
      <c r="C297" s="149" t="s">
        <v>125</v>
      </c>
      <c r="D297" s="19"/>
      <c r="E297" s="299"/>
      <c r="F297" s="320">
        <f>-H$25</f>
        <v>-47773.372816136514</v>
      </c>
      <c r="G297" s="300"/>
      <c r="H297" s="215"/>
      <c r="I297" s="215">
        <f>-I$25</f>
        <v>-50631.445402853024</v>
      </c>
      <c r="J297" s="300"/>
      <c r="K297" s="215"/>
      <c r="L297" s="215">
        <f>-J$25</f>
        <v>-33676.24857230232</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-4798.1679313804161</v>
      </c>
      <c r="G299" s="300">
        <v>0</v>
      </c>
      <c r="H299" s="300">
        <v>0</v>
      </c>
      <c r="I299" s="336">
        <f>-I$254</f>
        <v>-4504.8935818991213</v>
      </c>
      <c r="J299" s="215">
        <v>0</v>
      </c>
      <c r="K299" s="163">
        <v>0</v>
      </c>
      <c r="L299" s="215">
        <f>-J$254</f>
        <v>-4222.03744115683</v>
      </c>
      <c r="M299" s="300"/>
    </row>
    <row r="300" spans="3:14" ht="15.75" thickBot="1">
      <c r="C300" s="149" t="s">
        <v>217</v>
      </c>
      <c r="D300" s="19"/>
      <c r="E300" s="332">
        <f>SUM(E293:E299)</f>
        <v>-519853.39035325317</v>
      </c>
      <c r="F300" s="332">
        <f t="shared" ref="F300:K300" si="87">SUM(F293:F299)</f>
        <v>-81027.996149905637</v>
      </c>
      <c r="G300" s="332">
        <f t="shared" si="87"/>
        <v>92151.245303495234</v>
      </c>
      <c r="H300" s="332">
        <f t="shared" si="87"/>
        <v>0</v>
      </c>
      <c r="I300" s="332">
        <f t="shared" si="87"/>
        <v>-84342.975315908901</v>
      </c>
      <c r="J300" s="332">
        <f t="shared" si="87"/>
        <v>94811.521907534669</v>
      </c>
      <c r="K300" s="332">
        <f t="shared" si="87"/>
        <v>0</v>
      </c>
      <c r="L300" s="332">
        <f>SUM(L293:L299)</f>
        <v>-67766.744251169235</v>
      </c>
      <c r="M300" s="332">
        <f>SUM(M293:M299)</f>
        <v>97595.260272447878</v>
      </c>
      <c r="N300" s="129">
        <f>SUM(N293:N299)</f>
        <v>614789.30996844731</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2.3283064365386963E-10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2"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CT88"/>
  <sheetViews>
    <sheetView showGridLines="0" zoomScale="85" zoomScaleNormal="85" workbookViewId="0"/>
  </sheetViews>
  <sheetFormatPr defaultRowHeight="15"/>
  <cols>
    <col min="1" max="1" width="4.42578125" customWidth="1"/>
    <col min="2" max="2" width="43.85546875" customWidth="1"/>
    <col min="3" max="3" width="9.42578125" style="17" customWidth="1"/>
    <col min="4" max="10" width="9.42578125" customWidth="1"/>
    <col min="11" max="11" width="12.28515625" customWidth="1"/>
    <col min="12" max="13" width="9.42578125" customWidth="1"/>
    <col min="14" max="14" width="10" customWidth="1"/>
    <col min="15" max="17" width="9.42578125" customWidth="1"/>
    <col min="18" max="18" width="10" customWidth="1"/>
    <col min="19" max="19" width="9.42578125" customWidth="1"/>
    <col min="20" max="20" width="9.28515625" customWidth="1"/>
    <col min="21" max="59" width="9.28515625" style="149" customWidth="1"/>
    <col min="60" max="60" width="42" customWidth="1"/>
    <col min="88" max="89" width="9.28515625" bestFit="1" customWidth="1"/>
    <col min="90" max="90" width="10" bestFit="1" customWidth="1"/>
    <col min="91" max="92" width="9.28515625" bestFit="1" customWidth="1"/>
  </cols>
  <sheetData>
    <row r="1" spans="2:98" ht="25.5">
      <c r="B1" s="4" t="s">
        <v>3</v>
      </c>
      <c r="C1" s="4"/>
    </row>
    <row r="2" spans="2:98" ht="7.5" customHeight="1">
      <c r="P2" s="149"/>
      <c r="Q2" s="149"/>
      <c r="R2" s="149"/>
    </row>
    <row r="3" spans="2:98" ht="21">
      <c r="B3" s="3" t="s">
        <v>7</v>
      </c>
      <c r="C3" s="3"/>
      <c r="D3" s="3"/>
      <c r="P3" s="149"/>
      <c r="Q3" s="149"/>
      <c r="R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row>
    <row r="4" spans="2:98">
      <c r="B4" t="s">
        <v>9</v>
      </c>
      <c r="C4" s="97">
        <f>'[1]AIM SPA - Inputs'!C4</f>
        <v>8.77E-2</v>
      </c>
      <c r="P4" s="149"/>
      <c r="Q4" s="149"/>
      <c r="R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row>
    <row r="5" spans="2:98">
      <c r="B5" t="s">
        <v>10</v>
      </c>
      <c r="C5" s="97">
        <f>'[1]AIM SPA - Inputs'!C5</f>
        <v>7.9299999999999995E-2</v>
      </c>
      <c r="P5" s="149"/>
      <c r="Q5" s="149"/>
      <c r="R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row>
    <row r="6" spans="2:98">
      <c r="B6" t="s">
        <v>11</v>
      </c>
      <c r="C6" s="97">
        <f>'[1]AIM SPA - Inputs'!C6</f>
        <v>0.44</v>
      </c>
      <c r="P6" s="149"/>
      <c r="Q6" s="149"/>
      <c r="R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row>
    <row r="7" spans="2:98">
      <c r="B7" t="s">
        <v>59</v>
      </c>
      <c r="C7" s="224">
        <f>'[1]AIM SPA - Inputs'!C7</f>
        <v>45</v>
      </c>
      <c r="D7" t="s">
        <v>60</v>
      </c>
      <c r="P7" s="149"/>
      <c r="Q7" s="149"/>
      <c r="R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row>
    <row r="8" spans="2:98" s="17" customFormat="1">
      <c r="B8" s="34" t="s">
        <v>283</v>
      </c>
      <c r="C8" s="97">
        <f>'[1]AIM SPA - Inputs'!C9</f>
        <v>0</v>
      </c>
      <c r="P8" s="149"/>
      <c r="Q8" s="149"/>
      <c r="R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row>
    <row r="9" spans="2:98" s="34" customFormat="1">
      <c r="C9" s="149"/>
      <c r="J9" s="149"/>
      <c r="K9" s="149"/>
      <c r="L9" s="149"/>
      <c r="M9" s="149"/>
      <c r="P9" s="149"/>
      <c r="Q9" s="149"/>
      <c r="R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row>
    <row r="10" spans="2:98" ht="21">
      <c r="B10" s="3" t="s">
        <v>322</v>
      </c>
      <c r="C10" s="3"/>
      <c r="D10" s="98"/>
      <c r="E10" s="98"/>
      <c r="F10" s="98"/>
      <c r="G10" s="98"/>
      <c r="H10" s="98"/>
      <c r="I10" s="98"/>
      <c r="J10" s="149"/>
      <c r="K10" s="149"/>
      <c r="L10" s="149"/>
      <c r="M10" s="149"/>
      <c r="N10" s="149"/>
      <c r="P10" s="149"/>
      <c r="Q10" s="149"/>
      <c r="R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row>
    <row r="11" spans="2:98">
      <c r="B11" s="34"/>
      <c r="C11" s="34"/>
      <c r="D11" s="99" t="s">
        <v>316</v>
      </c>
      <c r="E11" s="99" t="s">
        <v>317</v>
      </c>
      <c r="F11" s="99" t="s">
        <v>318</v>
      </c>
      <c r="G11" s="99" t="s">
        <v>319</v>
      </c>
      <c r="H11" s="99" t="s">
        <v>320</v>
      </c>
      <c r="I11" s="99" t="s">
        <v>321</v>
      </c>
      <c r="J11" s="149"/>
      <c r="K11" s="149"/>
      <c r="L11" s="149"/>
      <c r="M11" s="149"/>
      <c r="N11" s="149"/>
      <c r="P11" s="149"/>
      <c r="Q11" s="149"/>
      <c r="R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row>
    <row r="12" spans="2:98" s="34" customFormat="1">
      <c r="B12" s="34" t="s">
        <v>259</v>
      </c>
      <c r="C12" s="17"/>
      <c r="D12" s="146">
        <f>'[1]AIM SPA - Inputs'!D13</f>
        <v>0.3</v>
      </c>
      <c r="E12" s="146">
        <f>'[1]AIM SPA - Inputs'!E13</f>
        <v>0.3</v>
      </c>
      <c r="F12" s="146">
        <f>'[1]AIM SPA - Inputs'!F13</f>
        <v>0.28000000000000003</v>
      </c>
      <c r="G12" s="146">
        <f>'[1]AIM SPA - Inputs'!G13</f>
        <v>0.28000000000000003</v>
      </c>
      <c r="H12" s="146">
        <f>'[1]AIM SPA - Inputs'!H13</f>
        <v>0.28000000000000003</v>
      </c>
      <c r="I12" s="146">
        <f>'[1]AIM SPA - Inputs'!I13</f>
        <v>0.28000000000000003</v>
      </c>
      <c r="J12" s="149"/>
      <c r="K12" s="149"/>
      <c r="L12" s="149"/>
      <c r="M12" s="149"/>
      <c r="P12" s="149"/>
      <c r="Q12" s="149"/>
      <c r="R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row>
    <row r="13" spans="2:98" s="149" customFormat="1">
      <c r="B13" s="155" t="s">
        <v>505</v>
      </c>
      <c r="C13" s="155"/>
      <c r="D13" s="32">
        <f>'CPI 2009'!Z100</f>
        <v>1.7233850022212005E-2</v>
      </c>
      <c r="E13" s="32">
        <f>'CPI 2009'!AA100</f>
        <v>1.9812209526758329E-2</v>
      </c>
      <c r="F13" s="32">
        <f>'CPI 2009'!AB100</f>
        <v>2.4339880629970168E-2</v>
      </c>
      <c r="G13" s="32">
        <f>'CPI 2009'!AC100</f>
        <v>2.426577848876299E-2</v>
      </c>
      <c r="H13" s="32">
        <f>'CPI 2009'!AD100</f>
        <v>2.426577848876299E-2</v>
      </c>
      <c r="I13" s="32">
        <f>'CPI 2009'!AE100</f>
        <v>2.426577848876299E-2</v>
      </c>
      <c r="J13" s="155"/>
    </row>
    <row r="14" spans="2:98" s="149" customFormat="1">
      <c r="B14" s="155" t="s">
        <v>506</v>
      </c>
      <c r="C14" s="155"/>
      <c r="D14" s="31">
        <f>'CPI 2012'!Z100</f>
        <v>2.0465116279069662E-2</v>
      </c>
      <c r="E14" s="31">
        <f>'CPI 2012'!AA100</f>
        <v>4.4667274384685429E-2</v>
      </c>
      <c r="F14" s="31">
        <f>'CPI 2012'!AB100</f>
        <v>1.5706806282722585E-2</v>
      </c>
      <c r="G14" s="31">
        <f>'CPI 2012'!AC100</f>
        <v>1.8900343642611617E-2</v>
      </c>
      <c r="H14" s="31">
        <f>'CPI 2012'!AD100</f>
        <v>2.1079258010118007E-2</v>
      </c>
      <c r="I14" s="31">
        <f>'CPI 2012'!AE100</f>
        <v>2.2295623451692892E-2</v>
      </c>
      <c r="J14" s="155"/>
    </row>
    <row r="15" spans="2:98" s="149" customFormat="1">
      <c r="B15" s="155" t="s">
        <v>507</v>
      </c>
      <c r="C15" s="155"/>
      <c r="D15" s="218">
        <f>'CPI 2009'!Z99</f>
        <v>3.9162561576354671E-2</v>
      </c>
      <c r="E15" s="218">
        <f>'CPI 2009'!AA99</f>
        <v>2.465039108793543E-2</v>
      </c>
      <c r="F15" s="218">
        <f>'CPI 2009'!AB99</f>
        <v>1.6991832174541255E-2</v>
      </c>
      <c r="G15" s="218">
        <f>'CPI 2009'!AC99</f>
        <v>2.0741514169093644E-2</v>
      </c>
      <c r="H15" s="218">
        <f>'CPI 2009'!AD99</f>
        <v>2.445188183600755E-2</v>
      </c>
      <c r="I15" s="218">
        <f>'CPI 2009'!AE99</f>
        <v>2.4265778488762768E-2</v>
      </c>
      <c r="J15" s="155"/>
    </row>
    <row r="16" spans="2:98" s="149" customFormat="1">
      <c r="B16" s="155" t="s">
        <v>508</v>
      </c>
      <c r="C16" s="155"/>
      <c r="D16" s="31">
        <f>'CPI 2012'!Z99</f>
        <v>3.9162561576354671E-2</v>
      </c>
      <c r="E16" s="31">
        <f>'CPI 2012'!AA99</f>
        <v>2.465039108793543E-2</v>
      </c>
      <c r="F16" s="31">
        <f>'CPI 2012'!AB99</f>
        <v>1.7811704834605591E-2</v>
      </c>
      <c r="G16" s="31">
        <f>'CPI 2012'!AC99</f>
        <v>4.5909090909090899E-2</v>
      </c>
      <c r="H16" s="31">
        <f>'CPI 2012'!AD99</f>
        <v>1.4341590612777066E-2</v>
      </c>
      <c r="I16" s="31">
        <f>'CPI 2012'!AE99</f>
        <v>1.9484909073598011E-2</v>
      </c>
      <c r="J16" s="155"/>
    </row>
    <row r="17" spans="2:98" s="149" customFormat="1">
      <c r="D17" s="31"/>
      <c r="E17" s="31"/>
      <c r="F17" s="31"/>
      <c r="G17" s="31"/>
      <c r="H17" s="31"/>
      <c r="I17" s="31"/>
    </row>
    <row r="18" spans="2:98" ht="21">
      <c r="B18" s="3" t="s">
        <v>123</v>
      </c>
      <c r="C18" s="3"/>
      <c r="D18" s="3"/>
      <c r="K18" s="149"/>
      <c r="O18" s="34"/>
      <c r="P18" s="34"/>
      <c r="Q18" s="34"/>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row>
    <row r="19" spans="2:98" ht="71.25">
      <c r="B19" s="11" t="s">
        <v>2</v>
      </c>
      <c r="C19" s="11"/>
      <c r="D19" s="12" t="s">
        <v>12</v>
      </c>
      <c r="E19" s="12" t="s">
        <v>13</v>
      </c>
      <c r="F19" s="12" t="s">
        <v>14</v>
      </c>
      <c r="G19" s="12" t="s">
        <v>15</v>
      </c>
      <c r="H19" s="12" t="s">
        <v>16</v>
      </c>
      <c r="I19" s="12" t="s">
        <v>17</v>
      </c>
      <c r="J19" s="12" t="s">
        <v>18</v>
      </c>
      <c r="K19" s="12" t="s">
        <v>19</v>
      </c>
      <c r="L19" s="12" t="s">
        <v>20</v>
      </c>
      <c r="M19" s="12" t="s">
        <v>21</v>
      </c>
      <c r="N19" s="12" t="s">
        <v>22</v>
      </c>
      <c r="O19" s="12" t="s">
        <v>23</v>
      </c>
      <c r="P19" s="12" t="s">
        <v>24</v>
      </c>
      <c r="Q19" s="12" t="s">
        <v>25</v>
      </c>
      <c r="R19" s="12" t="s">
        <v>26</v>
      </c>
      <c r="S19" s="12" t="s">
        <v>27</v>
      </c>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row>
    <row r="20" spans="2:98">
      <c r="B20" t="s">
        <v>28</v>
      </c>
      <c r="D20" s="8">
        <f>'[1]AIM SPA - Inputs'!D29</f>
        <v>33162.997000000003</v>
      </c>
      <c r="E20" s="8">
        <f>'[1]AIM SPA - Inputs'!E29</f>
        <v>72951</v>
      </c>
      <c r="F20" s="8">
        <f>'[1]AIM SPA - Inputs'!F29</f>
        <v>8632</v>
      </c>
      <c r="G20" s="8">
        <f>'[1]AIM SPA - Inputs'!G29</f>
        <v>27635</v>
      </c>
      <c r="H20" s="8">
        <f>'[1]AIM SPA - Inputs'!H29</f>
        <v>27831</v>
      </c>
      <c r="I20" s="8">
        <f>'[1]AIM SPA - Inputs'!I29</f>
        <v>15340</v>
      </c>
      <c r="J20" s="8">
        <f>'[1]AIM SPA - Inputs'!J29</f>
        <v>26990.754619999992</v>
      </c>
      <c r="K20" s="8">
        <f>'[1]AIM SPA - Inputs'!K29</f>
        <v>8325.509</v>
      </c>
      <c r="L20" s="8">
        <f>'[1]AIM SPA - Inputs'!L29</f>
        <v>35470.417659999999</v>
      </c>
      <c r="M20" s="8">
        <f>'[1]AIM SPA - Inputs'!M29</f>
        <v>25337</v>
      </c>
      <c r="N20" s="8">
        <f>'[1]AIM SPA - Inputs'!N29</f>
        <v>291865.93942000007</v>
      </c>
      <c r="O20" s="8">
        <f>'[1]AIM SPA - Inputs'!O29</f>
        <v>29064.045499999997</v>
      </c>
      <c r="P20" s="8">
        <f>'[1]AIM SPA - Inputs'!P29</f>
        <v>27054</v>
      </c>
      <c r="Q20" s="8">
        <f>'[1]AIM SPA - Inputs'!Q29</f>
        <v>103734.355</v>
      </c>
      <c r="R20" s="8">
        <f>'[1]AIM SPA - Inputs'!R29</f>
        <v>529065</v>
      </c>
      <c r="S20" s="8">
        <f>'[1]AIM SPA - Inputs'!S29</f>
        <v>147271.85386999999</v>
      </c>
      <c r="T20" s="34"/>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row>
    <row r="21" spans="2:98">
      <c r="B21" t="s">
        <v>29</v>
      </c>
      <c r="D21" s="8">
        <f>'[1]AIM SPA - Inputs'!D30</f>
        <v>169.797</v>
      </c>
      <c r="E21" s="8">
        <f>'[1]AIM SPA - Inputs'!E30</f>
        <v>859</v>
      </c>
      <c r="F21" s="8">
        <f>'[1]AIM SPA - Inputs'!F30</f>
        <v>63</v>
      </c>
      <c r="G21" s="8">
        <f>'[1]AIM SPA - Inputs'!G30</f>
        <v>112</v>
      </c>
      <c r="H21" s="8">
        <f>'[1]AIM SPA - Inputs'!H30</f>
        <v>308</v>
      </c>
      <c r="I21" s="8">
        <f>'[1]AIM SPA - Inputs'!I30</f>
        <v>124</v>
      </c>
      <c r="J21" s="8">
        <f>'[1]AIM SPA - Inputs'!J30</f>
        <v>236.06738000000001</v>
      </c>
      <c r="K21" s="8">
        <f>'[1]AIM SPA - Inputs'!K30</f>
        <v>60</v>
      </c>
      <c r="L21" s="8">
        <f>'[1]AIM SPA - Inputs'!L30</f>
        <v>171</v>
      </c>
      <c r="M21" s="8">
        <f>'[1]AIM SPA - Inputs'!M30</f>
        <v>164</v>
      </c>
      <c r="N21" s="8">
        <f>'[1]AIM SPA - Inputs'!N30</f>
        <v>2010.0115150000001</v>
      </c>
      <c r="O21" s="8">
        <f>'[1]AIM SPA - Inputs'!O30</f>
        <v>5359.9546</v>
      </c>
      <c r="P21" s="8">
        <f>'[1]AIM SPA - Inputs'!P30</f>
        <v>437</v>
      </c>
      <c r="Q21" s="8">
        <f>'[1]AIM SPA - Inputs'!Q30</f>
        <v>449.51900000000001</v>
      </c>
      <c r="R21" s="8">
        <f>'[1]AIM SPA - Inputs'!R30</f>
        <v>5071</v>
      </c>
      <c r="S21" s="8">
        <f>'[1]AIM SPA - Inputs'!S30</f>
        <v>2284.5643799999998</v>
      </c>
      <c r="T21" s="34"/>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row>
    <row r="22" spans="2:98">
      <c r="B22" t="s">
        <v>30</v>
      </c>
      <c r="D22" s="8">
        <f>'[1]AIM SPA - Inputs'!D31</f>
        <v>9726.8340000000007</v>
      </c>
      <c r="E22" s="8">
        <f>'[1]AIM SPA - Inputs'!E31</f>
        <v>20979</v>
      </c>
      <c r="F22" s="8">
        <f>'[1]AIM SPA - Inputs'!F31</f>
        <v>2257</v>
      </c>
      <c r="G22" s="8">
        <f>'[1]AIM SPA - Inputs'!G31</f>
        <v>8729</v>
      </c>
      <c r="H22" s="8">
        <f>'[1]AIM SPA - Inputs'!H31</f>
        <v>4818</v>
      </c>
      <c r="I22" s="8">
        <f>'[1]AIM SPA - Inputs'!I31</f>
        <v>4032</v>
      </c>
      <c r="J22" s="8">
        <f>'[1]AIM SPA - Inputs'!J31</f>
        <v>7324.3069699999996</v>
      </c>
      <c r="K22" s="8">
        <f>'[1]AIM SPA - Inputs'!K31</f>
        <v>2479</v>
      </c>
      <c r="L22" s="8">
        <f>'[1]AIM SPA - Inputs'!L31</f>
        <v>12369.402769999999</v>
      </c>
      <c r="M22" s="8">
        <f>'[1]AIM SPA - Inputs'!M31</f>
        <v>5924</v>
      </c>
      <c r="N22" s="8">
        <f>'[1]AIM SPA - Inputs'!N31</f>
        <v>70937.882310463596</v>
      </c>
      <c r="O22" s="8">
        <f>'[1]AIM SPA - Inputs'!O31</f>
        <v>0</v>
      </c>
      <c r="P22" s="8">
        <f>'[1]AIM SPA - Inputs'!P31</f>
        <v>5208</v>
      </c>
      <c r="Q22" s="8">
        <f>'[1]AIM SPA - Inputs'!Q31</f>
        <v>26374.566999999999</v>
      </c>
      <c r="R22" s="8">
        <f>'[1]AIM SPA - Inputs'!R31</f>
        <v>144726</v>
      </c>
      <c r="S22" s="8">
        <f>'[1]AIM SPA - Inputs'!S31</f>
        <v>44486.802360000001</v>
      </c>
      <c r="T22" s="34"/>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row>
    <row r="23" spans="2:98">
      <c r="B23" s="34" t="s">
        <v>32</v>
      </c>
      <c r="D23" s="8">
        <f>'[1]AIM SPA - Inputs'!D32</f>
        <v>127657.81424323402</v>
      </c>
      <c r="E23" s="8">
        <f>'[1]AIM SPA - Inputs'!E32</f>
        <v>278819</v>
      </c>
      <c r="F23" s="8">
        <f>'[1]AIM SPA - Inputs'!F32</f>
        <v>42857</v>
      </c>
      <c r="G23" s="8">
        <f>'[1]AIM SPA - Inputs'!G32</f>
        <v>113965</v>
      </c>
      <c r="H23" s="8">
        <f>'[1]AIM SPA - Inputs'!H32</f>
        <v>158439</v>
      </c>
      <c r="I23" s="8">
        <f>'[1]AIM SPA - Inputs'!I32</f>
        <v>56516</v>
      </c>
      <c r="J23" s="8">
        <f>'[1]AIM SPA - Inputs'!J32</f>
        <v>96926.546310644975</v>
      </c>
      <c r="K23" s="8">
        <f>'[1]AIM SPA - Inputs'!K32</f>
        <v>27046.149182690173</v>
      </c>
      <c r="L23" s="8">
        <f>'[1]AIM SPA - Inputs'!L32</f>
        <v>149225.17999136192</v>
      </c>
      <c r="M23" s="8">
        <f>'[1]AIM SPA - Inputs'!M32</f>
        <v>131086</v>
      </c>
      <c r="N23" s="8">
        <f>'[1]AIM SPA - Inputs'!N32</f>
        <v>1275729</v>
      </c>
      <c r="O23" s="8">
        <f>'[1]AIM SPA - Inputs'!O32</f>
        <v>168425.5917478186</v>
      </c>
      <c r="P23" s="8">
        <f>'[1]AIM SPA - Inputs'!P32</f>
        <v>137423.16468491277</v>
      </c>
      <c r="Q23" s="8">
        <f>'[1]AIM SPA - Inputs'!Q32</f>
        <v>425167.66445999703</v>
      </c>
      <c r="R23" s="8">
        <f>'[1]AIM SPA - Inputs'!R32</f>
        <v>2274933</v>
      </c>
      <c r="S23" s="8">
        <f>'[1]AIM SPA - Inputs'!S32</f>
        <v>528459.12843431695</v>
      </c>
      <c r="T23" s="34"/>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row>
    <row r="24" spans="2:98">
      <c r="B24" s="34" t="s">
        <v>276</v>
      </c>
      <c r="D24" s="8">
        <f>'[1]AIM SPA - Inputs'!D33</f>
        <v>7644.3481344924612</v>
      </c>
      <c r="E24" s="8">
        <f>'[1]AIM SPA - Inputs'!E33</f>
        <v>7786</v>
      </c>
      <c r="F24" s="8">
        <f>'[1]AIM SPA - Inputs'!F33</f>
        <v>2022.9880000000001</v>
      </c>
      <c r="G24" s="8">
        <f>'[1]AIM SPA - Inputs'!G33</f>
        <v>4225</v>
      </c>
      <c r="H24" s="8">
        <f>'[1]AIM SPA - Inputs'!H33</f>
        <v>5894</v>
      </c>
      <c r="I24" s="8">
        <f>'[1]AIM SPA - Inputs'!I33</f>
        <v>2293</v>
      </c>
      <c r="J24" s="8">
        <f>'[1]AIM SPA - Inputs'!J33</f>
        <v>3449.2997150440096</v>
      </c>
      <c r="K24" s="8">
        <f>'[1]AIM SPA - Inputs'!K33</f>
        <v>1084.6002031156527</v>
      </c>
      <c r="L24" s="8">
        <f>'[1]AIM SPA - Inputs'!L33</f>
        <v>6387.6247468541751</v>
      </c>
      <c r="M24" s="8">
        <f>'[1]AIM SPA - Inputs'!M33</f>
        <v>6279</v>
      </c>
      <c r="N24" s="8">
        <f>'[1]AIM SPA - Inputs'!N33</f>
        <v>52422</v>
      </c>
      <c r="O24" s="8">
        <f>'[1]AIM SPA - Inputs'!O33</f>
        <v>5635.3221811466228</v>
      </c>
      <c r="P24" s="8">
        <f>'[1]AIM SPA - Inputs'!P33</f>
        <v>5234</v>
      </c>
      <c r="Q24" s="8">
        <f>'[1]AIM SPA - Inputs'!Q33</f>
        <v>16299.4722399277</v>
      </c>
      <c r="R24" s="8">
        <f>'[1]AIM SPA - Inputs'!R33</f>
        <v>76603</v>
      </c>
      <c r="S24" s="8">
        <f>'[1]AIM SPA - Inputs'!S33</f>
        <v>25343.756747688079</v>
      </c>
      <c r="T24" s="34"/>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row>
    <row r="25" spans="2:98">
      <c r="B25" t="s">
        <v>33</v>
      </c>
      <c r="D25" s="8">
        <f>'[1]AIM SPA - Inputs'!D34</f>
        <v>53.023000000000003</v>
      </c>
      <c r="E25" s="8">
        <f>'[1]AIM SPA - Inputs'!E34</f>
        <v>452</v>
      </c>
      <c r="F25" s="8">
        <f>'[1]AIM SPA - Inputs'!F34</f>
        <v>0</v>
      </c>
      <c r="G25" s="8">
        <f>'[1]AIM SPA - Inputs'!G34</f>
        <v>259</v>
      </c>
      <c r="H25" s="8">
        <f>'[1]AIM SPA - Inputs'!H34</f>
        <v>0</v>
      </c>
      <c r="I25" s="8">
        <f>'[1]AIM SPA - Inputs'!I34</f>
        <v>25</v>
      </c>
      <c r="J25" s="8">
        <f>'[1]AIM SPA - Inputs'!J34</f>
        <v>71.185678717912296</v>
      </c>
      <c r="K25" s="8">
        <f>'[1]AIM SPA - Inputs'!K34</f>
        <v>0</v>
      </c>
      <c r="L25" s="8">
        <f>'[1]AIM SPA - Inputs'!L34</f>
        <v>0</v>
      </c>
      <c r="M25" s="8">
        <f>'[1]AIM SPA - Inputs'!M34</f>
        <v>0</v>
      </c>
      <c r="N25" s="8">
        <f>'[1]AIM SPA - Inputs'!N34</f>
        <v>11055</v>
      </c>
      <c r="O25" s="8">
        <f>'[1]AIM SPA - Inputs'!O34</f>
        <v>168.12794537129605</v>
      </c>
      <c r="P25" s="8">
        <f>'[1]AIM SPA - Inputs'!P34</f>
        <v>29</v>
      </c>
      <c r="Q25" s="8">
        <f>'[1]AIM SPA - Inputs'!Q34</f>
        <v>871.83328869499996</v>
      </c>
      <c r="R25" s="8">
        <f>'[1]AIM SPA - Inputs'!R34</f>
        <v>8957</v>
      </c>
      <c r="S25" s="8">
        <f>'[1]AIM SPA - Inputs'!S34</f>
        <v>17</v>
      </c>
      <c r="T25" s="34"/>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row>
    <row r="26" spans="2:98">
      <c r="B26" t="s">
        <v>34</v>
      </c>
      <c r="D26" s="8">
        <f>'[1]AIM SPA - Inputs'!D35</f>
        <v>0</v>
      </c>
      <c r="E26" s="8">
        <f>'[1]AIM SPA - Inputs'!E35</f>
        <v>0</v>
      </c>
      <c r="F26" s="8">
        <f>'[1]AIM SPA - Inputs'!F35</f>
        <v>772</v>
      </c>
      <c r="G26" s="8">
        <f>'[1]AIM SPA - Inputs'!G35</f>
        <v>0</v>
      </c>
      <c r="H26" s="8">
        <f>'[1]AIM SPA - Inputs'!H35</f>
        <v>3021</v>
      </c>
      <c r="I26" s="8">
        <f>'[1]AIM SPA - Inputs'!I35</f>
        <v>0</v>
      </c>
      <c r="J26" s="8">
        <f>'[1]AIM SPA - Inputs'!J35</f>
        <v>0</v>
      </c>
      <c r="K26" s="8">
        <f>'[1]AIM SPA - Inputs'!K35</f>
        <v>0</v>
      </c>
      <c r="L26" s="8">
        <f>'[1]AIM SPA - Inputs'!L35</f>
        <v>6080.5233600000001</v>
      </c>
      <c r="M26" s="8">
        <f>'[1]AIM SPA - Inputs'!M35</f>
        <v>0</v>
      </c>
      <c r="N26" s="8">
        <f>'[1]AIM SPA - Inputs'!N35</f>
        <v>0</v>
      </c>
      <c r="O26" s="8">
        <f>'[1]AIM SPA - Inputs'!O35</f>
        <v>0</v>
      </c>
      <c r="P26" s="8">
        <f>'[1]AIM SPA - Inputs'!P35</f>
        <v>0</v>
      </c>
      <c r="Q26" s="8">
        <f>'[1]AIM SPA - Inputs'!Q35</f>
        <v>0</v>
      </c>
      <c r="R26" s="8">
        <f>'[1]AIM SPA - Inputs'!R35</f>
        <v>0</v>
      </c>
      <c r="S26" s="8">
        <f>'[1]AIM SPA - Inputs'!S35</f>
        <v>0</v>
      </c>
      <c r="T26" s="34"/>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row>
    <row r="27" spans="2:98">
      <c r="B27" t="s">
        <v>35</v>
      </c>
      <c r="D27" s="8">
        <f>'[1]AIM SPA - Inputs'!D36</f>
        <v>6432</v>
      </c>
      <c r="E27" s="8">
        <f>'[1]AIM SPA - Inputs'!E36</f>
        <v>13769</v>
      </c>
      <c r="F27" s="8">
        <f>'[1]AIM SPA - Inputs'!F36</f>
        <v>1623</v>
      </c>
      <c r="G27" s="8">
        <f>'[1]AIM SPA - Inputs'!G36</f>
        <v>5625</v>
      </c>
      <c r="H27" s="8">
        <f>'[1]AIM SPA - Inputs'!H36</f>
        <v>7099</v>
      </c>
      <c r="I27" s="8">
        <f>'[1]AIM SPA - Inputs'!I36</f>
        <v>2348</v>
      </c>
      <c r="J27" s="8">
        <f>'[1]AIM SPA - Inputs'!J36</f>
        <v>2561.6080000000002</v>
      </c>
      <c r="K27" s="8">
        <f>'[1]AIM SPA - Inputs'!K36</f>
        <v>608</v>
      </c>
      <c r="L27" s="8">
        <f>'[1]AIM SPA - Inputs'!L36</f>
        <v>3793.4187615999958</v>
      </c>
      <c r="M27" s="8">
        <f>'[1]AIM SPA - Inputs'!M36</f>
        <v>7144</v>
      </c>
      <c r="N27" s="8">
        <f>'[1]AIM SPA - Inputs'!N36</f>
        <v>59202</v>
      </c>
      <c r="O27" s="8">
        <f>'[1]AIM SPA - Inputs'!O36</f>
        <v>4851.8784151308691</v>
      </c>
      <c r="P27" s="8">
        <f>'[1]AIM SPA - Inputs'!P36</f>
        <v>3774</v>
      </c>
      <c r="Q27" s="8">
        <f>'[1]AIM SPA - Inputs'!Q36</f>
        <v>23479</v>
      </c>
      <c r="R27" s="8">
        <f>'[1]AIM SPA - Inputs'!R36</f>
        <v>82690</v>
      </c>
      <c r="S27" s="8">
        <f>'[1]AIM SPA - Inputs'!S36</f>
        <v>34488.45398000002</v>
      </c>
      <c r="T27" s="34"/>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row>
    <row r="28" spans="2:98" s="34" customFormat="1">
      <c r="B28" s="34" t="s">
        <v>282</v>
      </c>
      <c r="D28" s="8">
        <f>'[1]AIM SPA - Inputs'!D37</f>
        <v>60952</v>
      </c>
      <c r="E28" s="8">
        <f>'[1]AIM SPA - Inputs'!E37</f>
        <v>150682</v>
      </c>
      <c r="F28" s="8">
        <f>'[1]AIM SPA - Inputs'!F37</f>
        <v>16845.659</v>
      </c>
      <c r="G28" s="8">
        <f>'[1]AIM SPA - Inputs'!G37</f>
        <v>58604</v>
      </c>
      <c r="H28" s="8">
        <f>'[1]AIM SPA - Inputs'!H37</f>
        <v>72983</v>
      </c>
      <c r="I28" s="8">
        <f>'[1]AIM SPA - Inputs'!I37</f>
        <v>22665</v>
      </c>
      <c r="J28" s="8">
        <f>'[1]AIM SPA - Inputs'!J37</f>
        <v>22714.435600000001</v>
      </c>
      <c r="K28" s="8">
        <f>'[1]AIM SPA - Inputs'!K37</f>
        <v>6448</v>
      </c>
      <c r="L28" s="8">
        <f>'[1]AIM SPA - Inputs'!L37</f>
        <v>41922.555983600039</v>
      </c>
      <c r="M28" s="8">
        <f>'[1]AIM SPA - Inputs'!M37</f>
        <v>88066</v>
      </c>
      <c r="N28" s="8">
        <f>'[1]AIM SPA - Inputs'!N37</f>
        <v>930383</v>
      </c>
      <c r="O28" s="8">
        <f>'[1]AIM SPA - Inputs'!O37</f>
        <v>39460.43495739979</v>
      </c>
      <c r="P28" s="8">
        <f>'[1]AIM SPA - Inputs'!P37</f>
        <v>45374</v>
      </c>
      <c r="Q28" s="8">
        <f>'[1]AIM SPA - Inputs'!Q37</f>
        <v>268092.72069799999</v>
      </c>
      <c r="R28" s="8">
        <f>'[1]AIM SPA - Inputs'!R37</f>
        <v>847206</v>
      </c>
      <c r="S28" s="8">
        <f>'[1]AIM SPA - Inputs'!S37</f>
        <v>394459.92603999993</v>
      </c>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row>
    <row r="29" spans="2:98">
      <c r="B29" s="34" t="s">
        <v>281</v>
      </c>
      <c r="D29" s="8">
        <f>'[1]AIM SPA - Inputs'!D38</f>
        <v>34.249324233102719</v>
      </c>
      <c r="E29" s="8">
        <f>'[1]AIM SPA - Inputs'!E38</f>
        <v>26.99</v>
      </c>
      <c r="F29" s="8">
        <f>'[1]AIM SPA - Inputs'!F38</f>
        <v>26.827782749565365</v>
      </c>
      <c r="G29" s="8">
        <f>'[1]AIM SPA - Inputs'!G38</f>
        <v>34</v>
      </c>
      <c r="H29" s="8">
        <f>'[1]AIM SPA - Inputs'!H38</f>
        <v>34.266512471402784</v>
      </c>
      <c r="I29" s="8">
        <f>'[1]AIM SPA - Inputs'!I38</f>
        <v>24</v>
      </c>
      <c r="J29" s="8">
        <f>'[1]AIM SPA - Inputs'!J38</f>
        <v>24.012771452138832</v>
      </c>
      <c r="K29" s="8">
        <f>'[1]AIM SPA - Inputs'!K38</f>
        <v>31.242014055559167</v>
      </c>
      <c r="L29" s="8">
        <f>'[1]AIM SPA - Inputs'!L38</f>
        <v>32.956331175965794</v>
      </c>
      <c r="M29" s="8">
        <f>'[1]AIM SPA - Inputs'!M38</f>
        <v>22.41</v>
      </c>
      <c r="N29" s="8">
        <f>'[1]AIM SPA - Inputs'!N38</f>
        <v>26</v>
      </c>
      <c r="O29" s="8">
        <f>'[1]AIM SPA - Inputs'!O38</f>
        <v>13.914429999999996</v>
      </c>
      <c r="P29" s="8">
        <f>'[1]AIM SPA - Inputs'!P38</f>
        <v>26</v>
      </c>
      <c r="Q29" s="8">
        <f>'[1]AIM SPA - Inputs'!Q38</f>
        <v>27.63</v>
      </c>
      <c r="R29" s="8">
        <f>'[1]AIM SPA - Inputs'!R38</f>
        <v>39.85</v>
      </c>
      <c r="S29" s="8">
        <f>'[1]AIM SPA - Inputs'!S38</f>
        <v>24</v>
      </c>
      <c r="T29" s="34"/>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row>
    <row r="30" spans="2:98">
      <c r="B30" s="143" t="s">
        <v>98</v>
      </c>
      <c r="D30" s="8">
        <f>'[1]AIM SPA - Inputs'!D39</f>
        <v>0</v>
      </c>
      <c r="E30" s="8">
        <f>'[1]AIM SPA - Inputs'!E39</f>
        <v>9.5059008825002653</v>
      </c>
      <c r="F30" s="8">
        <f>'[1]AIM SPA - Inputs'!F39</f>
        <v>0</v>
      </c>
      <c r="G30" s="8">
        <f>'[1]AIM SPA - Inputs'!G39</f>
        <v>0</v>
      </c>
      <c r="H30" s="8">
        <f>'[1]AIM SPA - Inputs'!H39</f>
        <v>0</v>
      </c>
      <c r="I30" s="8">
        <f>'[1]AIM SPA - Inputs'!I39</f>
        <v>0</v>
      </c>
      <c r="J30" s="8">
        <f>'[1]AIM SPA - Inputs'!J39</f>
        <v>0</v>
      </c>
      <c r="K30" s="8">
        <f>'[1]AIM SPA - Inputs'!K39</f>
        <v>0</v>
      </c>
      <c r="L30" s="8">
        <f>'[1]AIM SPA - Inputs'!L39</f>
        <v>0</v>
      </c>
      <c r="M30" s="8">
        <f>'[1]AIM SPA - Inputs'!M39</f>
        <v>0</v>
      </c>
      <c r="N30" s="8">
        <f>'[1]AIM SPA - Inputs'!N39</f>
        <v>-10.039366107301596</v>
      </c>
      <c r="O30" s="8">
        <f>'[1]AIM SPA - Inputs'!O39</f>
        <v>-1.651543680297396</v>
      </c>
      <c r="P30" s="8">
        <f>'[1]AIM SPA - Inputs'!P39</f>
        <v>0</v>
      </c>
      <c r="Q30" s="8">
        <f>'[1]AIM SPA - Inputs'!Q39</f>
        <v>0</v>
      </c>
      <c r="R30" s="8">
        <f>'[1]AIM SPA - Inputs'!R39</f>
        <v>478.96003197862365</v>
      </c>
      <c r="S30" s="8">
        <f>'[1]AIM SPA - Inputs'!S39</f>
        <v>0</v>
      </c>
      <c r="T30" s="34"/>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row>
    <row r="31" spans="2:98" s="34" customFormat="1">
      <c r="B31" s="143" t="s">
        <v>356</v>
      </c>
      <c r="D31" s="8">
        <f>[2]Main!C7</f>
        <v>3.2290000000000001</v>
      </c>
      <c r="E31" s="8">
        <f>[2]Main!D7</f>
        <v>598</v>
      </c>
      <c r="F31" s="8">
        <f>[2]Main!E7</f>
        <v>238.18700000000001</v>
      </c>
      <c r="G31" s="8">
        <f>[2]Main!F7</f>
        <v>770</v>
      </c>
      <c r="H31" s="8">
        <f>[2]Main!G7</f>
        <v>409</v>
      </c>
      <c r="I31" s="8">
        <f>[2]Main!H7</f>
        <v>86</v>
      </c>
      <c r="J31" s="8">
        <f>[2]Main!I7</f>
        <v>179.54264999999998</v>
      </c>
      <c r="K31" s="8">
        <f>[2]Main!J7</f>
        <v>0</v>
      </c>
      <c r="L31" s="8">
        <f>[2]Main!K7</f>
        <v>278.37527999999998</v>
      </c>
      <c r="M31" s="8">
        <f>[2]Main!L7</f>
        <v>317</v>
      </c>
      <c r="N31" s="8">
        <f>[2]Main!M7</f>
        <v>116.02423579999999</v>
      </c>
      <c r="O31" s="8">
        <f>[2]Main!N7</f>
        <v>0</v>
      </c>
      <c r="P31" s="8">
        <f>[2]Main!O7</f>
        <v>0</v>
      </c>
      <c r="Q31" s="8">
        <f>[2]Main!P7</f>
        <v>451.71499999999997</v>
      </c>
      <c r="R31" s="8">
        <f>[2]Main!Q7</f>
        <v>13124</v>
      </c>
      <c r="S31" s="8">
        <f>[2]Main!R7</f>
        <v>469.16094000000038</v>
      </c>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row>
    <row r="32" spans="2:98" s="34" customFormat="1">
      <c r="B32" s="143" t="s">
        <v>355</v>
      </c>
      <c r="D32" s="8">
        <f>'[1]AIM SPA - Inputs'!D42</f>
        <v>10160.846</v>
      </c>
      <c r="E32" s="8">
        <f>'[1]AIM SPA - Inputs'!E42</f>
        <v>19106</v>
      </c>
      <c r="F32" s="8">
        <f>'[1]AIM SPA - Inputs'!F42</f>
        <v>2559</v>
      </c>
      <c r="G32" s="8">
        <f>'[1]AIM SPA - Inputs'!G42</f>
        <v>5979</v>
      </c>
      <c r="H32" s="8">
        <f>'[1]AIM SPA - Inputs'!H42</f>
        <v>6009</v>
      </c>
      <c r="I32" s="8">
        <f>'[1]AIM SPA - Inputs'!I42</f>
        <v>4402</v>
      </c>
      <c r="J32" s="8">
        <f>'[1]AIM SPA - Inputs'!J42</f>
        <v>6609.8113000000012</v>
      </c>
      <c r="K32" s="8">
        <f>'[1]AIM SPA - Inputs'!K42</f>
        <v>2092.9300000000003</v>
      </c>
      <c r="L32" s="8">
        <f>'[1]AIM SPA - Inputs'!L42</f>
        <v>7258.5558799999999</v>
      </c>
      <c r="M32" s="8">
        <f>'[1]AIM SPA - Inputs'!M42</f>
        <v>4855</v>
      </c>
      <c r="N32" s="8">
        <f>'[1]AIM SPA - Inputs'!N42</f>
        <v>65350.154551183638</v>
      </c>
      <c r="O32" s="8">
        <f>'[1]AIM SPA - Inputs'!O42</f>
        <v>8265.6569168820151</v>
      </c>
      <c r="P32" s="8">
        <f>'[1]AIM SPA - Inputs'!P42</f>
        <v>11132.692409059506</v>
      </c>
      <c r="Q32" s="8">
        <f>'[1]AIM SPA - Inputs'!Q42</f>
        <v>26102.297999999999</v>
      </c>
      <c r="R32" s="8">
        <f>'[1]AIM SPA - Inputs'!R42</f>
        <v>102194</v>
      </c>
      <c r="S32" s="8">
        <f>'[1]AIM SPA - Inputs'!S42</f>
        <v>28899.090320000003</v>
      </c>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row>
    <row r="33" spans="2:98" s="34" customFormat="1">
      <c r="B33" s="34" t="s">
        <v>234</v>
      </c>
      <c r="D33" s="8">
        <f>'[1]AIM SPA - Inputs'!D43</f>
        <v>6.1865778081198419</v>
      </c>
      <c r="E33" s="8">
        <f>'[1]AIM SPA - Inputs'!E43</f>
        <v>601.36555605184185</v>
      </c>
      <c r="F33" s="8">
        <f>'[1]AIM SPA - Inputs'!F43</f>
        <v>23.558760919341299</v>
      </c>
      <c r="G33" s="8">
        <f>'[1]AIM SPA - Inputs'!G43</f>
        <v>367.85431128559418</v>
      </c>
      <c r="H33" s="8">
        <f>'[1]AIM SPA - Inputs'!H43</f>
        <v>446.21476147772501</v>
      </c>
      <c r="I33" s="8">
        <f>'[1]AIM SPA - Inputs'!I43</f>
        <v>85.332655930474175</v>
      </c>
      <c r="J33" s="8">
        <f>'[1]AIM SPA - Inputs'!J43</f>
        <v>103.27388907865001</v>
      </c>
      <c r="K33" s="8">
        <f>'[1]AIM SPA - Inputs'!K43</f>
        <v>0</v>
      </c>
      <c r="L33" s="8">
        <f>'[1]AIM SPA - Inputs'!L43</f>
        <v>288.34864584099455</v>
      </c>
      <c r="M33" s="8">
        <f>'[1]AIM SPA - Inputs'!M43</f>
        <v>304.0805752321744</v>
      </c>
      <c r="N33" s="8">
        <f>'[1]AIM SPA - Inputs'!N43</f>
        <v>77.67070145448487</v>
      </c>
      <c r="O33" s="8">
        <f>'[1]AIM SPA - Inputs'!O43</f>
        <v>42.936383973436293</v>
      </c>
      <c r="P33" s="8">
        <f>'[1]AIM SPA - Inputs'!P43</f>
        <v>0</v>
      </c>
      <c r="Q33" s="8">
        <f>'[1]AIM SPA - Inputs'!Q43</f>
        <v>276.78451291306197</v>
      </c>
      <c r="R33" s="8">
        <f>'[1]AIM SPA - Inputs'!R43</f>
        <v>10557.887455630274</v>
      </c>
      <c r="S33" s="8">
        <f>'[1]AIM SPA - Inputs'!S43</f>
        <v>438.91760055736785</v>
      </c>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row>
    <row r="34" spans="2:98" s="149" customFormat="1">
      <c r="B34" s="149" t="s">
        <v>343</v>
      </c>
      <c r="D34" s="97">
        <v>-0.15</v>
      </c>
      <c r="E34" s="97">
        <v>0</v>
      </c>
      <c r="F34" s="97">
        <v>-0.15</v>
      </c>
      <c r="G34" s="97">
        <v>0</v>
      </c>
      <c r="H34" s="97">
        <v>0</v>
      </c>
      <c r="I34" s="97">
        <v>0</v>
      </c>
      <c r="J34" s="97">
        <v>0</v>
      </c>
      <c r="K34" s="97">
        <v>0</v>
      </c>
      <c r="L34" s="97">
        <v>0</v>
      </c>
      <c r="M34" s="97">
        <v>-0.11</v>
      </c>
      <c r="N34" s="97">
        <v>0</v>
      </c>
      <c r="O34" s="97">
        <v>-0.15</v>
      </c>
      <c r="P34" s="97">
        <v>-0.15</v>
      </c>
      <c r="Q34" s="97">
        <v>0</v>
      </c>
      <c r="R34" s="97">
        <v>0</v>
      </c>
      <c r="S34" s="97">
        <v>0</v>
      </c>
    </row>
    <row r="35" spans="2:98" s="217" customFormat="1">
      <c r="D35" s="225"/>
      <c r="E35" s="225"/>
      <c r="F35" s="225"/>
      <c r="G35" s="225"/>
      <c r="H35" s="225"/>
      <c r="I35" s="225"/>
      <c r="J35" s="225"/>
      <c r="K35" s="225"/>
      <c r="L35" s="225"/>
      <c r="M35" s="225"/>
      <c r="N35" s="225"/>
      <c r="O35" s="225"/>
      <c r="P35" s="225"/>
      <c r="Q35" s="225"/>
      <c r="R35" s="225"/>
      <c r="S35" s="225"/>
    </row>
    <row r="36" spans="2:98" ht="71.25">
      <c r="B36" s="151" t="s">
        <v>333</v>
      </c>
      <c r="C36"/>
      <c r="D36" s="12" t="str">
        <f>Inputs!D19</f>
        <v xml:space="preserve">Alpine Energy </v>
      </c>
      <c r="E36" s="12" t="str">
        <f>Inputs!E19</f>
        <v>Aurora Energy</v>
      </c>
      <c r="F36" s="12" t="str">
        <f>Inputs!F19</f>
        <v xml:space="preserve">Centralines </v>
      </c>
      <c r="G36" s="12" t="str">
        <f>Inputs!G19</f>
        <v xml:space="preserve">Eastland </v>
      </c>
      <c r="H36" s="12" t="str">
        <f>Inputs!H19</f>
        <v>Electricity Ashburton</v>
      </c>
      <c r="I36" s="12" t="str">
        <f>Inputs!I19</f>
        <v>Electricity Invercargill</v>
      </c>
      <c r="J36" s="12" t="str">
        <f>Inputs!J19</f>
        <v xml:space="preserve">Horizon Energy </v>
      </c>
      <c r="K36" s="12" t="str">
        <f>Inputs!K19</f>
        <v xml:space="preserve">Nelson Electricity </v>
      </c>
      <c r="L36" s="12" t="str">
        <f>Inputs!L19</f>
        <v xml:space="preserve">Network Tasman </v>
      </c>
      <c r="M36" s="12" t="str">
        <f>Inputs!M19</f>
        <v xml:space="preserve">OtagoNet </v>
      </c>
      <c r="N36" s="12" t="str">
        <f>Inputs!N19</f>
        <v xml:space="preserve">Powerco </v>
      </c>
      <c r="O36" s="12" t="str">
        <f>Inputs!O19</f>
        <v>The Lines Company</v>
      </c>
      <c r="P36" s="12" t="str">
        <f>Inputs!P19</f>
        <v xml:space="preserve">Top Energy </v>
      </c>
      <c r="Q36" s="12" t="str">
        <f>Inputs!Q19</f>
        <v xml:space="preserve">Unison </v>
      </c>
      <c r="R36" s="12" t="str">
        <f>Inputs!R19</f>
        <v xml:space="preserve">Vector </v>
      </c>
      <c r="S36" s="12" t="str">
        <f>Inputs!S19</f>
        <v xml:space="preserve">Wellington Electricity </v>
      </c>
      <c r="T36" s="34"/>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row>
    <row r="37" spans="2:98">
      <c r="B37" s="33" t="s">
        <v>427</v>
      </c>
      <c r="C37"/>
      <c r="D37" s="8">
        <f>[3]Output!B14</f>
        <v>10572.036549673365</v>
      </c>
      <c r="E37" s="8">
        <f>[3]Output!C14</f>
        <v>19891.659413721864</v>
      </c>
      <c r="F37" s="8">
        <f>[3]Output!D14</f>
        <v>2650.2954923736065</v>
      </c>
      <c r="G37" s="8">
        <f>[3]Output!E14</f>
        <v>6141.2910984299133</v>
      </c>
      <c r="H37" s="8">
        <f>[3]Output!F14</f>
        <v>6203.1321605401299</v>
      </c>
      <c r="I37" s="8">
        <f>[3]Output!G14</f>
        <v>4490.1242661749829</v>
      </c>
      <c r="J37" s="8">
        <f>[3]Output!H14</f>
        <v>6776.4391822280313</v>
      </c>
      <c r="K37" s="8">
        <f>[3]Output!I14</f>
        <v>2160.1682791294652</v>
      </c>
      <c r="L37" s="8">
        <f>[3]Output!J14</f>
        <v>7484.3299427154088</v>
      </c>
      <c r="M37" s="8">
        <f>[3]Output!K14</f>
        <v>4990.9326075642084</v>
      </c>
      <c r="N37" s="8">
        <f>[3]Output!L14</f>
        <v>67292.071282502759</v>
      </c>
      <c r="O37" s="8">
        <f>[3]Output!M14</f>
        <v>8510.6887582750405</v>
      </c>
      <c r="P37" s="8">
        <f>[3]Output!N14</f>
        <v>11471.952806665466</v>
      </c>
      <c r="Q37" s="8">
        <f>[3]Output!O14</f>
        <v>26634.800824492308</v>
      </c>
      <c r="R37" s="8">
        <f>[3]Output!P14</f>
        <v>105512.33161010731</v>
      </c>
      <c r="S37" s="8">
        <f>[3]Output!Q14</f>
        <v>29685.821539852124</v>
      </c>
      <c r="T37" s="34"/>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row>
    <row r="38" spans="2:98">
      <c r="B38" s="33" t="s">
        <v>428</v>
      </c>
      <c r="C38"/>
      <c r="D38" s="8">
        <f>[3]Output!B15</f>
        <v>10971.408348292531</v>
      </c>
      <c r="E38" s="8">
        <f>[3]Output!C15</f>
        <v>20597.478172211682</v>
      </c>
      <c r="F38" s="8">
        <f>[3]Output!D15</f>
        <v>2745.0028593141055</v>
      </c>
      <c r="G38" s="8">
        <f>[3]Output!E15</f>
        <v>6293.2100207806789</v>
      </c>
      <c r="H38" s="8">
        <f>[3]Output!F15</f>
        <v>6457.5707116271751</v>
      </c>
      <c r="I38" s="8">
        <f>[3]Output!G15</f>
        <v>4596.6228668505701</v>
      </c>
      <c r="J38" s="8">
        <f>[3]Output!H15</f>
        <v>6972.2674995273801</v>
      </c>
      <c r="K38" s="8">
        <f>[3]Output!I15</f>
        <v>2258.5534185409369</v>
      </c>
      <c r="L38" s="8">
        <f>[3]Output!J15</f>
        <v>7734.4514747602188</v>
      </c>
      <c r="M38" s="8">
        <f>[3]Output!K15</f>
        <v>5149.4058387456189</v>
      </c>
      <c r="N38" s="8">
        <f>[3]Output!L15</f>
        <v>69484.923650591532</v>
      </c>
      <c r="O38" s="8">
        <f>[3]Output!M15</f>
        <v>8766.1873986952887</v>
      </c>
      <c r="P38" s="8">
        <f>[3]Output!N15</f>
        <v>11847.434938917511</v>
      </c>
      <c r="Q38" s="8">
        <f>[3]Output!O15</f>
        <v>27506.707306543209</v>
      </c>
      <c r="R38" s="8">
        <f>[3]Output!P15</f>
        <v>109789.38825216993</v>
      </c>
      <c r="S38" s="8">
        <f>[3]Output!Q15</f>
        <v>30967.026860982642</v>
      </c>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row>
    <row r="39" spans="2:98">
      <c r="B39" s="33" t="s">
        <v>429</v>
      </c>
      <c r="C39"/>
      <c r="D39" s="8">
        <f>[3]Output!B16</f>
        <v>11354.262142038775</v>
      </c>
      <c r="E39" s="8">
        <f>[3]Output!C16</f>
        <v>21328.462699784573</v>
      </c>
      <c r="F39" s="8">
        <f>[3]Output!D16</f>
        <v>2853.8675330171586</v>
      </c>
      <c r="G39" s="8">
        <f>[3]Output!E16</f>
        <v>6443.4531760480322</v>
      </c>
      <c r="H39" s="8">
        <f>[3]Output!F16</f>
        <v>6694.9344069643321</v>
      </c>
      <c r="I39" s="8">
        <f>[3]Output!G16</f>
        <v>4695.3299964435855</v>
      </c>
      <c r="J39" s="8">
        <f>[3]Output!H16</f>
        <v>7132.7051871942531</v>
      </c>
      <c r="K39" s="8">
        <f>[3]Output!I16</f>
        <v>2333.9574369645511</v>
      </c>
      <c r="L39" s="8">
        <f>[3]Output!J16</f>
        <v>7972.9790268414881</v>
      </c>
      <c r="M39" s="8">
        <f>[3]Output!K16</f>
        <v>5283.6425668126813</v>
      </c>
      <c r="N39" s="8">
        <f>[3]Output!L16</f>
        <v>71429.297485812538</v>
      </c>
      <c r="O39" s="8">
        <f>[3]Output!M16</f>
        <v>9008.28553059773</v>
      </c>
      <c r="P39" s="8">
        <f>[3]Output!N16</f>
        <v>12187.309976863842</v>
      </c>
      <c r="Q39" s="8">
        <f>[3]Output!O16</f>
        <v>28755.695541235458</v>
      </c>
      <c r="R39" s="8">
        <f>[3]Output!P16</f>
        <v>113635.01445818858</v>
      </c>
      <c r="S39" s="8">
        <f>[3]Output!Q16</f>
        <v>31948.439870582388</v>
      </c>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row>
    <row r="40" spans="2:98">
      <c r="B40" s="33" t="s">
        <v>430</v>
      </c>
      <c r="C40"/>
      <c r="D40" s="8">
        <f>[3]Output!B17</f>
        <v>11767.370148651833</v>
      </c>
      <c r="E40" s="8">
        <f>[3]Output!C17</f>
        <v>22111.51585626309</v>
      </c>
      <c r="F40" s="8">
        <f>[3]Output!D17</f>
        <v>2955.4071073712107</v>
      </c>
      <c r="G40" s="8">
        <f>[3]Output!E17</f>
        <v>6605.9117602858123</v>
      </c>
      <c r="H40" s="8">
        <f>[3]Output!F17</f>
        <v>6913.6151109891634</v>
      </c>
      <c r="I40" s="8">
        <f>[3]Output!G17</f>
        <v>4791.962000113981</v>
      </c>
      <c r="J40" s="8">
        <f>[3]Output!H17</f>
        <v>7293.537184293551</v>
      </c>
      <c r="K40" s="8">
        <f>[3]Output!I17</f>
        <v>2421.060389412693</v>
      </c>
      <c r="L40" s="8">
        <f>[3]Output!J17</f>
        <v>8214.4114583558749</v>
      </c>
      <c r="M40" s="8">
        <f>[3]Output!K17</f>
        <v>5422.5419919285596</v>
      </c>
      <c r="N40" s="8">
        <f>[3]Output!L17</f>
        <v>73421.724292230138</v>
      </c>
      <c r="O40" s="8">
        <f>[3]Output!M17</f>
        <v>9264.4242256025245</v>
      </c>
      <c r="P40" s="8">
        <f>[3]Output!N17</f>
        <v>12551.230397802448</v>
      </c>
      <c r="Q40" s="8">
        <f>[3]Output!O17</f>
        <v>29512.184230097246</v>
      </c>
      <c r="R40" s="8">
        <f>[3]Output!P17</f>
        <v>117376.25241540952</v>
      </c>
      <c r="S40" s="8">
        <f>[3]Output!Q17</f>
        <v>32974.433634800211</v>
      </c>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row>
    <row r="41" spans="2:98">
      <c r="B41" s="33" t="s">
        <v>431</v>
      </c>
      <c r="C41"/>
      <c r="D41" s="8">
        <f>[3]Output!B18</f>
        <v>12200.430558550508</v>
      </c>
      <c r="E41" s="8">
        <f>[3]Output!C18</f>
        <v>22928.015389831518</v>
      </c>
      <c r="F41" s="8">
        <f>[3]Output!D18</f>
        <v>3058.6629907932675</v>
      </c>
      <c r="G41" s="8">
        <f>[3]Output!E18</f>
        <v>6775.86972251306</v>
      </c>
      <c r="H41" s="8">
        <f>[3]Output!F18</f>
        <v>7152.6297332149634</v>
      </c>
      <c r="I41" s="8">
        <f>[3]Output!G18</f>
        <v>4887.4320341829361</v>
      </c>
      <c r="J41" s="8">
        <f>[3]Output!H18</f>
        <v>7461.6545452404434</v>
      </c>
      <c r="K41" s="8">
        <f>[3]Output!I18</f>
        <v>2494.5688105225036</v>
      </c>
      <c r="L41" s="8">
        <f>[3]Output!J18</f>
        <v>8461.7563853807715</v>
      </c>
      <c r="M41" s="8">
        <f>[3]Output!K18</f>
        <v>5560.0096270061176</v>
      </c>
      <c r="N41" s="8">
        <f>[3]Output!L18</f>
        <v>75572.898016814856</v>
      </c>
      <c r="O41" s="8">
        <f>[3]Output!M18</f>
        <v>9532.1902983299169</v>
      </c>
      <c r="P41" s="8">
        <f>[3]Output!N18</f>
        <v>12931.234335586736</v>
      </c>
      <c r="Q41" s="8">
        <f>[3]Output!O18</f>
        <v>30180.818517551801</v>
      </c>
      <c r="R41" s="8">
        <f>[3]Output!P18</f>
        <v>121268.45135062622</v>
      </c>
      <c r="S41" s="8">
        <f>[3]Output!Q18</f>
        <v>34099.465461563428</v>
      </c>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row>
    <row r="42" spans="2:98">
      <c r="C42"/>
      <c r="L42" s="12"/>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row>
    <row r="43" spans="2:98" ht="18.75">
      <c r="B43" s="151" t="s">
        <v>342</v>
      </c>
      <c r="C43"/>
      <c r="L43" s="12"/>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row>
    <row r="44" spans="2:98">
      <c r="B44" s="33" t="s">
        <v>432</v>
      </c>
      <c r="C44"/>
      <c r="D44" s="142">
        <f>[3]Output!B6</f>
        <v>-1.9358131811653702E-3</v>
      </c>
      <c r="E44" s="142">
        <f>[3]Output!C6</f>
        <v>2.2829016416224663E-2</v>
      </c>
      <c r="F44" s="142">
        <f>[3]Output!D6</f>
        <v>6.1569151502346708E-3</v>
      </c>
      <c r="G44" s="142">
        <f>[3]Output!E6</f>
        <v>6.867196597968939E-3</v>
      </c>
      <c r="H44" s="142">
        <f>[3]Output!F6</f>
        <v>-5.5852530840428804E-3</v>
      </c>
      <c r="I44" s="142">
        <f>[3]Output!G6</f>
        <v>-3.0965104984691911E-3</v>
      </c>
      <c r="J44" s="142">
        <f>[3]Output!H6</f>
        <v>2.7722212322185513E-3</v>
      </c>
      <c r="K44" s="142">
        <f>[3]Output!I6</f>
        <v>9.1251032544817402E-3</v>
      </c>
      <c r="L44" s="142">
        <f>[3]Output!J6</f>
        <v>9.6523513182640262E-3</v>
      </c>
      <c r="M44" s="142">
        <f>[3]Output!K6</f>
        <v>8.9442842320783516E-3</v>
      </c>
      <c r="N44" s="142">
        <f>[3]Output!L6</f>
        <v>4.9951122484641324E-3</v>
      </c>
      <c r="O44" s="142">
        <f>[3]Output!M6</f>
        <v>1.1749948577632382E-3</v>
      </c>
      <c r="P44" s="142">
        <f>[3]Output!N6</f>
        <v>1.1332448368492863E-3</v>
      </c>
      <c r="Q44" s="142">
        <f>[3]Output!O6</f>
        <v>7.2447645028497947E-3</v>
      </c>
      <c r="R44" s="142">
        <f>[3]Output!P6</f>
        <v>1.7928077816185075E-2</v>
      </c>
      <c r="S44" s="142">
        <f>[3]Output!Q6</f>
        <v>2.7180130640251446E-3</v>
      </c>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row>
    <row r="45" spans="2:98">
      <c r="B45" s="33" t="s">
        <v>433</v>
      </c>
      <c r="C45"/>
      <c r="D45" s="142">
        <f>[3]Output!B7</f>
        <v>1.0593420389675642E-2</v>
      </c>
      <c r="E45" s="142">
        <f>[3]Output!C7</f>
        <v>-3.5616863500501056E-2</v>
      </c>
      <c r="F45" s="142">
        <f>[3]Output!D7</f>
        <v>-1.7221490488552354E-2</v>
      </c>
      <c r="G45" s="142">
        <f>[3]Output!E7</f>
        <v>-1.7611340750710937E-2</v>
      </c>
      <c r="H45" s="142">
        <f>[3]Output!F7</f>
        <v>3.0864154091714838E-2</v>
      </c>
      <c r="I45" s="142">
        <f>[3]Output!G7</f>
        <v>-2.1639005428887267E-4</v>
      </c>
      <c r="J45" s="142">
        <f>[3]Output!H7</f>
        <v>-1.2982590241251743E-2</v>
      </c>
      <c r="K45" s="142">
        <f>[3]Output!I7</f>
        <v>-4.736700078992088E-3</v>
      </c>
      <c r="L45" s="142">
        <f>[3]Output!J7</f>
        <v>-3.620324520162678E-3</v>
      </c>
      <c r="M45" s="142">
        <f>[3]Output!K7</f>
        <v>-2.0207764359848047E-2</v>
      </c>
      <c r="N45" s="142">
        <f>[3]Output!L7</f>
        <v>1.7047606429248692E-3</v>
      </c>
      <c r="O45" s="142">
        <f>[3]Output!M7</f>
        <v>-8.0534829636515707E-3</v>
      </c>
      <c r="P45" s="142">
        <f>[3]Output!N7</f>
        <v>2.2074634811314283E-3</v>
      </c>
      <c r="Q45" s="142">
        <f>[3]Output!O7</f>
        <v>-1.2913154271305476E-2</v>
      </c>
      <c r="R45" s="142">
        <f>[3]Output!P7</f>
        <v>1.7232034080132973E-2</v>
      </c>
      <c r="S45" s="142">
        <f>[3]Output!Q7</f>
        <v>1.1376156500903392E-2</v>
      </c>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row>
    <row r="46" spans="2:98">
      <c r="B46" s="33" t="s">
        <v>434</v>
      </c>
      <c r="C46"/>
      <c r="D46" s="142">
        <f>[3]Output!B8</f>
        <v>3.7387962908738233E-3</v>
      </c>
      <c r="E46" s="142">
        <f>[3]Output!C8</f>
        <v>2.3863732238332399E-3</v>
      </c>
      <c r="F46" s="142">
        <f>[3]Output!D8</f>
        <v>1.7777998598412872E-3</v>
      </c>
      <c r="G46" s="142">
        <f>[3]Output!E8</f>
        <v>2.2820106427631727E-3</v>
      </c>
      <c r="H46" s="142">
        <f>[3]Output!F8</f>
        <v>1.0923031324600676E-2</v>
      </c>
      <c r="I46" s="142">
        <f>[3]Output!G8</f>
        <v>4.3463072134527147E-4</v>
      </c>
      <c r="J46" s="142">
        <f>[3]Output!H8</f>
        <v>2.9853809306483628E-3</v>
      </c>
      <c r="K46" s="142">
        <f>[3]Output!I8</f>
        <v>1.2151984029714624E-2</v>
      </c>
      <c r="L46" s="142">
        <f>[3]Output!J8</f>
        <v>1.2550589474205589E-2</v>
      </c>
      <c r="M46" s="142">
        <f>[3]Output!K8</f>
        <v>-1.2522416571907728E-3</v>
      </c>
      <c r="N46" s="142">
        <f>[3]Output!L8</f>
        <v>6.7118735139941078E-3</v>
      </c>
      <c r="O46" s="142">
        <f>[3]Output!M8</f>
        <v>3.3986784083851265E-3</v>
      </c>
      <c r="P46" s="142">
        <f>[3]Output!N8</f>
        <v>4.6761328409900653E-3</v>
      </c>
      <c r="Q46" s="142">
        <f>[3]Output!O8</f>
        <v>4.5546603195417276E-3</v>
      </c>
      <c r="R46" s="142">
        <f>[3]Output!P8</f>
        <v>1.5428493374154801E-2</v>
      </c>
      <c r="S46" s="142">
        <f>[3]Output!Q8</f>
        <v>7.181901300250846E-3</v>
      </c>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row>
    <row r="47" spans="2:98">
      <c r="B47" s="33" t="s">
        <v>435</v>
      </c>
      <c r="C47"/>
      <c r="D47" s="142">
        <f>[3]Output!B9</f>
        <v>4.3442682126310752E-3</v>
      </c>
      <c r="E47" s="142">
        <f>[3]Output!C9</f>
        <v>3.5938071562825582E-3</v>
      </c>
      <c r="F47" s="142">
        <f>[3]Output!D9</f>
        <v>1.5755492378383821E-3</v>
      </c>
      <c r="G47" s="142">
        <f>[3]Output!E9</f>
        <v>2.0702425914689475E-3</v>
      </c>
      <c r="H47" s="142">
        <f>[3]Output!F9</f>
        <v>1.2684439353658374E-2</v>
      </c>
      <c r="I47" s="142">
        <f>[3]Output!G9</f>
        <v>3.8467676369052605E-4</v>
      </c>
      <c r="J47" s="142">
        <f>[3]Output!H9</f>
        <v>3.3843711906939721E-3</v>
      </c>
      <c r="K47" s="142">
        <f>[3]Output!I9</f>
        <v>6.1771497413273908E-3</v>
      </c>
      <c r="L47" s="142">
        <f>[3]Output!J9</f>
        <v>6.8296860109036588E-3</v>
      </c>
      <c r="M47" s="142">
        <f>[3]Output!K9</f>
        <v>-6.4998923631088439E-4</v>
      </c>
      <c r="N47" s="142">
        <f>[3]Output!L9</f>
        <v>5.7396903470496334E-3</v>
      </c>
      <c r="O47" s="142">
        <f>[3]Output!M9</f>
        <v>3.221823687710641E-4</v>
      </c>
      <c r="P47" s="142">
        <f>[3]Output!N9</f>
        <v>3.5536954567734627E-3</v>
      </c>
      <c r="Q47" s="142">
        <f>[3]Output!O9</f>
        <v>4.3112899384150551E-3</v>
      </c>
      <c r="R47" s="142">
        <f>[3]Output!P9</f>
        <v>1.4369317373142673E-2</v>
      </c>
      <c r="S47" s="142">
        <f>[3]Output!Q9</f>
        <v>7.3000442250989051E-3</v>
      </c>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row>
    <row r="48" spans="2:98">
      <c r="B48" s="33" t="s">
        <v>436</v>
      </c>
      <c r="C48"/>
      <c r="D48" s="142">
        <f>[3]Output!B10</f>
        <v>4.5424149240163728E-3</v>
      </c>
      <c r="E48" s="142">
        <f>[3]Output!C10</f>
        <v>4.0024430312851885E-3</v>
      </c>
      <c r="F48" s="142">
        <f>[3]Output!D10</f>
        <v>2.2772942000778263E-3</v>
      </c>
      <c r="G48" s="142">
        <f>[3]Output!E10</f>
        <v>2.8050099889054408E-3</v>
      </c>
      <c r="H48" s="142">
        <f>[3]Output!F10</f>
        <v>1.3260877658761759E-2</v>
      </c>
      <c r="I48" s="142">
        <f>[3]Output!G10</f>
        <v>6.4373160745747661E-4</v>
      </c>
      <c r="J48" s="142">
        <f>[3]Output!H10</f>
        <v>4.0443940394748103E-3</v>
      </c>
      <c r="K48" s="142">
        <f>[3]Output!I10</f>
        <v>7.0185246838569033E-3</v>
      </c>
      <c r="L48" s="142">
        <f>[3]Output!J10</f>
        <v>7.6353024665780844E-3</v>
      </c>
      <c r="M48" s="142">
        <f>[3]Output!K10</f>
        <v>-4.4616694975357376E-4</v>
      </c>
      <c r="N48" s="142">
        <f>[3]Output!L10</f>
        <v>6.0759783130413325E-3</v>
      </c>
      <c r="O48" s="142">
        <f>[3]Output!M10</f>
        <v>8.0343321717298998E-4</v>
      </c>
      <c r="P48" s="142">
        <f>[3]Output!N10</f>
        <v>3.7427897729352096E-3</v>
      </c>
      <c r="Q48" s="142">
        <f>[3]Output!O10</f>
        <v>4.9742770689090851E-3</v>
      </c>
      <c r="R48" s="142">
        <f>[3]Output!P10</f>
        <v>1.476912324876898E-2</v>
      </c>
      <c r="S48" s="142">
        <f>[3]Output!Q10</f>
        <v>7.6118973962612749E-3</v>
      </c>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row>
    <row r="49" spans="1:98">
      <c r="B49" s="33"/>
      <c r="C49" s="34"/>
      <c r="D49" s="37"/>
      <c r="E49" s="37"/>
      <c r="F49" s="37"/>
      <c r="G49" s="37"/>
      <c r="H49" s="37"/>
      <c r="I49" s="37"/>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row>
    <row r="50" spans="1:98" ht="18.75">
      <c r="B50" s="38" t="s">
        <v>124</v>
      </c>
      <c r="C50"/>
      <c r="D50" s="37"/>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row>
    <row r="51" spans="1:98">
      <c r="B51" s="33" t="s">
        <v>437</v>
      </c>
      <c r="C51"/>
      <c r="D51" s="8">
        <f>[3]Output!B22</f>
        <v>11863.404999999999</v>
      </c>
      <c r="E51" s="8">
        <f>[3]Output!C22</f>
        <v>21698</v>
      </c>
      <c r="F51" s="8">
        <f>[3]Output!D22</f>
        <v>5196.4477699999998</v>
      </c>
      <c r="G51" s="8">
        <f>[3]Output!E22</f>
        <v>5000</v>
      </c>
      <c r="H51" s="8">
        <f>[3]Output!F22</f>
        <v>13673</v>
      </c>
      <c r="I51" s="8">
        <f>[3]Output!G22</f>
        <v>2778</v>
      </c>
      <c r="J51" s="8">
        <f>[3]Output!H22</f>
        <v>3547.2054899999953</v>
      </c>
      <c r="K51" s="8">
        <f>[3]Output!I22</f>
        <v>1524.37</v>
      </c>
      <c r="L51" s="8">
        <f>[3]Output!J22</f>
        <v>4090.9649899999999</v>
      </c>
      <c r="M51" s="8">
        <f>[3]Output!K22</f>
        <v>6426</v>
      </c>
      <c r="N51" s="8">
        <f>[3]Output!L22</f>
        <v>82580.928381200007</v>
      </c>
      <c r="O51" s="8">
        <f>[3]Output!M22</f>
        <v>7234</v>
      </c>
      <c r="P51" s="8">
        <f>[3]Output!N22</f>
        <v>8110</v>
      </c>
      <c r="Q51" s="8">
        <f>[3]Output!O22</f>
        <v>36417.770770000003</v>
      </c>
      <c r="R51" s="8">
        <f>[3]Output!P22</f>
        <v>115662</v>
      </c>
      <c r="S51" s="8">
        <f>[3]Output!Q22</f>
        <v>37021.900809999999</v>
      </c>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row>
    <row r="52" spans="1:98">
      <c r="B52" s="33" t="s">
        <v>438</v>
      </c>
      <c r="C52"/>
      <c r="D52" s="8">
        <f>[3]Output!B23</f>
        <v>24124.947971751648</v>
      </c>
      <c r="E52" s="8">
        <f>[3]Output!C23</f>
        <v>23991.643730886852</v>
      </c>
      <c r="F52" s="8">
        <f>[3]Output!D23</f>
        <v>6117.2002286057868</v>
      </c>
      <c r="G52" s="8">
        <f>[3]Output!E23</f>
        <v>5506.8481688049496</v>
      </c>
      <c r="H52" s="8">
        <f>[3]Output!F23</f>
        <v>13327.149412911116</v>
      </c>
      <c r="I52" s="8">
        <f>[3]Output!G23</f>
        <v>4116.0584580038158</v>
      </c>
      <c r="J52" s="8">
        <f>[3]Output!H23</f>
        <v>6384.8714333097014</v>
      </c>
      <c r="K52" s="8">
        <f>[3]Output!I23</f>
        <v>6215.9612810442241</v>
      </c>
      <c r="L52" s="8">
        <f>[3]Output!J23</f>
        <v>8697.5539292101366</v>
      </c>
      <c r="M52" s="8">
        <f>[3]Output!K23</f>
        <v>10627.027745571009</v>
      </c>
      <c r="N52" s="8">
        <f>[3]Output!L23</f>
        <v>87020.03029576737</v>
      </c>
      <c r="O52" s="8">
        <f>[3]Output!M23</f>
        <v>8473.0157223198967</v>
      </c>
      <c r="P52" s="8">
        <f>[3]Output!N23</f>
        <v>15549.171556820065</v>
      </c>
      <c r="Q52" s="8">
        <f>[3]Output!O23</f>
        <v>43246.822270499397</v>
      </c>
      <c r="R52" s="8">
        <f>[3]Output!P23</f>
        <v>138674.79633970806</v>
      </c>
      <c r="S52" s="8">
        <f>[3]Output!Q23</f>
        <v>31216.187224129906</v>
      </c>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row>
    <row r="53" spans="1:98">
      <c r="B53" s="33" t="s">
        <v>439</v>
      </c>
      <c r="C53"/>
      <c r="D53" s="8">
        <f>[3]Output!B24</f>
        <v>22265.089313342458</v>
      </c>
      <c r="E53" s="8">
        <f>[3]Output!C24</f>
        <v>26258.990825688074</v>
      </c>
      <c r="F53" s="8">
        <f>[3]Output!D24</f>
        <v>3469.8176344048338</v>
      </c>
      <c r="G53" s="8">
        <f>[3]Output!E24</f>
        <v>5913.3770206574563</v>
      </c>
      <c r="H53" s="8">
        <f>[3]Output!F24</f>
        <v>16967.952970960723</v>
      </c>
      <c r="I53" s="8">
        <f>[3]Output!G24</f>
        <v>3648.6360515759643</v>
      </c>
      <c r="J53" s="8">
        <f>[3]Output!H24</f>
        <v>6560.6285890806821</v>
      </c>
      <c r="K53" s="8">
        <f>[3]Output!I24</f>
        <v>6391.0160258243131</v>
      </c>
      <c r="L53" s="8">
        <f>[3]Output!J24</f>
        <v>7656.8983850775576</v>
      </c>
      <c r="M53" s="8">
        <f>[3]Output!K24</f>
        <v>10666.110240379299</v>
      </c>
      <c r="N53" s="8">
        <f>[3]Output!L24</f>
        <v>91054.977026101071</v>
      </c>
      <c r="O53" s="8">
        <f>[3]Output!M24</f>
        <v>8052.654852466866</v>
      </c>
      <c r="P53" s="8">
        <f>[3]Output!N24</f>
        <v>17591.777688912756</v>
      </c>
      <c r="Q53" s="8">
        <f>[3]Output!O24</f>
        <v>51812.004939191007</v>
      </c>
      <c r="R53" s="8">
        <f>[3]Output!P24</f>
        <v>151242.20518934392</v>
      </c>
      <c r="S53" s="8">
        <f>[3]Output!Q24</f>
        <v>34529.031148324226</v>
      </c>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row>
    <row r="54" spans="1:98">
      <c r="B54" s="33" t="s">
        <v>440</v>
      </c>
      <c r="C54"/>
      <c r="D54" s="8">
        <f>[3]Output!B25</f>
        <v>29491.695070671394</v>
      </c>
      <c r="E54" s="8">
        <f>[3]Output!C25</f>
        <v>22977.831038428056</v>
      </c>
      <c r="F54" s="8">
        <f>[3]Output!D25</f>
        <v>4280.9032606982018</v>
      </c>
      <c r="G54" s="8">
        <f>[3]Output!E25</f>
        <v>5932.4281807107036</v>
      </c>
      <c r="H54" s="8">
        <f>[3]Output!F25</f>
        <v>10488.661082394203</v>
      </c>
      <c r="I54" s="8">
        <f>[3]Output!G25</f>
        <v>3585.7749891919098</v>
      </c>
      <c r="J54" s="8">
        <f>[3]Output!H25</f>
        <v>6145.0630001375293</v>
      </c>
      <c r="K54" s="8">
        <f>[3]Output!I25</f>
        <v>1914.5304280239588</v>
      </c>
      <c r="L54" s="8">
        <f>[3]Output!J25</f>
        <v>6421.5812734771134</v>
      </c>
      <c r="M54" s="8">
        <f>[3]Output!K25</f>
        <v>11176.57898605604</v>
      </c>
      <c r="N54" s="8">
        <f>[3]Output!L25</f>
        <v>95752.81949977162</v>
      </c>
      <c r="O54" s="8">
        <f>[3]Output!M25</f>
        <v>8513.5401968799943</v>
      </c>
      <c r="P54" s="8">
        <f>[3]Output!N25</f>
        <v>16866.933448347052</v>
      </c>
      <c r="Q54" s="8">
        <f>[3]Output!O25</f>
        <v>47773.372816136514</v>
      </c>
      <c r="R54" s="8">
        <f>[3]Output!P25</f>
        <v>161846.54647854812</v>
      </c>
      <c r="S54" s="8">
        <f>[3]Output!Q25</f>
        <v>37586.697974027076</v>
      </c>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row>
    <row r="55" spans="1:98">
      <c r="B55" s="33" t="s">
        <v>441</v>
      </c>
      <c r="C55"/>
      <c r="D55" s="8">
        <f>[3]Output!B26</f>
        <v>20332.084526793067</v>
      </c>
      <c r="E55" s="8">
        <f>[3]Output!C26</f>
        <v>27042.31697382373</v>
      </c>
      <c r="F55" s="8">
        <f>[3]Output!D26</f>
        <v>3689.0718661015353</v>
      </c>
      <c r="G55" s="8">
        <f>[3]Output!E26</f>
        <v>6010.7389768051007</v>
      </c>
      <c r="H55" s="8">
        <f>[3]Output!F26</f>
        <v>12063.521604394962</v>
      </c>
      <c r="I55" s="8">
        <f>[3]Output!G26</f>
        <v>3236.9733497915777</v>
      </c>
      <c r="J55" s="8">
        <f>[3]Output!H26</f>
        <v>4895.2837713115132</v>
      </c>
      <c r="K55" s="8">
        <f>[3]Output!I26</f>
        <v>1569.2003166638272</v>
      </c>
      <c r="L55" s="8">
        <f>[3]Output!J26</f>
        <v>5671.6501682890885</v>
      </c>
      <c r="M55" s="8">
        <f>[3]Output!K26</f>
        <v>11160.321156208976</v>
      </c>
      <c r="N55" s="8">
        <f>[3]Output!L26</f>
        <v>99022.318872687902</v>
      </c>
      <c r="O55" s="8">
        <f>[3]Output!M26</f>
        <v>9125.2203049891577</v>
      </c>
      <c r="P55" s="8">
        <f>[3]Output!N26</f>
        <v>16715.530513329184</v>
      </c>
      <c r="Q55" s="8">
        <f>[3]Output!O26</f>
        <v>50631.445402853024</v>
      </c>
      <c r="R55" s="8">
        <f>[3]Output!P26</f>
        <v>172010.8716772123</v>
      </c>
      <c r="S55" s="8">
        <f>[3]Output!Q26</f>
        <v>38350.239745007617</v>
      </c>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row>
    <row r="56" spans="1:98">
      <c r="B56" s="33" t="s">
        <v>442</v>
      </c>
      <c r="C56"/>
      <c r="D56" s="8">
        <f>[3]Output!B27</f>
        <v>13714.399790851603</v>
      </c>
      <c r="E56" s="8">
        <f>[3]Output!C27</f>
        <v>26150.190820407312</v>
      </c>
      <c r="F56" s="8">
        <f>[3]Output!D27</f>
        <v>3950.0400752774258</v>
      </c>
      <c r="G56" s="8">
        <f>[3]Output!E27</f>
        <v>6175.1246828702624</v>
      </c>
      <c r="H56" s="8">
        <f>[3]Output!F27</f>
        <v>13597.616788268731</v>
      </c>
      <c r="I56" s="8">
        <f>[3]Output!G27</f>
        <v>3267.9316243877565</v>
      </c>
      <c r="J56" s="8">
        <f>[3]Output!H27</f>
        <v>5183.0494299828479</v>
      </c>
      <c r="K56" s="8">
        <f>[3]Output!I27</f>
        <v>1744.1084295222749</v>
      </c>
      <c r="L56" s="8">
        <f>[3]Output!J27</f>
        <v>6461.05576373642</v>
      </c>
      <c r="M56" s="8">
        <f>[3]Output!K27</f>
        <v>11064.037947122311</v>
      </c>
      <c r="N56" s="8">
        <f>[3]Output!L27</f>
        <v>103032.40056234208</v>
      </c>
      <c r="O56" s="8">
        <f>[3]Output!M27</f>
        <v>8572.690046828222</v>
      </c>
      <c r="P56" s="8">
        <f>[3]Output!N27</f>
        <v>17589.629697104338</v>
      </c>
      <c r="Q56" s="8">
        <f>[3]Output!O27</f>
        <v>33676.24857230232</v>
      </c>
      <c r="R56" s="8">
        <f>[3]Output!P27</f>
        <v>165810.17258392999</v>
      </c>
      <c r="S56" s="8">
        <f>[3]Output!Q27</f>
        <v>40275.621476060871</v>
      </c>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row>
    <row r="57" spans="1:98">
      <c r="A57" s="34"/>
      <c r="B57" s="34"/>
      <c r="C57" s="34"/>
      <c r="D57" s="34"/>
      <c r="E57" s="34"/>
      <c r="F57" s="34"/>
      <c r="G57" s="34"/>
      <c r="H57" s="34"/>
      <c r="I57" s="34"/>
      <c r="J57" s="34"/>
      <c r="K57" s="34"/>
      <c r="L57" s="34"/>
      <c r="M57" s="34"/>
      <c r="N57" s="34"/>
      <c r="O57" s="34"/>
      <c r="P57" s="34"/>
      <c r="Q57" s="34"/>
      <c r="R57" s="34"/>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row>
    <row r="58" spans="1:98">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row>
    <row r="59" spans="1:98">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row>
    <row r="60" spans="1:98">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row>
    <row r="61" spans="1:98">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row>
    <row r="62" spans="1:98">
      <c r="C62" s="149"/>
      <c r="D62" s="149"/>
      <c r="E62" s="149"/>
      <c r="F62" s="149"/>
      <c r="G62" s="149"/>
      <c r="H62" s="149"/>
      <c r="I62" s="149"/>
      <c r="J62" s="149"/>
      <c r="K62" s="149"/>
      <c r="L62" s="149"/>
      <c r="M62" s="149"/>
      <c r="N62" s="149"/>
      <c r="O62" s="149"/>
      <c r="P62" s="149"/>
      <c r="Q62" s="149"/>
      <c r="R62" s="149"/>
      <c r="S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row>
    <row r="63" spans="1:98">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row>
    <row r="64" spans="1:98">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row>
    <row r="65" spans="60:98">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row>
    <row r="66" spans="60:98">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row>
    <row r="67" spans="60:98">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row>
    <row r="68" spans="60:98">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row>
    <row r="69" spans="60:98">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row>
    <row r="70" spans="60:98">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row>
    <row r="71" spans="60:98">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row>
    <row r="72" spans="60:98">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row>
    <row r="73" spans="60:98">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row>
    <row r="74" spans="60:98">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row>
    <row r="75" spans="60:98">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row>
    <row r="76" spans="60:98">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row>
    <row r="77" spans="60:98">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row>
    <row r="78" spans="60:98">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row>
    <row r="79" spans="60:98">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row>
    <row r="80" spans="60:98">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row>
    <row r="81" spans="60:98">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row>
    <row r="82" spans="60:98">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row>
    <row r="83" spans="60:98">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row>
    <row r="84" spans="60:98">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row>
    <row r="85" spans="60:98">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row>
    <row r="86" spans="60:98">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row>
    <row r="87" spans="60:98">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row>
    <row r="88" spans="60:98">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row>
  </sheetData>
  <pageMargins left="0.15748031496062992" right="0.15748031496062992" top="0.74803149606299213" bottom="0.74803149606299213" header="0.31496062992125984" footer="0.31496062992125984"/>
  <pageSetup paperSize="8" scale="200" orientation="landscape" r:id="rId1"/>
  <headerFooter>
    <oddFooter>&amp;L&amp;D  &amp;T&amp;R&amp;F  &amp;A</oddFooter>
  </headerFooter>
</worksheet>
</file>

<file path=xl/worksheets/sheet20.xml><?xml version="1.0" encoding="utf-8"?>
<worksheet xmlns="http://schemas.openxmlformats.org/spreadsheetml/2006/main" xmlns:r="http://schemas.openxmlformats.org/officeDocument/2006/relationships">
  <sheetPr codeName="Sheet13">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Vector </v>
      </c>
      <c r="D1" s="2"/>
      <c r="E1" s="2"/>
      <c r="F1" s="6" t="s">
        <v>169</v>
      </c>
      <c r="G1" s="7">
        <v>15</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529065</v>
      </c>
    </row>
    <row r="9" spans="1:16">
      <c r="A9" s="9">
        <f>A8+1</f>
        <v>2</v>
      </c>
      <c r="B9" s="9"/>
      <c r="C9" s="149" t="str">
        <f>Inputs!B21</f>
        <v>Pass-through costs</v>
      </c>
      <c r="E9" s="1">
        <f t="shared" si="0"/>
        <v>5071</v>
      </c>
    </row>
    <row r="10" spans="1:16">
      <c r="A10" s="9">
        <f t="shared" ref="A10:A22" si="1">A9+1</f>
        <v>3</v>
      </c>
      <c r="B10" s="9"/>
      <c r="C10" s="149" t="str">
        <f>Inputs!B22</f>
        <v>Recoverable costs</v>
      </c>
      <c r="E10" s="1">
        <f t="shared" si="0"/>
        <v>144726</v>
      </c>
    </row>
    <row r="11" spans="1:16">
      <c r="A11" s="9">
        <f t="shared" si="1"/>
        <v>4</v>
      </c>
      <c r="B11" s="9"/>
      <c r="C11" s="155" t="str">
        <f>Inputs!B23</f>
        <v>Opening RAB</v>
      </c>
      <c r="E11" s="1">
        <f t="shared" si="0"/>
        <v>2274933</v>
      </c>
      <c r="L11" s="13"/>
    </row>
    <row r="12" spans="1:16">
      <c r="A12" s="9">
        <f t="shared" si="1"/>
        <v>5</v>
      </c>
      <c r="B12" s="9"/>
      <c r="C12" s="155" t="str">
        <f>Inputs!B24</f>
        <v>Total Depreciation</v>
      </c>
      <c r="E12" s="1">
        <f t="shared" si="0"/>
        <v>76603</v>
      </c>
      <c r="F12" s="161"/>
      <c r="G12" s="337" t="s">
        <v>511</v>
      </c>
    </row>
    <row r="13" spans="1:16">
      <c r="A13" s="9">
        <f t="shared" si="1"/>
        <v>6</v>
      </c>
      <c r="B13" s="9"/>
      <c r="C13" s="155" t="str">
        <f>Inputs!B25</f>
        <v>RAB of disposed assets</v>
      </c>
      <c r="E13" s="1">
        <f t="shared" si="0"/>
        <v>8957</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82690</v>
      </c>
      <c r="G15" s="23" t="s">
        <v>514</v>
      </c>
    </row>
    <row r="16" spans="1:16">
      <c r="A16" s="9">
        <f t="shared" si="1"/>
        <v>9</v>
      </c>
      <c r="B16" s="9"/>
      <c r="C16" s="155" t="str">
        <f>Inputs!B28</f>
        <v>Opening regulatory tax asset value</v>
      </c>
      <c r="E16" s="1">
        <f t="shared" si="0"/>
        <v>847206</v>
      </c>
    </row>
    <row r="17" spans="1:21">
      <c r="A17" s="9">
        <f t="shared" si="1"/>
        <v>10</v>
      </c>
      <c r="B17" s="9"/>
      <c r="C17" s="155" t="str">
        <f>Inputs!B29</f>
        <v>Weighted Average Remaining Life at year-end</v>
      </c>
      <c r="E17" s="1">
        <f t="shared" si="0"/>
        <v>39.85</v>
      </c>
    </row>
    <row r="18" spans="1:21">
      <c r="A18" s="9">
        <f t="shared" si="1"/>
        <v>11</v>
      </c>
      <c r="B18" s="9"/>
      <c r="C18" s="155" t="str">
        <f>Inputs!B30</f>
        <v>Term Credit Spread Differential Allowance</v>
      </c>
      <c r="E18" s="1">
        <f t="shared" si="0"/>
        <v>478.96003197862365</v>
      </c>
    </row>
    <row r="19" spans="1:21">
      <c r="A19" s="9">
        <f t="shared" si="1"/>
        <v>12</v>
      </c>
      <c r="B19" s="9"/>
      <c r="C19" s="155" t="str">
        <f>Inputs!B31</f>
        <v>Other regulated income 2009/10</v>
      </c>
      <c r="E19" s="1">
        <f t="shared" si="0"/>
        <v>13124</v>
      </c>
    </row>
    <row r="20" spans="1:21">
      <c r="A20" s="9">
        <f t="shared" si="1"/>
        <v>13</v>
      </c>
      <c r="B20" s="9"/>
      <c r="C20" s="155" t="str">
        <f>Inputs!B32</f>
        <v>Operating expenditure 2009/10</v>
      </c>
      <c r="E20" s="1">
        <f t="shared" si="0"/>
        <v>102194</v>
      </c>
    </row>
    <row r="21" spans="1:21">
      <c r="A21" s="9">
        <f t="shared" si="1"/>
        <v>14</v>
      </c>
      <c r="B21" s="9"/>
      <c r="C21" s="155" t="str">
        <f>Inputs!B33</f>
        <v>Other regulated income</v>
      </c>
      <c r="E21" s="1">
        <f t="shared" si="0"/>
        <v>10557.887455630274</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102194</v>
      </c>
      <c r="F24" s="39">
        <f>INDEX(OpexBlock,F7-1,$G$1)</f>
        <v>105512.33161010731</v>
      </c>
      <c r="G24" s="39">
        <f>INDEX(OpexBlock,G7-1,$G$1)</f>
        <v>109789.38825216993</v>
      </c>
      <c r="H24" s="39">
        <f>INDEX(OpexBlock,H7-1,$G$1)</f>
        <v>113635.01445818858</v>
      </c>
      <c r="I24" s="39">
        <f>INDEX(OpexBlock,I7-1,$G$1)</f>
        <v>117376.25241540952</v>
      </c>
      <c r="J24" s="39">
        <f>INDEX(OpexBlock,J7-1,$G$1)</f>
        <v>121268.45135062622</v>
      </c>
      <c r="K24" s="90"/>
      <c r="L24" s="36"/>
      <c r="M24" s="36"/>
    </row>
    <row r="25" spans="1:21">
      <c r="A25" s="9"/>
      <c r="B25" s="9"/>
      <c r="C25" s="149" t="s">
        <v>272</v>
      </c>
      <c r="D25" s="1"/>
      <c r="E25" s="39">
        <f t="shared" ref="E25:J25" si="2">INDEX(CommAssetsBlock,E7,$G$1)</f>
        <v>115662</v>
      </c>
      <c r="F25" s="39">
        <f t="shared" si="2"/>
        <v>138674.79633970806</v>
      </c>
      <c r="G25" s="39">
        <f t="shared" si="2"/>
        <v>151242.20518934392</v>
      </c>
      <c r="H25" s="39">
        <f t="shared" si="2"/>
        <v>161846.54647854812</v>
      </c>
      <c r="I25" s="39">
        <f t="shared" si="2"/>
        <v>172010.8716772123</v>
      </c>
      <c r="J25" s="39">
        <f t="shared" si="2"/>
        <v>165810.17258392999</v>
      </c>
      <c r="K25" s="90"/>
      <c r="L25" s="36"/>
      <c r="M25" s="36"/>
    </row>
    <row r="26" spans="1:21">
      <c r="A26" s="9"/>
      <c r="B26" s="9"/>
      <c r="C26" s="149" t="s">
        <v>342</v>
      </c>
      <c r="D26" s="1"/>
      <c r="E26" s="90"/>
      <c r="F26" s="90">
        <f t="shared" ref="F26:J26" si="3">INDEX(ConstPriceRevGrwth,F$7-1,$G$1)</f>
        <v>1.7928077816185075E-2</v>
      </c>
      <c r="G26" s="90">
        <f t="shared" si="3"/>
        <v>1.7232034080132973E-2</v>
      </c>
      <c r="H26" s="90">
        <f t="shared" si="3"/>
        <v>1.5428493374154801E-2</v>
      </c>
      <c r="I26" s="90">
        <f t="shared" si="3"/>
        <v>1.4369317373142673E-2</v>
      </c>
      <c r="J26" s="90">
        <f t="shared" si="3"/>
        <v>1.476912324876898E-2</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10557.887455630274</v>
      </c>
      <c r="F40" s="295">
        <f>E40*(1+F39)</f>
        <v>11029.47951153354</v>
      </c>
      <c r="G40" s="295">
        <f t="shared" ref="G40:J40" si="5">F40*(1+G39)</f>
        <v>11202.717409620454</v>
      </c>
      <c r="H40" s="295">
        <f t="shared" si="5"/>
        <v>11414.452618393349</v>
      </c>
      <c r="I40" s="295">
        <f t="shared" si="5"/>
        <v>11655.060810180728</v>
      </c>
      <c r="J40" s="295">
        <f t="shared" si="5"/>
        <v>11914.9176573111</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29.697701134420324</v>
      </c>
      <c r="F53" s="45">
        <f>E53-1</f>
        <v>28.697701134420324</v>
      </c>
      <c r="G53" s="45">
        <f t="shared" ref="G53:J53" si="6">F53-1</f>
        <v>27.697701134420324</v>
      </c>
      <c r="H53" s="45">
        <f t="shared" si="6"/>
        <v>26.697701134420324</v>
      </c>
      <c r="I53" s="45">
        <f t="shared" si="6"/>
        <v>25.697701134420324</v>
      </c>
      <c r="J53" s="45">
        <f t="shared" si="6"/>
        <v>24.697701134420324</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8957</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2274933</v>
      </c>
      <c r="F58" s="216">
        <f>E62</f>
        <v>2228424.4905379317</v>
      </c>
      <c r="G58" s="216">
        <f t="shared" ref="G58:J58" si="9">F62</f>
        <v>2194922.8309400361</v>
      </c>
      <c r="H58" s="216">
        <f t="shared" si="9"/>
        <v>2169101.3225476276</v>
      </c>
      <c r="I58" s="216">
        <f t="shared" si="9"/>
        <v>2140489.5095207863</v>
      </c>
      <c r="J58" s="216">
        <f t="shared" si="9"/>
        <v>2109135.173525135</v>
      </c>
      <c r="K58" s="148"/>
      <c r="L58" s="36"/>
      <c r="M58" s="36"/>
    </row>
    <row r="59" spans="3:16">
      <c r="C59" s="149" t="s">
        <v>41</v>
      </c>
      <c r="D59" s="153"/>
      <c r="E59" s="216">
        <f>E55</f>
        <v>8957</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39051.490537931873</v>
      </c>
      <c r="F60" s="216">
        <f t="shared" si="11"/>
        <v>44150.012921097186</v>
      </c>
      <c r="G60" s="216">
        <f t="shared" si="11"/>
        <v>53424.15969707667</v>
      </c>
      <c r="H60" s="216">
        <f t="shared" si="11"/>
        <v>52634.932212623571</v>
      </c>
      <c r="I60" s="216">
        <f t="shared" si="11"/>
        <v>51940.644295552338</v>
      </c>
      <c r="J60" s="216">
        <f t="shared" si="11"/>
        <v>51179.806923619617</v>
      </c>
      <c r="K60" s="148"/>
      <c r="L60" s="36"/>
      <c r="M60" s="36"/>
    </row>
    <row r="61" spans="3:16">
      <c r="C61" s="149" t="s">
        <v>43</v>
      </c>
      <c r="E61" s="136">
        <f>E12</f>
        <v>76603</v>
      </c>
      <c r="F61" s="216">
        <f t="shared" ref="F61:J61" si="12">F58/F53</f>
        <v>77651.67251899268</v>
      </c>
      <c r="G61" s="216">
        <f t="shared" si="12"/>
        <v>79245.668089485393</v>
      </c>
      <c r="H61" s="216">
        <f t="shared" si="12"/>
        <v>81246.745239465148</v>
      </c>
      <c r="I61" s="216">
        <f t="shared" si="12"/>
        <v>83294.980291203799</v>
      </c>
      <c r="J61" s="216">
        <f t="shared" si="12"/>
        <v>85398.036118661548</v>
      </c>
      <c r="K61" s="148"/>
      <c r="L61" s="36"/>
      <c r="M61" s="36"/>
    </row>
    <row r="62" spans="3:16">
      <c r="C62" s="149" t="s">
        <v>44</v>
      </c>
      <c r="E62" s="139">
        <f>E58-E59+E60-E61</f>
        <v>2228424.4905379317</v>
      </c>
      <c r="F62" s="139">
        <f>F58-F59+F60-F61</f>
        <v>2194922.8309400361</v>
      </c>
      <c r="G62" s="139">
        <f t="shared" ref="G62:J62" si="13">G58-G59+G60-G61</f>
        <v>2169101.3225476276</v>
      </c>
      <c r="H62" s="139">
        <f t="shared" si="13"/>
        <v>2140489.5095207863</v>
      </c>
      <c r="I62" s="216">
        <f t="shared" si="13"/>
        <v>2109135.173525135</v>
      </c>
      <c r="J62" s="216">
        <f t="shared" si="13"/>
        <v>2074916.944330093</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115662</v>
      </c>
      <c r="F66" s="139">
        <f t="shared" ref="F66:J66" si="15">F$25</f>
        <v>138674.79633970806</v>
      </c>
      <c r="G66" s="139">
        <f t="shared" si="15"/>
        <v>151242.20518934392</v>
      </c>
      <c r="H66" s="139">
        <f t="shared" si="15"/>
        <v>161846.54647854812</v>
      </c>
      <c r="I66" s="139">
        <f t="shared" si="15"/>
        <v>172010.8716772123</v>
      </c>
      <c r="J66" s="139">
        <f t="shared" si="15"/>
        <v>165810.17258392999</v>
      </c>
      <c r="K66" s="148"/>
      <c r="L66" s="36"/>
      <c r="M66" s="36"/>
    </row>
    <row r="67" spans="1:13">
      <c r="A67" s="149">
        <v>1</v>
      </c>
      <c r="C67" s="149" t="s">
        <v>481</v>
      </c>
      <c r="E67" s="135">
        <v>0</v>
      </c>
      <c r="F67" s="139">
        <f>E91</f>
        <v>115662</v>
      </c>
      <c r="G67" s="139">
        <f t="shared" ref="G67:J67" si="16">F91</f>
        <v>115383.25311161726</v>
      </c>
      <c r="H67" s="139">
        <f t="shared" si="16"/>
        <v>115569.32105742399</v>
      </c>
      <c r="I67" s="139">
        <f t="shared" si="16"/>
        <v>115686.04197305776</v>
      </c>
      <c r="J67" s="139">
        <f t="shared" si="16"/>
        <v>115738.82427103062</v>
      </c>
      <c r="K67" s="148"/>
      <c r="L67" s="36"/>
      <c r="M67" s="36"/>
    </row>
    <row r="68" spans="1:13">
      <c r="A68" s="149">
        <v>2</v>
      </c>
      <c r="C68" s="149" t="s">
        <v>482</v>
      </c>
      <c r="E68" s="135">
        <v>0</v>
      </c>
      <c r="F68" s="139">
        <f t="shared" ref="F68:J71" si="17">E92</f>
        <v>0</v>
      </c>
      <c r="G68" s="139">
        <f t="shared" si="17"/>
        <v>138674.79633970806</v>
      </c>
      <c r="H68" s="139">
        <f t="shared" si="17"/>
        <v>138968.46218811959</v>
      </c>
      <c r="I68" s="139">
        <f t="shared" si="17"/>
        <v>139182.26596786146</v>
      </c>
      <c r="J68" s="139">
        <f t="shared" si="17"/>
        <v>139322.83512042815</v>
      </c>
      <c r="K68" s="148"/>
      <c r="L68" s="36"/>
      <c r="M68" s="36"/>
    </row>
    <row r="69" spans="1:13">
      <c r="A69" s="149">
        <v>3</v>
      </c>
      <c r="C69" s="149" t="s">
        <v>483</v>
      </c>
      <c r="E69" s="135">
        <v>0</v>
      </c>
      <c r="F69" s="139">
        <f t="shared" si="17"/>
        <v>0</v>
      </c>
      <c r="G69" s="139">
        <f t="shared" si="17"/>
        <v>0</v>
      </c>
      <c r="H69" s="139">
        <f t="shared" si="17"/>
        <v>151242.20518934392</v>
      </c>
      <c r="I69" s="139">
        <f t="shared" si="17"/>
        <v>151551.27714552404</v>
      </c>
      <c r="J69" s="139">
        <f t="shared" si="17"/>
        <v>151784.43965857365</v>
      </c>
      <c r="K69" s="148"/>
      <c r="L69" s="36"/>
      <c r="M69" s="36"/>
    </row>
    <row r="70" spans="1:13">
      <c r="A70" s="149">
        <v>4</v>
      </c>
      <c r="C70" s="149" t="s">
        <v>484</v>
      </c>
      <c r="E70" s="135">
        <v>0</v>
      </c>
      <c r="F70" s="139">
        <f t="shared" si="17"/>
        <v>0</v>
      </c>
      <c r="G70" s="139">
        <f t="shared" si="17"/>
        <v>0</v>
      </c>
      <c r="H70" s="139">
        <f t="shared" si="17"/>
        <v>0</v>
      </c>
      <c r="I70" s="139">
        <f t="shared" si="17"/>
        <v>161846.54647854812</v>
      </c>
      <c r="J70" s="139">
        <f t="shared" si="17"/>
        <v>162177.28900282233</v>
      </c>
      <c r="K70" s="148"/>
      <c r="L70" s="36"/>
      <c r="M70" s="36"/>
    </row>
    <row r="71" spans="1:13">
      <c r="A71" s="149">
        <v>5</v>
      </c>
      <c r="C71" s="149" t="s">
        <v>485</v>
      </c>
      <c r="E71" s="135">
        <v>0</v>
      </c>
      <c r="F71" s="139">
        <f t="shared" si="17"/>
        <v>0</v>
      </c>
      <c r="G71" s="139">
        <f t="shared" si="17"/>
        <v>0</v>
      </c>
      <c r="H71" s="139">
        <f t="shared" si="17"/>
        <v>0</v>
      </c>
      <c r="I71" s="139">
        <f t="shared" si="17"/>
        <v>0</v>
      </c>
      <c r="J71" s="139">
        <f t="shared" si="17"/>
        <v>172010.8716772123</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2291.5197782839218</v>
      </c>
      <c r="G79" s="139">
        <f t="shared" si="20"/>
        <v>2808.414607434398</v>
      </c>
      <c r="H79" s="139">
        <f t="shared" si="20"/>
        <v>2804.379544876183</v>
      </c>
      <c r="I79" s="139">
        <f t="shared" si="20"/>
        <v>2807.2118687599573</v>
      </c>
      <c r="J79" s="139">
        <f t="shared" si="20"/>
        <v>2808.4926723106946</v>
      </c>
      <c r="K79" s="148"/>
      <c r="L79" s="36"/>
      <c r="M79" s="36"/>
    </row>
    <row r="80" spans="1:13">
      <c r="A80" s="149">
        <v>2</v>
      </c>
      <c r="C80" s="149" t="s">
        <v>488</v>
      </c>
      <c r="E80" s="139">
        <f t="shared" ref="E80:J84" si="21">E68*E$38</f>
        <v>0</v>
      </c>
      <c r="F80" s="139">
        <f t="shared" si="21"/>
        <v>0</v>
      </c>
      <c r="G80" s="139">
        <f t="shared" si="21"/>
        <v>3375.3279892939181</v>
      </c>
      <c r="H80" s="139">
        <f t="shared" si="21"/>
        <v>3372.1779203809456</v>
      </c>
      <c r="I80" s="139">
        <f t="shared" si="21"/>
        <v>3377.3660355402217</v>
      </c>
      <c r="J80" s="139">
        <f t="shared" si="21"/>
        <v>3380.7770554587582</v>
      </c>
      <c r="K80" s="148"/>
      <c r="L80" s="36"/>
      <c r="M80" s="36"/>
    </row>
    <row r="81" spans="1:13">
      <c r="A81" s="149">
        <v>3</v>
      </c>
      <c r="C81" s="149" t="s">
        <v>489</v>
      </c>
      <c r="E81" s="139">
        <f t="shared" si="21"/>
        <v>0</v>
      </c>
      <c r="F81" s="139">
        <f t="shared" si="21"/>
        <v>0</v>
      </c>
      <c r="G81" s="139">
        <f t="shared" si="21"/>
        <v>0</v>
      </c>
      <c r="H81" s="139">
        <f t="shared" si="21"/>
        <v>3670.0098492766601</v>
      </c>
      <c r="I81" s="139">
        <f t="shared" si="21"/>
        <v>3677.5097209024157</v>
      </c>
      <c r="J81" s="139">
        <f t="shared" si="21"/>
        <v>3683.1675907959607</v>
      </c>
      <c r="K81" s="148"/>
      <c r="L81" s="36"/>
      <c r="M81" s="36"/>
    </row>
    <row r="82" spans="1:13">
      <c r="A82" s="149">
        <v>4</v>
      </c>
      <c r="C82" s="149" t="s">
        <v>490</v>
      </c>
      <c r="E82" s="139">
        <f t="shared" si="21"/>
        <v>0</v>
      </c>
      <c r="F82" s="139">
        <f t="shared" si="21"/>
        <v>0</v>
      </c>
      <c r="G82" s="139">
        <f t="shared" si="21"/>
        <v>0</v>
      </c>
      <c r="H82" s="139">
        <f t="shared" si="21"/>
        <v>0</v>
      </c>
      <c r="I82" s="139">
        <f t="shared" si="21"/>
        <v>3927.3324460197323</v>
      </c>
      <c r="J82" s="139">
        <f t="shared" si="21"/>
        <v>3935.3581708505849</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4173.9777097782689</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2570.2666666666669</v>
      </c>
      <c r="G85" s="216">
        <f t="shared" si="22"/>
        <v>2622.3466616276651</v>
      </c>
      <c r="H85" s="216">
        <f t="shared" si="22"/>
        <v>2687.6586292424186</v>
      </c>
      <c r="I85" s="216">
        <f t="shared" si="22"/>
        <v>2754.4295707870892</v>
      </c>
      <c r="J85" s="216">
        <f t="shared" si="22"/>
        <v>2822.8981529519665</v>
      </c>
      <c r="K85" s="148"/>
      <c r="L85" s="36"/>
      <c r="M85" s="36"/>
    </row>
    <row r="86" spans="1:13">
      <c r="A86" s="149">
        <v>2</v>
      </c>
      <c r="C86" s="149" t="s">
        <v>494</v>
      </c>
      <c r="E86" s="216">
        <f t="shared" si="22"/>
        <v>0</v>
      </c>
      <c r="F86" s="216">
        <f t="shared" si="22"/>
        <v>0</v>
      </c>
      <c r="G86" s="216">
        <f t="shared" si="22"/>
        <v>3081.6621408824012</v>
      </c>
      <c r="H86" s="216">
        <f t="shared" si="22"/>
        <v>3158.3741406390818</v>
      </c>
      <c r="I86" s="216">
        <f t="shared" si="22"/>
        <v>3236.7968829735223</v>
      </c>
      <c r="J86" s="216">
        <f t="shared" si="22"/>
        <v>3317.2103600101941</v>
      </c>
      <c r="K86" s="148"/>
      <c r="L86" s="36"/>
      <c r="M86" s="36"/>
    </row>
    <row r="87" spans="1:13">
      <c r="A87" s="149">
        <v>3</v>
      </c>
      <c r="C87" s="149" t="s">
        <v>495</v>
      </c>
      <c r="E87" s="216">
        <f t="shared" si="22"/>
        <v>0</v>
      </c>
      <c r="F87" s="216">
        <f t="shared" si="22"/>
        <v>0</v>
      </c>
      <c r="G87" s="216">
        <f t="shared" si="22"/>
        <v>0</v>
      </c>
      <c r="H87" s="216">
        <f t="shared" si="22"/>
        <v>3360.9378930965318</v>
      </c>
      <c r="I87" s="216">
        <f t="shared" si="22"/>
        <v>3444.3472078528193</v>
      </c>
      <c r="J87" s="216">
        <f t="shared" si="22"/>
        <v>3529.8706897342709</v>
      </c>
      <c r="K87" s="148"/>
      <c r="L87" s="36"/>
      <c r="M87" s="36"/>
    </row>
    <row r="88" spans="1:13">
      <c r="A88" s="149">
        <v>4</v>
      </c>
      <c r="C88" s="149" t="s">
        <v>496</v>
      </c>
      <c r="E88" s="216">
        <f t="shared" si="22"/>
        <v>0</v>
      </c>
      <c r="F88" s="216">
        <f t="shared" si="22"/>
        <v>0</v>
      </c>
      <c r="G88" s="216">
        <f t="shared" si="22"/>
        <v>0</v>
      </c>
      <c r="H88" s="216">
        <f t="shared" si="22"/>
        <v>0</v>
      </c>
      <c r="I88" s="216">
        <f t="shared" si="22"/>
        <v>3596.5899217455135</v>
      </c>
      <c r="J88" s="216">
        <f t="shared" si="22"/>
        <v>3685.8474773368712</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3822.4638150491623</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115662</v>
      </c>
      <c r="F91" s="139">
        <f t="shared" si="23"/>
        <v>115383.25311161726</v>
      </c>
      <c r="G91" s="139">
        <f t="shared" si="23"/>
        <v>115569.32105742399</v>
      </c>
      <c r="H91" s="139">
        <f t="shared" si="23"/>
        <v>115686.04197305776</v>
      </c>
      <c r="I91" s="139">
        <f t="shared" si="23"/>
        <v>115738.82427103062</v>
      </c>
      <c r="J91" s="216">
        <f t="shared" si="23"/>
        <v>115724.41879038935</v>
      </c>
      <c r="K91" s="148"/>
      <c r="L91" s="36"/>
      <c r="M91" s="36"/>
    </row>
    <row r="92" spans="1:13">
      <c r="A92" s="149">
        <v>2</v>
      </c>
      <c r="C92" s="149" t="s">
        <v>500</v>
      </c>
      <c r="E92" s="139">
        <f t="shared" si="23"/>
        <v>0</v>
      </c>
      <c r="F92" s="139">
        <f t="shared" si="23"/>
        <v>138674.79633970806</v>
      </c>
      <c r="G92" s="139">
        <f t="shared" si="23"/>
        <v>138968.46218811959</v>
      </c>
      <c r="H92" s="139">
        <f t="shared" si="23"/>
        <v>139182.26596786146</v>
      </c>
      <c r="I92" s="139">
        <f t="shared" si="23"/>
        <v>139322.83512042815</v>
      </c>
      <c r="J92" s="216">
        <f t="shared" si="23"/>
        <v>139386.40181587671</v>
      </c>
      <c r="K92" s="148"/>
      <c r="L92" s="36"/>
      <c r="M92" s="36"/>
    </row>
    <row r="93" spans="1:13">
      <c r="A93" s="149">
        <v>3</v>
      </c>
      <c r="C93" s="149" t="s">
        <v>501</v>
      </c>
      <c r="E93" s="139">
        <f t="shared" si="23"/>
        <v>0</v>
      </c>
      <c r="F93" s="139">
        <f t="shared" si="23"/>
        <v>0</v>
      </c>
      <c r="G93" s="139">
        <f t="shared" si="23"/>
        <v>151242.20518934392</v>
      </c>
      <c r="H93" s="139">
        <f t="shared" si="23"/>
        <v>151551.27714552404</v>
      </c>
      <c r="I93" s="139">
        <f t="shared" si="23"/>
        <v>151784.43965857365</v>
      </c>
      <c r="J93" s="216">
        <f t="shared" si="23"/>
        <v>151937.73655963535</v>
      </c>
      <c r="K93" s="148"/>
      <c r="L93" s="36"/>
      <c r="M93" s="36"/>
    </row>
    <row r="94" spans="1:13">
      <c r="A94" s="149">
        <v>4</v>
      </c>
      <c r="C94" s="149" t="s">
        <v>502</v>
      </c>
      <c r="E94" s="139">
        <f t="shared" si="23"/>
        <v>0</v>
      </c>
      <c r="F94" s="139">
        <f t="shared" si="23"/>
        <v>0</v>
      </c>
      <c r="G94" s="139">
        <f t="shared" si="23"/>
        <v>0</v>
      </c>
      <c r="H94" s="139">
        <f t="shared" si="23"/>
        <v>161846.54647854812</v>
      </c>
      <c r="I94" s="139">
        <f t="shared" si="23"/>
        <v>162177.28900282233</v>
      </c>
      <c r="J94" s="216">
        <f t="shared" si="23"/>
        <v>162426.79969633603</v>
      </c>
      <c r="K94" s="148"/>
      <c r="L94" s="36"/>
      <c r="M94" s="36"/>
    </row>
    <row r="95" spans="1:13">
      <c r="A95" s="149">
        <v>5</v>
      </c>
      <c r="C95" s="149" t="s">
        <v>503</v>
      </c>
      <c r="E95" s="139">
        <f t="shared" si="23"/>
        <v>0</v>
      </c>
      <c r="F95" s="139">
        <f t="shared" si="23"/>
        <v>0</v>
      </c>
      <c r="G95" s="139">
        <f t="shared" si="23"/>
        <v>0</v>
      </c>
      <c r="H95" s="139">
        <f t="shared" si="23"/>
        <v>0</v>
      </c>
      <c r="I95" s="139">
        <f t="shared" si="23"/>
        <v>172010.8716772123</v>
      </c>
      <c r="J95" s="216">
        <f t="shared" si="23"/>
        <v>172362.38557194141</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165810.17258392999</v>
      </c>
      <c r="K96" s="148"/>
      <c r="L96" s="36"/>
      <c r="M96" s="36"/>
    </row>
    <row r="97" spans="1:13">
      <c r="C97" s="149" t="s">
        <v>260</v>
      </c>
      <c r="E97" s="139">
        <f t="shared" ref="E97:J97" si="24">SUM(E67:E72)</f>
        <v>0</v>
      </c>
      <c r="F97" s="139">
        <f t="shared" si="24"/>
        <v>115662</v>
      </c>
      <c r="G97" s="139">
        <f t="shared" si="24"/>
        <v>254058.04945132532</v>
      </c>
      <c r="H97" s="139">
        <f t="shared" si="24"/>
        <v>405779.98843488749</v>
      </c>
      <c r="I97" s="139">
        <f t="shared" si="24"/>
        <v>568266.13156499132</v>
      </c>
      <c r="J97" s="216">
        <f t="shared" si="24"/>
        <v>741034.2597300671</v>
      </c>
      <c r="K97" s="148"/>
      <c r="L97" s="36"/>
      <c r="M97" s="36"/>
    </row>
    <row r="98" spans="1:13">
      <c r="C98" s="149" t="s">
        <v>261</v>
      </c>
      <c r="E98" s="139">
        <f t="shared" ref="E98:J98" si="25">SUM(E79:E84)</f>
        <v>0</v>
      </c>
      <c r="F98" s="139">
        <f t="shared" si="25"/>
        <v>2291.5197782839218</v>
      </c>
      <c r="G98" s="139">
        <f t="shared" si="25"/>
        <v>6183.7425967283161</v>
      </c>
      <c r="H98" s="139">
        <f t="shared" si="25"/>
        <v>9846.5673145337896</v>
      </c>
      <c r="I98" s="139">
        <f t="shared" si="25"/>
        <v>13789.420071222326</v>
      </c>
      <c r="J98" s="216">
        <f t="shared" si="25"/>
        <v>17981.773199194267</v>
      </c>
      <c r="K98" s="148"/>
      <c r="L98" s="36"/>
      <c r="M98" s="36"/>
    </row>
    <row r="99" spans="1:13">
      <c r="C99" s="149" t="s">
        <v>75</v>
      </c>
      <c r="E99" s="139">
        <f t="shared" ref="E99:J99" si="26">SUM(E85:E90)</f>
        <v>0</v>
      </c>
      <c r="F99" s="139">
        <f t="shared" si="26"/>
        <v>2570.2666666666669</v>
      </c>
      <c r="G99" s="139">
        <f t="shared" si="26"/>
        <v>5704.0088025100667</v>
      </c>
      <c r="H99" s="139">
        <f t="shared" si="26"/>
        <v>9206.9706629780321</v>
      </c>
      <c r="I99" s="216">
        <f t="shared" si="26"/>
        <v>13032.163583358944</v>
      </c>
      <c r="J99" s="216">
        <f t="shared" si="26"/>
        <v>17178.290495082463</v>
      </c>
      <c r="K99" s="148"/>
      <c r="L99" s="36"/>
      <c r="M99" s="36"/>
    </row>
    <row r="100" spans="1:13">
      <c r="C100" s="149" t="s">
        <v>262</v>
      </c>
      <c r="E100" s="139">
        <f t="shared" ref="E100:J100" si="27">SUM(E91:E96)</f>
        <v>115662</v>
      </c>
      <c r="F100" s="139">
        <f t="shared" si="27"/>
        <v>254058.04945132532</v>
      </c>
      <c r="G100" s="139">
        <f t="shared" si="27"/>
        <v>405779.98843488749</v>
      </c>
      <c r="H100" s="139">
        <f t="shared" si="27"/>
        <v>568266.13156499132</v>
      </c>
      <c r="I100" s="216">
        <f t="shared" si="27"/>
        <v>741034.2597300671</v>
      </c>
      <c r="J100" s="216">
        <f t="shared" si="27"/>
        <v>907647.91501810879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115662</v>
      </c>
      <c r="F104" s="139">
        <f t="shared" ref="F104:J104" si="28">F$25</f>
        <v>138674.79633970806</v>
      </c>
      <c r="G104" s="139">
        <f t="shared" si="28"/>
        <v>151242.20518934392</v>
      </c>
      <c r="H104" s="139">
        <f t="shared" si="28"/>
        <v>161846.54647854812</v>
      </c>
      <c r="I104" s="139">
        <f t="shared" si="28"/>
        <v>172010.8716772123</v>
      </c>
      <c r="J104" s="139">
        <f t="shared" si="28"/>
        <v>165810.17258392999</v>
      </c>
      <c r="K104" s="148"/>
      <c r="L104" s="36"/>
      <c r="M104" s="36"/>
    </row>
    <row r="105" spans="1:13">
      <c r="A105" s="149">
        <v>1</v>
      </c>
      <c r="C105" s="149" t="s">
        <v>457</v>
      </c>
      <c r="E105" s="135">
        <v>0</v>
      </c>
      <c r="F105" s="139">
        <f>E123</f>
        <v>115662</v>
      </c>
      <c r="G105" s="139">
        <f t="shared" ref="G105:J105" si="29">F123</f>
        <v>113091.73333333334</v>
      </c>
      <c r="H105" s="139">
        <f t="shared" si="29"/>
        <v>110521.46666666667</v>
      </c>
      <c r="I105" s="139">
        <f t="shared" si="29"/>
        <v>107951.20000000001</v>
      </c>
      <c r="J105" s="139">
        <f t="shared" si="29"/>
        <v>105380.93333333335</v>
      </c>
      <c r="K105" s="148"/>
      <c r="L105" s="36"/>
      <c r="M105" s="36"/>
    </row>
    <row r="106" spans="1:13">
      <c r="A106" s="149">
        <v>2</v>
      </c>
      <c r="C106" s="149" t="s">
        <v>458</v>
      </c>
      <c r="E106" s="135">
        <v>0</v>
      </c>
      <c r="F106" s="139">
        <f t="shared" ref="F106:J109" si="30">E124</f>
        <v>0</v>
      </c>
      <c r="G106" s="139">
        <f t="shared" si="30"/>
        <v>138674.79633970806</v>
      </c>
      <c r="H106" s="139">
        <f t="shared" si="30"/>
        <v>135593.13419882566</v>
      </c>
      <c r="I106" s="139">
        <f t="shared" si="30"/>
        <v>132511.47205794326</v>
      </c>
      <c r="J106" s="139">
        <f t="shared" si="30"/>
        <v>129429.80991706086</v>
      </c>
      <c r="K106" s="148"/>
      <c r="L106" s="36"/>
      <c r="M106" s="36"/>
    </row>
    <row r="107" spans="1:13">
      <c r="A107" s="149">
        <v>3</v>
      </c>
      <c r="C107" s="149" t="s">
        <v>459</v>
      </c>
      <c r="E107" s="135">
        <v>0</v>
      </c>
      <c r="F107" s="139">
        <f t="shared" si="30"/>
        <v>0</v>
      </c>
      <c r="G107" s="139">
        <f t="shared" si="30"/>
        <v>0</v>
      </c>
      <c r="H107" s="139">
        <f t="shared" si="30"/>
        <v>151242.20518934392</v>
      </c>
      <c r="I107" s="139">
        <f t="shared" si="30"/>
        <v>147881.26729624739</v>
      </c>
      <c r="J107" s="139">
        <f t="shared" si="30"/>
        <v>144520.32940315086</v>
      </c>
      <c r="K107" s="148"/>
      <c r="L107" s="36"/>
      <c r="M107" s="36"/>
    </row>
    <row r="108" spans="1:13">
      <c r="A108" s="149">
        <v>4</v>
      </c>
      <c r="C108" s="149" t="s">
        <v>460</v>
      </c>
      <c r="E108" s="135">
        <v>0</v>
      </c>
      <c r="F108" s="139">
        <f t="shared" si="30"/>
        <v>0</v>
      </c>
      <c r="G108" s="139">
        <f t="shared" si="30"/>
        <v>0</v>
      </c>
      <c r="H108" s="139">
        <f t="shared" si="30"/>
        <v>0</v>
      </c>
      <c r="I108" s="139">
        <f t="shared" si="30"/>
        <v>161846.54647854812</v>
      </c>
      <c r="J108" s="139">
        <f t="shared" si="30"/>
        <v>158249.95655680262</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172010.8716772123</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2570.2666666666669</v>
      </c>
      <c r="G117" s="139">
        <f t="shared" si="33"/>
        <v>2570.2666666666669</v>
      </c>
      <c r="H117" s="139">
        <f t="shared" si="33"/>
        <v>2570.2666666666669</v>
      </c>
      <c r="I117" s="139">
        <f t="shared" si="33"/>
        <v>2570.2666666666669</v>
      </c>
      <c r="J117" s="139">
        <f t="shared" si="33"/>
        <v>2570.2666666666669</v>
      </c>
      <c r="K117" s="148"/>
      <c r="L117" s="36"/>
      <c r="M117" s="36"/>
    </row>
    <row r="118" spans="1:13">
      <c r="A118" s="149">
        <v>2</v>
      </c>
      <c r="C118" s="149" t="s">
        <v>470</v>
      </c>
      <c r="E118" s="139">
        <f t="shared" si="33"/>
        <v>0</v>
      </c>
      <c r="F118" s="139">
        <f t="shared" si="33"/>
        <v>0</v>
      </c>
      <c r="G118" s="139">
        <f t="shared" si="33"/>
        <v>3081.6621408824012</v>
      </c>
      <c r="H118" s="139">
        <f t="shared" si="33"/>
        <v>3081.6621408824012</v>
      </c>
      <c r="I118" s="139">
        <f t="shared" si="33"/>
        <v>3081.6621408824012</v>
      </c>
      <c r="J118" s="139">
        <f t="shared" si="33"/>
        <v>3081.6621408824017</v>
      </c>
      <c r="K118" s="148"/>
      <c r="L118" s="36"/>
      <c r="M118" s="36"/>
    </row>
    <row r="119" spans="1:13">
      <c r="A119" s="149">
        <v>3</v>
      </c>
      <c r="C119" s="149" t="s">
        <v>471</v>
      </c>
      <c r="E119" s="139">
        <f t="shared" si="33"/>
        <v>0</v>
      </c>
      <c r="F119" s="139">
        <f t="shared" si="33"/>
        <v>0</v>
      </c>
      <c r="G119" s="139">
        <f t="shared" si="33"/>
        <v>0</v>
      </c>
      <c r="H119" s="139">
        <f t="shared" si="33"/>
        <v>3360.9378930965318</v>
      </c>
      <c r="I119" s="139">
        <f t="shared" si="33"/>
        <v>3360.9378930965318</v>
      </c>
      <c r="J119" s="139">
        <f t="shared" si="33"/>
        <v>3360.9378930965318</v>
      </c>
      <c r="K119" s="148"/>
      <c r="L119" s="36"/>
      <c r="M119" s="36"/>
    </row>
    <row r="120" spans="1:13">
      <c r="A120" s="149">
        <v>4</v>
      </c>
      <c r="C120" s="149" t="s">
        <v>472</v>
      </c>
      <c r="E120" s="139">
        <f t="shared" si="33"/>
        <v>0</v>
      </c>
      <c r="F120" s="139">
        <f t="shared" si="33"/>
        <v>0</v>
      </c>
      <c r="G120" s="139">
        <f t="shared" si="33"/>
        <v>0</v>
      </c>
      <c r="H120" s="139">
        <f t="shared" si="33"/>
        <v>0</v>
      </c>
      <c r="I120" s="139">
        <f t="shared" si="33"/>
        <v>3596.5899217455135</v>
      </c>
      <c r="J120" s="139">
        <f t="shared" si="33"/>
        <v>3596.5899217455139</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3822.4638150491623</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115662</v>
      </c>
      <c r="F123" s="139">
        <f t="shared" ref="F123:J123" si="34">F105-F117+IF($A123=F$103,F$104,0)</f>
        <v>113091.73333333334</v>
      </c>
      <c r="G123" s="139">
        <f t="shared" si="34"/>
        <v>110521.46666666667</v>
      </c>
      <c r="H123" s="139">
        <f t="shared" si="34"/>
        <v>107951.20000000001</v>
      </c>
      <c r="I123" s="139">
        <f t="shared" si="34"/>
        <v>105380.93333333335</v>
      </c>
      <c r="J123" s="139">
        <f t="shared" si="34"/>
        <v>102810.66666666669</v>
      </c>
      <c r="K123" s="148"/>
      <c r="L123" s="36"/>
      <c r="M123" s="36"/>
    </row>
    <row r="124" spans="1:13">
      <c r="A124" s="149">
        <v>2</v>
      </c>
      <c r="C124" s="149" t="s">
        <v>476</v>
      </c>
      <c r="E124" s="139">
        <f t="shared" ref="E124:J128" si="35">E106-E118+IF($A124=E$103,E$104,0)</f>
        <v>0</v>
      </c>
      <c r="F124" s="139">
        <f t="shared" si="35"/>
        <v>138674.79633970806</v>
      </c>
      <c r="G124" s="139">
        <f t="shared" si="35"/>
        <v>135593.13419882566</v>
      </c>
      <c r="H124" s="139">
        <f t="shared" si="35"/>
        <v>132511.47205794326</v>
      </c>
      <c r="I124" s="139">
        <f t="shared" si="35"/>
        <v>129429.80991706086</v>
      </c>
      <c r="J124" s="139">
        <f t="shared" si="35"/>
        <v>126348.14777617846</v>
      </c>
      <c r="K124" s="148"/>
      <c r="L124" s="36"/>
      <c r="M124" s="36"/>
    </row>
    <row r="125" spans="1:13">
      <c r="A125" s="149">
        <v>3</v>
      </c>
      <c r="C125" s="149" t="s">
        <v>477</v>
      </c>
      <c r="E125" s="139">
        <f t="shared" si="35"/>
        <v>0</v>
      </c>
      <c r="F125" s="139">
        <f t="shared" si="35"/>
        <v>0</v>
      </c>
      <c r="G125" s="139">
        <f t="shared" si="35"/>
        <v>151242.20518934392</v>
      </c>
      <c r="H125" s="139">
        <f t="shared" si="35"/>
        <v>147881.26729624739</v>
      </c>
      <c r="I125" s="139">
        <f t="shared" si="35"/>
        <v>144520.32940315086</v>
      </c>
      <c r="J125" s="139">
        <f t="shared" si="35"/>
        <v>141159.39151005432</v>
      </c>
      <c r="K125" s="148"/>
      <c r="L125" s="36"/>
      <c r="M125" s="36"/>
    </row>
    <row r="126" spans="1:13">
      <c r="A126" s="149">
        <v>4</v>
      </c>
      <c r="C126" s="149" t="s">
        <v>478</v>
      </c>
      <c r="E126" s="139">
        <f t="shared" si="35"/>
        <v>0</v>
      </c>
      <c r="F126" s="139">
        <f t="shared" si="35"/>
        <v>0</v>
      </c>
      <c r="G126" s="139">
        <f t="shared" si="35"/>
        <v>0</v>
      </c>
      <c r="H126" s="139">
        <f t="shared" si="35"/>
        <v>161846.54647854812</v>
      </c>
      <c r="I126" s="139">
        <f t="shared" si="35"/>
        <v>158249.95655680262</v>
      </c>
      <c r="J126" s="139">
        <f t="shared" si="35"/>
        <v>154653.36663505711</v>
      </c>
      <c r="K126" s="148"/>
      <c r="L126" s="36"/>
      <c r="M126" s="36"/>
    </row>
    <row r="127" spans="1:13">
      <c r="A127" s="149">
        <v>5</v>
      </c>
      <c r="C127" s="149" t="s">
        <v>479</v>
      </c>
      <c r="E127" s="139">
        <f t="shared" si="35"/>
        <v>0</v>
      </c>
      <c r="F127" s="139">
        <f t="shared" si="35"/>
        <v>0</v>
      </c>
      <c r="G127" s="139">
        <f t="shared" si="35"/>
        <v>0</v>
      </c>
      <c r="H127" s="139">
        <f t="shared" si="35"/>
        <v>0</v>
      </c>
      <c r="I127" s="139">
        <f t="shared" si="35"/>
        <v>172010.8716772123</v>
      </c>
      <c r="J127" s="139">
        <f t="shared" si="35"/>
        <v>168188.40786216315</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165810.17258392999</v>
      </c>
      <c r="K128" s="148"/>
      <c r="L128" s="36"/>
      <c r="M128" s="36"/>
    </row>
    <row r="129" spans="3:13">
      <c r="C129" s="149" t="s">
        <v>72</v>
      </c>
      <c r="E129" s="139">
        <f>SUM(E105:E110)</f>
        <v>0</v>
      </c>
      <c r="F129" s="139">
        <f t="shared" ref="F129:J129" si="36">SUM(F105:F110)</f>
        <v>115662</v>
      </c>
      <c r="G129" s="139">
        <f t="shared" si="36"/>
        <v>251766.5296730414</v>
      </c>
      <c r="H129" s="139">
        <f t="shared" si="36"/>
        <v>397356.80605483626</v>
      </c>
      <c r="I129" s="139">
        <f t="shared" si="36"/>
        <v>550190.48583273881</v>
      </c>
      <c r="J129" s="139">
        <f t="shared" si="36"/>
        <v>709591.90088755998</v>
      </c>
      <c r="K129" s="148"/>
      <c r="L129" s="36"/>
      <c r="M129" s="36"/>
    </row>
    <row r="130" spans="3:13">
      <c r="C130" s="149" t="s">
        <v>67</v>
      </c>
      <c r="E130" s="139">
        <f>SUM(E117:E122)</f>
        <v>0</v>
      </c>
      <c r="F130" s="139">
        <f t="shared" ref="F130:J130" si="37">SUM(F117:F122)</f>
        <v>2570.2666666666669</v>
      </c>
      <c r="G130" s="139">
        <f t="shared" si="37"/>
        <v>5651.9288075490676</v>
      </c>
      <c r="H130" s="139">
        <f t="shared" si="37"/>
        <v>9012.8667006455998</v>
      </c>
      <c r="I130" s="139">
        <f t="shared" si="37"/>
        <v>12609.456622391113</v>
      </c>
      <c r="J130" s="139">
        <f t="shared" si="37"/>
        <v>16431.920437440276</v>
      </c>
      <c r="K130" s="148"/>
      <c r="L130" s="36"/>
      <c r="M130" s="36"/>
    </row>
    <row r="131" spans="3:13" s="36" customFormat="1">
      <c r="C131" s="36" t="s">
        <v>73</v>
      </c>
      <c r="E131" s="139">
        <f>SUM(E123:E128)</f>
        <v>115662</v>
      </c>
      <c r="F131" s="139">
        <f t="shared" ref="F131:J131" si="38">SUM(F123:F128)</f>
        <v>251766.5296730414</v>
      </c>
      <c r="G131" s="139">
        <f t="shared" si="38"/>
        <v>397356.80605483626</v>
      </c>
      <c r="H131" s="139">
        <f t="shared" si="38"/>
        <v>550190.48583273881</v>
      </c>
      <c r="I131" s="139">
        <f t="shared" si="38"/>
        <v>709591.90088755998</v>
      </c>
      <c r="J131" s="139">
        <f t="shared" si="38"/>
        <v>858970.15303404967</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2274933</v>
      </c>
      <c r="F134" s="139">
        <f>E137</f>
        <v>2189373</v>
      </c>
      <c r="G134" s="139">
        <f t="shared" ref="G134:J134" si="39">F137</f>
        <v>2113082.1155927456</v>
      </c>
      <c r="H134" s="139">
        <f t="shared" si="39"/>
        <v>2036791.231185491</v>
      </c>
      <c r="I134" s="139">
        <f t="shared" si="39"/>
        <v>1960500.3467782363</v>
      </c>
      <c r="J134" s="139">
        <f t="shared" si="39"/>
        <v>1884209.4623709817</v>
      </c>
      <c r="K134" s="148"/>
      <c r="L134" s="36"/>
      <c r="M134" s="36"/>
    </row>
    <row r="135" spans="3:13">
      <c r="C135" s="149" t="s">
        <v>41</v>
      </c>
      <c r="E135" s="139">
        <f t="shared" ref="E135:J135" si="40">E55</f>
        <v>8957</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76603</v>
      </c>
      <c r="F136" s="139">
        <f t="shared" si="41"/>
        <v>76290.884407254591</v>
      </c>
      <c r="G136" s="139">
        <f t="shared" si="41"/>
        <v>76290.884407254605</v>
      </c>
      <c r="H136" s="139">
        <f t="shared" si="41"/>
        <v>76290.884407254605</v>
      </c>
      <c r="I136" s="139">
        <f t="shared" si="41"/>
        <v>76290.884407254605</v>
      </c>
      <c r="J136" s="139">
        <f t="shared" si="41"/>
        <v>76290.884407254591</v>
      </c>
      <c r="K136" s="148"/>
      <c r="L136" s="36"/>
      <c r="M136" s="36"/>
    </row>
    <row r="137" spans="3:13">
      <c r="C137" s="149" t="s">
        <v>66</v>
      </c>
      <c r="E137" s="139">
        <f t="shared" ref="E137:J137" si="42">E134-E135-E136</f>
        <v>2189373</v>
      </c>
      <c r="F137" s="139">
        <f t="shared" si="42"/>
        <v>2113082.1155927456</v>
      </c>
      <c r="G137" s="139">
        <f t="shared" si="42"/>
        <v>2036791.231185491</v>
      </c>
      <c r="H137" s="139">
        <f t="shared" si="42"/>
        <v>1960500.3467782363</v>
      </c>
      <c r="I137" s="139">
        <f t="shared" si="42"/>
        <v>1884209.4623709817</v>
      </c>
      <c r="J137" s="139">
        <f t="shared" si="42"/>
        <v>1807918.5779637271</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2274933</v>
      </c>
      <c r="F140" s="139">
        <f t="shared" si="43"/>
        <v>2344086.4905379317</v>
      </c>
      <c r="G140" s="139">
        <f t="shared" si="43"/>
        <v>2448980.8803913612</v>
      </c>
      <c r="H140" s="139">
        <f t="shared" si="43"/>
        <v>2574881.3109825151</v>
      </c>
      <c r="I140" s="139">
        <f t="shared" si="43"/>
        <v>2708755.6410857774</v>
      </c>
      <c r="J140" s="139">
        <f t="shared" si="43"/>
        <v>2850169.4332552021</v>
      </c>
      <c r="K140" s="148"/>
      <c r="L140" s="36"/>
      <c r="M140" s="36"/>
    </row>
    <row r="141" spans="3:13">
      <c r="C141" s="149" t="s">
        <v>268</v>
      </c>
      <c r="E141" s="139">
        <f t="shared" ref="E141:J143" si="44">E60+E98</f>
        <v>39051.490537931873</v>
      </c>
      <c r="F141" s="139">
        <f t="shared" si="44"/>
        <v>46441.53269938111</v>
      </c>
      <c r="G141" s="139">
        <f t="shared" si="44"/>
        <v>59607.902293804989</v>
      </c>
      <c r="H141" s="139">
        <f t="shared" si="44"/>
        <v>62481.499527157357</v>
      </c>
      <c r="I141" s="139">
        <f t="shared" si="44"/>
        <v>65730.064366774663</v>
      </c>
      <c r="J141" s="139">
        <f t="shared" si="44"/>
        <v>69161.580122813888</v>
      </c>
      <c r="K141" s="148"/>
      <c r="L141" s="36"/>
      <c r="M141" s="36"/>
    </row>
    <row r="142" spans="3:13">
      <c r="C142" s="149" t="s">
        <v>267</v>
      </c>
      <c r="E142" s="139">
        <f>E61+E99</f>
        <v>76603</v>
      </c>
      <c r="F142" s="139">
        <f t="shared" si="44"/>
        <v>80221.939185659343</v>
      </c>
      <c r="G142" s="139">
        <f t="shared" si="44"/>
        <v>84949.676891995463</v>
      </c>
      <c r="H142" s="139">
        <f t="shared" si="44"/>
        <v>90453.715902443175</v>
      </c>
      <c r="I142" s="139">
        <f t="shared" si="44"/>
        <v>96327.143874562738</v>
      </c>
      <c r="J142" s="139">
        <f t="shared" si="44"/>
        <v>102576.32661374401</v>
      </c>
      <c r="K142" s="148"/>
      <c r="L142" s="36"/>
      <c r="M142" s="36"/>
    </row>
    <row r="143" spans="3:13">
      <c r="C143" s="149" t="s">
        <v>270</v>
      </c>
      <c r="E143" s="139">
        <f t="shared" si="44"/>
        <v>2344086.4905379317</v>
      </c>
      <c r="F143" s="139">
        <f t="shared" si="44"/>
        <v>2448980.8803913612</v>
      </c>
      <c r="G143" s="139">
        <f t="shared" si="44"/>
        <v>2574881.3109825151</v>
      </c>
      <c r="H143" s="139">
        <f t="shared" si="44"/>
        <v>2708755.6410857774</v>
      </c>
      <c r="I143" s="139">
        <f t="shared" si="44"/>
        <v>2850169.4332552021</v>
      </c>
      <c r="J143" s="216">
        <f t="shared" si="44"/>
        <v>2982564.8593482017</v>
      </c>
      <c r="K143" s="148"/>
      <c r="L143" s="36"/>
      <c r="M143" s="36"/>
    </row>
    <row r="144" spans="3:13">
      <c r="C144" s="149" t="s">
        <v>46</v>
      </c>
      <c r="E144" s="139">
        <f t="shared" ref="E144:J144" si="45">E130+E136</f>
        <v>76603</v>
      </c>
      <c r="F144" s="139">
        <f t="shared" si="45"/>
        <v>78861.151073921254</v>
      </c>
      <c r="G144" s="139">
        <f t="shared" si="45"/>
        <v>81942.813214803668</v>
      </c>
      <c r="H144" s="139">
        <f t="shared" si="45"/>
        <v>85303.7511079002</v>
      </c>
      <c r="I144" s="139">
        <f t="shared" si="45"/>
        <v>88900.341029645715</v>
      </c>
      <c r="J144" s="139">
        <f t="shared" si="45"/>
        <v>92722.804844694867</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1.0303980339367935</v>
      </c>
      <c r="G148" s="308">
        <f t="shared" ref="G148:J148" si="46">G140/$E140</f>
        <v>1.0765068159771567</v>
      </c>
      <c r="H148" s="308">
        <f t="shared" si="46"/>
        <v>1.1318492944550522</v>
      </c>
      <c r="I148" s="308">
        <f t="shared" si="46"/>
        <v>1.1906968869350338</v>
      </c>
      <c r="J148" s="308">
        <f t="shared" si="46"/>
        <v>1.2528586262783132</v>
      </c>
      <c r="K148" s="148"/>
      <c r="L148" s="36"/>
      <c r="M148" s="36"/>
    </row>
    <row r="149" spans="1:13">
      <c r="C149" s="149" t="s">
        <v>98</v>
      </c>
      <c r="E149" s="135">
        <f>IF(E18&gt;0,E18,0)</f>
        <v>478.96003197862365</v>
      </c>
      <c r="F149" s="139">
        <f>$E149*F148</f>
        <v>493.51947528507753</v>
      </c>
      <c r="G149" s="139">
        <f t="shared" ref="G149:J149" si="47">$E149*G148</f>
        <v>515.60373900562524</v>
      </c>
      <c r="H149" s="139">
        <f t="shared" si="47"/>
        <v>542.11057426717446</v>
      </c>
      <c r="I149" s="139">
        <f t="shared" si="47"/>
        <v>570.29621904325143</v>
      </c>
      <c r="J149" s="139">
        <f t="shared" si="47"/>
        <v>600.06920770695535</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9.7603180336305453E-2</v>
      </c>
      <c r="E152" s="36"/>
      <c r="F152" s="36"/>
      <c r="G152" s="36"/>
      <c r="H152" s="36"/>
      <c r="I152" s="36"/>
      <c r="J152" s="36"/>
      <c r="K152" s="148"/>
      <c r="L152" s="36"/>
      <c r="M152" s="36"/>
    </row>
    <row r="153" spans="1:13">
      <c r="C153" s="149" t="s">
        <v>282</v>
      </c>
      <c r="E153" s="135">
        <f>E16</f>
        <v>847206</v>
      </c>
      <c r="F153" s="139">
        <f>E157</f>
        <v>871221</v>
      </c>
      <c r="G153" s="139">
        <f t="shared" ref="G153:J153" si="48">F157</f>
        <v>924861.85596393165</v>
      </c>
      <c r="H153" s="139">
        <f t="shared" si="48"/>
        <v>985834.60263945779</v>
      </c>
      <c r="I153" s="139">
        <f t="shared" si="48"/>
        <v>1051460.5566148169</v>
      </c>
      <c r="J153" s="139">
        <f t="shared" si="48"/>
        <v>1120845.533968241</v>
      </c>
      <c r="K153" s="148"/>
      <c r="L153" s="36"/>
      <c r="M153" s="36"/>
    </row>
    <row r="154" spans="1:13">
      <c r="C154" s="149" t="s">
        <v>35</v>
      </c>
      <c r="E154" s="135">
        <f>E15</f>
        <v>82690</v>
      </c>
      <c r="F154" s="139">
        <f t="shared" ref="F154:J154" si="49">F153*$D152</f>
        <v>85033.940375776379</v>
      </c>
      <c r="G154" s="139">
        <f t="shared" si="49"/>
        <v>90269.458513817779</v>
      </c>
      <c r="H154" s="139">
        <f t="shared" si="49"/>
        <v>96220.592503189022</v>
      </c>
      <c r="I154" s="139">
        <f t="shared" si="49"/>
        <v>102625.89432378809</v>
      </c>
      <c r="J154" s="139">
        <f t="shared" si="49"/>
        <v>109398.0887810448</v>
      </c>
      <c r="K154" s="148"/>
      <c r="L154" s="36"/>
      <c r="M154" s="36"/>
    </row>
    <row r="155" spans="1:13">
      <c r="C155" s="149" t="s">
        <v>124</v>
      </c>
      <c r="E155" s="139">
        <f t="shared" ref="E155:J155" si="50">E25</f>
        <v>115662</v>
      </c>
      <c r="F155" s="139">
        <f t="shared" si="50"/>
        <v>138674.79633970806</v>
      </c>
      <c r="G155" s="139">
        <f t="shared" si="50"/>
        <v>151242.20518934392</v>
      </c>
      <c r="H155" s="139">
        <f t="shared" si="50"/>
        <v>161846.54647854812</v>
      </c>
      <c r="I155" s="139">
        <f t="shared" si="50"/>
        <v>172010.8716772123</v>
      </c>
      <c r="J155" s="139">
        <f t="shared" si="50"/>
        <v>165810.17258392999</v>
      </c>
      <c r="K155" s="148"/>
      <c r="L155" s="309"/>
      <c r="M155" s="36"/>
    </row>
    <row r="156" spans="1:13">
      <c r="C156" s="149" t="s">
        <v>41</v>
      </c>
      <c r="E156" s="139">
        <f>E55</f>
        <v>8957</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871221</v>
      </c>
      <c r="F157" s="139">
        <f t="shared" ref="F157:J157" si="52">F153-F154+F155-F156</f>
        <v>924861.85596393165</v>
      </c>
      <c r="G157" s="139">
        <f t="shared" si="52"/>
        <v>985834.60263945779</v>
      </c>
      <c r="H157" s="139">
        <f t="shared" si="52"/>
        <v>1051460.5566148169</v>
      </c>
      <c r="I157" s="139">
        <f t="shared" si="52"/>
        <v>1120845.533968241</v>
      </c>
      <c r="J157" s="139">
        <f t="shared" si="52"/>
        <v>1177257.6177711261</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-6087</v>
      </c>
      <c r="F160" s="139">
        <f t="shared" si="53"/>
        <v>-6172.7893018551258</v>
      </c>
      <c r="G160" s="139">
        <f t="shared" si="53"/>
        <v>-8326.6452990141115</v>
      </c>
      <c r="H160" s="139">
        <f t="shared" si="53"/>
        <v>-10916.841395288822</v>
      </c>
      <c r="I160" s="139">
        <f t="shared" si="53"/>
        <v>-13725.553294142373</v>
      </c>
      <c r="J160" s="139">
        <f t="shared" si="53"/>
        <v>-16675.283936349937</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-12574.358469259723</v>
      </c>
      <c r="G163" s="310">
        <f t="shared" ref="G163:J163" si="54">F166</f>
        <v>-25174.453729075984</v>
      </c>
      <c r="H163" s="310">
        <f t="shared" si="54"/>
        <v>-37537.622317442343</v>
      </c>
      <c r="I163" s="310">
        <f t="shared" si="54"/>
        <v>-50626.045812765624</v>
      </c>
      <c r="J163" s="310">
        <f t="shared" si="54"/>
        <v>-64500.908639767898</v>
      </c>
      <c r="K163" s="148"/>
      <c r="L163" s="36"/>
      <c r="M163" s="36"/>
    </row>
    <row r="164" spans="3:13">
      <c r="C164" s="149" t="s">
        <v>238</v>
      </c>
      <c r="E164" s="139">
        <f t="shared" ref="E164:J164" si="55">E160</f>
        <v>-6087</v>
      </c>
      <c r="F164" s="139">
        <f t="shared" si="55"/>
        <v>-6172.7893018551258</v>
      </c>
      <c r="G164" s="139">
        <f t="shared" si="55"/>
        <v>-8326.6452990141115</v>
      </c>
      <c r="H164" s="139">
        <f t="shared" si="55"/>
        <v>-10916.841395288822</v>
      </c>
      <c r="I164" s="139">
        <f t="shared" si="55"/>
        <v>-13725.553294142373</v>
      </c>
      <c r="J164" s="139">
        <f t="shared" si="55"/>
        <v>-16675.283936349937</v>
      </c>
      <c r="K164" s="148"/>
      <c r="L164" s="36"/>
      <c r="M164" s="36"/>
    </row>
    <row r="165" spans="3:13">
      <c r="C165" s="149" t="s">
        <v>49</v>
      </c>
      <c r="E165" s="135">
        <f>(E11-E16)/E17</f>
        <v>35827.528230865748</v>
      </c>
      <c r="F165" s="139">
        <f>E165</f>
        <v>35827.528230865748</v>
      </c>
      <c r="G165" s="139">
        <f t="shared" ref="G165:J165" si="56">F165</f>
        <v>35827.528230865748</v>
      </c>
      <c r="H165" s="139">
        <f t="shared" si="56"/>
        <v>35827.528230865748</v>
      </c>
      <c r="I165" s="139">
        <f t="shared" si="56"/>
        <v>35827.528230865748</v>
      </c>
      <c r="J165" s="139">
        <f t="shared" si="56"/>
        <v>35827.528230865748</v>
      </c>
      <c r="K165" s="148"/>
      <c r="L165" s="36"/>
      <c r="M165" s="36"/>
    </row>
    <row r="166" spans="3:13">
      <c r="C166" s="149" t="s">
        <v>266</v>
      </c>
      <c r="E166" s="310">
        <f t="shared" ref="E166:J166" si="57">E163+(E164-E165)*E52</f>
        <v>-12574.358469259723</v>
      </c>
      <c r="F166" s="310">
        <f t="shared" si="57"/>
        <v>-25174.453729075984</v>
      </c>
      <c r="G166" s="310">
        <f t="shared" si="57"/>
        <v>-37537.622317442343</v>
      </c>
      <c r="H166" s="310">
        <f t="shared" si="57"/>
        <v>-50626.045812765624</v>
      </c>
      <c r="I166" s="310">
        <f t="shared" si="57"/>
        <v>-64500.908639767898</v>
      </c>
      <c r="J166" s="310">
        <f t="shared" si="57"/>
        <v>-79201.696046588288</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2274933</v>
      </c>
      <c r="F169" s="139">
        <f t="shared" si="58"/>
        <v>2331512.1320686718</v>
      </c>
      <c r="G169" s="139">
        <f t="shared" si="58"/>
        <v>2423806.4266622853</v>
      </c>
      <c r="H169" s="139">
        <f t="shared" si="58"/>
        <v>2537343.6886650729</v>
      </c>
      <c r="I169" s="139">
        <f t="shared" si="58"/>
        <v>2658129.5952730118</v>
      </c>
      <c r="J169" s="139">
        <f t="shared" si="58"/>
        <v>2785668.5246154345</v>
      </c>
      <c r="K169" s="148"/>
      <c r="L169" s="36"/>
      <c r="M169" s="36"/>
    </row>
    <row r="170" spans="3:13">
      <c r="C170" s="149" t="s">
        <v>124</v>
      </c>
      <c r="E170" s="139">
        <f t="shared" ref="E170:J170" si="59">E25</f>
        <v>115662</v>
      </c>
      <c r="F170" s="139">
        <f t="shared" si="59"/>
        <v>138674.79633970806</v>
      </c>
      <c r="G170" s="139">
        <f t="shared" si="59"/>
        <v>151242.20518934392</v>
      </c>
      <c r="H170" s="139">
        <f t="shared" si="59"/>
        <v>161846.54647854812</v>
      </c>
      <c r="I170" s="139">
        <f t="shared" si="59"/>
        <v>172010.8716772123</v>
      </c>
      <c r="J170" s="139">
        <f t="shared" si="59"/>
        <v>165810.17258392999</v>
      </c>
      <c r="K170" s="148"/>
      <c r="L170" s="36"/>
      <c r="M170" s="36"/>
    </row>
    <row r="171" spans="3:13">
      <c r="C171" s="149" t="s">
        <v>222</v>
      </c>
      <c r="E171" s="95">
        <f t="shared" ref="E171:J171" si="60">E149</f>
        <v>478.96003197862365</v>
      </c>
      <c r="F171" s="95">
        <f t="shared" si="60"/>
        <v>493.51947528507753</v>
      </c>
      <c r="G171" s="95">
        <f t="shared" si="60"/>
        <v>515.60373900562524</v>
      </c>
      <c r="H171" s="95">
        <f t="shared" si="60"/>
        <v>542.11057426717446</v>
      </c>
      <c r="I171" s="95">
        <f t="shared" si="60"/>
        <v>570.29621904325143</v>
      </c>
      <c r="J171" s="95">
        <f t="shared" si="60"/>
        <v>600.06920770695535</v>
      </c>
      <c r="K171" s="148"/>
      <c r="L171" s="36"/>
      <c r="M171" s="36"/>
    </row>
    <row r="172" spans="3:13">
      <c r="C172" s="149" t="s">
        <v>45</v>
      </c>
      <c r="E172" s="95">
        <f t="shared" ref="E172:J172" si="61">E141</f>
        <v>39051.490537931873</v>
      </c>
      <c r="F172" s="95">
        <f t="shared" si="61"/>
        <v>46441.53269938111</v>
      </c>
      <c r="G172" s="95">
        <f t="shared" si="61"/>
        <v>59607.902293804989</v>
      </c>
      <c r="H172" s="95">
        <f t="shared" si="61"/>
        <v>62481.499527157357</v>
      </c>
      <c r="I172" s="95">
        <f t="shared" si="61"/>
        <v>65730.064366774663</v>
      </c>
      <c r="J172" s="95">
        <f t="shared" si="61"/>
        <v>69161.580122813888</v>
      </c>
      <c r="K172" s="148"/>
      <c r="L172" s="36"/>
      <c r="M172" s="36"/>
    </row>
    <row r="173" spans="3:13">
      <c r="C173" s="149" t="s">
        <v>334</v>
      </c>
      <c r="E173" s="139">
        <f t="shared" ref="E173:J173" si="62">E169*WACC+E170*($D$46-1)+E171-E172</f>
        <v>165890.40734613969</v>
      </c>
      <c r="F173" s="139">
        <f t="shared" si="62"/>
        <v>164462.05721062273</v>
      </c>
      <c r="G173" s="139">
        <f t="shared" si="62"/>
        <v>159949.97311427648</v>
      </c>
      <c r="H173" s="139">
        <f t="shared" si="62"/>
        <v>167514.056265158</v>
      </c>
      <c r="I173" s="139">
        <f t="shared" si="62"/>
        <v>175321.72033366654</v>
      </c>
      <c r="J173" s="139">
        <f t="shared" si="62"/>
        <v>182839.69920197298</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79855.922267978618</v>
      </c>
      <c r="F176" s="310">
        <f t="shared" si="63"/>
        <v>81844.640787425174</v>
      </c>
      <c r="G176" s="310">
        <f t="shared" si="63"/>
        <v>85087.057578106091</v>
      </c>
      <c r="H176" s="310">
        <f t="shared" si="63"/>
        <v>89075.106559168897</v>
      </c>
      <c r="I176" s="310">
        <f t="shared" si="63"/>
        <v>93317.754057309168</v>
      </c>
      <c r="J176" s="310">
        <f t="shared" si="63"/>
        <v>97797.615368588682</v>
      </c>
      <c r="K176" s="148"/>
      <c r="L176" s="36"/>
      <c r="M176" s="36"/>
    </row>
    <row r="177" spans="3:13">
      <c r="C177" s="149" t="s">
        <v>52</v>
      </c>
      <c r="E177" s="310">
        <f t="shared" ref="E177:J177" si="64">E142-E144</f>
        <v>0</v>
      </c>
      <c r="F177" s="310">
        <f t="shared" si="64"/>
        <v>1360.7881117380894</v>
      </c>
      <c r="G177" s="310">
        <f t="shared" si="64"/>
        <v>3006.8636771917954</v>
      </c>
      <c r="H177" s="310">
        <f t="shared" si="64"/>
        <v>5149.9647945429751</v>
      </c>
      <c r="I177" s="310">
        <f t="shared" si="64"/>
        <v>7426.8028449170233</v>
      </c>
      <c r="J177" s="310">
        <f t="shared" si="64"/>
        <v>9853.5217690491409</v>
      </c>
      <c r="K177" s="148"/>
      <c r="L177" s="36"/>
      <c r="M177" s="36"/>
    </row>
    <row r="178" spans="3:13">
      <c r="C178" s="149" t="s">
        <v>53</v>
      </c>
      <c r="E178" s="310">
        <f t="shared" ref="E178:J178" si="65">E165+E177-E176</f>
        <v>-44028.39403711287</v>
      </c>
      <c r="F178" s="310">
        <f t="shared" si="65"/>
        <v>-44656.324444821337</v>
      </c>
      <c r="G178" s="310">
        <f t="shared" si="65"/>
        <v>-46252.665670048547</v>
      </c>
      <c r="H178" s="310">
        <f t="shared" si="65"/>
        <v>-48097.613533760174</v>
      </c>
      <c r="I178" s="310">
        <f t="shared" si="65"/>
        <v>-50063.422981526397</v>
      </c>
      <c r="J178" s="310">
        <f t="shared" si="65"/>
        <v>-52116.565368673793</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76603</v>
      </c>
      <c r="F181" s="139">
        <f t="shared" si="66"/>
        <v>80221.939185659343</v>
      </c>
      <c r="G181" s="139">
        <f t="shared" si="66"/>
        <v>84949.676891995463</v>
      </c>
      <c r="H181" s="139">
        <f t="shared" si="66"/>
        <v>90453.715902443175</v>
      </c>
      <c r="I181" s="139">
        <f t="shared" si="66"/>
        <v>96327.143874562738</v>
      </c>
      <c r="J181" s="139">
        <f t="shared" si="66"/>
        <v>102576.32661374401</v>
      </c>
      <c r="K181" s="148"/>
      <c r="L181" s="36"/>
      <c r="M181" s="36"/>
    </row>
    <row r="182" spans="3:13">
      <c r="C182" s="149" t="s">
        <v>275</v>
      </c>
      <c r="E182" s="139">
        <f>E55</f>
        <v>8957</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85560</v>
      </c>
      <c r="F183" s="95">
        <f>F181+F182</f>
        <v>80221.939185659343</v>
      </c>
      <c r="G183" s="95">
        <f t="shared" ref="G183:J183" si="68">G181+G182</f>
        <v>84949.676891995463</v>
      </c>
      <c r="H183" s="95">
        <f t="shared" si="68"/>
        <v>90453.715902443175</v>
      </c>
      <c r="I183" s="95">
        <f t="shared" si="68"/>
        <v>96327.143874562738</v>
      </c>
      <c r="J183" s="95">
        <f t="shared" si="68"/>
        <v>102576.32661374401</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10557.887455630274</v>
      </c>
      <c r="F186" s="139">
        <f t="shared" ref="F186:J186" si="69">F40</f>
        <v>11029.47951153354</v>
      </c>
      <c r="G186" s="139">
        <f t="shared" si="69"/>
        <v>11202.717409620454</v>
      </c>
      <c r="H186" s="139">
        <f t="shared" si="69"/>
        <v>11414.452618393349</v>
      </c>
      <c r="I186" s="139">
        <f t="shared" si="69"/>
        <v>11655.060810180728</v>
      </c>
      <c r="J186" s="139">
        <f t="shared" si="69"/>
        <v>11914.9176573111</v>
      </c>
      <c r="K186" s="148"/>
      <c r="L186" s="36"/>
      <c r="M186" s="36"/>
    </row>
    <row r="187" spans="3:13">
      <c r="E187" s="36"/>
      <c r="F187" s="95"/>
      <c r="G187" s="95"/>
      <c r="H187" s="95"/>
      <c r="I187" s="95"/>
      <c r="J187" s="95"/>
      <c r="K187" s="148"/>
      <c r="L187" s="36"/>
      <c r="M187" s="36"/>
    </row>
    <row r="188" spans="3:13" ht="15.75">
      <c r="C188" s="5" t="s">
        <v>297</v>
      </c>
      <c r="E188" s="139">
        <f t="shared" ref="E188:J188" si="70">E24</f>
        <v>102194</v>
      </c>
      <c r="F188" s="139">
        <f t="shared" si="70"/>
        <v>105512.33161010731</v>
      </c>
      <c r="G188" s="139">
        <f t="shared" si="70"/>
        <v>109789.38825216993</v>
      </c>
      <c r="H188" s="139">
        <f t="shared" si="70"/>
        <v>113635.01445818858</v>
      </c>
      <c r="I188" s="139">
        <f t="shared" si="70"/>
        <v>117376.25241540952</v>
      </c>
      <c r="J188" s="139">
        <f t="shared" si="70"/>
        <v>121268.45135062622</v>
      </c>
      <c r="K188" s="148"/>
      <c r="L188" s="309"/>
      <c r="M188" s="36"/>
    </row>
    <row r="189" spans="3:13">
      <c r="C189" s="149" t="s">
        <v>298</v>
      </c>
      <c r="E189" s="139">
        <f t="shared" ref="E189:J189" si="71">E188*$D$44</f>
        <v>106568.76922049931</v>
      </c>
      <c r="F189" s="139">
        <f t="shared" si="71"/>
        <v>110029.15354398811</v>
      </c>
      <c r="G189" s="139">
        <f t="shared" si="71"/>
        <v>114489.30445530359</v>
      </c>
      <c r="H189" s="139">
        <f t="shared" si="71"/>
        <v>118499.55605185042</v>
      </c>
      <c r="I189" s="139">
        <f t="shared" si="71"/>
        <v>122400.9506979358</v>
      </c>
      <c r="J189" s="139">
        <f t="shared" si="71"/>
        <v>126459.76873116066</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-12574.358469259723</v>
      </c>
      <c r="F192" s="310">
        <f t="shared" si="72"/>
        <v>-12600.09525981626</v>
      </c>
      <c r="G192" s="310">
        <f t="shared" si="72"/>
        <v>-12363.168588366359</v>
      </c>
      <c r="H192" s="310">
        <f t="shared" si="72"/>
        <v>-13088.423495323281</v>
      </c>
      <c r="I192" s="310">
        <f t="shared" si="72"/>
        <v>-13874.862827002275</v>
      </c>
      <c r="J192" s="310">
        <f t="shared" si="72"/>
        <v>-14700.787406820389</v>
      </c>
      <c r="K192" s="148"/>
      <c r="L192" s="309"/>
      <c r="M192" s="36"/>
    </row>
    <row r="193" spans="2:15">
      <c r="C193" s="149" t="s">
        <v>285</v>
      </c>
      <c r="E193" s="36"/>
      <c r="F193" s="310">
        <f>(F173+F183+F189+((F186-F188-F142+F178)*F52+F192)*$D45-F192-F186*$D47)/($D48-F52*$D45)</f>
        <v>379654.39532367705</v>
      </c>
      <c r="G193" s="310">
        <f>(G173+G183+G189+((G186-G188-G142+G178)*G52+G192)*$D45-G192-G186*$D47)/($D48-G52*$D45)</f>
        <v>377119.5290970123</v>
      </c>
      <c r="H193" s="310">
        <f>(H173+H183+H189+((H186-H188-H142+H178)*H52+H192)*$D45-H192-H186*$D47)/($D48-H52*$D45)</f>
        <v>395457.88432414463</v>
      </c>
      <c r="I193" s="310">
        <f>(I173+I183+I189+((I186-I188-I142+I178)*I52+I192)*$D45-I192-I186*$D47)/($D48-I52*$D45)</f>
        <v>414290.59074602649</v>
      </c>
      <c r="J193" s="310">
        <f>(J173+J183+J189+((J186-J188-J142+J178)*J52+J192)*$D45-J192-J186*$D47)/($D48-J52*$D45)</f>
        <v>433188.00332370889</v>
      </c>
      <c r="K193" s="148"/>
      <c r="L193" s="309"/>
      <c r="M193" s="36"/>
    </row>
    <row r="194" spans="2:15">
      <c r="C194" s="149" t="s">
        <v>293</v>
      </c>
      <c r="E194" s="36"/>
      <c r="F194" s="310">
        <f>(F193+F186-F188-F181+F178)*F52</f>
        <v>48087.983878386767</v>
      </c>
      <c r="G194" s="310">
        <f>(G193+G186-G188-G181+G178)*G52</f>
        <v>41252.544393877266</v>
      </c>
      <c r="H194" s="310">
        <f>(H193+H186-H188-H181+H178)*H52</f>
        <v>43312.078053480887</v>
      </c>
      <c r="I194" s="310">
        <f>(I193+I186-I188-I181+I178)*I52</f>
        <v>45410.073039718387</v>
      </c>
      <c r="J194" s="310">
        <f>(J193+J186-J188-J181+J178)*J52</f>
        <v>47359.641741433275</v>
      </c>
      <c r="K194" s="148"/>
      <c r="L194" s="309"/>
      <c r="M194" s="36"/>
    </row>
    <row r="195" spans="2:15">
      <c r="C195" s="149" t="s">
        <v>277</v>
      </c>
      <c r="E195" s="36"/>
      <c r="F195" s="310">
        <f>IF(F194&lt;0,#N/A,F194)</f>
        <v>48087.983878386767</v>
      </c>
      <c r="G195" s="310">
        <f t="shared" ref="G195:J195" si="73">IF(G194&lt;0,#N/A,G194)</f>
        <v>41252.544393877266</v>
      </c>
      <c r="H195" s="310">
        <f t="shared" si="73"/>
        <v>43312.078053480887</v>
      </c>
      <c r="I195" s="310">
        <f>IF(I194&lt;0,#N/A,I194)</f>
        <v>45410.073039718387</v>
      </c>
      <c r="J195" s="310">
        <f t="shared" si="73"/>
        <v>47359.641741433275</v>
      </c>
      <c r="K195" s="148"/>
      <c r="L195" s="309"/>
      <c r="M195" s="36"/>
    </row>
    <row r="196" spans="2:15">
      <c r="C196" s="149" t="s">
        <v>286</v>
      </c>
      <c r="E196" s="36"/>
      <c r="F196" s="310">
        <f>F173+F183+F189+(F195+F192)*$D$45-F192-F186*$D$47</f>
        <v>392818.68148429476</v>
      </c>
      <c r="G196" s="310">
        <f>G173+G183+G189+(G195+G192)*$D$45-G192-G186*$D$47</f>
        <v>390195.92030685971</v>
      </c>
      <c r="H196" s="310">
        <f>H173+H183+H189+(H195+H192)*$D$45-H192-H186*$D$47</f>
        <v>409170.14689199184</v>
      </c>
      <c r="I196" s="310">
        <f>I173+I183+I189+(I195+I192)*$D$45-I192-I186*$D$47</f>
        <v>428655.86600006989</v>
      </c>
      <c r="J196" s="310">
        <f>J173+J183+J189+(J195+J192)*$D$45-J192-J186*$D$47</f>
        <v>448208.53491070168</v>
      </c>
      <c r="K196" s="148"/>
      <c r="L196" s="309"/>
      <c r="M196" s="36"/>
    </row>
    <row r="197" spans="2:15">
      <c r="C197" s="149" t="s">
        <v>287</v>
      </c>
      <c r="E197" s="36"/>
      <c r="F197" s="310">
        <f>F196/$D$48</f>
        <v>379654.39532367705</v>
      </c>
      <c r="G197" s="310">
        <f t="shared" ref="G197:J197" si="74">G196/$D$48</f>
        <v>377119.5290970123</v>
      </c>
      <c r="H197" s="310">
        <f t="shared" si="74"/>
        <v>395457.88432414469</v>
      </c>
      <c r="I197" s="310">
        <f t="shared" si="74"/>
        <v>414290.59074602643</v>
      </c>
      <c r="J197" s="310">
        <f t="shared" si="74"/>
        <v>433188.00332370895</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35487.888618570505</v>
      </c>
      <c r="G199" s="310">
        <f t="shared" ref="G199:J199" si="75">G195+G192</f>
        <v>28889.375805510907</v>
      </c>
      <c r="H199" s="310">
        <f t="shared" si="75"/>
        <v>30223.654558157607</v>
      </c>
      <c r="I199" s="310">
        <f t="shared" si="75"/>
        <v>31535.210212716112</v>
      </c>
      <c r="J199" s="310">
        <f t="shared" si="75"/>
        <v>32658.854334612886</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409170.14689199184</v>
      </c>
      <c r="I204" s="310">
        <f>I196</f>
        <v>428655.86600006989</v>
      </c>
      <c r="J204" s="310">
        <f>J196</f>
        <v>448208.53491070168</v>
      </c>
      <c r="K204" s="148"/>
      <c r="L204" s="36"/>
      <c r="M204" s="36"/>
    </row>
    <row r="205" spans="2:15">
      <c r="B205" s="149" t="s">
        <v>247</v>
      </c>
      <c r="C205" s="149" t="s">
        <v>249</v>
      </c>
      <c r="D205" s="155"/>
      <c r="E205" s="36"/>
      <c r="F205" s="310"/>
      <c r="G205" s="310"/>
      <c r="H205" s="310">
        <f>H204/(1+WACC)^H$203</f>
        <v>376179.22854830552</v>
      </c>
      <c r="I205" s="310">
        <f>I204/(1+WACC)^I$203</f>
        <v>362318.50375643454</v>
      </c>
      <c r="J205" s="310">
        <f>J204/(1+WACC)^J$203</f>
        <v>348299.40827340318</v>
      </c>
      <c r="K205" s="148"/>
      <c r="L205" s="36"/>
      <c r="M205" s="36"/>
    </row>
    <row r="206" spans="2:15">
      <c r="B206" s="149" t="s">
        <v>247</v>
      </c>
      <c r="C206" s="149" t="s">
        <v>159</v>
      </c>
      <c r="D206" s="92">
        <f>SUM(H205:J205)</f>
        <v>1086797.1405781433</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1086797.1405781433</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1.0391725560596226</v>
      </c>
      <c r="J211" s="316">
        <f>I211*(1+J$31)*(1+J$26)*(1-X_industry_wide)</f>
        <v>1.0801089777750115</v>
      </c>
      <c r="K211" s="148"/>
      <c r="L211" s="36" t="s">
        <v>509</v>
      </c>
      <c r="M211" s="36"/>
    </row>
    <row r="212" spans="1:13">
      <c r="C212" s="149" t="s">
        <v>160</v>
      </c>
      <c r="D212" s="155"/>
      <c r="E212" s="36"/>
      <c r="F212" s="317"/>
      <c r="G212" s="316"/>
      <c r="H212" s="316">
        <f>H211/(1+WACC)^H$203</f>
        <v>0.91937115013330895</v>
      </c>
      <c r="I212" s="316">
        <f>I211/(1+WACC)^I$203</f>
        <v>0.8783536527089324</v>
      </c>
      <c r="J212" s="316">
        <f>J211/(1+WACC)^J$203</f>
        <v>0.83934438665872113</v>
      </c>
      <c r="K212" s="148"/>
      <c r="L212" s="36" t="s">
        <v>280</v>
      </c>
      <c r="M212" s="36"/>
    </row>
    <row r="213" spans="1:13">
      <c r="C213" s="149" t="s">
        <v>99</v>
      </c>
      <c r="D213" s="140">
        <f>SUM(H212:J212)</f>
        <v>2.6370691895009624</v>
      </c>
      <c r="E213" s="36"/>
      <c r="F213" s="317"/>
      <c r="G213" s="316"/>
      <c r="H213" s="316"/>
      <c r="I213" s="316"/>
      <c r="J213" s="316"/>
      <c r="K213" s="148"/>
      <c r="L213" s="36" t="s">
        <v>510</v>
      </c>
      <c r="M213" s="36"/>
    </row>
    <row r="214" spans="1:13">
      <c r="C214" s="149" t="s">
        <v>256</v>
      </c>
      <c r="D214" s="26">
        <f>D210/D213</f>
        <v>412123.10427994811</v>
      </c>
      <c r="E214" s="36"/>
      <c r="F214" s="317"/>
      <c r="G214" s="316"/>
      <c r="H214" s="310"/>
      <c r="I214" s="310"/>
      <c r="J214" s="310"/>
      <c r="K214" s="148"/>
      <c r="L214" s="36"/>
      <c r="M214" s="36"/>
    </row>
    <row r="215" spans="1:13">
      <c r="C215" s="149" t="s">
        <v>252</v>
      </c>
      <c r="D215" s="26"/>
      <c r="E215" s="36"/>
      <c r="F215" s="317"/>
      <c r="G215" s="316"/>
      <c r="H215" s="310">
        <f t="shared" ref="H215:J215" si="76">$D214*H211</f>
        <v>412123.10427994811</v>
      </c>
      <c r="I215" s="310">
        <f t="shared" si="76"/>
        <v>428267.01968582004</v>
      </c>
      <c r="J215" s="310">
        <f t="shared" si="76"/>
        <v>445137.86488127918</v>
      </c>
      <c r="K215" s="148"/>
      <c r="L215" s="36" t="s">
        <v>243</v>
      </c>
      <c r="M215" s="36"/>
    </row>
    <row r="216" spans="1:13">
      <c r="C216" s="149" t="s">
        <v>253</v>
      </c>
      <c r="D216" s="26"/>
      <c r="E216" s="36"/>
      <c r="F216" s="317"/>
      <c r="G216" s="316"/>
      <c r="H216" s="247">
        <f t="shared" ref="H216:J216" si="77">H215/$D$48</f>
        <v>398311.88110277284</v>
      </c>
      <c r="I216" s="247">
        <f t="shared" si="77"/>
        <v>413914.77559448488</v>
      </c>
      <c r="J216" s="247">
        <f t="shared" si="77"/>
        <v>430220.23873355781</v>
      </c>
      <c r="K216" s="148"/>
      <c r="L216" s="36" t="s">
        <v>245</v>
      </c>
      <c r="M216" s="36"/>
    </row>
    <row r="217" spans="1:13">
      <c r="C217" s="149" t="s">
        <v>252</v>
      </c>
      <c r="D217" s="26"/>
      <c r="E217" s="36"/>
      <c r="F217" s="317"/>
      <c r="G217" s="316"/>
      <c r="H217" s="247">
        <f>H216*$D$48</f>
        <v>412123.10427994811</v>
      </c>
      <c r="I217" s="247">
        <f t="shared" ref="I217:J217" si="78">I216*$D$48</f>
        <v>428267.01968582004</v>
      </c>
      <c r="J217" s="247">
        <f t="shared" si="78"/>
        <v>445137.86488127918</v>
      </c>
      <c r="K217" s="148"/>
      <c r="L217" s="36" t="s">
        <v>299</v>
      </c>
      <c r="M217" s="36"/>
    </row>
    <row r="218" spans="1:13">
      <c r="C218" s="149" t="s">
        <v>254</v>
      </c>
      <c r="D218" s="155"/>
      <c r="E218" s="36"/>
      <c r="F218" s="317"/>
      <c r="G218" s="316"/>
      <c r="H218" s="310">
        <f>H215/(1+WACC)^H$203</f>
        <v>378894.09237836552</v>
      </c>
      <c r="I218" s="310">
        <f>I215/(1+WACC)^I$203</f>
        <v>361989.83401003666</v>
      </c>
      <c r="J218" s="310">
        <f>J215/(1+WACC)^J$203</f>
        <v>345913.21418974118</v>
      </c>
      <c r="K218" s="148"/>
      <c r="L218" s="36" t="s">
        <v>246</v>
      </c>
      <c r="M218" s="36"/>
    </row>
    <row r="219" spans="1:13">
      <c r="C219" s="149" t="s">
        <v>255</v>
      </c>
      <c r="D219" s="26">
        <f>SUM(H218:J218)</f>
        <v>1086797.1405781433</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707903.04819977784</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1.7928077816185075E-2</v>
      </c>
      <c r="G226" s="204">
        <f t="shared" ref="G226:J226" si="80">G$26</f>
        <v>1.7232034080132973E-2</v>
      </c>
      <c r="H226" s="204">
        <f t="shared" si="80"/>
        <v>1.5428493374154801E-2</v>
      </c>
      <c r="I226" s="204">
        <f t="shared" si="80"/>
        <v>1.4369317373142673E-2</v>
      </c>
      <c r="J226" s="204">
        <f t="shared" si="80"/>
        <v>1.476912324876898E-2</v>
      </c>
      <c r="K226" s="148"/>
      <c r="L226" s="36"/>
      <c r="M226" s="36"/>
    </row>
    <row r="227" spans="1:14">
      <c r="A227" s="19"/>
      <c r="B227" s="19" t="s">
        <v>263</v>
      </c>
      <c r="C227" s="149" t="s">
        <v>411</v>
      </c>
      <c r="E227" s="163">
        <f>E$8-E$9-E$10</f>
        <v>379268</v>
      </c>
      <c r="F227" s="247">
        <f>E227*(1+F225)*(1+F226)*(1-X_industry_wide)</f>
        <v>395584.26221780217</v>
      </c>
      <c r="G227" s="247">
        <f>F227*(1+G225)*(1+G226)*(1-X_industry_wide)</f>
        <v>409568.4312528281</v>
      </c>
      <c r="H227" s="320">
        <f>G227*(1+H225)*(1+H226)*(1-X_industry_wide)</f>
        <v>434980.47006392456</v>
      </c>
      <c r="I227" s="247">
        <f>H227*(1+I225)*(1+I226)*(1-X_industry_wide)</f>
        <v>452019.76691234461</v>
      </c>
      <c r="J227" s="247">
        <f>I227*(1+J225)*(1+J226)*(1-X_industry_wide)</f>
        <v>469826.31087283947</v>
      </c>
      <c r="K227" s="148"/>
      <c r="L227" s="300"/>
      <c r="M227" s="36"/>
    </row>
    <row r="228" spans="1:14">
      <c r="A228" s="19"/>
      <c r="B228" s="19"/>
      <c r="C228" s="149" t="s">
        <v>358</v>
      </c>
      <c r="E228" s="215"/>
      <c r="F228" s="247"/>
      <c r="G228" s="320">
        <f>G227*$D$48</f>
        <v>423769.96848716144</v>
      </c>
      <c r="H228" s="320">
        <f>H227*$D$48</f>
        <v>450063.15434924565</v>
      </c>
      <c r="I228" s="320">
        <f>I227*$D$48</f>
        <v>467693.27849336201</v>
      </c>
      <c r="J228" s="320">
        <f>J227*$D$48</f>
        <v>486117.25357836089</v>
      </c>
      <c r="K228" s="148"/>
      <c r="L228" s="300"/>
      <c r="M228" s="36"/>
    </row>
    <row r="229" spans="1:14">
      <c r="A229" s="19"/>
      <c r="B229" s="19" t="s">
        <v>263</v>
      </c>
      <c r="C229" s="149" t="s">
        <v>335</v>
      </c>
      <c r="D229" s="92">
        <f>H227</f>
        <v>434980.47006392456</v>
      </c>
      <c r="E229" s="36"/>
      <c r="F229" s="247"/>
      <c r="G229" s="310"/>
      <c r="H229" s="310"/>
      <c r="I229" s="310"/>
      <c r="J229" s="310"/>
      <c r="K229" s="148"/>
      <c r="L229" s="300"/>
      <c r="M229" s="36"/>
    </row>
    <row r="230" spans="1:14">
      <c r="B230" s="19" t="s">
        <v>263</v>
      </c>
      <c r="C230" s="149" t="s">
        <v>336</v>
      </c>
      <c r="D230" s="92">
        <f>D214/D48</f>
        <v>398311.88110277284</v>
      </c>
      <c r="E230" s="36"/>
      <c r="F230" s="321"/>
      <c r="G230" s="310"/>
      <c r="H230" s="310"/>
      <c r="I230" s="310"/>
      <c r="J230" s="310"/>
      <c r="K230" s="148"/>
      <c r="L230" s="36"/>
      <c r="M230" s="36"/>
    </row>
    <row r="231" spans="1:14">
      <c r="B231" s="19" t="s">
        <v>263</v>
      </c>
      <c r="C231" s="149" t="s">
        <v>329</v>
      </c>
      <c r="D231" s="32">
        <f>(D230-D229)/D229</f>
        <v>-8.4299391546850178E-2</v>
      </c>
      <c r="E231" s="36"/>
      <c r="F231" s="247"/>
      <c r="G231" s="310"/>
      <c r="H231" s="310"/>
      <c r="I231" s="310"/>
      <c r="J231" s="310"/>
      <c r="K231" s="310"/>
      <c r="L231" s="310"/>
      <c r="M231" s="310"/>
      <c r="N231" s="19"/>
    </row>
    <row r="232" spans="1:14">
      <c r="C232" s="149" t="s">
        <v>452</v>
      </c>
      <c r="D232" s="125">
        <f>NPV(WACC,H228:J228)</f>
        <v>1186847.6776640117</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-36668.58896115172</v>
      </c>
      <c r="F235" s="36"/>
      <c r="G235" s="36"/>
      <c r="H235" s="36"/>
      <c r="I235" s="310"/>
      <c r="J235" s="310"/>
      <c r="K235" s="148"/>
      <c r="L235" s="36"/>
      <c r="M235" s="36"/>
    </row>
    <row r="236" spans="1:14">
      <c r="C236" s="149" t="s">
        <v>341</v>
      </c>
      <c r="D236" s="94"/>
      <c r="E236" s="310">
        <f>H217-H228</f>
        <v>-37940.050069297547</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707903.04819977784</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1.0393932860107595</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0.80770453546365939</v>
      </c>
      <c r="K245" s="148"/>
      <c r="L245" s="36" t="s">
        <v>280</v>
      </c>
      <c r="M245" s="36"/>
    </row>
    <row r="246" spans="1:13">
      <c r="A246" s="155"/>
      <c r="B246" s="155" t="s">
        <v>264</v>
      </c>
      <c r="C246" s="149" t="s">
        <v>99</v>
      </c>
      <c r="D246" s="140">
        <f>SUM(I245:J245)</f>
        <v>1.6529478471611028</v>
      </c>
      <c r="E246" s="36"/>
      <c r="F246" s="317"/>
      <c r="G246" s="316"/>
      <c r="H246" s="316"/>
      <c r="I246" s="316"/>
      <c r="J246" s="316"/>
      <c r="K246" s="148"/>
      <c r="L246" s="36" t="s">
        <v>510</v>
      </c>
      <c r="M246" s="36"/>
    </row>
    <row r="247" spans="1:13">
      <c r="A247" s="155"/>
      <c r="B247" s="155" t="s">
        <v>264</v>
      </c>
      <c r="C247" s="149" t="s">
        <v>256</v>
      </c>
      <c r="D247" s="26">
        <f>D242/D246</f>
        <v>428267.01968582004</v>
      </c>
      <c r="E247" s="36"/>
      <c r="F247" s="317"/>
      <c r="G247" s="316"/>
      <c r="H247" s="310"/>
      <c r="I247" s="310"/>
      <c r="J247" s="310"/>
      <c r="K247" s="148"/>
      <c r="L247" s="36"/>
      <c r="M247" s="36"/>
    </row>
    <row r="248" spans="1:13">
      <c r="A248" s="155"/>
      <c r="B248" s="155" t="s">
        <v>264</v>
      </c>
      <c r="C248" s="149" t="s">
        <v>252</v>
      </c>
      <c r="D248" s="26"/>
      <c r="E248" s="36"/>
      <c r="F248" s="317"/>
      <c r="G248" s="316"/>
      <c r="H248" s="163">
        <f>H215</f>
        <v>412123.10427994811</v>
      </c>
      <c r="I248" s="310">
        <f t="shared" ref="I248:J248" si="81">$D247*I244</f>
        <v>428267.01968582004</v>
      </c>
      <c r="J248" s="310">
        <f t="shared" si="81"/>
        <v>445137.86488127912</v>
      </c>
      <c r="K248" s="148"/>
      <c r="L248" s="36" t="s">
        <v>243</v>
      </c>
      <c r="M248" s="36"/>
    </row>
    <row r="249" spans="1:13">
      <c r="A249" s="155"/>
      <c r="B249" s="155" t="s">
        <v>264</v>
      </c>
      <c r="C249" s="149" t="s">
        <v>253</v>
      </c>
      <c r="D249" s="26"/>
      <c r="E249" s="36"/>
      <c r="F249" s="317"/>
      <c r="G249" s="316"/>
      <c r="H249" s="247">
        <f>H248/$D$48</f>
        <v>398311.88110277284</v>
      </c>
      <c r="I249" s="247">
        <f>I248/$D$48</f>
        <v>413914.77559448488</v>
      </c>
      <c r="J249" s="247">
        <f>J248/$D$48</f>
        <v>430220.23873355775</v>
      </c>
      <c r="K249" s="148"/>
      <c r="L249" s="36" t="s">
        <v>245</v>
      </c>
      <c r="M249" s="36"/>
    </row>
    <row r="250" spans="1:13">
      <c r="A250" s="155"/>
      <c r="B250" s="155" t="s">
        <v>264</v>
      </c>
      <c r="C250" s="149" t="s">
        <v>370</v>
      </c>
      <c r="D250" s="155"/>
      <c r="E250" s="36"/>
      <c r="F250" s="317"/>
      <c r="G250" s="316"/>
      <c r="H250" s="310"/>
      <c r="I250" s="310">
        <f>I248/(1+WACC)^I$203</f>
        <v>361989.83401003666</v>
      </c>
      <c r="J250" s="310">
        <f>J248/(1+WACC)^J$203</f>
        <v>345913.21418974112</v>
      </c>
      <c r="K250" s="148"/>
      <c r="L250" s="36" t="s">
        <v>299</v>
      </c>
      <c r="M250" s="36"/>
    </row>
    <row r="251" spans="1:13">
      <c r="A251" s="155"/>
      <c r="B251" s="155" t="s">
        <v>264</v>
      </c>
      <c r="C251" s="149" t="s">
        <v>255</v>
      </c>
      <c r="D251" s="26">
        <f>SUM(I250:J250)</f>
        <v>707903.04819977772</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44111.197151496788</v>
      </c>
      <c r="I253" s="324">
        <f>(I249+I186-I$188-I$181+I$178)*I$52</f>
        <v>45304.844797286736</v>
      </c>
      <c r="J253" s="324">
        <f>(J249+J186-J$188-J$181+J$178)*J$52</f>
        <v>46528.667656190955</v>
      </c>
      <c r="K253" s="247"/>
      <c r="L253" s="36"/>
      <c r="M253" s="36"/>
    </row>
    <row r="254" spans="1:13">
      <c r="A254" s="155"/>
      <c r="B254" s="214" t="s">
        <v>264</v>
      </c>
      <c r="C254" s="143" t="s">
        <v>325</v>
      </c>
      <c r="D254" s="214"/>
      <c r="E254" s="36"/>
      <c r="F254" s="322"/>
      <c r="G254" s="323"/>
      <c r="H254" s="324">
        <f>H253+H192</f>
        <v>31022.773656173507</v>
      </c>
      <c r="I254" s="324">
        <f>I253+I192</f>
        <v>31429.981970284462</v>
      </c>
      <c r="J254" s="324">
        <f>J253+J192</f>
        <v>31827.880249370566</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362236.74960733176</v>
      </c>
      <c r="G257" s="138">
        <f>H257/((1+H32)*(1+H26)*(1+X_industry_wide))</f>
        <v>375042.06170141674</v>
      </c>
      <c r="H257" s="310">
        <f>H249</f>
        <v>398311.88110277284</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1.0300195076651804</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450063.15434924565</v>
      </c>
      <c r="I266" s="334">
        <f>H266*(1+I$225)*(1+I$226)*(1+$E265)</f>
        <v>537847.27026736632</v>
      </c>
      <c r="J266" s="247">
        <f>I266*(1+J$225)*(1+J$226)*(1-$J243)</f>
        <v>559034.84161511506</v>
      </c>
      <c r="K266" s="36"/>
      <c r="L266" s="36"/>
      <c r="M266" s="36"/>
    </row>
    <row r="267" spans="3:14">
      <c r="C267" s="149" t="s">
        <v>409</v>
      </c>
      <c r="D267" s="94"/>
      <c r="E267" s="36"/>
      <c r="F267" s="36"/>
      <c r="G267" s="36"/>
      <c r="H267" s="247">
        <f>H266/$D$48</f>
        <v>434980.47006392456</v>
      </c>
      <c r="I267" s="247">
        <f t="shared" ref="I267:J267" si="82">I266/$D$48</f>
        <v>519822.73194919626</v>
      </c>
      <c r="J267" s="247">
        <f t="shared" si="82"/>
        <v>540300.2575037654</v>
      </c>
      <c r="K267" s="36"/>
      <c r="L267" s="36"/>
      <c r="M267" s="36"/>
    </row>
    <row r="268" spans="3:14">
      <c r="C268" s="149" t="s">
        <v>347</v>
      </c>
      <c r="D268" s="94"/>
      <c r="E268" s="36"/>
      <c r="F268" s="36"/>
      <c r="G268" s="36"/>
      <c r="H268" s="247">
        <f>H266/(1+WACC)^H$203</f>
        <v>413775.07984669093</v>
      </c>
      <c r="I268" s="247">
        <f>I266/(1+WACC)^I$203</f>
        <v>454611.80790821853</v>
      </c>
      <c r="J268" s="247">
        <f>J266/(1+WACC)^J$203</f>
        <v>434421.67958170047</v>
      </c>
      <c r="K268" s="36"/>
      <c r="L268" s="36"/>
      <c r="M268" s="36"/>
    </row>
    <row r="269" spans="3:14">
      <c r="C269" s="149" t="s">
        <v>348</v>
      </c>
      <c r="D269" s="94"/>
      <c r="E269" s="310">
        <f>SUM(H268:J268)</f>
        <v>1302808.5673366101</v>
      </c>
      <c r="F269" s="36"/>
      <c r="G269" s="36"/>
      <c r="H269" s="36"/>
      <c r="I269" s="36"/>
      <c r="J269" s="36"/>
      <c r="K269" s="36"/>
      <c r="L269" s="36"/>
      <c r="M269" s="36"/>
    </row>
    <row r="270" spans="3:14">
      <c r="C270" s="149" t="str">
        <f>C206</f>
        <v>PV of BBAR before tax over the PV period</v>
      </c>
      <c r="E270" s="310">
        <f>D206</f>
        <v>1086797.1405781433</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362236.74960733176</v>
      </c>
      <c r="G274" s="247">
        <f t="shared" ref="G274:H274" si="83">G257</f>
        <v>375042.06170141674</v>
      </c>
      <c r="H274" s="333">
        <f t="shared" si="83"/>
        <v>398311.88110277284</v>
      </c>
      <c r="I274" s="310">
        <f>I249</f>
        <v>413914.77559448488</v>
      </c>
      <c r="J274" s="310">
        <f>J249</f>
        <v>430220.23873355775</v>
      </c>
      <c r="K274" s="36"/>
      <c r="L274" s="36"/>
      <c r="M274" s="36"/>
    </row>
    <row r="275" spans="3:13">
      <c r="C275" s="149" t="s">
        <v>407</v>
      </c>
      <c r="D275" s="94"/>
      <c r="E275" s="36"/>
      <c r="F275" s="247">
        <f>F274</f>
        <v>362236.74960733176</v>
      </c>
      <c r="G275" s="247">
        <f t="shared" ref="G275:H275" si="84">G274</f>
        <v>375042.06170141674</v>
      </c>
      <c r="H275" s="333">
        <f t="shared" si="84"/>
        <v>398311.88110277284</v>
      </c>
      <c r="I275" s="247">
        <f>I267</f>
        <v>519822.73194919626</v>
      </c>
      <c r="J275" s="247">
        <f>J267</f>
        <v>540300.2575037654</v>
      </c>
      <c r="K275" s="36"/>
      <c r="L275" s="36"/>
      <c r="M275" s="36"/>
    </row>
    <row r="276" spans="3:13">
      <c r="C276" s="149" t="s">
        <v>408</v>
      </c>
      <c r="D276" s="94"/>
      <c r="E276" s="36"/>
      <c r="F276" s="247">
        <f>IF($E$22=-15%,F275,F274)</f>
        <v>362236.74960733176</v>
      </c>
      <c r="G276" s="247">
        <f t="shared" ref="G276:J276" si="85">IF($E$22=-15%,G275,G274)</f>
        <v>375042.06170141674</v>
      </c>
      <c r="H276" s="247">
        <f t="shared" si="85"/>
        <v>398311.88110277284</v>
      </c>
      <c r="I276" s="247">
        <f t="shared" si="85"/>
        <v>413914.77559448488</v>
      </c>
      <c r="J276" s="247">
        <f t="shared" si="85"/>
        <v>430220.23873355775</v>
      </c>
      <c r="K276" s="36"/>
      <c r="L276" s="36"/>
      <c r="M276" s="36"/>
    </row>
    <row r="277" spans="3:13">
      <c r="C277" s="149" t="s">
        <v>449</v>
      </c>
      <c r="D277" s="94"/>
      <c r="E277" s="328">
        <f>(I276/H267)/((1+I225)*(1+I226))-1</f>
        <v>-8.4299391546850289E-2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452019.76691234461</v>
      </c>
      <c r="E281" s="36"/>
      <c r="F281" s="313"/>
      <c r="G281" s="36"/>
      <c r="H281" s="36"/>
      <c r="I281" s="36"/>
      <c r="J281" s="36"/>
      <c r="K281" s="36"/>
      <c r="L281" s="36"/>
      <c r="M281" s="36"/>
    </row>
    <row r="282" spans="3:13">
      <c r="C282" s="149" t="s">
        <v>443</v>
      </c>
      <c r="D282" s="19">
        <f>I276</f>
        <v>413914.77559448488</v>
      </c>
      <c r="E282" s="36"/>
      <c r="F282" s="313"/>
      <c r="G282" s="36"/>
      <c r="H282" s="36"/>
      <c r="I282" s="36"/>
      <c r="J282" s="36"/>
      <c r="K282" s="36"/>
      <c r="L282" s="36"/>
      <c r="M282" s="36"/>
    </row>
    <row r="283" spans="3:13">
      <c r="C283" s="149" t="s">
        <v>445</v>
      </c>
      <c r="D283" s="152">
        <f>(D282-D281)/D281</f>
        <v>-8.4299391546850275E-2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1186847.6776640117</v>
      </c>
      <c r="G286" s="36"/>
      <c r="H286" s="36"/>
      <c r="I286" s="36"/>
      <c r="J286" s="36"/>
      <c r="K286" s="36"/>
      <c r="L286" s="36"/>
      <c r="M286" s="36"/>
    </row>
    <row r="287" spans="3:13">
      <c r="C287" s="149" t="str">
        <f>C206</f>
        <v>PV of BBAR before tax over the PV period</v>
      </c>
      <c r="E287" s="36"/>
      <c r="F287" s="310">
        <f>D206</f>
        <v>1086797.1405781433</v>
      </c>
      <c r="G287" s="36"/>
      <c r="H287" s="36"/>
      <c r="I287" s="36"/>
      <c r="J287" s="36"/>
      <c r="K287" s="36"/>
      <c r="L287" s="36"/>
      <c r="M287" s="36"/>
    </row>
    <row r="288" spans="3:13">
      <c r="C288" s="149" t="s">
        <v>405</v>
      </c>
      <c r="D288" s="94"/>
      <c r="E288" s="36"/>
      <c r="F288" s="247">
        <f>F286-F287</f>
        <v>100050.53708586842</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-2537343.6886650729</v>
      </c>
      <c r="F293" s="247"/>
      <c r="G293" s="310"/>
      <c r="H293" s="310"/>
      <c r="I293" s="310"/>
      <c r="J293" s="310"/>
      <c r="K293" s="310"/>
      <c r="L293" s="36"/>
      <c r="M293" s="36"/>
      <c r="N293" s="19">
        <f>J$143+J$166</f>
        <v>2903363.1633016132</v>
      </c>
    </row>
    <row r="294" spans="3:14">
      <c r="C294" s="149" t="s">
        <v>57</v>
      </c>
      <c r="D294" s="19"/>
      <c r="E294" s="90"/>
      <c r="F294" s="247"/>
      <c r="G294" s="138">
        <f>H$249</f>
        <v>398311.88110277284</v>
      </c>
      <c r="H294" s="36">
        <v>0</v>
      </c>
      <c r="I294" s="36">
        <v>0</v>
      </c>
      <c r="J294" s="164">
        <f>I$249</f>
        <v>413914.77559448488</v>
      </c>
      <c r="K294" s="310">
        <v>0</v>
      </c>
      <c r="L294" s="138">
        <v>0</v>
      </c>
      <c r="M294" s="310">
        <f>J$249</f>
        <v>430220.23873355775</v>
      </c>
    </row>
    <row r="295" spans="3:14">
      <c r="C295" s="149" t="s">
        <v>234</v>
      </c>
      <c r="D295" s="19"/>
      <c r="E295" s="299"/>
      <c r="F295" s="320">
        <f>H186</f>
        <v>11414.452618393349</v>
      </c>
      <c r="G295" s="215"/>
      <c r="H295" s="300"/>
      <c r="I295" s="216">
        <f>I186</f>
        <v>11655.060810180728</v>
      </c>
      <c r="J295" s="215"/>
      <c r="K295" s="215"/>
      <c r="L295" s="215">
        <f>J186</f>
        <v>11914.9176573111</v>
      </c>
      <c r="M295" s="215"/>
    </row>
    <row r="296" spans="3:14">
      <c r="C296" s="149" t="s">
        <v>54</v>
      </c>
      <c r="D296" s="19"/>
      <c r="E296" s="299"/>
      <c r="F296" s="320">
        <f>-H$24</f>
        <v>-113635.01445818858</v>
      </c>
      <c r="G296" s="300"/>
      <c r="H296" s="215"/>
      <c r="I296" s="215">
        <f>-I$24</f>
        <v>-117376.25241540952</v>
      </c>
      <c r="J296" s="300"/>
      <c r="K296" s="215"/>
      <c r="L296" s="215">
        <f>-J$24</f>
        <v>-121268.45135062622</v>
      </c>
      <c r="M296" s="300"/>
    </row>
    <row r="297" spans="3:14">
      <c r="C297" s="149" t="s">
        <v>125</v>
      </c>
      <c r="D297" s="19"/>
      <c r="E297" s="299"/>
      <c r="F297" s="320">
        <f>-H$25</f>
        <v>-161846.54647854812</v>
      </c>
      <c r="G297" s="300"/>
      <c r="H297" s="215"/>
      <c r="I297" s="215">
        <f>-I$25</f>
        <v>-172010.8716772123</v>
      </c>
      <c r="J297" s="300"/>
      <c r="K297" s="215"/>
      <c r="L297" s="215">
        <f>-J$25</f>
        <v>-165810.17258392999</v>
      </c>
      <c r="M297" s="300"/>
    </row>
    <row r="298" spans="3:14">
      <c r="C298" s="149" t="s">
        <v>295</v>
      </c>
      <c r="D298" s="19"/>
      <c r="E298" s="299"/>
      <c r="F298" s="36"/>
      <c r="G298" s="36"/>
      <c r="H298" s="320">
        <f>-H$149</f>
        <v>-542.11057426717446</v>
      </c>
      <c r="I298" s="36"/>
      <c r="J298" s="36"/>
      <c r="K298" s="215">
        <f>-I$149</f>
        <v>-570.29621904325143</v>
      </c>
      <c r="L298" s="36"/>
      <c r="M298" s="36"/>
      <c r="N298" s="92">
        <f>-J$149</f>
        <v>-600.06920770695535</v>
      </c>
    </row>
    <row r="299" spans="3:14">
      <c r="C299" s="149" t="s">
        <v>56</v>
      </c>
      <c r="D299" s="19"/>
      <c r="E299" s="299"/>
      <c r="F299" s="335">
        <f>-H$254</f>
        <v>-31022.773656173507</v>
      </c>
      <c r="G299" s="300">
        <v>0</v>
      </c>
      <c r="H299" s="300">
        <v>0</v>
      </c>
      <c r="I299" s="336">
        <f>-I$254</f>
        <v>-31429.981970284462</v>
      </c>
      <c r="J299" s="215">
        <v>0</v>
      </c>
      <c r="K299" s="163">
        <v>0</v>
      </c>
      <c r="L299" s="215">
        <f>-J$254</f>
        <v>-31827.880249370566</v>
      </c>
      <c r="M299" s="300"/>
    </row>
    <row r="300" spans="3:14" ht="15.75" thickBot="1">
      <c r="C300" s="149" t="s">
        <v>217</v>
      </c>
      <c r="D300" s="19"/>
      <c r="E300" s="332">
        <f>SUM(E293:E299)</f>
        <v>-2537343.6886650729</v>
      </c>
      <c r="F300" s="332">
        <f t="shared" ref="F300:K300" si="87">SUM(F293:F299)</f>
        <v>-295089.88197451684</v>
      </c>
      <c r="G300" s="332">
        <f t="shared" si="87"/>
        <v>398311.88110277284</v>
      </c>
      <c r="H300" s="332">
        <f t="shared" si="87"/>
        <v>-542.11057426717446</v>
      </c>
      <c r="I300" s="332">
        <f t="shared" si="87"/>
        <v>-309162.0452527256</v>
      </c>
      <c r="J300" s="332">
        <f t="shared" si="87"/>
        <v>413914.77559448488</v>
      </c>
      <c r="K300" s="332">
        <f t="shared" si="87"/>
        <v>-570.29621904325143</v>
      </c>
      <c r="L300" s="332">
        <f>SUM(L293:L299)</f>
        <v>-306991.58652661566</v>
      </c>
      <c r="M300" s="332">
        <f>SUM(M293:M299)</f>
        <v>430220.23873355775</v>
      </c>
      <c r="N300" s="129">
        <f>SUM(N293:N299)</f>
        <v>2902763.0940939062</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4.6566128730773926E-10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21.xml><?xml version="1.0" encoding="utf-8"?>
<worksheet xmlns="http://schemas.openxmlformats.org/spreadsheetml/2006/main" xmlns:r="http://schemas.openxmlformats.org/officeDocument/2006/relationships">
  <sheetPr codeName="Sheet12">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Wellington Electricity </v>
      </c>
      <c r="D1" s="2"/>
      <c r="E1" s="2"/>
      <c r="F1" s="6" t="s">
        <v>169</v>
      </c>
      <c r="G1" s="7">
        <v>16</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147271.85386999999</v>
      </c>
    </row>
    <row r="9" spans="1:16">
      <c r="A9" s="9">
        <f>A8+1</f>
        <v>2</v>
      </c>
      <c r="B9" s="9"/>
      <c r="C9" s="149" t="str">
        <f>Inputs!B21</f>
        <v>Pass-through costs</v>
      </c>
      <c r="E9" s="1">
        <f t="shared" si="0"/>
        <v>2284.5643799999998</v>
      </c>
    </row>
    <row r="10" spans="1:16">
      <c r="A10" s="9">
        <f t="shared" ref="A10:A22" si="1">A9+1</f>
        <v>3</v>
      </c>
      <c r="B10" s="9"/>
      <c r="C10" s="149" t="str">
        <f>Inputs!B22</f>
        <v>Recoverable costs</v>
      </c>
      <c r="E10" s="1">
        <f t="shared" si="0"/>
        <v>44486.802360000001</v>
      </c>
    </row>
    <row r="11" spans="1:16">
      <c r="A11" s="9">
        <f t="shared" si="1"/>
        <v>4</v>
      </c>
      <c r="B11" s="9"/>
      <c r="C11" s="155" t="str">
        <f>Inputs!B23</f>
        <v>Opening RAB</v>
      </c>
      <c r="E11" s="1">
        <f t="shared" si="0"/>
        <v>528459.12843431695</v>
      </c>
      <c r="L11" s="13"/>
    </row>
    <row r="12" spans="1:16">
      <c r="A12" s="9">
        <f t="shared" si="1"/>
        <v>5</v>
      </c>
      <c r="B12" s="9"/>
      <c r="C12" s="155" t="str">
        <f>Inputs!B24</f>
        <v>Total Depreciation</v>
      </c>
      <c r="E12" s="1">
        <f t="shared" si="0"/>
        <v>25343.756747688079</v>
      </c>
      <c r="F12" s="161"/>
      <c r="G12" s="337" t="s">
        <v>511</v>
      </c>
    </row>
    <row r="13" spans="1:16">
      <c r="A13" s="9">
        <f t="shared" si="1"/>
        <v>6</v>
      </c>
      <c r="B13" s="9"/>
      <c r="C13" s="155" t="str">
        <f>Inputs!B25</f>
        <v>RAB of disposed assets</v>
      </c>
      <c r="E13" s="1">
        <f t="shared" si="0"/>
        <v>17</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34488.45398000002</v>
      </c>
      <c r="G15" s="23" t="s">
        <v>514</v>
      </c>
    </row>
    <row r="16" spans="1:16">
      <c r="A16" s="9">
        <f t="shared" si="1"/>
        <v>9</v>
      </c>
      <c r="B16" s="9"/>
      <c r="C16" s="155" t="str">
        <f>Inputs!B28</f>
        <v>Opening regulatory tax asset value</v>
      </c>
      <c r="E16" s="1">
        <f t="shared" si="0"/>
        <v>394459.92603999993</v>
      </c>
    </row>
    <row r="17" spans="1:21">
      <c r="A17" s="9">
        <f t="shared" si="1"/>
        <v>10</v>
      </c>
      <c r="B17" s="9"/>
      <c r="C17" s="155" t="str">
        <f>Inputs!B29</f>
        <v>Weighted Average Remaining Life at year-end</v>
      </c>
      <c r="E17" s="1">
        <f t="shared" si="0"/>
        <v>24</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469.16094000000038</v>
      </c>
    </row>
    <row r="20" spans="1:21">
      <c r="A20" s="9">
        <f t="shared" si="1"/>
        <v>13</v>
      </c>
      <c r="B20" s="9"/>
      <c r="C20" s="155" t="str">
        <f>Inputs!B32</f>
        <v>Operating expenditure 2009/10</v>
      </c>
      <c r="E20" s="1">
        <f t="shared" si="0"/>
        <v>28899.090320000003</v>
      </c>
    </row>
    <row r="21" spans="1:21">
      <c r="A21" s="9">
        <f t="shared" si="1"/>
        <v>14</v>
      </c>
      <c r="B21" s="9"/>
      <c r="C21" s="155" t="str">
        <f>Inputs!B33</f>
        <v>Other regulated income</v>
      </c>
      <c r="E21" s="1">
        <f t="shared" si="0"/>
        <v>438.91760055736785</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28899.090320000003</v>
      </c>
      <c r="F24" s="39">
        <f>INDEX(OpexBlock,F7-1,$G$1)</f>
        <v>29685.821539852124</v>
      </c>
      <c r="G24" s="39">
        <f>INDEX(OpexBlock,G7-1,$G$1)</f>
        <v>30967.026860982642</v>
      </c>
      <c r="H24" s="39">
        <f>INDEX(OpexBlock,H7-1,$G$1)</f>
        <v>31948.439870582388</v>
      </c>
      <c r="I24" s="39">
        <f>INDEX(OpexBlock,I7-1,$G$1)</f>
        <v>32974.433634800211</v>
      </c>
      <c r="J24" s="39">
        <f>INDEX(OpexBlock,J7-1,$G$1)</f>
        <v>34099.465461563428</v>
      </c>
      <c r="K24" s="90"/>
      <c r="L24" s="36"/>
      <c r="M24" s="36"/>
    </row>
    <row r="25" spans="1:21">
      <c r="A25" s="9"/>
      <c r="B25" s="9"/>
      <c r="C25" s="149" t="s">
        <v>272</v>
      </c>
      <c r="D25" s="1"/>
      <c r="E25" s="39">
        <f t="shared" ref="E25:J25" si="2">INDEX(CommAssetsBlock,E7,$G$1)</f>
        <v>37021.900809999999</v>
      </c>
      <c r="F25" s="39">
        <f t="shared" si="2"/>
        <v>31216.187224129906</v>
      </c>
      <c r="G25" s="39">
        <f t="shared" si="2"/>
        <v>34529.031148324226</v>
      </c>
      <c r="H25" s="39">
        <f t="shared" si="2"/>
        <v>37586.697974027076</v>
      </c>
      <c r="I25" s="39">
        <f t="shared" si="2"/>
        <v>38350.239745007617</v>
      </c>
      <c r="J25" s="39">
        <f t="shared" si="2"/>
        <v>40275.621476060871</v>
      </c>
      <c r="K25" s="90"/>
      <c r="L25" s="36"/>
      <c r="M25" s="36"/>
    </row>
    <row r="26" spans="1:21">
      <c r="A26" s="9"/>
      <c r="B26" s="9"/>
      <c r="C26" s="149" t="s">
        <v>342</v>
      </c>
      <c r="D26" s="1"/>
      <c r="E26" s="90"/>
      <c r="F26" s="90">
        <f t="shared" ref="F26:J26" si="3">INDEX(ConstPriceRevGrwth,F$7-1,$G$1)</f>
        <v>2.7180130640251446E-3</v>
      </c>
      <c r="G26" s="90">
        <f t="shared" si="3"/>
        <v>1.1376156500903392E-2</v>
      </c>
      <c r="H26" s="90">
        <f t="shared" si="3"/>
        <v>7.181901300250846E-3</v>
      </c>
      <c r="I26" s="90">
        <f t="shared" si="3"/>
        <v>7.3000442250989051E-3</v>
      </c>
      <c r="J26" s="90">
        <f t="shared" si="3"/>
        <v>7.6118973962612749E-3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438.91760055736785</v>
      </c>
      <c r="F40" s="295">
        <f>E40*(1+F39)</f>
        <v>458.52285345373156</v>
      </c>
      <c r="G40" s="295">
        <f t="shared" ref="G40:J40" si="5">F40*(1+G39)</f>
        <v>465.72478308913054</v>
      </c>
      <c r="H40" s="295">
        <f t="shared" si="5"/>
        <v>474.52714153239589</v>
      </c>
      <c r="I40" s="295">
        <f t="shared" si="5"/>
        <v>484.52982158156107</v>
      </c>
      <c r="J40" s="295">
        <f t="shared" si="5"/>
        <v>495.33271603465948</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20.851649331053665</v>
      </c>
      <c r="F53" s="45">
        <f>E53-1</f>
        <v>19.851649331053665</v>
      </c>
      <c r="G53" s="45">
        <f t="shared" ref="G53:J53" si="6">F53-1</f>
        <v>18.851649331053665</v>
      </c>
      <c r="H53" s="45">
        <f t="shared" si="6"/>
        <v>17.851649331053665</v>
      </c>
      <c r="I53" s="45">
        <f t="shared" si="6"/>
        <v>16.851649331053665</v>
      </c>
      <c r="J53" s="45">
        <f t="shared" si="6"/>
        <v>15.851649331053665</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17</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528459.12843431695</v>
      </c>
      <c r="F58" s="216">
        <f>E62</f>
        <v>512205.46407348441</v>
      </c>
      <c r="G58" s="216">
        <f t="shared" ref="G58:J58" si="9">F62</f>
        <v>496551.72818458301</v>
      </c>
      <c r="H58" s="216">
        <f t="shared" si="9"/>
        <v>482297.77591328061</v>
      </c>
      <c r="I58" s="216">
        <f t="shared" si="9"/>
        <v>466984.12002082157</v>
      </c>
      <c r="J58" s="216">
        <f t="shared" si="9"/>
        <v>450604.37462263677</v>
      </c>
      <c r="K58" s="148"/>
      <c r="L58" s="36"/>
      <c r="M58" s="36"/>
    </row>
    <row r="59" spans="3:16">
      <c r="C59" s="149" t="s">
        <v>41</v>
      </c>
      <c r="D59" s="153"/>
      <c r="E59" s="216">
        <f>E55</f>
        <v>17</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9107.0923868555128</v>
      </c>
      <c r="F60" s="216">
        <f t="shared" si="11"/>
        <v>10147.921974974359</v>
      </c>
      <c r="G60" s="216">
        <f t="shared" si="11"/>
        <v>12086.009790618144</v>
      </c>
      <c r="H60" s="216">
        <f t="shared" si="11"/>
        <v>11703.330995934717</v>
      </c>
      <c r="I60" s="216">
        <f t="shared" si="11"/>
        <v>11331.733214195167</v>
      </c>
      <c r="J60" s="216">
        <f t="shared" si="11"/>
        <v>10934.26594066048</v>
      </c>
      <c r="K60" s="148"/>
      <c r="L60" s="36"/>
      <c r="M60" s="36"/>
    </row>
    <row r="61" spans="3:16">
      <c r="C61" s="149" t="s">
        <v>43</v>
      </c>
      <c r="E61" s="136">
        <f>E12</f>
        <v>25343.756747688079</v>
      </c>
      <c r="F61" s="216">
        <f t="shared" ref="F61:J61" si="12">F58/F53</f>
        <v>25801.657863875742</v>
      </c>
      <c r="G61" s="216">
        <f t="shared" si="12"/>
        <v>26339.962061920527</v>
      </c>
      <c r="H61" s="216">
        <f t="shared" si="12"/>
        <v>27016.986888393789</v>
      </c>
      <c r="I61" s="216">
        <f t="shared" si="12"/>
        <v>27711.478612380011</v>
      </c>
      <c r="J61" s="216">
        <f t="shared" si="12"/>
        <v>28426.340074271939</v>
      </c>
      <c r="K61" s="148"/>
      <c r="L61" s="36"/>
      <c r="M61" s="36"/>
    </row>
    <row r="62" spans="3:16">
      <c r="C62" s="149" t="s">
        <v>44</v>
      </c>
      <c r="E62" s="139">
        <f>E58-E59+E60-E61</f>
        <v>512205.46407348441</v>
      </c>
      <c r="F62" s="139">
        <f>F58-F59+F60-F61</f>
        <v>496551.72818458301</v>
      </c>
      <c r="G62" s="139">
        <f t="shared" ref="G62:J62" si="13">G58-G59+G60-G61</f>
        <v>482297.77591328061</v>
      </c>
      <c r="H62" s="139">
        <f t="shared" si="13"/>
        <v>466984.12002082157</v>
      </c>
      <c r="I62" s="216">
        <f t="shared" si="13"/>
        <v>450604.37462263677</v>
      </c>
      <c r="J62" s="216">
        <f t="shared" si="13"/>
        <v>433112.30048902531</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37021.900809999999</v>
      </c>
      <c r="F66" s="139">
        <f t="shared" ref="F66:J66" si="15">F$25</f>
        <v>31216.187224129906</v>
      </c>
      <c r="G66" s="139">
        <f t="shared" si="15"/>
        <v>34529.031148324226</v>
      </c>
      <c r="H66" s="139">
        <f t="shared" si="15"/>
        <v>37586.697974027076</v>
      </c>
      <c r="I66" s="139">
        <f t="shared" si="15"/>
        <v>38350.239745007617</v>
      </c>
      <c r="J66" s="139">
        <f t="shared" si="15"/>
        <v>40275.621476060871</v>
      </c>
      <c r="K66" s="148"/>
      <c r="L66" s="36"/>
      <c r="M66" s="36"/>
    </row>
    <row r="67" spans="1:13">
      <c r="A67" s="149">
        <v>1</v>
      </c>
      <c r="C67" s="149" t="s">
        <v>481</v>
      </c>
      <c r="E67" s="135">
        <v>0</v>
      </c>
      <c r="F67" s="139">
        <f>E91</f>
        <v>37021.900809999999</v>
      </c>
      <c r="G67" s="139">
        <f t="shared" ref="G67:J67" si="16">F91</f>
        <v>36932.677559037693</v>
      </c>
      <c r="H67" s="139">
        <f t="shared" si="16"/>
        <v>36992.235486737169</v>
      </c>
      <c r="I67" s="139">
        <f t="shared" si="16"/>
        <v>37029.596332659297</v>
      </c>
      <c r="J67" s="139">
        <f t="shared" si="16"/>
        <v>37046.491259256407</v>
      </c>
      <c r="K67" s="148"/>
      <c r="L67" s="36"/>
      <c r="M67" s="36"/>
    </row>
    <row r="68" spans="1:13">
      <c r="A68" s="149">
        <v>2</v>
      </c>
      <c r="C68" s="149" t="s">
        <v>482</v>
      </c>
      <c r="E68" s="135">
        <v>0</v>
      </c>
      <c r="F68" s="139">
        <f t="shared" ref="F68:J71" si="17">E92</f>
        <v>0</v>
      </c>
      <c r="G68" s="139">
        <f t="shared" si="17"/>
        <v>31216.187224129906</v>
      </c>
      <c r="H68" s="139">
        <f t="shared" si="17"/>
        <v>31282.292445462917</v>
      </c>
      <c r="I68" s="139">
        <f t="shared" si="17"/>
        <v>31330.420432622883</v>
      </c>
      <c r="J68" s="139">
        <f t="shared" si="17"/>
        <v>31362.063046135074</v>
      </c>
      <c r="K68" s="148"/>
      <c r="L68" s="36"/>
      <c r="M68" s="36"/>
    </row>
    <row r="69" spans="1:13">
      <c r="A69" s="149">
        <v>3</v>
      </c>
      <c r="C69" s="149" t="s">
        <v>483</v>
      </c>
      <c r="E69" s="135">
        <v>0</v>
      </c>
      <c r="F69" s="139">
        <f t="shared" si="17"/>
        <v>0</v>
      </c>
      <c r="G69" s="139">
        <f t="shared" si="17"/>
        <v>0</v>
      </c>
      <c r="H69" s="139">
        <f t="shared" si="17"/>
        <v>34529.031148324226</v>
      </c>
      <c r="I69" s="139">
        <f t="shared" si="17"/>
        <v>34599.593166304971</v>
      </c>
      <c r="J69" s="139">
        <f t="shared" si="17"/>
        <v>34652.824839736553</v>
      </c>
      <c r="K69" s="148"/>
      <c r="L69" s="36"/>
      <c r="M69" s="36"/>
    </row>
    <row r="70" spans="1:13">
      <c r="A70" s="149">
        <v>4</v>
      </c>
      <c r="C70" s="149" t="s">
        <v>484</v>
      </c>
      <c r="E70" s="135">
        <v>0</v>
      </c>
      <c r="F70" s="139">
        <f t="shared" si="17"/>
        <v>0</v>
      </c>
      <c r="G70" s="139">
        <f t="shared" si="17"/>
        <v>0</v>
      </c>
      <c r="H70" s="139">
        <f t="shared" si="17"/>
        <v>0</v>
      </c>
      <c r="I70" s="139">
        <f t="shared" si="17"/>
        <v>37586.697974027076</v>
      </c>
      <c r="J70" s="139">
        <f t="shared" si="17"/>
        <v>37663.508506210477</v>
      </c>
      <c r="K70" s="148"/>
      <c r="L70" s="36"/>
      <c r="M70" s="36"/>
    </row>
    <row r="71" spans="1:13">
      <c r="A71" s="149">
        <v>5</v>
      </c>
      <c r="C71" s="149" t="s">
        <v>485</v>
      </c>
      <c r="E71" s="135">
        <v>0</v>
      </c>
      <c r="F71" s="139">
        <f t="shared" si="17"/>
        <v>0</v>
      </c>
      <c r="G71" s="139">
        <f t="shared" si="17"/>
        <v>0</v>
      </c>
      <c r="H71" s="139">
        <f t="shared" si="17"/>
        <v>0</v>
      </c>
      <c r="I71" s="139">
        <f t="shared" si="17"/>
        <v>0</v>
      </c>
      <c r="J71" s="139">
        <f t="shared" si="17"/>
        <v>38350.239745007617</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733.48565592658383</v>
      </c>
      <c r="G79" s="139">
        <f t="shared" si="20"/>
        <v>898.93696313215548</v>
      </c>
      <c r="H79" s="139">
        <f t="shared" si="20"/>
        <v>897.64539212532168</v>
      </c>
      <c r="I79" s="139">
        <f t="shared" si="20"/>
        <v>898.55198213662084</v>
      </c>
      <c r="J79" s="139">
        <f t="shared" si="20"/>
        <v>898.96195068301029</v>
      </c>
      <c r="K79" s="148"/>
      <c r="L79" s="36"/>
      <c r="M79" s="36"/>
    </row>
    <row r="80" spans="1:13">
      <c r="A80" s="149">
        <v>2</v>
      </c>
      <c r="C80" s="149" t="s">
        <v>488</v>
      </c>
      <c r="E80" s="139">
        <f t="shared" ref="E80:J84" si="21">E68*E$38</f>
        <v>0</v>
      </c>
      <c r="F80" s="139">
        <f t="shared" si="21"/>
        <v>0</v>
      </c>
      <c r="G80" s="139">
        <f t="shared" si="21"/>
        <v>759.7982707581217</v>
      </c>
      <c r="H80" s="139">
        <f t="shared" si="21"/>
        <v>759.08917910230707</v>
      </c>
      <c r="I80" s="139">
        <f t="shared" si="21"/>
        <v>760.25704217784084</v>
      </c>
      <c r="J80" s="139">
        <f t="shared" si="21"/>
        <v>761.02487482813319</v>
      </c>
      <c r="K80" s="148"/>
      <c r="L80" s="36"/>
      <c r="M80" s="36"/>
    </row>
    <row r="81" spans="1:13">
      <c r="A81" s="149">
        <v>3</v>
      </c>
      <c r="C81" s="149" t="s">
        <v>489</v>
      </c>
      <c r="E81" s="139">
        <f t="shared" si="21"/>
        <v>0</v>
      </c>
      <c r="F81" s="139">
        <f t="shared" si="21"/>
        <v>0</v>
      </c>
      <c r="G81" s="139">
        <f t="shared" si="21"/>
        <v>0</v>
      </c>
      <c r="H81" s="139">
        <f t="shared" si="21"/>
        <v>837.87382127683327</v>
      </c>
      <c r="I81" s="139">
        <f t="shared" si="21"/>
        <v>839.58606357487406</v>
      </c>
      <c r="J81" s="139">
        <f t="shared" si="21"/>
        <v>840.87777157095104</v>
      </c>
      <c r="K81" s="148"/>
      <c r="L81" s="36"/>
      <c r="M81" s="36"/>
    </row>
    <row r="82" spans="1:13">
      <c r="A82" s="149">
        <v>4</v>
      </c>
      <c r="C82" s="149" t="s">
        <v>490</v>
      </c>
      <c r="E82" s="139">
        <f t="shared" si="21"/>
        <v>0</v>
      </c>
      <c r="F82" s="139">
        <f t="shared" si="21"/>
        <v>0</v>
      </c>
      <c r="G82" s="139">
        <f t="shared" si="21"/>
        <v>0</v>
      </c>
      <c r="H82" s="139">
        <f t="shared" si="21"/>
        <v>0</v>
      </c>
      <c r="I82" s="139">
        <f t="shared" si="21"/>
        <v>912.07048716177769</v>
      </c>
      <c r="J82" s="139">
        <f t="shared" si="21"/>
        <v>913.93435452134406</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930.59842264330928</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822.70890688888892</v>
      </c>
      <c r="G85" s="216">
        <f t="shared" si="22"/>
        <v>839.37903543267487</v>
      </c>
      <c r="H85" s="216">
        <f t="shared" si="22"/>
        <v>860.28454620318996</v>
      </c>
      <c r="I85" s="216">
        <f t="shared" si="22"/>
        <v>881.65705553950704</v>
      </c>
      <c r="J85" s="216">
        <f t="shared" si="22"/>
        <v>903.57295754283916</v>
      </c>
      <c r="K85" s="148"/>
      <c r="L85" s="36"/>
      <c r="M85" s="36"/>
    </row>
    <row r="86" spans="1:13">
      <c r="A86" s="149">
        <v>2</v>
      </c>
      <c r="C86" s="149" t="s">
        <v>494</v>
      </c>
      <c r="E86" s="216">
        <f t="shared" si="22"/>
        <v>0</v>
      </c>
      <c r="F86" s="216">
        <f t="shared" si="22"/>
        <v>0</v>
      </c>
      <c r="G86" s="216">
        <f t="shared" si="22"/>
        <v>693.69304942510905</v>
      </c>
      <c r="H86" s="216">
        <f t="shared" si="22"/>
        <v>710.96119194233904</v>
      </c>
      <c r="I86" s="216">
        <f t="shared" si="22"/>
        <v>728.61442866564846</v>
      </c>
      <c r="J86" s="216">
        <f t="shared" si="22"/>
        <v>746.71578681273991</v>
      </c>
      <c r="K86" s="148"/>
      <c r="L86" s="36"/>
      <c r="M86" s="36"/>
    </row>
    <row r="87" spans="1:13">
      <c r="A87" s="149">
        <v>3</v>
      </c>
      <c r="C87" s="149" t="s">
        <v>495</v>
      </c>
      <c r="E87" s="216">
        <f t="shared" si="22"/>
        <v>0</v>
      </c>
      <c r="F87" s="216">
        <f t="shared" si="22"/>
        <v>0</v>
      </c>
      <c r="G87" s="216">
        <f t="shared" si="22"/>
        <v>0</v>
      </c>
      <c r="H87" s="216">
        <f t="shared" si="22"/>
        <v>767.3118032960939</v>
      </c>
      <c r="I87" s="216">
        <f t="shared" si="22"/>
        <v>786.35439014329484</v>
      </c>
      <c r="J87" s="216">
        <f t="shared" si="22"/>
        <v>805.87964743573377</v>
      </c>
      <c r="K87" s="148"/>
      <c r="L87" s="36"/>
      <c r="M87" s="36"/>
    </row>
    <row r="88" spans="1:13">
      <c r="A88" s="149">
        <v>4</v>
      </c>
      <c r="C88" s="149" t="s">
        <v>496</v>
      </c>
      <c r="E88" s="216">
        <f t="shared" si="22"/>
        <v>0</v>
      </c>
      <c r="F88" s="216">
        <f t="shared" si="22"/>
        <v>0</v>
      </c>
      <c r="G88" s="216">
        <f t="shared" si="22"/>
        <v>0</v>
      </c>
      <c r="H88" s="216">
        <f t="shared" si="22"/>
        <v>0</v>
      </c>
      <c r="I88" s="216">
        <f t="shared" si="22"/>
        <v>835.25995497837948</v>
      </c>
      <c r="J88" s="216">
        <f t="shared" si="22"/>
        <v>855.98882968660178</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852.2275498890582</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37021.900809999999</v>
      </c>
      <c r="F91" s="139">
        <f t="shared" si="23"/>
        <v>36932.677559037693</v>
      </c>
      <c r="G91" s="139">
        <f t="shared" si="23"/>
        <v>36992.235486737169</v>
      </c>
      <c r="H91" s="139">
        <f t="shared" si="23"/>
        <v>37029.596332659297</v>
      </c>
      <c r="I91" s="139">
        <f t="shared" si="23"/>
        <v>37046.491259256407</v>
      </c>
      <c r="J91" s="216">
        <f t="shared" si="23"/>
        <v>37041.880252396579</v>
      </c>
      <c r="K91" s="148"/>
      <c r="L91" s="36"/>
      <c r="M91" s="36"/>
    </row>
    <row r="92" spans="1:13">
      <c r="A92" s="149">
        <v>2</v>
      </c>
      <c r="C92" s="149" t="s">
        <v>500</v>
      </c>
      <c r="E92" s="139">
        <f t="shared" si="23"/>
        <v>0</v>
      </c>
      <c r="F92" s="139">
        <f t="shared" si="23"/>
        <v>31216.187224129906</v>
      </c>
      <c r="G92" s="139">
        <f t="shared" si="23"/>
        <v>31282.292445462917</v>
      </c>
      <c r="H92" s="139">
        <f t="shared" si="23"/>
        <v>31330.420432622883</v>
      </c>
      <c r="I92" s="139">
        <f t="shared" si="23"/>
        <v>31362.063046135074</v>
      </c>
      <c r="J92" s="216">
        <f t="shared" si="23"/>
        <v>31376.372134150468</v>
      </c>
      <c r="K92" s="148"/>
      <c r="L92" s="36"/>
      <c r="M92" s="36"/>
    </row>
    <row r="93" spans="1:13">
      <c r="A93" s="149">
        <v>3</v>
      </c>
      <c r="C93" s="149" t="s">
        <v>501</v>
      </c>
      <c r="E93" s="139">
        <f t="shared" si="23"/>
        <v>0</v>
      </c>
      <c r="F93" s="139">
        <f t="shared" si="23"/>
        <v>0</v>
      </c>
      <c r="G93" s="139">
        <f t="shared" si="23"/>
        <v>34529.031148324226</v>
      </c>
      <c r="H93" s="139">
        <f t="shared" si="23"/>
        <v>34599.593166304971</v>
      </c>
      <c r="I93" s="139">
        <f t="shared" si="23"/>
        <v>34652.824839736553</v>
      </c>
      <c r="J93" s="216">
        <f t="shared" si="23"/>
        <v>34687.822963871768</v>
      </c>
      <c r="K93" s="148"/>
      <c r="L93" s="36"/>
      <c r="M93" s="36"/>
    </row>
    <row r="94" spans="1:13">
      <c r="A94" s="149">
        <v>4</v>
      </c>
      <c r="C94" s="149" t="s">
        <v>502</v>
      </c>
      <c r="E94" s="139">
        <f t="shared" si="23"/>
        <v>0</v>
      </c>
      <c r="F94" s="139">
        <f t="shared" si="23"/>
        <v>0</v>
      </c>
      <c r="G94" s="139">
        <f t="shared" si="23"/>
        <v>0</v>
      </c>
      <c r="H94" s="139">
        <f t="shared" si="23"/>
        <v>37586.697974027076</v>
      </c>
      <c r="I94" s="139">
        <f t="shared" si="23"/>
        <v>37663.508506210477</v>
      </c>
      <c r="J94" s="216">
        <f t="shared" si="23"/>
        <v>37721.454031045214</v>
      </c>
      <c r="K94" s="148"/>
      <c r="L94" s="36"/>
      <c r="M94" s="36"/>
    </row>
    <row r="95" spans="1:13">
      <c r="A95" s="149">
        <v>5</v>
      </c>
      <c r="C95" s="149" t="s">
        <v>503</v>
      </c>
      <c r="E95" s="139">
        <f t="shared" si="23"/>
        <v>0</v>
      </c>
      <c r="F95" s="139">
        <f t="shared" si="23"/>
        <v>0</v>
      </c>
      <c r="G95" s="139">
        <f t="shared" si="23"/>
        <v>0</v>
      </c>
      <c r="H95" s="139">
        <f t="shared" si="23"/>
        <v>0</v>
      </c>
      <c r="I95" s="139">
        <f t="shared" si="23"/>
        <v>38350.239745007617</v>
      </c>
      <c r="J95" s="216">
        <f t="shared" si="23"/>
        <v>38428.610617761864</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40275.621476060871</v>
      </c>
      <c r="K96" s="148"/>
      <c r="L96" s="36"/>
      <c r="M96" s="36"/>
    </row>
    <row r="97" spans="1:13">
      <c r="C97" s="149" t="s">
        <v>260</v>
      </c>
      <c r="E97" s="139">
        <f t="shared" ref="E97:J97" si="24">SUM(E67:E72)</f>
        <v>0</v>
      </c>
      <c r="F97" s="139">
        <f t="shared" si="24"/>
        <v>37021.900809999999</v>
      </c>
      <c r="G97" s="139">
        <f t="shared" si="24"/>
        <v>68148.864783167606</v>
      </c>
      <c r="H97" s="139">
        <f t="shared" si="24"/>
        <v>102803.55908052431</v>
      </c>
      <c r="I97" s="139">
        <f t="shared" si="24"/>
        <v>140546.30790561423</v>
      </c>
      <c r="J97" s="216">
        <f t="shared" si="24"/>
        <v>179075.12739634613</v>
      </c>
      <c r="K97" s="148"/>
      <c r="L97" s="36"/>
      <c r="M97" s="36"/>
    </row>
    <row r="98" spans="1:13">
      <c r="C98" s="149" t="s">
        <v>261</v>
      </c>
      <c r="E98" s="139">
        <f t="shared" ref="E98:J98" si="25">SUM(E79:E84)</f>
        <v>0</v>
      </c>
      <c r="F98" s="139">
        <f t="shared" si="25"/>
        <v>733.48565592658383</v>
      </c>
      <c r="G98" s="139">
        <f t="shared" si="25"/>
        <v>1658.7352338902772</v>
      </c>
      <c r="H98" s="139">
        <f t="shared" si="25"/>
        <v>2494.6083925044622</v>
      </c>
      <c r="I98" s="139">
        <f t="shared" si="25"/>
        <v>3410.4655750511133</v>
      </c>
      <c r="J98" s="216">
        <f t="shared" si="25"/>
        <v>4345.3973742467479</v>
      </c>
      <c r="K98" s="148"/>
      <c r="L98" s="36"/>
      <c r="M98" s="36"/>
    </row>
    <row r="99" spans="1:13">
      <c r="C99" s="149" t="s">
        <v>75</v>
      </c>
      <c r="E99" s="139">
        <f t="shared" ref="E99:J99" si="26">SUM(E85:E90)</f>
        <v>0</v>
      </c>
      <c r="F99" s="139">
        <f t="shared" si="26"/>
        <v>822.70890688888892</v>
      </c>
      <c r="G99" s="139">
        <f t="shared" si="26"/>
        <v>1533.0720848577839</v>
      </c>
      <c r="H99" s="139">
        <f t="shared" si="26"/>
        <v>2338.557541441623</v>
      </c>
      <c r="I99" s="216">
        <f t="shared" si="26"/>
        <v>3231.8858293268299</v>
      </c>
      <c r="J99" s="216">
        <f t="shared" si="26"/>
        <v>4164.3847713669729</v>
      </c>
      <c r="K99" s="148"/>
      <c r="L99" s="36"/>
      <c r="M99" s="36"/>
    </row>
    <row r="100" spans="1:13">
      <c r="C100" s="149" t="s">
        <v>262</v>
      </c>
      <c r="E100" s="139">
        <f t="shared" ref="E100:J100" si="27">SUM(E91:E96)</f>
        <v>37021.900809999999</v>
      </c>
      <c r="F100" s="139">
        <f t="shared" si="27"/>
        <v>68148.864783167606</v>
      </c>
      <c r="G100" s="139">
        <f t="shared" si="27"/>
        <v>102803.55908052431</v>
      </c>
      <c r="H100" s="139">
        <f t="shared" si="27"/>
        <v>140546.30790561423</v>
      </c>
      <c r="I100" s="216">
        <f t="shared" si="27"/>
        <v>179075.12739634613</v>
      </c>
      <c r="J100" s="216">
        <f t="shared" si="27"/>
        <v>219531.76147528674</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37021.900809999999</v>
      </c>
      <c r="F104" s="139">
        <f t="shared" ref="F104:J104" si="28">F$25</f>
        <v>31216.187224129906</v>
      </c>
      <c r="G104" s="139">
        <f t="shared" si="28"/>
        <v>34529.031148324226</v>
      </c>
      <c r="H104" s="139">
        <f t="shared" si="28"/>
        <v>37586.697974027076</v>
      </c>
      <c r="I104" s="139">
        <f t="shared" si="28"/>
        <v>38350.239745007617</v>
      </c>
      <c r="J104" s="139">
        <f t="shared" si="28"/>
        <v>40275.621476060871</v>
      </c>
      <c r="K104" s="148"/>
      <c r="L104" s="36"/>
      <c r="M104" s="36"/>
    </row>
    <row r="105" spans="1:13">
      <c r="A105" s="149">
        <v>1</v>
      </c>
      <c r="C105" s="149" t="s">
        <v>457</v>
      </c>
      <c r="E105" s="135">
        <v>0</v>
      </c>
      <c r="F105" s="139">
        <f>E123</f>
        <v>37021.900809999999</v>
      </c>
      <c r="G105" s="139">
        <f t="shared" ref="G105:J105" si="29">F123</f>
        <v>36199.19190311111</v>
      </c>
      <c r="H105" s="139">
        <f t="shared" si="29"/>
        <v>35376.482996222221</v>
      </c>
      <c r="I105" s="139">
        <f t="shared" si="29"/>
        <v>34553.774089333332</v>
      </c>
      <c r="J105" s="139">
        <f t="shared" si="29"/>
        <v>33731.065182444443</v>
      </c>
      <c r="K105" s="148"/>
      <c r="L105" s="36"/>
      <c r="M105" s="36"/>
    </row>
    <row r="106" spans="1:13">
      <c r="A106" s="149">
        <v>2</v>
      </c>
      <c r="C106" s="149" t="s">
        <v>458</v>
      </c>
      <c r="E106" s="135">
        <v>0</v>
      </c>
      <c r="F106" s="139">
        <f t="shared" ref="F106:J109" si="30">E124</f>
        <v>0</v>
      </c>
      <c r="G106" s="139">
        <f t="shared" si="30"/>
        <v>31216.187224129906</v>
      </c>
      <c r="H106" s="139">
        <f t="shared" si="30"/>
        <v>30522.494174704796</v>
      </c>
      <c r="I106" s="139">
        <f t="shared" si="30"/>
        <v>29828.801125279686</v>
      </c>
      <c r="J106" s="139">
        <f t="shared" si="30"/>
        <v>29135.108075854576</v>
      </c>
      <c r="K106" s="148"/>
      <c r="L106" s="36"/>
      <c r="M106" s="36"/>
    </row>
    <row r="107" spans="1:13">
      <c r="A107" s="149">
        <v>3</v>
      </c>
      <c r="C107" s="149" t="s">
        <v>459</v>
      </c>
      <c r="E107" s="135">
        <v>0</v>
      </c>
      <c r="F107" s="139">
        <f t="shared" si="30"/>
        <v>0</v>
      </c>
      <c r="G107" s="139">
        <f t="shared" si="30"/>
        <v>0</v>
      </c>
      <c r="H107" s="139">
        <f t="shared" si="30"/>
        <v>34529.031148324226</v>
      </c>
      <c r="I107" s="139">
        <f t="shared" si="30"/>
        <v>33761.719345028134</v>
      </c>
      <c r="J107" s="139">
        <f t="shared" si="30"/>
        <v>32994.407541732042</v>
      </c>
      <c r="K107" s="148"/>
      <c r="L107" s="36"/>
      <c r="M107" s="36"/>
    </row>
    <row r="108" spans="1:13">
      <c r="A108" s="149">
        <v>4</v>
      </c>
      <c r="C108" s="149" t="s">
        <v>460</v>
      </c>
      <c r="E108" s="135">
        <v>0</v>
      </c>
      <c r="F108" s="139">
        <f t="shared" si="30"/>
        <v>0</v>
      </c>
      <c r="G108" s="139">
        <f t="shared" si="30"/>
        <v>0</v>
      </c>
      <c r="H108" s="139">
        <f t="shared" si="30"/>
        <v>0</v>
      </c>
      <c r="I108" s="139">
        <f t="shared" si="30"/>
        <v>37586.697974027076</v>
      </c>
      <c r="J108" s="139">
        <f t="shared" si="30"/>
        <v>36751.438019048699</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38350.239745007617</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822.70890688888892</v>
      </c>
      <c r="G117" s="139">
        <f t="shared" si="33"/>
        <v>822.70890688888892</v>
      </c>
      <c r="H117" s="139">
        <f t="shared" si="33"/>
        <v>822.70890688888892</v>
      </c>
      <c r="I117" s="139">
        <f t="shared" si="33"/>
        <v>822.70890688888881</v>
      </c>
      <c r="J117" s="139">
        <f t="shared" si="33"/>
        <v>822.70890688888881</v>
      </c>
      <c r="K117" s="148"/>
      <c r="L117" s="36"/>
      <c r="M117" s="36"/>
    </row>
    <row r="118" spans="1:13">
      <c r="A118" s="149">
        <v>2</v>
      </c>
      <c r="C118" s="149" t="s">
        <v>470</v>
      </c>
      <c r="E118" s="139">
        <f t="shared" si="33"/>
        <v>0</v>
      </c>
      <c r="F118" s="139">
        <f t="shared" si="33"/>
        <v>0</v>
      </c>
      <c r="G118" s="139">
        <f t="shared" si="33"/>
        <v>693.69304942510905</v>
      </c>
      <c r="H118" s="139">
        <f t="shared" si="33"/>
        <v>693.69304942510905</v>
      </c>
      <c r="I118" s="139">
        <f t="shared" si="33"/>
        <v>693.69304942510894</v>
      </c>
      <c r="J118" s="139">
        <f t="shared" si="33"/>
        <v>693.69304942510894</v>
      </c>
      <c r="K118" s="148"/>
      <c r="L118" s="36"/>
      <c r="M118" s="36"/>
    </row>
    <row r="119" spans="1:13">
      <c r="A119" s="149">
        <v>3</v>
      </c>
      <c r="C119" s="149" t="s">
        <v>471</v>
      </c>
      <c r="E119" s="139">
        <f t="shared" si="33"/>
        <v>0</v>
      </c>
      <c r="F119" s="139">
        <f t="shared" si="33"/>
        <v>0</v>
      </c>
      <c r="G119" s="139">
        <f t="shared" si="33"/>
        <v>0</v>
      </c>
      <c r="H119" s="139">
        <f t="shared" si="33"/>
        <v>767.3118032960939</v>
      </c>
      <c r="I119" s="139">
        <f t="shared" si="33"/>
        <v>767.3118032960939</v>
      </c>
      <c r="J119" s="139">
        <f t="shared" si="33"/>
        <v>767.31180329609401</v>
      </c>
      <c r="K119" s="148"/>
      <c r="L119" s="36"/>
      <c r="M119" s="36"/>
    </row>
    <row r="120" spans="1:13">
      <c r="A120" s="149">
        <v>4</v>
      </c>
      <c r="C120" s="149" t="s">
        <v>472</v>
      </c>
      <c r="E120" s="139">
        <f t="shared" si="33"/>
        <v>0</v>
      </c>
      <c r="F120" s="139">
        <f t="shared" si="33"/>
        <v>0</v>
      </c>
      <c r="G120" s="139">
        <f t="shared" si="33"/>
        <v>0</v>
      </c>
      <c r="H120" s="139">
        <f t="shared" si="33"/>
        <v>0</v>
      </c>
      <c r="I120" s="139">
        <f t="shared" si="33"/>
        <v>835.25995497837948</v>
      </c>
      <c r="J120" s="139">
        <f t="shared" si="33"/>
        <v>835.25995497837948</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852.2275498890582</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37021.900809999999</v>
      </c>
      <c r="F123" s="139">
        <f t="shared" ref="F123:J123" si="34">F105-F117+IF($A123=F$103,F$104,0)</f>
        <v>36199.19190311111</v>
      </c>
      <c r="G123" s="139">
        <f t="shared" si="34"/>
        <v>35376.482996222221</v>
      </c>
      <c r="H123" s="139">
        <f t="shared" si="34"/>
        <v>34553.774089333332</v>
      </c>
      <c r="I123" s="139">
        <f t="shared" si="34"/>
        <v>33731.065182444443</v>
      </c>
      <c r="J123" s="139">
        <f t="shared" si="34"/>
        <v>32908.356275555554</v>
      </c>
      <c r="K123" s="148"/>
      <c r="L123" s="36"/>
      <c r="M123" s="36"/>
    </row>
    <row r="124" spans="1:13">
      <c r="A124" s="149">
        <v>2</v>
      </c>
      <c r="C124" s="149" t="s">
        <v>476</v>
      </c>
      <c r="E124" s="139">
        <f t="shared" ref="E124:J128" si="35">E106-E118+IF($A124=E$103,E$104,0)</f>
        <v>0</v>
      </c>
      <c r="F124" s="139">
        <f t="shared" si="35"/>
        <v>31216.187224129906</v>
      </c>
      <c r="G124" s="139">
        <f t="shared" si="35"/>
        <v>30522.494174704796</v>
      </c>
      <c r="H124" s="139">
        <f t="shared" si="35"/>
        <v>29828.801125279686</v>
      </c>
      <c r="I124" s="139">
        <f t="shared" si="35"/>
        <v>29135.108075854576</v>
      </c>
      <c r="J124" s="139">
        <f t="shared" si="35"/>
        <v>28441.415026429466</v>
      </c>
      <c r="K124" s="148"/>
      <c r="L124" s="36"/>
      <c r="M124" s="36"/>
    </row>
    <row r="125" spans="1:13">
      <c r="A125" s="149">
        <v>3</v>
      </c>
      <c r="C125" s="149" t="s">
        <v>477</v>
      </c>
      <c r="E125" s="139">
        <f t="shared" si="35"/>
        <v>0</v>
      </c>
      <c r="F125" s="139">
        <f t="shared" si="35"/>
        <v>0</v>
      </c>
      <c r="G125" s="139">
        <f t="shared" si="35"/>
        <v>34529.031148324226</v>
      </c>
      <c r="H125" s="139">
        <f t="shared" si="35"/>
        <v>33761.719345028134</v>
      </c>
      <c r="I125" s="139">
        <f t="shared" si="35"/>
        <v>32994.407541732042</v>
      </c>
      <c r="J125" s="139">
        <f t="shared" si="35"/>
        <v>32227.095738435946</v>
      </c>
      <c r="K125" s="148"/>
      <c r="L125" s="36"/>
      <c r="M125" s="36"/>
    </row>
    <row r="126" spans="1:13">
      <c r="A126" s="149">
        <v>4</v>
      </c>
      <c r="C126" s="149" t="s">
        <v>478</v>
      </c>
      <c r="E126" s="139">
        <f t="shared" si="35"/>
        <v>0</v>
      </c>
      <c r="F126" s="139">
        <f t="shared" si="35"/>
        <v>0</v>
      </c>
      <c r="G126" s="139">
        <f t="shared" si="35"/>
        <v>0</v>
      </c>
      <c r="H126" s="139">
        <f t="shared" si="35"/>
        <v>37586.697974027076</v>
      </c>
      <c r="I126" s="139">
        <f t="shared" si="35"/>
        <v>36751.438019048699</v>
      </c>
      <c r="J126" s="139">
        <f t="shared" si="35"/>
        <v>35916.178064070322</v>
      </c>
      <c r="K126" s="148"/>
      <c r="L126" s="36"/>
      <c r="M126" s="36"/>
    </row>
    <row r="127" spans="1:13">
      <c r="A127" s="149">
        <v>5</v>
      </c>
      <c r="C127" s="149" t="s">
        <v>479</v>
      </c>
      <c r="E127" s="139">
        <f t="shared" si="35"/>
        <v>0</v>
      </c>
      <c r="F127" s="139">
        <f t="shared" si="35"/>
        <v>0</v>
      </c>
      <c r="G127" s="139">
        <f t="shared" si="35"/>
        <v>0</v>
      </c>
      <c r="H127" s="139">
        <f t="shared" si="35"/>
        <v>0</v>
      </c>
      <c r="I127" s="139">
        <f t="shared" si="35"/>
        <v>38350.239745007617</v>
      </c>
      <c r="J127" s="139">
        <f t="shared" si="35"/>
        <v>37498.012195118557</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40275.621476060871</v>
      </c>
      <c r="K128" s="148"/>
      <c r="L128" s="36"/>
      <c r="M128" s="36"/>
    </row>
    <row r="129" spans="3:13">
      <c r="C129" s="149" t="s">
        <v>72</v>
      </c>
      <c r="E129" s="139">
        <f>SUM(E105:E110)</f>
        <v>0</v>
      </c>
      <c r="F129" s="139">
        <f t="shared" ref="F129:J129" si="36">SUM(F105:F110)</f>
        <v>37021.900809999999</v>
      </c>
      <c r="G129" s="139">
        <f t="shared" si="36"/>
        <v>67415.379127241016</v>
      </c>
      <c r="H129" s="139">
        <f t="shared" si="36"/>
        <v>100428.00831925124</v>
      </c>
      <c r="I129" s="139">
        <f t="shared" si="36"/>
        <v>135730.99253366824</v>
      </c>
      <c r="J129" s="139">
        <f t="shared" si="36"/>
        <v>170962.25856408739</v>
      </c>
      <c r="K129" s="148"/>
      <c r="L129" s="36"/>
      <c r="M129" s="36"/>
    </row>
    <row r="130" spans="3:13">
      <c r="C130" s="149" t="s">
        <v>67</v>
      </c>
      <c r="E130" s="139">
        <f>SUM(E117:E122)</f>
        <v>0</v>
      </c>
      <c r="F130" s="139">
        <f t="shared" ref="F130:J130" si="37">SUM(F117:F122)</f>
        <v>822.70890688888892</v>
      </c>
      <c r="G130" s="139">
        <f t="shared" si="37"/>
        <v>1516.401956313998</v>
      </c>
      <c r="H130" s="139">
        <f t="shared" si="37"/>
        <v>2283.713759610092</v>
      </c>
      <c r="I130" s="139">
        <f t="shared" si="37"/>
        <v>3118.973714588471</v>
      </c>
      <c r="J130" s="139">
        <f t="shared" si="37"/>
        <v>3971.2012644775295</v>
      </c>
      <c r="K130" s="148"/>
      <c r="L130" s="36"/>
      <c r="M130" s="36"/>
    </row>
    <row r="131" spans="3:13" s="36" customFormat="1">
      <c r="C131" s="36" t="s">
        <v>73</v>
      </c>
      <c r="E131" s="139">
        <f>SUM(E123:E128)</f>
        <v>37021.900809999999</v>
      </c>
      <c r="F131" s="139">
        <f t="shared" ref="F131:J131" si="38">SUM(F123:F128)</f>
        <v>67415.379127241016</v>
      </c>
      <c r="G131" s="139">
        <f t="shared" si="38"/>
        <v>100428.00831925124</v>
      </c>
      <c r="H131" s="139">
        <f t="shared" si="38"/>
        <v>135730.99253366824</v>
      </c>
      <c r="I131" s="139">
        <f t="shared" si="38"/>
        <v>170962.25856408739</v>
      </c>
      <c r="J131" s="139">
        <f t="shared" si="38"/>
        <v>207266.67877567071</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528459.12843431695</v>
      </c>
      <c r="F134" s="139">
        <f>E137</f>
        <v>503098.3716866289</v>
      </c>
      <c r="G134" s="139">
        <f t="shared" ref="G134:J134" si="39">F137</f>
        <v>477755.47129096056</v>
      </c>
      <c r="H134" s="139">
        <f t="shared" si="39"/>
        <v>452412.57089529221</v>
      </c>
      <c r="I134" s="139">
        <f t="shared" si="39"/>
        <v>427069.67049962387</v>
      </c>
      <c r="J134" s="139">
        <f t="shared" si="39"/>
        <v>401726.77010395552</v>
      </c>
      <c r="K134" s="148"/>
      <c r="L134" s="36"/>
      <c r="M134" s="36"/>
    </row>
    <row r="135" spans="3:13">
      <c r="C135" s="149" t="s">
        <v>41</v>
      </c>
      <c r="E135" s="139">
        <f t="shared" ref="E135:J135" si="40">E55</f>
        <v>17</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25343.756747688079</v>
      </c>
      <c r="F136" s="139">
        <f t="shared" si="41"/>
        <v>25342.900395668334</v>
      </c>
      <c r="G136" s="139">
        <f t="shared" si="41"/>
        <v>25342.90039566833</v>
      </c>
      <c r="H136" s="139">
        <f t="shared" si="41"/>
        <v>25342.90039566833</v>
      </c>
      <c r="I136" s="139">
        <f t="shared" si="41"/>
        <v>25342.90039566833</v>
      </c>
      <c r="J136" s="139">
        <f t="shared" si="41"/>
        <v>25342.90039566833</v>
      </c>
      <c r="K136" s="148"/>
      <c r="L136" s="36"/>
      <c r="M136" s="36"/>
    </row>
    <row r="137" spans="3:13">
      <c r="C137" s="149" t="s">
        <v>66</v>
      </c>
      <c r="E137" s="139">
        <f t="shared" ref="E137:J137" si="42">E134-E135-E136</f>
        <v>503098.3716866289</v>
      </c>
      <c r="F137" s="139">
        <f t="shared" si="42"/>
        <v>477755.47129096056</v>
      </c>
      <c r="G137" s="139">
        <f t="shared" si="42"/>
        <v>452412.57089529221</v>
      </c>
      <c r="H137" s="139">
        <f t="shared" si="42"/>
        <v>427069.67049962387</v>
      </c>
      <c r="I137" s="139">
        <f t="shared" si="42"/>
        <v>401726.77010395552</v>
      </c>
      <c r="J137" s="139">
        <f t="shared" si="42"/>
        <v>376383.86970828718</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528459.12843431695</v>
      </c>
      <c r="F140" s="139">
        <f t="shared" si="43"/>
        <v>549227.36488348444</v>
      </c>
      <c r="G140" s="139">
        <f t="shared" si="43"/>
        <v>564700.59296775062</v>
      </c>
      <c r="H140" s="139">
        <f t="shared" si="43"/>
        <v>585101.33499380492</v>
      </c>
      <c r="I140" s="139">
        <f t="shared" si="43"/>
        <v>607530.42792643583</v>
      </c>
      <c r="J140" s="139">
        <f t="shared" si="43"/>
        <v>629679.50201898289</v>
      </c>
      <c r="K140" s="148"/>
      <c r="L140" s="36"/>
      <c r="M140" s="36"/>
    </row>
    <row r="141" spans="3:13">
      <c r="C141" s="149" t="s">
        <v>268</v>
      </c>
      <c r="E141" s="139">
        <f t="shared" ref="E141:J143" si="44">E60+E98</f>
        <v>9107.0923868555128</v>
      </c>
      <c r="F141" s="139">
        <f t="shared" si="44"/>
        <v>10881.407630900943</v>
      </c>
      <c r="G141" s="139">
        <f t="shared" si="44"/>
        <v>13744.74502450842</v>
      </c>
      <c r="H141" s="139">
        <f t="shared" si="44"/>
        <v>14197.939388439179</v>
      </c>
      <c r="I141" s="139">
        <f t="shared" si="44"/>
        <v>14742.19878924628</v>
      </c>
      <c r="J141" s="139">
        <f t="shared" si="44"/>
        <v>15279.663314907228</v>
      </c>
      <c r="K141" s="148"/>
      <c r="L141" s="36"/>
      <c r="M141" s="36"/>
    </row>
    <row r="142" spans="3:13">
      <c r="C142" s="149" t="s">
        <v>267</v>
      </c>
      <c r="E142" s="139">
        <f>E61+E99</f>
        <v>25343.756747688079</v>
      </c>
      <c r="F142" s="139">
        <f t="shared" si="44"/>
        <v>26624.366770764631</v>
      </c>
      <c r="G142" s="139">
        <f t="shared" si="44"/>
        <v>27873.034146778311</v>
      </c>
      <c r="H142" s="139">
        <f t="shared" si="44"/>
        <v>29355.544429835412</v>
      </c>
      <c r="I142" s="139">
        <f t="shared" si="44"/>
        <v>30943.364441706843</v>
      </c>
      <c r="J142" s="139">
        <f t="shared" si="44"/>
        <v>32590.724845638913</v>
      </c>
      <c r="K142" s="148"/>
      <c r="L142" s="36"/>
      <c r="M142" s="36"/>
    </row>
    <row r="143" spans="3:13">
      <c r="C143" s="149" t="s">
        <v>270</v>
      </c>
      <c r="E143" s="139">
        <f t="shared" si="44"/>
        <v>549227.36488348444</v>
      </c>
      <c r="F143" s="139">
        <f t="shared" si="44"/>
        <v>564700.59296775062</v>
      </c>
      <c r="G143" s="139">
        <f t="shared" si="44"/>
        <v>585101.33499380492</v>
      </c>
      <c r="H143" s="139">
        <f t="shared" si="44"/>
        <v>607530.42792643583</v>
      </c>
      <c r="I143" s="139">
        <f t="shared" si="44"/>
        <v>629679.50201898289</v>
      </c>
      <c r="J143" s="216">
        <f t="shared" si="44"/>
        <v>652644.0619643121</v>
      </c>
      <c r="K143" s="148"/>
      <c r="L143" s="36"/>
      <c r="M143" s="36"/>
    </row>
    <row r="144" spans="3:13">
      <c r="C144" s="149" t="s">
        <v>46</v>
      </c>
      <c r="E144" s="139">
        <f t="shared" ref="E144:J144" si="45">E130+E136</f>
        <v>25343.756747688079</v>
      </c>
      <c r="F144" s="139">
        <f t="shared" si="45"/>
        <v>26165.609302557223</v>
      </c>
      <c r="G144" s="139">
        <f t="shared" si="45"/>
        <v>26859.302351982329</v>
      </c>
      <c r="H144" s="139">
        <f t="shared" si="45"/>
        <v>27626.614155278421</v>
      </c>
      <c r="I144" s="139">
        <f t="shared" si="45"/>
        <v>28461.874110256802</v>
      </c>
      <c r="J144" s="139">
        <f t="shared" si="45"/>
        <v>29314.101660145861</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1.0392996077306833</v>
      </c>
      <c r="G148" s="308">
        <f t="shared" ref="G148:J148" si="46">G140/$E140</f>
        <v>1.0685795032830778</v>
      </c>
      <c r="H148" s="308">
        <f t="shared" si="46"/>
        <v>1.1071837035482832</v>
      </c>
      <c r="I148" s="308">
        <f t="shared" si="46"/>
        <v>1.1496261399181162</v>
      </c>
      <c r="J148" s="308">
        <f t="shared" si="46"/>
        <v>1.1915386983370972</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8.7432085500372833E-2</v>
      </c>
      <c r="E152" s="36"/>
      <c r="F152" s="36"/>
      <c r="G152" s="36"/>
      <c r="H152" s="36"/>
      <c r="I152" s="36"/>
      <c r="J152" s="36"/>
      <c r="K152" s="148"/>
      <c r="L152" s="36"/>
      <c r="M152" s="36"/>
    </row>
    <row r="153" spans="1:13">
      <c r="C153" s="149" t="s">
        <v>282</v>
      </c>
      <c r="E153" s="135">
        <f>E16</f>
        <v>394459.92603999993</v>
      </c>
      <c r="F153" s="139">
        <f>E157</f>
        <v>396976.37286999996</v>
      </c>
      <c r="G153" s="139">
        <f t="shared" ref="G153:J153" si="48">F157</f>
        <v>393484.08791973215</v>
      </c>
      <c r="H153" s="139">
        <f t="shared" si="48"/>
        <v>393609.98465002212</v>
      </c>
      <c r="I153" s="139">
        <f t="shared" si="48"/>
        <v>396782.54079232801</v>
      </c>
      <c r="J153" s="139">
        <f t="shared" si="48"/>
        <v>400441.25550572562</v>
      </c>
      <c r="K153" s="148"/>
      <c r="L153" s="36"/>
      <c r="M153" s="36"/>
    </row>
    <row r="154" spans="1:13">
      <c r="C154" s="149" t="s">
        <v>35</v>
      </c>
      <c r="E154" s="135">
        <f>E15</f>
        <v>34488.45398000002</v>
      </c>
      <c r="F154" s="139">
        <f t="shared" ref="F154:J154" si="49">F153*$D152</f>
        <v>34708.472174397721</v>
      </c>
      <c r="G154" s="139">
        <f t="shared" si="49"/>
        <v>34403.134418034242</v>
      </c>
      <c r="H154" s="139">
        <f t="shared" si="49"/>
        <v>34414.141831721172</v>
      </c>
      <c r="I154" s="139">
        <f t="shared" si="49"/>
        <v>34691.525031609992</v>
      </c>
      <c r="J154" s="139">
        <f t="shared" si="49"/>
        <v>35011.414089253245</v>
      </c>
      <c r="K154" s="148"/>
      <c r="L154" s="36"/>
      <c r="M154" s="36"/>
    </row>
    <row r="155" spans="1:13">
      <c r="C155" s="149" t="s">
        <v>124</v>
      </c>
      <c r="E155" s="139">
        <f t="shared" ref="E155:J155" si="50">E25</f>
        <v>37021.900809999999</v>
      </c>
      <c r="F155" s="139">
        <f t="shared" si="50"/>
        <v>31216.187224129906</v>
      </c>
      <c r="G155" s="139">
        <f t="shared" si="50"/>
        <v>34529.031148324226</v>
      </c>
      <c r="H155" s="139">
        <f t="shared" si="50"/>
        <v>37586.697974027076</v>
      </c>
      <c r="I155" s="139">
        <f t="shared" si="50"/>
        <v>38350.239745007617</v>
      </c>
      <c r="J155" s="139">
        <f t="shared" si="50"/>
        <v>40275.621476060871</v>
      </c>
      <c r="K155" s="148"/>
      <c r="L155" s="309"/>
      <c r="M155" s="36"/>
    </row>
    <row r="156" spans="1:13">
      <c r="C156" s="149" t="s">
        <v>41</v>
      </c>
      <c r="E156" s="139">
        <f>E55</f>
        <v>17</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396976.37286999996</v>
      </c>
      <c r="F157" s="139">
        <f t="shared" ref="F157:J157" si="52">F153-F154+F155-F156</f>
        <v>393484.08791973215</v>
      </c>
      <c r="G157" s="139">
        <f t="shared" si="52"/>
        <v>393609.98465002212</v>
      </c>
      <c r="H157" s="139">
        <f t="shared" si="52"/>
        <v>396782.54079232801</v>
      </c>
      <c r="I157" s="139">
        <f t="shared" si="52"/>
        <v>400441.25550572562</v>
      </c>
      <c r="J157" s="139">
        <f t="shared" si="52"/>
        <v>405705.46289253328</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-9144.6972323119408</v>
      </c>
      <c r="F160" s="139">
        <f t="shared" si="53"/>
        <v>-8542.862871840498</v>
      </c>
      <c r="G160" s="139">
        <f t="shared" si="53"/>
        <v>-7543.832066051913</v>
      </c>
      <c r="H160" s="139">
        <f t="shared" si="53"/>
        <v>-6787.5276764427508</v>
      </c>
      <c r="I160" s="139">
        <f t="shared" si="53"/>
        <v>-6229.6509213531899</v>
      </c>
      <c r="J160" s="139">
        <f t="shared" si="53"/>
        <v>-5697.3124291073837</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-4418.3991996225441</v>
      </c>
      <c r="G163" s="310">
        <f t="shared" ref="G163:J163" si="54">F166</f>
        <v>-8656.2480911036546</v>
      </c>
      <c r="H163" s="310">
        <f t="shared" si="54"/>
        <v>-12331.845097531888</v>
      </c>
      <c r="I163" s="310">
        <f t="shared" si="54"/>
        <v>-15795.676874869558</v>
      </c>
      <c r="J163" s="310">
        <f t="shared" si="54"/>
        <v>-19103.30316078215</v>
      </c>
      <c r="K163" s="148"/>
      <c r="L163" s="36"/>
      <c r="M163" s="36"/>
    </row>
    <row r="164" spans="3:13">
      <c r="C164" s="149" t="s">
        <v>238</v>
      </c>
      <c r="E164" s="139">
        <f t="shared" ref="E164:J164" si="55">E160</f>
        <v>-9144.6972323119408</v>
      </c>
      <c r="F164" s="139">
        <f t="shared" si="55"/>
        <v>-8542.862871840498</v>
      </c>
      <c r="G164" s="139">
        <f t="shared" si="55"/>
        <v>-7543.832066051913</v>
      </c>
      <c r="H164" s="139">
        <f t="shared" si="55"/>
        <v>-6787.5276764427508</v>
      </c>
      <c r="I164" s="139">
        <f t="shared" si="55"/>
        <v>-6229.6509213531899</v>
      </c>
      <c r="J164" s="139">
        <f t="shared" si="55"/>
        <v>-5697.3124291073837</v>
      </c>
      <c r="K164" s="148"/>
      <c r="L164" s="36"/>
      <c r="M164" s="36"/>
    </row>
    <row r="165" spans="3:13">
      <c r="C165" s="149" t="s">
        <v>49</v>
      </c>
      <c r="E165" s="135">
        <f>(E11-E16)/E17</f>
        <v>5583.3000997632089</v>
      </c>
      <c r="F165" s="139">
        <f>E165</f>
        <v>5583.3000997632089</v>
      </c>
      <c r="G165" s="139">
        <f t="shared" ref="G165:J165" si="56">F165</f>
        <v>5583.3000997632089</v>
      </c>
      <c r="H165" s="139">
        <f t="shared" si="56"/>
        <v>5583.3000997632089</v>
      </c>
      <c r="I165" s="139">
        <f t="shared" si="56"/>
        <v>5583.3000997632089</v>
      </c>
      <c r="J165" s="139">
        <f t="shared" si="56"/>
        <v>5583.3000997632089</v>
      </c>
      <c r="K165" s="148"/>
      <c r="L165" s="36"/>
      <c r="M165" s="36"/>
    </row>
    <row r="166" spans="3:13">
      <c r="C166" s="149" t="s">
        <v>266</v>
      </c>
      <c r="E166" s="310">
        <f t="shared" ref="E166:J166" si="57">E163+(E164-E165)*E52</f>
        <v>-4418.3991996225441</v>
      </c>
      <c r="F166" s="310">
        <f t="shared" si="57"/>
        <v>-8656.2480911036546</v>
      </c>
      <c r="G166" s="310">
        <f t="shared" si="57"/>
        <v>-12331.845097531888</v>
      </c>
      <c r="H166" s="310">
        <f t="shared" si="57"/>
        <v>-15795.676874869558</v>
      </c>
      <c r="I166" s="310">
        <f t="shared" si="57"/>
        <v>-19103.30316078215</v>
      </c>
      <c r="J166" s="310">
        <f t="shared" si="57"/>
        <v>-22261.874668865916</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528459.12843431695</v>
      </c>
      <c r="F169" s="139">
        <f t="shared" si="58"/>
        <v>544808.96568386187</v>
      </c>
      <c r="G169" s="139">
        <f t="shared" si="58"/>
        <v>556044.344876647</v>
      </c>
      <c r="H169" s="139">
        <f t="shared" si="58"/>
        <v>572769.48989627301</v>
      </c>
      <c r="I169" s="139">
        <f t="shared" si="58"/>
        <v>591734.75105156633</v>
      </c>
      <c r="J169" s="139">
        <f t="shared" si="58"/>
        <v>610576.19885820069</v>
      </c>
      <c r="K169" s="148"/>
      <c r="L169" s="36"/>
      <c r="M169" s="36"/>
    </row>
    <row r="170" spans="3:13">
      <c r="C170" s="149" t="s">
        <v>124</v>
      </c>
      <c r="E170" s="139">
        <f t="shared" ref="E170:J170" si="59">E25</f>
        <v>37021.900809999999</v>
      </c>
      <c r="F170" s="139">
        <f t="shared" si="59"/>
        <v>31216.187224129906</v>
      </c>
      <c r="G170" s="139">
        <f t="shared" si="59"/>
        <v>34529.031148324226</v>
      </c>
      <c r="H170" s="139">
        <f t="shared" si="59"/>
        <v>37586.697974027076</v>
      </c>
      <c r="I170" s="139">
        <f t="shared" si="59"/>
        <v>38350.239745007617</v>
      </c>
      <c r="J170" s="139">
        <f t="shared" si="59"/>
        <v>40275.621476060871</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9107.0923868555128</v>
      </c>
      <c r="F172" s="95">
        <f t="shared" si="61"/>
        <v>10881.407630900943</v>
      </c>
      <c r="G172" s="95">
        <f t="shared" si="61"/>
        <v>13744.74502450842</v>
      </c>
      <c r="H172" s="95">
        <f t="shared" si="61"/>
        <v>14197.939388439179</v>
      </c>
      <c r="I172" s="95">
        <f t="shared" si="61"/>
        <v>14742.19878924628</v>
      </c>
      <c r="J172" s="95">
        <f t="shared" si="61"/>
        <v>15279.663314907228</v>
      </c>
      <c r="K172" s="148"/>
      <c r="L172" s="36"/>
      <c r="M172" s="36"/>
    </row>
    <row r="173" spans="3:13">
      <c r="C173" s="149" t="s">
        <v>334</v>
      </c>
      <c r="E173" s="139">
        <f t="shared" ref="E173:J173" si="62">E169*WACC+E170*($D$46-1)+E171-E172</f>
        <v>38823.624265429957</v>
      </c>
      <c r="F173" s="139">
        <f t="shared" si="62"/>
        <v>38234.65600745588</v>
      </c>
      <c r="G173" s="139">
        <f t="shared" si="62"/>
        <v>36498.479162975884</v>
      </c>
      <c r="H173" s="139">
        <f t="shared" si="62"/>
        <v>37642.974068929107</v>
      </c>
      <c r="I173" s="139">
        <f t="shared" si="62"/>
        <v>38794.654129705435</v>
      </c>
      <c r="J173" s="139">
        <f t="shared" si="62"/>
        <v>39992.007230997951</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18438.995909330188</v>
      </c>
      <c r="F176" s="310">
        <f t="shared" si="63"/>
        <v>19009.474430641309</v>
      </c>
      <c r="G176" s="310">
        <f t="shared" si="63"/>
        <v>19401.499281435965</v>
      </c>
      <c r="H176" s="310">
        <f t="shared" si="63"/>
        <v>19985.073041460757</v>
      </c>
      <c r="I176" s="310">
        <f t="shared" si="63"/>
        <v>20646.808933691253</v>
      </c>
      <c r="J176" s="310">
        <f t="shared" si="63"/>
        <v>21304.224730560338</v>
      </c>
      <c r="K176" s="148"/>
      <c r="L176" s="36"/>
      <c r="M176" s="36"/>
    </row>
    <row r="177" spans="3:13">
      <c r="C177" s="149" t="s">
        <v>52</v>
      </c>
      <c r="E177" s="310">
        <f t="shared" ref="E177:J177" si="64">E142-E144</f>
        <v>0</v>
      </c>
      <c r="F177" s="310">
        <f t="shared" si="64"/>
        <v>458.75746820740824</v>
      </c>
      <c r="G177" s="310">
        <f t="shared" si="64"/>
        <v>1013.7317947959818</v>
      </c>
      <c r="H177" s="310">
        <f t="shared" si="64"/>
        <v>1728.9302745569912</v>
      </c>
      <c r="I177" s="310">
        <f t="shared" si="64"/>
        <v>2481.4903314500407</v>
      </c>
      <c r="J177" s="310">
        <f t="shared" si="64"/>
        <v>3276.623185493052</v>
      </c>
      <c r="K177" s="148"/>
      <c r="L177" s="36"/>
      <c r="M177" s="36"/>
    </row>
    <row r="178" spans="3:13">
      <c r="C178" s="149" t="s">
        <v>53</v>
      </c>
      <c r="E178" s="310">
        <f t="shared" ref="E178:J178" si="65">E165+E177-E176</f>
        <v>-12855.69580956698</v>
      </c>
      <c r="F178" s="310">
        <f t="shared" si="65"/>
        <v>-12967.416862670692</v>
      </c>
      <c r="G178" s="310">
        <f t="shared" si="65"/>
        <v>-12804.467386876775</v>
      </c>
      <c r="H178" s="310">
        <f t="shared" si="65"/>
        <v>-12672.842667140558</v>
      </c>
      <c r="I178" s="310">
        <f t="shared" si="65"/>
        <v>-12582.018502478004</v>
      </c>
      <c r="J178" s="310">
        <f t="shared" si="65"/>
        <v>-12444.301445304078</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25343.756747688079</v>
      </c>
      <c r="F181" s="139">
        <f t="shared" si="66"/>
        <v>26624.366770764631</v>
      </c>
      <c r="G181" s="139">
        <f t="shared" si="66"/>
        <v>27873.034146778311</v>
      </c>
      <c r="H181" s="139">
        <f t="shared" si="66"/>
        <v>29355.544429835412</v>
      </c>
      <c r="I181" s="139">
        <f t="shared" si="66"/>
        <v>30943.364441706843</v>
      </c>
      <c r="J181" s="139">
        <f t="shared" si="66"/>
        <v>32590.724845638913</v>
      </c>
      <c r="K181" s="148"/>
      <c r="L181" s="36"/>
      <c r="M181" s="36"/>
    </row>
    <row r="182" spans="3:13">
      <c r="C182" s="149" t="s">
        <v>275</v>
      </c>
      <c r="E182" s="139">
        <f>E55</f>
        <v>17</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25360.756747688079</v>
      </c>
      <c r="F183" s="95">
        <f>F181+F182</f>
        <v>26624.366770764631</v>
      </c>
      <c r="G183" s="95">
        <f t="shared" ref="G183:J183" si="68">G181+G182</f>
        <v>27873.034146778311</v>
      </c>
      <c r="H183" s="95">
        <f t="shared" si="68"/>
        <v>29355.544429835412</v>
      </c>
      <c r="I183" s="95">
        <f t="shared" si="68"/>
        <v>30943.364441706843</v>
      </c>
      <c r="J183" s="95">
        <f t="shared" si="68"/>
        <v>32590.724845638913</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438.91760055736785</v>
      </c>
      <c r="F186" s="139">
        <f t="shared" ref="F186:J186" si="69">F40</f>
        <v>458.52285345373156</v>
      </c>
      <c r="G186" s="139">
        <f t="shared" si="69"/>
        <v>465.72478308913054</v>
      </c>
      <c r="H186" s="139">
        <f t="shared" si="69"/>
        <v>474.52714153239589</v>
      </c>
      <c r="I186" s="139">
        <f t="shared" si="69"/>
        <v>484.52982158156107</v>
      </c>
      <c r="J186" s="139">
        <f t="shared" si="69"/>
        <v>495.33271603465948</v>
      </c>
      <c r="K186" s="148"/>
      <c r="L186" s="36"/>
      <c r="M186" s="36"/>
    </row>
    <row r="187" spans="3:13">
      <c r="E187" s="36"/>
      <c r="F187" s="95"/>
      <c r="G187" s="95"/>
      <c r="H187" s="95"/>
      <c r="I187" s="95"/>
      <c r="J187" s="95"/>
      <c r="K187" s="148"/>
      <c r="L187" s="36"/>
      <c r="M187" s="36"/>
    </row>
    <row r="188" spans="3:13" ht="15.75">
      <c r="C188" s="5" t="s">
        <v>297</v>
      </c>
      <c r="E188" s="139">
        <f t="shared" ref="E188:J188" si="70">E24</f>
        <v>28899.090320000003</v>
      </c>
      <c r="F188" s="139">
        <f t="shared" si="70"/>
        <v>29685.821539852124</v>
      </c>
      <c r="G188" s="139">
        <f t="shared" si="70"/>
        <v>30967.026860982642</v>
      </c>
      <c r="H188" s="139">
        <f t="shared" si="70"/>
        <v>31948.439870582388</v>
      </c>
      <c r="I188" s="139">
        <f t="shared" si="70"/>
        <v>32974.433634800211</v>
      </c>
      <c r="J188" s="139">
        <f t="shared" si="70"/>
        <v>34099.465461563428</v>
      </c>
      <c r="K188" s="148"/>
      <c r="L188" s="309"/>
      <c r="M188" s="36"/>
    </row>
    <row r="189" spans="3:13">
      <c r="C189" s="149" t="s">
        <v>298</v>
      </c>
      <c r="E189" s="139">
        <f t="shared" ref="E189:J189" si="71">E188*$D$44</f>
        <v>30136.21628465904</v>
      </c>
      <c r="F189" s="139">
        <f t="shared" si="71"/>
        <v>30956.626267700925</v>
      </c>
      <c r="G189" s="139">
        <f t="shared" si="71"/>
        <v>32292.678033867567</v>
      </c>
      <c r="H189" s="139">
        <f t="shared" si="71"/>
        <v>33316.103837046139</v>
      </c>
      <c r="I189" s="139">
        <f t="shared" si="71"/>
        <v>34386.01882893021</v>
      </c>
      <c r="J189" s="139">
        <f t="shared" si="71"/>
        <v>35559.211551712819</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-4418.3991996225441</v>
      </c>
      <c r="F192" s="310">
        <f t="shared" si="72"/>
        <v>-4237.8488914811105</v>
      </c>
      <c r="G192" s="310">
        <f t="shared" si="72"/>
        <v>-3675.5970064282337</v>
      </c>
      <c r="H192" s="310">
        <f t="shared" si="72"/>
        <v>-3463.8317773376693</v>
      </c>
      <c r="I192" s="310">
        <f t="shared" si="72"/>
        <v>-3307.6262859125927</v>
      </c>
      <c r="J192" s="310">
        <f t="shared" si="72"/>
        <v>-3158.5715080837654</v>
      </c>
      <c r="K192" s="148"/>
      <c r="L192" s="309"/>
      <c r="M192" s="36"/>
    </row>
    <row r="193" spans="2:15">
      <c r="C193" s="149" t="s">
        <v>285</v>
      </c>
      <c r="E193" s="36"/>
      <c r="F193" s="310">
        <f>(F173+F183+F189+((F186-F188-F142+F178)*F52+F192)*$D45-F192-F186*$D47)/($D48-F52*$D45)</f>
        <v>101999.5790128821</v>
      </c>
      <c r="G193" s="310">
        <f>(G173+G183+G189+((G186-G188-G142+G178)*G52+G192)*$D45-G192-G186*$D47)/($D48-G52*$D45)</f>
        <v>101304.90870884985</v>
      </c>
      <c r="H193" s="310">
        <f>(H173+H183+H189+((H186-H188-H142+H178)*H52+H192)*$D45-H192-H186*$D47)/($D48-H52*$D45)</f>
        <v>105306.43808199884</v>
      </c>
      <c r="I193" s="310">
        <f>(I173+I183+I189+((I186-I188-I142+I178)*I52+I192)*$D45-I192-I186*$D47)/($D48-I52*$D45)</f>
        <v>109442.64746776619</v>
      </c>
      <c r="J193" s="310">
        <f>(J173+J183+J189+((J186-J188-J142+J178)*J52+J192)*$D45-J192-J186*$D47)/($D48-J52*$D45)</f>
        <v>113814.45183617153</v>
      </c>
      <c r="K193" s="148"/>
      <c r="L193" s="309"/>
      <c r="M193" s="36"/>
    </row>
    <row r="194" spans="2:15">
      <c r="C194" s="149" t="s">
        <v>293</v>
      </c>
      <c r="E194" s="36"/>
      <c r="F194" s="310">
        <f>(F193+F186-F188-F181+F178)*F52</f>
        <v>9954.1490079145133</v>
      </c>
      <c r="G194" s="310">
        <f>(G193+G186-G188-G181+G178)*G52</f>
        <v>8435.3094272443486</v>
      </c>
      <c r="H194" s="310">
        <f>(H193+H186-H188-H181+H178)*H52</f>
        <v>8905.1587116724077</v>
      </c>
      <c r="I194" s="310">
        <f>(I193+I186-I188-I181+I178)*I52</f>
        <v>9359.6609989015524</v>
      </c>
      <c r="J194" s="310">
        <f>(J193+J186-J188-J181+J178)*J52</f>
        <v>9849.0819839159376</v>
      </c>
      <c r="K194" s="148"/>
      <c r="L194" s="309"/>
      <c r="M194" s="36"/>
    </row>
    <row r="195" spans="2:15">
      <c r="C195" s="149" t="s">
        <v>277</v>
      </c>
      <c r="E195" s="36"/>
      <c r="F195" s="310">
        <f>IF(F194&lt;0,#N/A,F194)</f>
        <v>9954.1490079145133</v>
      </c>
      <c r="G195" s="310">
        <f t="shared" ref="G195:J195" si="73">IF(G194&lt;0,#N/A,G194)</f>
        <v>8435.3094272443486</v>
      </c>
      <c r="H195" s="310">
        <f t="shared" si="73"/>
        <v>8905.1587116724077</v>
      </c>
      <c r="I195" s="310">
        <f>IF(I194&lt;0,#N/A,I194)</f>
        <v>9359.6609989015524</v>
      </c>
      <c r="J195" s="310">
        <f t="shared" si="73"/>
        <v>9849.0819839159376</v>
      </c>
      <c r="K195" s="148"/>
      <c r="L195" s="309"/>
      <c r="M195" s="36"/>
    </row>
    <row r="196" spans="2:15">
      <c r="C196" s="149" t="s">
        <v>286</v>
      </c>
      <c r="E196" s="36"/>
      <c r="F196" s="310">
        <f>F173+F183+F189+(F195+F192)*$D$45-F192-F186*$D$47</f>
        <v>105536.3526231108</v>
      </c>
      <c r="G196" s="310">
        <f>G173+G183+G189+(G195+G192)*$D$45-G192-G186*$D$47</f>
        <v>104817.59504712226</v>
      </c>
      <c r="H196" s="310">
        <f>H173+H183+H189+(H195+H192)*$D$45-H192-H186*$D$47</f>
        <v>108957.8750271313</v>
      </c>
      <c r="I196" s="310">
        <f>I173+I183+I189+(I195+I192)*$D$45-I192-I186*$D$47</f>
        <v>113237.5049676062</v>
      </c>
      <c r="J196" s="310">
        <f>J173+J183+J189+(J195+J192)*$D$45-J192-J186*$D$47</f>
        <v>117760.89900401699</v>
      </c>
      <c r="K196" s="148"/>
      <c r="L196" s="309"/>
      <c r="M196" s="36"/>
    </row>
    <row r="197" spans="2:15">
      <c r="C197" s="149" t="s">
        <v>287</v>
      </c>
      <c r="E197" s="36"/>
      <c r="F197" s="310">
        <f>F196/$D$48</f>
        <v>101999.5790128821</v>
      </c>
      <c r="G197" s="310">
        <f t="shared" ref="G197:J197" si="74">G196/$D$48</f>
        <v>101304.90870884985</v>
      </c>
      <c r="H197" s="310">
        <f t="shared" si="74"/>
        <v>105306.43808199883</v>
      </c>
      <c r="I197" s="310">
        <f t="shared" si="74"/>
        <v>109442.6474677662</v>
      </c>
      <c r="J197" s="310">
        <f t="shared" si="74"/>
        <v>113814.45183617153</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5716.3001164334028</v>
      </c>
      <c r="G199" s="310">
        <f t="shared" ref="G199:J199" si="75">G195+G192</f>
        <v>4759.7124208161149</v>
      </c>
      <c r="H199" s="310">
        <f t="shared" si="75"/>
        <v>5441.3269343347383</v>
      </c>
      <c r="I199" s="310">
        <f t="shared" si="75"/>
        <v>6052.0347129889597</v>
      </c>
      <c r="J199" s="310">
        <f t="shared" si="75"/>
        <v>6690.5104758321722</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108957.8750271313</v>
      </c>
      <c r="I204" s="310">
        <f>I196</f>
        <v>113237.5049676062</v>
      </c>
      <c r="J204" s="310">
        <f>J196</f>
        <v>117760.89900401699</v>
      </c>
      <c r="K204" s="148"/>
      <c r="L204" s="36"/>
      <c r="M204" s="36"/>
    </row>
    <row r="205" spans="2:15">
      <c r="B205" s="149" t="s">
        <v>247</v>
      </c>
      <c r="C205" s="149" t="s">
        <v>249</v>
      </c>
      <c r="D205" s="155"/>
      <c r="E205" s="36"/>
      <c r="F205" s="310"/>
      <c r="G205" s="310"/>
      <c r="H205" s="310">
        <f>H204/(1+WACC)^H$203</f>
        <v>100172.72687977504</v>
      </c>
      <c r="I205" s="310">
        <f>I204/(1+WACC)^I$203</f>
        <v>95713.243707175148</v>
      </c>
      <c r="J205" s="310">
        <f>J204/(1+WACC)^J$203</f>
        <v>91511.089696261362</v>
      </c>
      <c r="K205" s="148"/>
      <c r="L205" s="36"/>
      <c r="M205" s="36"/>
    </row>
    <row r="206" spans="2:15">
      <c r="B206" s="149" t="s">
        <v>247</v>
      </c>
      <c r="C206" s="149" t="s">
        <v>159</v>
      </c>
      <c r="D206" s="92">
        <f>SUM(H205:J205)</f>
        <v>287397.06028321153</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287397.06028321153</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1.0319304258798963</v>
      </c>
      <c r="J211" s="316">
        <f>I211*(1+J$31)*(1+J$26)*(1-X_industry_wide)</f>
        <v>1.0650165759728629</v>
      </c>
      <c r="K211" s="148"/>
      <c r="L211" s="36" t="s">
        <v>509</v>
      </c>
      <c r="M211" s="36"/>
    </row>
    <row r="212" spans="1:13">
      <c r="C212" s="149" t="s">
        <v>160</v>
      </c>
      <c r="D212" s="155"/>
      <c r="E212" s="36"/>
      <c r="F212" s="317"/>
      <c r="G212" s="316"/>
      <c r="H212" s="316">
        <f>H211/(1+WACC)^H$203</f>
        <v>0.91937115013330895</v>
      </c>
      <c r="I212" s="316">
        <f>I211/(1+WACC)^I$203</f>
        <v>0.87223229061207652</v>
      </c>
      <c r="J212" s="316">
        <f>J211/(1+WACC)^J$203</f>
        <v>0.82761619719405577</v>
      </c>
      <c r="K212" s="148"/>
      <c r="L212" s="36" t="s">
        <v>280</v>
      </c>
      <c r="M212" s="36"/>
    </row>
    <row r="213" spans="1:13">
      <c r="C213" s="149" t="s">
        <v>99</v>
      </c>
      <c r="D213" s="140">
        <f>SUM(H212:J212)</f>
        <v>2.619219637939441</v>
      </c>
      <c r="E213" s="36"/>
      <c r="F213" s="317"/>
      <c r="G213" s="316"/>
      <c r="H213" s="316"/>
      <c r="I213" s="316"/>
      <c r="J213" s="316"/>
      <c r="K213" s="148"/>
      <c r="L213" s="36" t="s">
        <v>510</v>
      </c>
      <c r="M213" s="36"/>
    </row>
    <row r="214" spans="1:13">
      <c r="C214" s="149" t="s">
        <v>256</v>
      </c>
      <c r="D214" s="26">
        <f>D210/D213</f>
        <v>109726.216205873</v>
      </c>
      <c r="E214" s="36"/>
      <c r="F214" s="317"/>
      <c r="G214" s="316"/>
      <c r="H214" s="310"/>
      <c r="I214" s="310"/>
      <c r="J214" s="310"/>
      <c r="K214" s="148"/>
      <c r="L214" s="36"/>
      <c r="M214" s="36"/>
    </row>
    <row r="215" spans="1:13">
      <c r="C215" s="149" t="s">
        <v>252</v>
      </c>
      <c r="D215" s="26"/>
      <c r="E215" s="36"/>
      <c r="F215" s="317"/>
      <c r="G215" s="316"/>
      <c r="H215" s="310">
        <f t="shared" ref="H215:J215" si="76">$D214*H211</f>
        <v>109726.216205873</v>
      </c>
      <c r="I215" s="310">
        <f t="shared" si="76"/>
        <v>113229.82101951611</v>
      </c>
      <c r="J215" s="310">
        <f t="shared" si="76"/>
        <v>116860.23907803693</v>
      </c>
      <c r="K215" s="148"/>
      <c r="L215" s="36" t="s">
        <v>243</v>
      </c>
      <c r="M215" s="36"/>
    </row>
    <row r="216" spans="1:13">
      <c r="C216" s="149" t="s">
        <v>253</v>
      </c>
      <c r="D216" s="26"/>
      <c r="E216" s="36"/>
      <c r="F216" s="317"/>
      <c r="G216" s="316"/>
      <c r="H216" s="247">
        <f t="shared" ref="H216:J216" si="77">H215/$D$48</f>
        <v>106049.03032459594</v>
      </c>
      <c r="I216" s="247">
        <f t="shared" si="77"/>
        <v>109435.22102701032</v>
      </c>
      <c r="J216" s="247">
        <f t="shared" si="77"/>
        <v>112943.97516154348</v>
      </c>
      <c r="K216" s="148"/>
      <c r="L216" s="36" t="s">
        <v>245</v>
      </c>
      <c r="M216" s="36"/>
    </row>
    <row r="217" spans="1:13">
      <c r="C217" s="149" t="s">
        <v>252</v>
      </c>
      <c r="D217" s="26"/>
      <c r="E217" s="36"/>
      <c r="F217" s="317"/>
      <c r="G217" s="316"/>
      <c r="H217" s="247">
        <f>H216*$D$48</f>
        <v>109726.216205873</v>
      </c>
      <c r="I217" s="247">
        <f t="shared" ref="I217:J217" si="78">I216*$D$48</f>
        <v>113229.82101951611</v>
      </c>
      <c r="J217" s="247">
        <f t="shared" si="78"/>
        <v>116860.23907803693</v>
      </c>
      <c r="K217" s="148"/>
      <c r="L217" s="36" t="s">
        <v>299</v>
      </c>
      <c r="M217" s="36"/>
    </row>
    <row r="218" spans="1:13">
      <c r="C218" s="149" t="s">
        <v>254</v>
      </c>
      <c r="D218" s="155"/>
      <c r="E218" s="36"/>
      <c r="F218" s="317"/>
      <c r="G218" s="316"/>
      <c r="H218" s="310">
        <f>H215/(1+WACC)^H$203</f>
        <v>100879.11759296957</v>
      </c>
      <c r="I218" s="310">
        <f>I215/(1+WACC)^I$203</f>
        <v>95706.748901444575</v>
      </c>
      <c r="J218" s="310">
        <f>J215/(1+WACC)^J$203</f>
        <v>90811.193788797391</v>
      </c>
      <c r="K218" s="148"/>
      <c r="L218" s="36" t="s">
        <v>246</v>
      </c>
      <c r="M218" s="36"/>
    </row>
    <row r="219" spans="1:13">
      <c r="C219" s="149" t="s">
        <v>255</v>
      </c>
      <c r="D219" s="26">
        <f>SUM(H218:J218)</f>
        <v>287397.06028321153</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186517.94269024197</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2.7180130640251446E-3</v>
      </c>
      <c r="G226" s="204">
        <f t="shared" ref="G226:J226" si="80">G$26</f>
        <v>1.1376156500903392E-2</v>
      </c>
      <c r="H226" s="204">
        <f t="shared" si="80"/>
        <v>7.181901300250846E-3</v>
      </c>
      <c r="I226" s="204">
        <f t="shared" si="80"/>
        <v>7.3000442250989051E-3</v>
      </c>
      <c r="J226" s="204">
        <f t="shared" si="80"/>
        <v>7.6118973962612749E-3</v>
      </c>
      <c r="K226" s="148"/>
      <c r="L226" s="36"/>
      <c r="M226" s="36"/>
    </row>
    <row r="227" spans="1:14">
      <c r="A227" s="19"/>
      <c r="B227" s="19" t="s">
        <v>263</v>
      </c>
      <c r="C227" s="149" t="s">
        <v>411</v>
      </c>
      <c r="E227" s="163">
        <f>E$8-E$9-E$10</f>
        <v>100500.48712999999</v>
      </c>
      <c r="F227" s="247">
        <f>E227*(1+F225)*(1+F226)*(1-X_industry_wide)</f>
        <v>103257.75862042404</v>
      </c>
      <c r="G227" s="247">
        <f>F227*(1+G225)*(1+G226)*(1-X_industry_wide)</f>
        <v>106292.55475055723</v>
      </c>
      <c r="H227" s="320">
        <f>G227*(1+H225)*(1+H226)*(1-X_industry_wide)</f>
        <v>111970.77814961835</v>
      </c>
      <c r="I227" s="247">
        <f>H227*(1+I225)*(1+I226)*(1-X_industry_wide)</f>
        <v>115546.05278203904</v>
      </c>
      <c r="J227" s="247">
        <f>I227*(1+J225)*(1+J226)*(1-X_industry_wide)</f>
        <v>119250.73475392361</v>
      </c>
      <c r="K227" s="148"/>
      <c r="L227" s="300"/>
      <c r="M227" s="36"/>
    </row>
    <row r="228" spans="1:14">
      <c r="A228" s="19"/>
      <c r="B228" s="19"/>
      <c r="C228" s="149" t="s">
        <v>358</v>
      </c>
      <c r="E228" s="215"/>
      <c r="F228" s="247"/>
      <c r="G228" s="320">
        <f>G227*$D$48</f>
        <v>109978.18469377574</v>
      </c>
      <c r="H228" s="320">
        <f>H227*$D$48</f>
        <v>115853.2970492927</v>
      </c>
      <c r="I228" s="320">
        <f>I227*$D$48</f>
        <v>119552.54216366675</v>
      </c>
      <c r="J228" s="320">
        <f>J227*$D$48</f>
        <v>123385.68173860472</v>
      </c>
      <c r="K228" s="148"/>
      <c r="L228" s="300"/>
      <c r="M228" s="36"/>
    </row>
    <row r="229" spans="1:14">
      <c r="A229" s="19"/>
      <c r="B229" s="19" t="s">
        <v>263</v>
      </c>
      <c r="C229" s="149" t="s">
        <v>335</v>
      </c>
      <c r="D229" s="92">
        <f>H227</f>
        <v>111970.77814961835</v>
      </c>
      <c r="E229" s="36"/>
      <c r="F229" s="247"/>
      <c r="G229" s="310"/>
      <c r="H229" s="310"/>
      <c r="I229" s="310"/>
      <c r="J229" s="310"/>
      <c r="K229" s="148"/>
      <c r="L229" s="300"/>
      <c r="M229" s="36"/>
    </row>
    <row r="230" spans="1:14">
      <c r="B230" s="19" t="s">
        <v>263</v>
      </c>
      <c r="C230" s="149" t="s">
        <v>336</v>
      </c>
      <c r="D230" s="92">
        <f>D214/D48</f>
        <v>106049.03032459594</v>
      </c>
      <c r="E230" s="36"/>
      <c r="F230" s="321"/>
      <c r="G230" s="310"/>
      <c r="H230" s="310"/>
      <c r="I230" s="310"/>
      <c r="J230" s="310"/>
      <c r="K230" s="148"/>
      <c r="L230" s="36"/>
      <c r="M230" s="36"/>
    </row>
    <row r="231" spans="1:14">
      <c r="B231" s="19" t="s">
        <v>263</v>
      </c>
      <c r="C231" s="149" t="s">
        <v>329</v>
      </c>
      <c r="D231" s="32">
        <f>(D230-D229)/D229</f>
        <v>-5.2886547033812792E-2</v>
      </c>
      <c r="E231" s="36"/>
      <c r="F231" s="247"/>
      <c r="G231" s="310"/>
      <c r="H231" s="310"/>
      <c r="I231" s="310"/>
      <c r="J231" s="310"/>
      <c r="K231" s="310"/>
      <c r="L231" s="310"/>
      <c r="M231" s="310"/>
      <c r="N231" s="19"/>
    </row>
    <row r="232" spans="1:14">
      <c r="C232" s="149" t="s">
        <v>452</v>
      </c>
      <c r="D232" s="125">
        <f>NPV(WACC,H228:J228)</f>
        <v>303445.23075153894</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-5921.7478250224085</v>
      </c>
      <c r="F235" s="36"/>
      <c r="G235" s="36"/>
      <c r="H235" s="36"/>
      <c r="I235" s="310"/>
      <c r="J235" s="310"/>
      <c r="K235" s="148"/>
      <c r="L235" s="36"/>
      <c r="M235" s="36"/>
    </row>
    <row r="236" spans="1:14">
      <c r="C236" s="149" t="s">
        <v>341</v>
      </c>
      <c r="D236" s="94"/>
      <c r="E236" s="310">
        <f>H217-H228</f>
        <v>-6127.0808434196952</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186517.94269024197</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1.032062384501121</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0.80200774823396859</v>
      </c>
      <c r="K245" s="148"/>
      <c r="L245" s="36" t="s">
        <v>280</v>
      </c>
      <c r="M245" s="36"/>
    </row>
    <row r="246" spans="1:13">
      <c r="A246" s="155"/>
      <c r="B246" s="155" t="s">
        <v>264</v>
      </c>
      <c r="C246" s="149" t="s">
        <v>99</v>
      </c>
      <c r="D246" s="140">
        <f>SUM(I245:J245)</f>
        <v>1.6472510599314119</v>
      </c>
      <c r="E246" s="36"/>
      <c r="F246" s="317"/>
      <c r="G246" s="316"/>
      <c r="H246" s="316"/>
      <c r="I246" s="316"/>
      <c r="J246" s="316"/>
      <c r="K246" s="148"/>
      <c r="L246" s="36" t="s">
        <v>510</v>
      </c>
      <c r="M246" s="36"/>
    </row>
    <row r="247" spans="1:13">
      <c r="A247" s="155"/>
      <c r="B247" s="155" t="s">
        <v>264</v>
      </c>
      <c r="C247" s="149" t="s">
        <v>256</v>
      </c>
      <c r="D247" s="26">
        <f>D242/D246</f>
        <v>113229.82101951611</v>
      </c>
      <c r="E247" s="36"/>
      <c r="F247" s="317"/>
      <c r="G247" s="316"/>
      <c r="H247" s="310"/>
      <c r="I247" s="310"/>
      <c r="J247" s="310"/>
      <c r="K247" s="148"/>
      <c r="L247" s="36"/>
      <c r="M247" s="36"/>
    </row>
    <row r="248" spans="1:13">
      <c r="A248" s="155"/>
      <c r="B248" s="155" t="s">
        <v>264</v>
      </c>
      <c r="C248" s="149" t="s">
        <v>252</v>
      </c>
      <c r="D248" s="26"/>
      <c r="E248" s="36"/>
      <c r="F248" s="317"/>
      <c r="G248" s="316"/>
      <c r="H248" s="163">
        <f>H215</f>
        <v>109726.216205873</v>
      </c>
      <c r="I248" s="310">
        <f t="shared" ref="I248:J248" si="81">$D247*I244</f>
        <v>113229.82101951611</v>
      </c>
      <c r="J248" s="310">
        <f t="shared" si="81"/>
        <v>116860.23907803695</v>
      </c>
      <c r="K248" s="148"/>
      <c r="L248" s="36" t="s">
        <v>243</v>
      </c>
      <c r="M248" s="36"/>
    </row>
    <row r="249" spans="1:13">
      <c r="A249" s="155"/>
      <c r="B249" s="155" t="s">
        <v>264</v>
      </c>
      <c r="C249" s="149" t="s">
        <v>253</v>
      </c>
      <c r="D249" s="26"/>
      <c r="E249" s="36"/>
      <c r="F249" s="317"/>
      <c r="G249" s="316"/>
      <c r="H249" s="247">
        <f>H248/$D$48</f>
        <v>106049.03032459594</v>
      </c>
      <c r="I249" s="247">
        <f>I248/$D$48</f>
        <v>109435.22102701032</v>
      </c>
      <c r="J249" s="247">
        <f>J248/$D$48</f>
        <v>112943.97516154349</v>
      </c>
      <c r="K249" s="148"/>
      <c r="L249" s="36" t="s">
        <v>245</v>
      </c>
      <c r="M249" s="36"/>
    </row>
    <row r="250" spans="1:13">
      <c r="A250" s="155"/>
      <c r="B250" s="155" t="s">
        <v>264</v>
      </c>
      <c r="C250" s="149" t="s">
        <v>370</v>
      </c>
      <c r="D250" s="155"/>
      <c r="E250" s="36"/>
      <c r="F250" s="317"/>
      <c r="G250" s="316"/>
      <c r="H250" s="310"/>
      <c r="I250" s="310">
        <f>I248/(1+WACC)^I$203</f>
        <v>95706.748901444575</v>
      </c>
      <c r="J250" s="310">
        <f>J248/(1+WACC)^J$203</f>
        <v>90811.193788797405</v>
      </c>
      <c r="K250" s="148"/>
      <c r="L250" s="36" t="s">
        <v>299</v>
      </c>
      <c r="M250" s="36"/>
    </row>
    <row r="251" spans="1:13">
      <c r="A251" s="155"/>
      <c r="B251" s="155" t="s">
        <v>264</v>
      </c>
      <c r="C251" s="149" t="s">
        <v>255</v>
      </c>
      <c r="D251" s="26">
        <f>SUM(I250:J250)</f>
        <v>186517.94269024197</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9113.0845395995948</v>
      </c>
      <c r="I253" s="324">
        <f>(I249+I186-I$188-I$181+I$178)*I$52</f>
        <v>9357.5815954899099</v>
      </c>
      <c r="J253" s="324">
        <f>(J249+J186-J$188-J$181+J$178)*J$52</f>
        <v>9605.3485150200886</v>
      </c>
      <c r="K253" s="247"/>
      <c r="L253" s="36"/>
      <c r="M253" s="36"/>
    </row>
    <row r="254" spans="1:13">
      <c r="A254" s="155"/>
      <c r="B254" s="214" t="s">
        <v>264</v>
      </c>
      <c r="C254" s="143" t="s">
        <v>325</v>
      </c>
      <c r="D254" s="214"/>
      <c r="E254" s="36"/>
      <c r="F254" s="322"/>
      <c r="G254" s="323"/>
      <c r="H254" s="324">
        <f>H253+H192</f>
        <v>5649.2527622619255</v>
      </c>
      <c r="I254" s="324">
        <f>I253+I192</f>
        <v>6049.9553095773172</v>
      </c>
      <c r="J254" s="324">
        <f>J253+J192</f>
        <v>6446.7770069363232</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97796.812312538867</v>
      </c>
      <c r="G257" s="138">
        <f>H257/((1+H32)*(1+H26)*(1+X_industry_wide))</f>
        <v>100671.10855439775</v>
      </c>
      <c r="H257" s="310">
        <f>H249</f>
        <v>106049.03032459594</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1.0145343737224619</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115853.2970492927</v>
      </c>
      <c r="I266" s="334">
        <f>H266*(1+I$225)*(1+I$226)*(1+$E265)</f>
        <v>137485.42348821674</v>
      </c>
      <c r="J266" s="247">
        <f>I266*(1+J$225)*(1+J$226)*(1-$J243)</f>
        <v>141893.53399939538</v>
      </c>
      <c r="K266" s="36"/>
      <c r="L266" s="36"/>
      <c r="M266" s="36"/>
    </row>
    <row r="267" spans="3:14">
      <c r="C267" s="149" t="s">
        <v>409</v>
      </c>
      <c r="D267" s="94"/>
      <c r="E267" s="36"/>
      <c r="F267" s="36"/>
      <c r="G267" s="36"/>
      <c r="H267" s="247">
        <f>H266/$D$48</f>
        <v>111970.77814961835</v>
      </c>
      <c r="I267" s="247">
        <f t="shared" ref="I267:J267" si="82">I266/$D$48</f>
        <v>132877.96069934487</v>
      </c>
      <c r="J267" s="247">
        <f t="shared" si="82"/>
        <v>137138.34496701209</v>
      </c>
      <c r="K267" s="36"/>
      <c r="L267" s="36"/>
      <c r="M267" s="36"/>
    </row>
    <row r="268" spans="3:14">
      <c r="C268" s="149" t="s">
        <v>347</v>
      </c>
      <c r="D268" s="94"/>
      <c r="E268" s="36"/>
      <c r="F268" s="36"/>
      <c r="G268" s="36"/>
      <c r="H268" s="247">
        <f>H266/(1+WACC)^H$203</f>
        <v>106512.17895494412</v>
      </c>
      <c r="I268" s="247">
        <f>I266/(1+WACC)^I$203</f>
        <v>116208.63465930577</v>
      </c>
      <c r="J268" s="247">
        <f>J266/(1+WACC)^J$203</f>
        <v>110264.37490677828</v>
      </c>
      <c r="K268" s="36"/>
      <c r="L268" s="36"/>
      <c r="M268" s="36"/>
    </row>
    <row r="269" spans="3:14">
      <c r="C269" s="149" t="s">
        <v>348</v>
      </c>
      <c r="D269" s="94"/>
      <c r="E269" s="310">
        <f>SUM(H268:J268)</f>
        <v>332985.18852102815</v>
      </c>
      <c r="F269" s="36"/>
      <c r="G269" s="36"/>
      <c r="H269" s="36"/>
      <c r="I269" s="36"/>
      <c r="J269" s="36"/>
      <c r="K269" s="36"/>
      <c r="L269" s="36"/>
      <c r="M269" s="36"/>
    </row>
    <row r="270" spans="3:14">
      <c r="C270" s="149" t="str">
        <f>C206</f>
        <v>PV of BBAR before tax over the PV period</v>
      </c>
      <c r="E270" s="310">
        <f>D206</f>
        <v>287397.06028321153</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97796.812312538867</v>
      </c>
      <c r="G274" s="247">
        <f t="shared" ref="G274:H274" si="83">G257</f>
        <v>100671.10855439775</v>
      </c>
      <c r="H274" s="333">
        <f t="shared" si="83"/>
        <v>106049.03032459594</v>
      </c>
      <c r="I274" s="310">
        <f>I249</f>
        <v>109435.22102701032</v>
      </c>
      <c r="J274" s="310">
        <f>J249</f>
        <v>112943.97516154349</v>
      </c>
      <c r="K274" s="36"/>
      <c r="L274" s="36"/>
      <c r="M274" s="36"/>
    </row>
    <row r="275" spans="3:13">
      <c r="C275" s="149" t="s">
        <v>407</v>
      </c>
      <c r="D275" s="94"/>
      <c r="E275" s="36"/>
      <c r="F275" s="247">
        <f>F274</f>
        <v>97796.812312538867</v>
      </c>
      <c r="G275" s="247">
        <f t="shared" ref="G275:H275" si="84">G274</f>
        <v>100671.10855439775</v>
      </c>
      <c r="H275" s="333">
        <f t="shared" si="84"/>
        <v>106049.03032459594</v>
      </c>
      <c r="I275" s="247">
        <f>I267</f>
        <v>132877.96069934487</v>
      </c>
      <c r="J275" s="247">
        <f>J267</f>
        <v>137138.34496701209</v>
      </c>
      <c r="K275" s="36"/>
      <c r="L275" s="36"/>
      <c r="M275" s="36"/>
    </row>
    <row r="276" spans="3:13">
      <c r="C276" s="149" t="s">
        <v>408</v>
      </c>
      <c r="D276" s="94"/>
      <c r="E276" s="36"/>
      <c r="F276" s="247">
        <f>IF($E$22=-15%,F275,F274)</f>
        <v>97796.812312538867</v>
      </c>
      <c r="G276" s="247">
        <f t="shared" ref="G276:J276" si="85">IF($E$22=-15%,G275,G274)</f>
        <v>100671.10855439775</v>
      </c>
      <c r="H276" s="247">
        <f t="shared" si="85"/>
        <v>106049.03032459594</v>
      </c>
      <c r="I276" s="247">
        <f t="shared" si="85"/>
        <v>109435.22102701032</v>
      </c>
      <c r="J276" s="247">
        <f t="shared" si="85"/>
        <v>112943.97516154349</v>
      </c>
      <c r="K276" s="36"/>
      <c r="L276" s="36"/>
      <c r="M276" s="36"/>
    </row>
    <row r="277" spans="3:13">
      <c r="C277" s="149" t="s">
        <v>449</v>
      </c>
      <c r="D277" s="94"/>
      <c r="E277" s="328">
        <f>(I276/H267)/((1+I225)*(1+I226))-1</f>
        <v>-5.2886547033812681E-2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115546.05278203904</v>
      </c>
      <c r="E281" s="36"/>
      <c r="F281" s="313"/>
      <c r="G281" s="36"/>
      <c r="H281" s="36"/>
      <c r="I281" s="36"/>
      <c r="J281" s="36"/>
      <c r="K281" s="36"/>
      <c r="L281" s="36"/>
      <c r="M281" s="36"/>
    </row>
    <row r="282" spans="3:13">
      <c r="C282" s="149" t="s">
        <v>443</v>
      </c>
      <c r="D282" s="19">
        <f>I276</f>
        <v>109435.22102701032</v>
      </c>
      <c r="E282" s="36"/>
      <c r="F282" s="313"/>
      <c r="G282" s="36"/>
      <c r="H282" s="36"/>
      <c r="I282" s="36"/>
      <c r="J282" s="36"/>
      <c r="K282" s="36"/>
      <c r="L282" s="36"/>
      <c r="M282" s="36"/>
    </row>
    <row r="283" spans="3:13">
      <c r="C283" s="149" t="s">
        <v>445</v>
      </c>
      <c r="D283" s="152">
        <f>(D282-D281)/D281</f>
        <v>-5.2886547033812743E-2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303445.23075153894</v>
      </c>
      <c r="G286" s="36"/>
      <c r="H286" s="36"/>
      <c r="I286" s="36"/>
      <c r="J286" s="36"/>
      <c r="K286" s="36"/>
      <c r="L286" s="36"/>
      <c r="M286" s="36"/>
    </row>
    <row r="287" spans="3:13">
      <c r="C287" s="149" t="str">
        <f>C206</f>
        <v>PV of BBAR before tax over the PV period</v>
      </c>
      <c r="E287" s="36"/>
      <c r="F287" s="310">
        <f>D206</f>
        <v>287397.06028321153</v>
      </c>
      <c r="G287" s="36"/>
      <c r="H287" s="36"/>
      <c r="I287" s="36"/>
      <c r="J287" s="36"/>
      <c r="K287" s="36"/>
      <c r="L287" s="36"/>
      <c r="M287" s="36"/>
    </row>
    <row r="288" spans="3:13">
      <c r="C288" s="149" t="s">
        <v>405</v>
      </c>
      <c r="D288" s="94"/>
      <c r="E288" s="36"/>
      <c r="F288" s="247">
        <f>F286-F287</f>
        <v>16048.170468327415</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-572769.48989627301</v>
      </c>
      <c r="F293" s="247"/>
      <c r="G293" s="310"/>
      <c r="H293" s="310"/>
      <c r="I293" s="310"/>
      <c r="J293" s="310"/>
      <c r="K293" s="310"/>
      <c r="L293" s="36"/>
      <c r="M293" s="36"/>
      <c r="N293" s="19">
        <f>J$143+J$166</f>
        <v>630382.18729544617</v>
      </c>
    </row>
    <row r="294" spans="3:14">
      <c r="C294" s="149" t="s">
        <v>57</v>
      </c>
      <c r="D294" s="19"/>
      <c r="E294" s="90"/>
      <c r="F294" s="247"/>
      <c r="G294" s="138">
        <f>H$249</f>
        <v>106049.03032459594</v>
      </c>
      <c r="H294" s="36">
        <v>0</v>
      </c>
      <c r="I294" s="36">
        <v>0</v>
      </c>
      <c r="J294" s="164">
        <f>I$249</f>
        <v>109435.22102701032</v>
      </c>
      <c r="K294" s="310">
        <v>0</v>
      </c>
      <c r="L294" s="138">
        <v>0</v>
      </c>
      <c r="M294" s="310">
        <f>J$249</f>
        <v>112943.97516154349</v>
      </c>
    </row>
    <row r="295" spans="3:14">
      <c r="C295" s="149" t="s">
        <v>234</v>
      </c>
      <c r="D295" s="19"/>
      <c r="E295" s="299"/>
      <c r="F295" s="320">
        <f>H186</f>
        <v>474.52714153239589</v>
      </c>
      <c r="G295" s="215"/>
      <c r="H295" s="300"/>
      <c r="I295" s="216">
        <f>I186</f>
        <v>484.52982158156107</v>
      </c>
      <c r="J295" s="215"/>
      <c r="K295" s="215"/>
      <c r="L295" s="215">
        <f>J186</f>
        <v>495.33271603465948</v>
      </c>
      <c r="M295" s="215"/>
    </row>
    <row r="296" spans="3:14">
      <c r="C296" s="149" t="s">
        <v>54</v>
      </c>
      <c r="D296" s="19"/>
      <c r="E296" s="299"/>
      <c r="F296" s="320">
        <f>-H$24</f>
        <v>-31948.439870582388</v>
      </c>
      <c r="G296" s="300"/>
      <c r="H296" s="215"/>
      <c r="I296" s="215">
        <f>-I$24</f>
        <v>-32974.433634800211</v>
      </c>
      <c r="J296" s="300"/>
      <c r="K296" s="215"/>
      <c r="L296" s="215">
        <f>-J$24</f>
        <v>-34099.465461563428</v>
      </c>
      <c r="M296" s="300"/>
    </row>
    <row r="297" spans="3:14">
      <c r="C297" s="149" t="s">
        <v>125</v>
      </c>
      <c r="D297" s="19"/>
      <c r="E297" s="299"/>
      <c r="F297" s="320">
        <f>-H$25</f>
        <v>-37586.697974027076</v>
      </c>
      <c r="G297" s="300"/>
      <c r="H297" s="215"/>
      <c r="I297" s="215">
        <f>-I$25</f>
        <v>-38350.239745007617</v>
      </c>
      <c r="J297" s="300"/>
      <c r="K297" s="215"/>
      <c r="L297" s="215">
        <f>-J$25</f>
        <v>-40275.621476060871</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-5649.2527622619255</v>
      </c>
      <c r="G299" s="300">
        <v>0</v>
      </c>
      <c r="H299" s="300">
        <v>0</v>
      </c>
      <c r="I299" s="336">
        <f>-I$254</f>
        <v>-6049.9553095773172</v>
      </c>
      <c r="J299" s="215">
        <v>0</v>
      </c>
      <c r="K299" s="163">
        <v>0</v>
      </c>
      <c r="L299" s="215">
        <f>-J$254</f>
        <v>-6446.7770069363232</v>
      </c>
      <c r="M299" s="300"/>
    </row>
    <row r="300" spans="3:14" ht="15.75" thickBot="1">
      <c r="C300" s="149" t="s">
        <v>217</v>
      </c>
      <c r="D300" s="19"/>
      <c r="E300" s="332">
        <f>SUM(E293:E299)</f>
        <v>-572769.48989627301</v>
      </c>
      <c r="F300" s="332">
        <f t="shared" ref="F300:K300" si="87">SUM(F293:F299)</f>
        <v>-74709.863465338989</v>
      </c>
      <c r="G300" s="332">
        <f t="shared" si="87"/>
        <v>106049.03032459594</v>
      </c>
      <c r="H300" s="332">
        <f t="shared" si="87"/>
        <v>0</v>
      </c>
      <c r="I300" s="332">
        <f t="shared" si="87"/>
        <v>-76890.098867803579</v>
      </c>
      <c r="J300" s="332">
        <f t="shared" si="87"/>
        <v>109435.22102701032</v>
      </c>
      <c r="K300" s="332">
        <f t="shared" si="87"/>
        <v>0</v>
      </c>
      <c r="L300" s="332">
        <f>SUM(L293:L299)</f>
        <v>-80326.531228525957</v>
      </c>
      <c r="M300" s="332">
        <f>SUM(M293:M299)</f>
        <v>112943.97516154349</v>
      </c>
      <c r="N300" s="129">
        <f>SUM(N293:N299)</f>
        <v>630382.18729544617</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2.3283064365386963E-10</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0"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22.xml><?xml version="1.0" encoding="utf-8"?>
<worksheet xmlns="http://schemas.openxmlformats.org/spreadsheetml/2006/main" xmlns:r="http://schemas.openxmlformats.org/officeDocument/2006/relationships">
  <sheetPr codeName="Sheet8">
    <pageSetUpPr fitToPage="1"/>
  </sheetPr>
  <dimension ref="A2:AI117"/>
  <sheetViews>
    <sheetView zoomScaleNormal="100" workbookViewId="0"/>
  </sheetViews>
  <sheetFormatPr defaultRowHeight="11.25"/>
  <cols>
    <col min="1" max="2" width="2.28515625" style="28" customWidth="1"/>
    <col min="3" max="3" width="8.7109375" style="28" customWidth="1"/>
    <col min="4" max="4" width="6.7109375" style="28" hidden="1" customWidth="1"/>
    <col min="5" max="5" width="2.7109375" style="28" hidden="1" customWidth="1"/>
    <col min="6" max="6" width="4.7109375" style="28" hidden="1" customWidth="1"/>
    <col min="7" max="7" width="2.7109375" style="28" hidden="1" customWidth="1"/>
    <col min="8" max="8" width="7.28515625" style="28" hidden="1" customWidth="1"/>
    <col min="9" max="9" width="3.28515625" style="28" hidden="1" customWidth="1"/>
    <col min="10" max="10" width="6.7109375" style="28" hidden="1" customWidth="1"/>
    <col min="11" max="11" width="2.7109375" style="28" hidden="1" customWidth="1"/>
    <col min="12" max="12" width="4.7109375" style="28" hidden="1" customWidth="1"/>
    <col min="13" max="13" width="2.7109375" style="28" hidden="1" customWidth="1"/>
    <col min="14" max="14" width="7.28515625" style="28" hidden="1" customWidth="1"/>
    <col min="15" max="15" width="4.28515625" style="28" hidden="1" customWidth="1"/>
    <col min="16" max="16" width="6.7109375" style="28" customWidth="1"/>
    <col min="17" max="17" width="2.7109375" style="28" customWidth="1"/>
    <col min="18" max="18" width="4.7109375" style="28" customWidth="1"/>
    <col min="19" max="19" width="2.7109375" style="28" customWidth="1"/>
    <col min="20" max="20" width="7.28515625" style="28" customWidth="1"/>
    <col min="21" max="21" width="3.28515625" style="28" customWidth="1"/>
    <col min="22" max="22" width="1.5703125" style="28" customWidth="1"/>
    <col min="23" max="25" width="12.7109375" style="28" customWidth="1"/>
    <col min="26" max="26" width="18.85546875" style="28" customWidth="1"/>
    <col min="27" max="27" width="6.85546875" style="28" customWidth="1"/>
    <col min="28" max="28" width="5.85546875" style="28" customWidth="1"/>
    <col min="29" max="34" width="9.140625" style="28"/>
    <col min="35" max="35" width="3.140625" style="28" customWidth="1"/>
    <col min="36" max="36" width="9.140625" style="28"/>
    <col min="37" max="37" width="10.42578125" style="28" customWidth="1"/>
    <col min="38" max="16384" width="9.140625" style="28"/>
  </cols>
  <sheetData>
    <row r="2" spans="1:31" ht="18">
      <c r="C2" s="96" t="s">
        <v>305</v>
      </c>
    </row>
    <row r="4" spans="1:31" ht="15">
      <c r="C4" s="157" t="s">
        <v>296</v>
      </c>
    </row>
    <row r="7" spans="1:31">
      <c r="A7" s="46" t="s">
        <v>143</v>
      </c>
      <c r="B7" s="30"/>
      <c r="C7" s="30"/>
      <c r="D7" s="30"/>
      <c r="E7" s="30"/>
      <c r="F7" s="30"/>
      <c r="G7" s="30"/>
      <c r="H7" s="30"/>
      <c r="I7" s="30"/>
      <c r="J7" s="30"/>
      <c r="K7" s="30"/>
      <c r="L7" s="30"/>
      <c r="M7" s="30"/>
      <c r="N7" s="30"/>
      <c r="O7" s="30"/>
      <c r="P7" s="30"/>
      <c r="Q7" s="30"/>
      <c r="R7" s="30"/>
      <c r="S7" s="30"/>
      <c r="T7" s="30"/>
      <c r="U7" s="30"/>
      <c r="V7" s="30"/>
      <c r="W7" s="30"/>
      <c r="X7" s="30"/>
      <c r="Y7" s="30"/>
    </row>
    <row r="9" spans="1:31" ht="15" customHeight="1">
      <c r="A9" s="61" t="s">
        <v>101</v>
      </c>
      <c r="B9" s="62"/>
      <c r="C9" s="62"/>
      <c r="D9" s="62"/>
      <c r="E9" s="62"/>
      <c r="F9" s="62"/>
      <c r="G9" s="62"/>
      <c r="H9" s="62"/>
      <c r="I9" s="62"/>
      <c r="J9" s="62"/>
      <c r="K9" s="62"/>
      <c r="L9" s="62"/>
      <c r="M9" s="62"/>
      <c r="N9" s="62"/>
      <c r="O9" s="62"/>
      <c r="P9" s="62"/>
      <c r="Q9" s="62"/>
      <c r="R9" s="62"/>
      <c r="S9" s="62"/>
      <c r="T9" s="62"/>
      <c r="U9" s="62"/>
    </row>
    <row r="10" spans="1:31" ht="16.5" customHeight="1">
      <c r="A10" s="63" t="s">
        <v>153</v>
      </c>
      <c r="B10" s="62"/>
      <c r="C10" s="62"/>
      <c r="D10" s="62"/>
      <c r="E10" s="62"/>
      <c r="F10" s="62"/>
      <c r="G10" s="62"/>
      <c r="H10" s="62"/>
      <c r="I10" s="62"/>
      <c r="J10" s="62"/>
      <c r="K10" s="62"/>
      <c r="L10" s="62"/>
      <c r="M10" s="62"/>
      <c r="N10" s="62"/>
      <c r="O10" s="62"/>
      <c r="P10" s="62"/>
      <c r="Q10" s="62"/>
      <c r="R10" s="62"/>
      <c r="S10" s="62"/>
      <c r="T10" s="62"/>
      <c r="U10" s="62"/>
    </row>
    <row r="11" spans="1:31" ht="12.75" customHeight="1">
      <c r="A11" s="64" t="s">
        <v>102</v>
      </c>
      <c r="B11" s="62"/>
      <c r="C11" s="62"/>
      <c r="D11" s="62"/>
      <c r="E11" s="62"/>
      <c r="F11" s="62"/>
      <c r="G11" s="62"/>
      <c r="H11" s="62"/>
      <c r="I11" s="62"/>
      <c r="J11" s="62"/>
      <c r="K11" s="62"/>
      <c r="L11" s="62"/>
      <c r="M11" s="62"/>
      <c r="N11" s="62"/>
      <c r="O11" s="62"/>
      <c r="P11" s="62"/>
      <c r="Q11" s="62"/>
      <c r="R11" s="62"/>
      <c r="S11" s="62"/>
      <c r="T11" s="62"/>
      <c r="U11" s="62"/>
    </row>
    <row r="12" spans="1:31" ht="7.5" customHeight="1">
      <c r="A12" s="65"/>
      <c r="B12" s="65"/>
      <c r="C12" s="65"/>
      <c r="D12" s="65"/>
      <c r="E12" s="65"/>
      <c r="F12" s="65"/>
      <c r="G12" s="65"/>
      <c r="H12" s="65"/>
      <c r="I12" s="65"/>
      <c r="J12" s="65"/>
      <c r="K12" s="65"/>
      <c r="L12" s="65"/>
      <c r="M12" s="65"/>
      <c r="N12" s="65"/>
      <c r="O12" s="65"/>
      <c r="P12" s="65"/>
      <c r="Q12" s="65"/>
      <c r="R12" s="65"/>
      <c r="S12" s="65"/>
      <c r="T12" s="65"/>
      <c r="U12" s="65"/>
    </row>
    <row r="13" spans="1:31" ht="12.75" customHeight="1" thickBot="1">
      <c r="A13" s="66"/>
      <c r="B13" s="66"/>
      <c r="C13" s="67"/>
      <c r="D13" s="68" t="s">
        <v>154</v>
      </c>
      <c r="E13" s="68"/>
      <c r="F13" s="68"/>
      <c r="G13" s="68"/>
      <c r="H13" s="68"/>
      <c r="I13" s="69"/>
      <c r="J13" s="68" t="s">
        <v>155</v>
      </c>
      <c r="K13" s="68"/>
      <c r="L13" s="68"/>
      <c r="M13" s="68"/>
      <c r="N13" s="68"/>
      <c r="O13" s="69"/>
      <c r="P13" s="68" t="s">
        <v>156</v>
      </c>
      <c r="Q13" s="68"/>
      <c r="R13" s="68"/>
      <c r="S13" s="68"/>
      <c r="T13" s="68"/>
      <c r="U13" s="68"/>
      <c r="W13" s="47" t="s">
        <v>181</v>
      </c>
    </row>
    <row r="14" spans="1:31" ht="22.5" customHeight="1">
      <c r="A14" s="70"/>
      <c r="B14" s="70"/>
      <c r="C14" s="71"/>
      <c r="D14" s="344" t="s">
        <v>103</v>
      </c>
      <c r="E14" s="345"/>
      <c r="F14" s="72" t="s">
        <v>104</v>
      </c>
      <c r="G14" s="73"/>
      <c r="H14" s="73"/>
      <c r="I14" s="73"/>
      <c r="J14" s="344" t="s">
        <v>103</v>
      </c>
      <c r="K14" s="345"/>
      <c r="L14" s="72" t="s">
        <v>104</v>
      </c>
      <c r="M14" s="73"/>
      <c r="N14" s="73"/>
      <c r="O14" s="73"/>
      <c r="P14" s="344" t="s">
        <v>103</v>
      </c>
      <c r="Q14" s="345"/>
      <c r="R14" s="72" t="s">
        <v>104</v>
      </c>
      <c r="S14" s="73"/>
      <c r="T14" s="73"/>
      <c r="U14" s="73"/>
      <c r="W14" s="41" t="s">
        <v>204</v>
      </c>
      <c r="X14" s="42" t="s">
        <v>205</v>
      </c>
      <c r="Y14" s="283"/>
      <c r="Z14" s="284"/>
    </row>
    <row r="15" spans="1:31" ht="33.75" customHeight="1">
      <c r="A15" s="74"/>
      <c r="B15" s="74"/>
      <c r="C15" s="75"/>
      <c r="D15" s="346"/>
      <c r="E15" s="347"/>
      <c r="F15" s="76" t="s">
        <v>105</v>
      </c>
      <c r="G15" s="77"/>
      <c r="H15" s="76" t="s">
        <v>106</v>
      </c>
      <c r="I15" s="77"/>
      <c r="J15" s="346"/>
      <c r="K15" s="347"/>
      <c r="L15" s="76" t="s">
        <v>105</v>
      </c>
      <c r="M15" s="77"/>
      <c r="N15" s="76" t="s">
        <v>106</v>
      </c>
      <c r="O15" s="77"/>
      <c r="P15" s="346"/>
      <c r="Q15" s="347"/>
      <c r="R15" s="76" t="s">
        <v>105</v>
      </c>
      <c r="S15" s="77"/>
      <c r="T15" s="76" t="s">
        <v>106</v>
      </c>
      <c r="U15" s="77"/>
      <c r="W15" s="285"/>
      <c r="X15" s="43" t="s">
        <v>126</v>
      </c>
      <c r="Y15" s="286"/>
      <c r="Z15" s="287"/>
      <c r="AD15" s="178" t="s">
        <v>303</v>
      </c>
      <c r="AE15" s="205">
        <v>1</v>
      </c>
    </row>
    <row r="16" spans="1:31" ht="18.75" customHeight="1">
      <c r="A16" s="78" t="s">
        <v>107</v>
      </c>
      <c r="B16" s="78"/>
      <c r="C16" s="78"/>
      <c r="D16" s="79" t="s">
        <v>108</v>
      </c>
      <c r="E16" s="80"/>
      <c r="F16" s="81" t="s">
        <v>109</v>
      </c>
      <c r="G16" s="80"/>
      <c r="H16" s="81" t="s">
        <v>109</v>
      </c>
      <c r="I16" s="80"/>
      <c r="J16" s="79" t="s">
        <v>110</v>
      </c>
      <c r="K16" s="80"/>
      <c r="L16" s="81" t="s">
        <v>109</v>
      </c>
      <c r="M16" s="80"/>
      <c r="N16" s="81" t="s">
        <v>109</v>
      </c>
      <c r="O16" s="80"/>
      <c r="P16" s="79" t="s">
        <v>111</v>
      </c>
      <c r="Q16" s="80"/>
      <c r="R16" s="81" t="s">
        <v>109</v>
      </c>
      <c r="S16" s="80"/>
      <c r="T16" s="81" t="s">
        <v>109</v>
      </c>
      <c r="U16" s="80"/>
      <c r="W16" s="288"/>
      <c r="X16" s="289"/>
      <c r="Y16" s="286"/>
      <c r="Z16" s="287"/>
    </row>
    <row r="17" spans="1:35" ht="15">
      <c r="A17" s="65"/>
      <c r="B17" s="65"/>
      <c r="C17" s="65"/>
      <c r="D17" s="65"/>
      <c r="E17" s="65"/>
      <c r="F17" s="65"/>
      <c r="G17" s="65"/>
      <c r="H17" s="65"/>
      <c r="I17" s="65"/>
      <c r="J17" s="65"/>
      <c r="K17" s="65"/>
      <c r="L17" s="65"/>
      <c r="M17" s="65"/>
      <c r="N17" s="65"/>
      <c r="O17" s="65"/>
      <c r="P17" s="65"/>
      <c r="Q17" s="65"/>
      <c r="R17" s="65"/>
      <c r="S17" s="65"/>
      <c r="T17" s="65"/>
      <c r="U17" s="65"/>
      <c r="W17" s="44" t="s">
        <v>147</v>
      </c>
      <c r="X17" s="112"/>
      <c r="Y17" s="286"/>
      <c r="Z17" s="287"/>
    </row>
    <row r="18" spans="1:35" ht="15">
      <c r="A18" s="82" t="s">
        <v>112</v>
      </c>
      <c r="B18" s="70"/>
      <c r="C18" s="70"/>
      <c r="D18" s="70"/>
      <c r="E18" s="70"/>
      <c r="F18" s="70"/>
      <c r="G18" s="70"/>
      <c r="H18" s="70"/>
      <c r="I18" s="70"/>
      <c r="J18" s="70"/>
      <c r="K18" s="70"/>
      <c r="L18" s="70"/>
      <c r="M18" s="70"/>
      <c r="N18" s="70"/>
      <c r="O18" s="70"/>
      <c r="P18" s="70"/>
      <c r="Q18" s="70"/>
      <c r="R18" s="70"/>
      <c r="S18" s="70"/>
      <c r="T18" s="70"/>
      <c r="U18" s="70"/>
      <c r="W18" s="44"/>
      <c r="X18" s="112"/>
      <c r="Y18" s="286"/>
      <c r="Z18" s="287"/>
    </row>
    <row r="19" spans="1:35" ht="15">
      <c r="A19" s="83" t="s">
        <v>152</v>
      </c>
      <c r="B19" s="70"/>
      <c r="C19" s="70" t="s">
        <v>117</v>
      </c>
      <c r="D19" s="84">
        <v>957.02774999999997</v>
      </c>
      <c r="E19" s="70"/>
      <c r="F19" s="85">
        <v>0.5</v>
      </c>
      <c r="G19" s="86"/>
      <c r="H19" s="85">
        <v>3.6</v>
      </c>
      <c r="I19" s="70"/>
      <c r="J19" s="84">
        <v>828.34645999999998</v>
      </c>
      <c r="K19" s="70"/>
      <c r="L19" s="85">
        <v>0.7</v>
      </c>
      <c r="M19" s="86"/>
      <c r="N19" s="85">
        <v>1.5</v>
      </c>
      <c r="O19" s="70"/>
      <c r="P19" s="84">
        <v>881.03161</v>
      </c>
      <c r="Q19" s="70"/>
      <c r="R19" s="85">
        <v>0.6</v>
      </c>
      <c r="S19" s="86"/>
      <c r="T19" s="85">
        <v>2.4</v>
      </c>
      <c r="U19" s="70"/>
      <c r="W19" s="290"/>
      <c r="X19" s="286"/>
      <c r="Y19" s="286"/>
      <c r="Z19" s="287"/>
    </row>
    <row r="20" spans="1:35" ht="19.5" customHeight="1">
      <c r="A20" s="70"/>
      <c r="B20" s="70"/>
      <c r="C20" s="70" t="s">
        <v>113</v>
      </c>
      <c r="D20" s="84">
        <v>959.71352000000002</v>
      </c>
      <c r="E20" s="70"/>
      <c r="F20" s="85">
        <v>0.3</v>
      </c>
      <c r="G20" s="86"/>
      <c r="H20" s="85">
        <v>2.1</v>
      </c>
      <c r="I20" s="70"/>
      <c r="J20" s="84">
        <v>833.85826999999995</v>
      </c>
      <c r="K20" s="70"/>
      <c r="L20" s="85">
        <v>0.7</v>
      </c>
      <c r="M20" s="86"/>
      <c r="N20" s="85">
        <v>1.5</v>
      </c>
      <c r="O20" s="70"/>
      <c r="P20" s="84">
        <v>886.02328999999997</v>
      </c>
      <c r="Q20" s="70"/>
      <c r="R20" s="85">
        <v>0.6</v>
      </c>
      <c r="S20" s="86"/>
      <c r="T20" s="85">
        <v>1.8</v>
      </c>
      <c r="U20" s="70"/>
      <c r="W20" s="113" t="s">
        <v>148</v>
      </c>
      <c r="X20" s="291" t="s">
        <v>206</v>
      </c>
      <c r="Y20" s="114" t="s">
        <v>207</v>
      </c>
      <c r="Z20" s="292" t="s">
        <v>208</v>
      </c>
    </row>
    <row r="21" spans="1:35" ht="15" customHeight="1" thickBot="1">
      <c r="A21" s="83" t="s">
        <v>151</v>
      </c>
      <c r="B21" s="70"/>
      <c r="C21" s="70" t="s">
        <v>115</v>
      </c>
      <c r="D21" s="84">
        <v>957.92300999999998</v>
      </c>
      <c r="E21" s="70"/>
      <c r="F21" s="85">
        <v>-0.2</v>
      </c>
      <c r="G21" s="86"/>
      <c r="H21" s="85">
        <v>2.1</v>
      </c>
      <c r="I21" s="70"/>
      <c r="J21" s="84">
        <v>844.09448999999995</v>
      </c>
      <c r="K21" s="70"/>
      <c r="L21" s="85">
        <v>1.2</v>
      </c>
      <c r="M21" s="86"/>
      <c r="N21" s="85">
        <v>2.9</v>
      </c>
      <c r="O21" s="70"/>
      <c r="P21" s="84">
        <v>891.01498000000004</v>
      </c>
      <c r="Q21" s="70"/>
      <c r="R21" s="85">
        <v>0.6</v>
      </c>
      <c r="S21" s="86"/>
      <c r="T21" s="85">
        <v>2.6</v>
      </c>
      <c r="U21" s="70"/>
      <c r="W21" s="113"/>
      <c r="X21" s="293" t="s">
        <v>149</v>
      </c>
      <c r="Y21" s="276" t="s">
        <v>149</v>
      </c>
      <c r="Z21" s="294" t="s">
        <v>149</v>
      </c>
    </row>
    <row r="22" spans="1:35" ht="15" customHeight="1">
      <c r="A22" s="70"/>
      <c r="B22" s="70"/>
      <c r="C22" s="70" t="s">
        <v>116</v>
      </c>
      <c r="D22" s="84">
        <v>973.14234999999996</v>
      </c>
      <c r="E22" s="70"/>
      <c r="F22" s="85">
        <v>1.6</v>
      </c>
      <c r="G22" s="86"/>
      <c r="H22" s="85">
        <v>2.2000000000000002</v>
      </c>
      <c r="I22" s="70"/>
      <c r="J22" s="84">
        <v>848.81889999999999</v>
      </c>
      <c r="K22" s="70"/>
      <c r="L22" s="85">
        <v>0.6</v>
      </c>
      <c r="M22" s="86"/>
      <c r="N22" s="85">
        <v>3.2</v>
      </c>
      <c r="O22" s="70"/>
      <c r="P22" s="84">
        <v>900.16638999999998</v>
      </c>
      <c r="Q22" s="70"/>
      <c r="R22" s="85">
        <v>1</v>
      </c>
      <c r="S22" s="86"/>
      <c r="T22" s="85">
        <v>2.8</v>
      </c>
      <c r="U22" s="70"/>
      <c r="W22" s="115">
        <v>36586</v>
      </c>
      <c r="X22" s="116">
        <v>0.89112006146534473</v>
      </c>
      <c r="Y22" s="116">
        <v>2.4795438020628113</v>
      </c>
      <c r="Z22" s="117">
        <v>1.7599663264171506</v>
      </c>
      <c r="AB22" s="49" t="s">
        <v>144</v>
      </c>
      <c r="AC22" s="40"/>
      <c r="AD22" s="50"/>
      <c r="AE22" s="48"/>
      <c r="AF22" s="48"/>
      <c r="AG22" s="48"/>
      <c r="AH22" s="48"/>
      <c r="AI22" s="48"/>
    </row>
    <row r="23" spans="1:35" ht="15" customHeight="1">
      <c r="A23" s="70"/>
      <c r="B23" s="70"/>
      <c r="C23" s="70" t="s">
        <v>117</v>
      </c>
      <c r="D23" s="84">
        <v>970.45658000000003</v>
      </c>
      <c r="E23" s="70"/>
      <c r="F23" s="85">
        <v>-0.3</v>
      </c>
      <c r="G23" s="86"/>
      <c r="H23" s="85">
        <v>1.4</v>
      </c>
      <c r="I23" s="70"/>
      <c r="J23" s="84">
        <v>857.48031000000003</v>
      </c>
      <c r="K23" s="70"/>
      <c r="L23" s="85">
        <v>1</v>
      </c>
      <c r="M23" s="86"/>
      <c r="N23" s="85">
        <v>3.5</v>
      </c>
      <c r="O23" s="70"/>
      <c r="P23" s="84">
        <v>904.32611999999995</v>
      </c>
      <c r="Q23" s="70"/>
      <c r="R23" s="85">
        <v>0.5</v>
      </c>
      <c r="S23" s="86"/>
      <c r="T23" s="85">
        <v>2.6</v>
      </c>
      <c r="U23" s="65"/>
      <c r="W23" s="115">
        <v>36708</v>
      </c>
      <c r="X23" s="116">
        <v>1.6000020552801253</v>
      </c>
      <c r="Y23" s="116">
        <v>2.2999953264001505</v>
      </c>
      <c r="Z23" s="117">
        <v>1.9999956728002255</v>
      </c>
      <c r="AB23" s="51" t="s">
        <v>145</v>
      </c>
      <c r="AC23" s="48"/>
      <c r="AD23" s="52"/>
      <c r="AE23" s="48"/>
      <c r="AF23" s="48"/>
      <c r="AG23" s="48"/>
      <c r="AH23" s="48"/>
      <c r="AI23" s="48"/>
    </row>
    <row r="24" spans="1:35" ht="15" customHeight="1">
      <c r="A24" s="70"/>
      <c r="B24" s="70"/>
      <c r="C24" s="70" t="s">
        <v>113</v>
      </c>
      <c r="D24" s="84">
        <v>974.93286000000001</v>
      </c>
      <c r="E24" s="70"/>
      <c r="F24" s="85">
        <v>0.5</v>
      </c>
      <c r="G24" s="86"/>
      <c r="H24" s="85">
        <v>1.6</v>
      </c>
      <c r="I24" s="70"/>
      <c r="J24" s="84">
        <v>865.35433</v>
      </c>
      <c r="K24" s="70"/>
      <c r="L24" s="85">
        <v>0.9</v>
      </c>
      <c r="M24" s="86"/>
      <c r="N24" s="85">
        <v>3.8</v>
      </c>
      <c r="O24" s="70"/>
      <c r="P24" s="84">
        <v>910.14975000000004</v>
      </c>
      <c r="Q24" s="70"/>
      <c r="R24" s="85">
        <v>0.6</v>
      </c>
      <c r="S24" s="86"/>
      <c r="T24" s="85">
        <v>2.7</v>
      </c>
      <c r="U24" s="65"/>
      <c r="W24" s="115">
        <v>36770</v>
      </c>
      <c r="X24" s="116">
        <v>3.2000041105602062</v>
      </c>
      <c r="Y24" s="116">
        <v>2.8798353010555777</v>
      </c>
      <c r="Z24" s="117">
        <v>2.98805961393529</v>
      </c>
      <c r="AB24" s="51" t="s">
        <v>146</v>
      </c>
      <c r="AC24" s="48"/>
      <c r="AD24" s="52"/>
      <c r="AE24" s="48"/>
      <c r="AF24" s="48"/>
      <c r="AG24" s="48"/>
      <c r="AH24" s="48"/>
      <c r="AI24" s="48"/>
    </row>
    <row r="25" spans="1:35" ht="15" customHeight="1">
      <c r="A25" s="83" t="s">
        <v>150</v>
      </c>
      <c r="B25" s="70"/>
      <c r="C25" s="70" t="s">
        <v>115</v>
      </c>
      <c r="D25" s="84">
        <v>972.24708999999996</v>
      </c>
      <c r="E25" s="70"/>
      <c r="F25" s="85">
        <v>-0.3</v>
      </c>
      <c r="G25" s="86"/>
      <c r="H25" s="85">
        <v>1.5</v>
      </c>
      <c r="I25" s="70"/>
      <c r="J25" s="84">
        <v>872.44093999999996</v>
      </c>
      <c r="K25" s="70"/>
      <c r="L25" s="85">
        <v>0.8</v>
      </c>
      <c r="M25" s="86"/>
      <c r="N25" s="85">
        <v>3.4</v>
      </c>
      <c r="O25" s="70"/>
      <c r="P25" s="84">
        <v>913.47753999999998</v>
      </c>
      <c r="Q25" s="70"/>
      <c r="R25" s="85">
        <v>0.4</v>
      </c>
      <c r="S25" s="86"/>
      <c r="T25" s="85">
        <v>2.5</v>
      </c>
      <c r="U25" s="65"/>
      <c r="W25" s="115">
        <v>36861</v>
      </c>
      <c r="X25" s="116">
        <v>4.5816690516025105</v>
      </c>
      <c r="Y25" s="116">
        <v>3.4722152226632552</v>
      </c>
      <c r="Z25" s="117">
        <v>3.9761468705462821</v>
      </c>
      <c r="AB25" s="53" t="s">
        <v>186</v>
      </c>
      <c r="AC25" s="48"/>
      <c r="AD25" s="52"/>
      <c r="AE25" s="48"/>
      <c r="AF25" s="48"/>
      <c r="AG25" s="48"/>
      <c r="AH25" s="48"/>
      <c r="AI25" s="48"/>
    </row>
    <row r="26" spans="1:35" ht="15" customHeight="1">
      <c r="A26" s="70"/>
      <c r="B26" s="70"/>
      <c r="C26" s="70" t="s">
        <v>116</v>
      </c>
      <c r="D26" s="84">
        <v>962.39927999999998</v>
      </c>
      <c r="E26" s="70"/>
      <c r="F26" s="85">
        <v>-1</v>
      </c>
      <c r="G26" s="86"/>
      <c r="H26" s="85">
        <v>-1.1000000000000001</v>
      </c>
      <c r="I26" s="70"/>
      <c r="J26" s="84">
        <v>879.52755999999999</v>
      </c>
      <c r="K26" s="70"/>
      <c r="L26" s="85">
        <v>0.8</v>
      </c>
      <c r="M26" s="86"/>
      <c r="N26" s="85">
        <v>3.6</v>
      </c>
      <c r="O26" s="70"/>
      <c r="P26" s="84">
        <v>913.47753999999998</v>
      </c>
      <c r="Q26" s="70"/>
      <c r="R26" s="85">
        <v>0</v>
      </c>
      <c r="S26" s="86"/>
      <c r="T26" s="85">
        <v>1.5</v>
      </c>
      <c r="U26" s="65"/>
      <c r="W26" s="118">
        <v>36951</v>
      </c>
      <c r="X26" s="116">
        <v>3.8652187216736911</v>
      </c>
      <c r="Y26" s="116">
        <v>2.5590500000000072</v>
      </c>
      <c r="Z26" s="117">
        <v>3.0602111794063802</v>
      </c>
      <c r="AB26" s="53" t="s">
        <v>187</v>
      </c>
      <c r="AC26" s="48"/>
      <c r="AD26" s="52"/>
      <c r="AE26" s="48"/>
      <c r="AF26" s="48"/>
      <c r="AG26" s="48"/>
      <c r="AH26" s="48"/>
      <c r="AI26" s="48"/>
    </row>
    <row r="27" spans="1:35" ht="15" customHeight="1">
      <c r="A27" s="70"/>
      <c r="B27" s="70"/>
      <c r="C27" s="70" t="s">
        <v>117</v>
      </c>
      <c r="D27" s="84">
        <v>956.13250000000005</v>
      </c>
      <c r="E27" s="70"/>
      <c r="F27" s="85">
        <v>-0.7</v>
      </c>
      <c r="G27" s="86"/>
      <c r="H27" s="85">
        <v>-1.5</v>
      </c>
      <c r="I27" s="70"/>
      <c r="J27" s="84">
        <v>889.76378</v>
      </c>
      <c r="K27" s="70"/>
      <c r="L27" s="85">
        <v>1.2</v>
      </c>
      <c r="M27" s="86"/>
      <c r="N27" s="85">
        <v>3.8</v>
      </c>
      <c r="O27" s="70"/>
      <c r="P27" s="84">
        <v>917.63726999999994</v>
      </c>
      <c r="Q27" s="70"/>
      <c r="R27" s="85">
        <v>0.5</v>
      </c>
      <c r="S27" s="86"/>
      <c r="T27" s="85">
        <v>1.5</v>
      </c>
      <c r="U27" s="65"/>
      <c r="W27" s="118">
        <v>37043</v>
      </c>
      <c r="X27" s="116">
        <v>4.724415421988537</v>
      </c>
      <c r="Y27" s="116">
        <v>2.1505457772313274</v>
      </c>
      <c r="Z27" s="117">
        <v>3.2352890226644115</v>
      </c>
      <c r="AB27" s="53" t="s">
        <v>185</v>
      </c>
      <c r="AC27" s="48"/>
      <c r="AD27" s="52"/>
      <c r="AE27" s="48"/>
      <c r="AF27" s="48"/>
      <c r="AG27" s="48"/>
      <c r="AH27" s="48"/>
      <c r="AI27" s="48"/>
    </row>
    <row r="28" spans="1:35" ht="15" customHeight="1">
      <c r="A28" s="70"/>
      <c r="B28" s="70"/>
      <c r="C28" s="70" t="s">
        <v>113</v>
      </c>
      <c r="D28" s="84">
        <v>955.23724000000004</v>
      </c>
      <c r="E28" s="70"/>
      <c r="F28" s="85">
        <v>-0.1</v>
      </c>
      <c r="G28" s="86"/>
      <c r="H28" s="85">
        <v>-2</v>
      </c>
      <c r="I28" s="70"/>
      <c r="J28" s="84">
        <v>901.57479999999998</v>
      </c>
      <c r="K28" s="70"/>
      <c r="L28" s="85">
        <v>1.3</v>
      </c>
      <c r="M28" s="86"/>
      <c r="N28" s="85">
        <v>4.2</v>
      </c>
      <c r="O28" s="70"/>
      <c r="P28" s="84">
        <v>924.29285000000004</v>
      </c>
      <c r="Q28" s="70"/>
      <c r="R28" s="85">
        <v>0.7</v>
      </c>
      <c r="S28" s="86"/>
      <c r="T28" s="85">
        <v>1.6</v>
      </c>
      <c r="U28" s="65"/>
      <c r="W28" s="118">
        <v>37135</v>
      </c>
      <c r="X28" s="116">
        <v>3.5852778099179972</v>
      </c>
      <c r="Y28" s="116">
        <v>1.5443985152277406</v>
      </c>
      <c r="Z28" s="117">
        <v>2.4177868089227061</v>
      </c>
      <c r="AB28" s="53" t="s">
        <v>182</v>
      </c>
      <c r="AC28" s="48"/>
      <c r="AD28" s="52"/>
      <c r="AE28" s="48"/>
      <c r="AF28" s="48"/>
      <c r="AG28" s="48"/>
      <c r="AH28" s="48"/>
      <c r="AI28" s="48"/>
    </row>
    <row r="29" spans="1:35" ht="15" customHeight="1">
      <c r="A29" s="83" t="s">
        <v>114</v>
      </c>
      <c r="B29" s="70"/>
      <c r="C29" s="70" t="s">
        <v>115</v>
      </c>
      <c r="D29" s="84">
        <v>949.86571000000004</v>
      </c>
      <c r="E29" s="70"/>
      <c r="F29" s="85">
        <v>-0.6</v>
      </c>
      <c r="G29" s="86"/>
      <c r="H29" s="85">
        <v>-2.2999999999999998</v>
      </c>
      <c r="I29" s="70"/>
      <c r="J29" s="84">
        <v>911.81101999999998</v>
      </c>
      <c r="K29" s="70"/>
      <c r="L29" s="85">
        <v>1.1000000000000001</v>
      </c>
      <c r="M29" s="86"/>
      <c r="N29" s="85">
        <v>4.5</v>
      </c>
      <c r="O29" s="70"/>
      <c r="P29" s="84">
        <v>927.62063000000001</v>
      </c>
      <c r="Q29" s="70"/>
      <c r="R29" s="85">
        <v>0.4</v>
      </c>
      <c r="S29" s="86"/>
      <c r="T29" s="85">
        <v>1.5</v>
      </c>
      <c r="U29" s="65"/>
      <c r="W29" s="118">
        <v>37226</v>
      </c>
      <c r="X29" s="116">
        <v>2.0952366970884206</v>
      </c>
      <c r="Y29" s="116">
        <v>1.5340456211298648</v>
      </c>
      <c r="Z29" s="117">
        <v>1.8164449459289411</v>
      </c>
      <c r="AB29" s="53" t="s">
        <v>183</v>
      </c>
      <c r="AC29" s="48"/>
      <c r="AD29" s="52"/>
      <c r="AE29" s="48"/>
      <c r="AF29" s="48"/>
      <c r="AG29" s="104" t="s">
        <v>193</v>
      </c>
    </row>
    <row r="30" spans="1:35" ht="15" customHeight="1">
      <c r="A30" s="70"/>
      <c r="B30" s="70"/>
      <c r="C30" s="70" t="s">
        <v>116</v>
      </c>
      <c r="D30" s="84">
        <v>956.13250000000005</v>
      </c>
      <c r="E30" s="70"/>
      <c r="F30" s="85">
        <v>0.7</v>
      </c>
      <c r="G30" s="86"/>
      <c r="H30" s="85">
        <v>-0.7</v>
      </c>
      <c r="I30" s="70"/>
      <c r="J30" s="84">
        <v>920.47244000000001</v>
      </c>
      <c r="K30" s="70"/>
      <c r="L30" s="85">
        <v>0.9</v>
      </c>
      <c r="M30" s="86"/>
      <c r="N30" s="85">
        <v>4.7</v>
      </c>
      <c r="O30" s="70"/>
      <c r="P30" s="84">
        <v>935.10815000000002</v>
      </c>
      <c r="Q30" s="70"/>
      <c r="R30" s="85">
        <v>0.8</v>
      </c>
      <c r="S30" s="86"/>
      <c r="T30" s="85">
        <v>2.4</v>
      </c>
      <c r="U30" s="65"/>
      <c r="W30" s="118">
        <v>37316</v>
      </c>
      <c r="X30" s="116">
        <v>2.0992352173897277</v>
      </c>
      <c r="Y30" s="116">
        <v>2.879085268438053</v>
      </c>
      <c r="Z30" s="117">
        <v>2.5862112637072832</v>
      </c>
      <c r="AB30" s="53" t="s">
        <v>184</v>
      </c>
      <c r="AC30" s="48"/>
      <c r="AD30" s="52"/>
      <c r="AE30" s="104" t="s">
        <v>140</v>
      </c>
      <c r="AF30" s="48"/>
      <c r="AG30" s="104" t="s">
        <v>194</v>
      </c>
      <c r="AH30" s="56" t="s">
        <v>196</v>
      </c>
      <c r="AI30" s="56"/>
    </row>
    <row r="31" spans="1:35" ht="15" customHeight="1">
      <c r="A31" s="70"/>
      <c r="B31" s="70"/>
      <c r="C31" s="70" t="s">
        <v>117</v>
      </c>
      <c r="D31" s="84">
        <v>956.13250000000005</v>
      </c>
      <c r="E31" s="70"/>
      <c r="F31" s="85">
        <v>0</v>
      </c>
      <c r="G31" s="86"/>
      <c r="H31" s="85">
        <v>0</v>
      </c>
      <c r="I31" s="70"/>
      <c r="J31" s="84">
        <v>929.92125999999996</v>
      </c>
      <c r="K31" s="70"/>
      <c r="L31" s="85">
        <v>1</v>
      </c>
      <c r="M31" s="86"/>
      <c r="N31" s="85">
        <v>4.5</v>
      </c>
      <c r="O31" s="70"/>
      <c r="P31" s="84">
        <v>940.93178</v>
      </c>
      <c r="Q31" s="70"/>
      <c r="R31" s="85">
        <v>0.6</v>
      </c>
      <c r="S31" s="86"/>
      <c r="T31" s="85">
        <v>2.5</v>
      </c>
      <c r="U31" s="65"/>
      <c r="W31" s="118">
        <v>37408</v>
      </c>
      <c r="X31" s="116">
        <v>2.1616469030808272</v>
      </c>
      <c r="Y31" s="116">
        <v>3.1578882125413488</v>
      </c>
      <c r="Z31" s="117">
        <v>2.7540412257478275</v>
      </c>
      <c r="AB31" s="53"/>
      <c r="AC31" s="48"/>
      <c r="AD31" s="54" t="s">
        <v>140</v>
      </c>
      <c r="AE31" s="104" t="s">
        <v>111</v>
      </c>
      <c r="AF31" s="104" t="s">
        <v>188</v>
      </c>
      <c r="AG31" s="104" t="s">
        <v>195</v>
      </c>
      <c r="AH31" s="56" t="s">
        <v>197</v>
      </c>
      <c r="AI31" s="56"/>
    </row>
    <row r="32" spans="1:35" ht="15" customHeight="1">
      <c r="A32" s="70"/>
      <c r="B32" s="70"/>
      <c r="C32" s="70" t="s">
        <v>113</v>
      </c>
      <c r="D32" s="84">
        <v>962.39927999999998</v>
      </c>
      <c r="E32" s="70"/>
      <c r="F32" s="85">
        <v>0.7</v>
      </c>
      <c r="G32" s="86"/>
      <c r="H32" s="85">
        <v>0.7</v>
      </c>
      <c r="I32" s="70"/>
      <c r="J32" s="84">
        <v>940.15747999999996</v>
      </c>
      <c r="K32" s="70"/>
      <c r="L32" s="85">
        <v>1.1000000000000001</v>
      </c>
      <c r="M32" s="86"/>
      <c r="N32" s="85">
        <v>4.3</v>
      </c>
      <c r="O32" s="70"/>
      <c r="P32" s="84">
        <v>949.25125000000003</v>
      </c>
      <c r="Q32" s="70"/>
      <c r="R32" s="85">
        <v>0.9</v>
      </c>
      <c r="S32" s="86"/>
      <c r="T32" s="85">
        <v>2.7</v>
      </c>
      <c r="U32" s="65"/>
      <c r="W32" s="118">
        <v>37500</v>
      </c>
      <c r="X32" s="116">
        <v>1.4031776297407372</v>
      </c>
      <c r="Y32" s="116">
        <v>3.5171155448976421</v>
      </c>
      <c r="Z32" s="117">
        <v>2.6440027803769972</v>
      </c>
      <c r="AB32" s="53"/>
      <c r="AC32" s="48"/>
      <c r="AD32" s="54" t="s">
        <v>111</v>
      </c>
      <c r="AE32" s="104" t="s">
        <v>209</v>
      </c>
      <c r="AF32" s="104" t="s">
        <v>189</v>
      </c>
      <c r="AG32" s="107" t="s">
        <v>192</v>
      </c>
      <c r="AH32" s="104" t="s">
        <v>198</v>
      </c>
      <c r="AI32" s="104"/>
    </row>
    <row r="33" spans="1:35" ht="15" customHeight="1">
      <c r="A33" s="83" t="s">
        <v>118</v>
      </c>
      <c r="B33" s="70"/>
      <c r="C33" s="70" t="s">
        <v>115</v>
      </c>
      <c r="D33" s="84">
        <v>957.92300999999998</v>
      </c>
      <c r="E33" s="70"/>
      <c r="F33" s="85">
        <v>-0.5</v>
      </c>
      <c r="G33" s="86"/>
      <c r="H33" s="85">
        <v>0.8</v>
      </c>
      <c r="I33" s="70"/>
      <c r="J33" s="84">
        <v>950.39369999999997</v>
      </c>
      <c r="K33" s="70"/>
      <c r="L33" s="85">
        <v>1.1000000000000001</v>
      </c>
      <c r="M33" s="86"/>
      <c r="N33" s="85">
        <v>4.2</v>
      </c>
      <c r="O33" s="70"/>
      <c r="P33" s="84">
        <v>953.41098</v>
      </c>
      <c r="Q33" s="70"/>
      <c r="R33" s="85">
        <v>0.4</v>
      </c>
      <c r="S33" s="86"/>
      <c r="T33" s="85">
        <v>2.8</v>
      </c>
      <c r="U33" s="65"/>
      <c r="W33" s="118">
        <v>37591</v>
      </c>
      <c r="X33" s="116">
        <v>1.5858274370424086</v>
      </c>
      <c r="Y33" s="116">
        <v>3.7771405525375279</v>
      </c>
      <c r="Z33" s="117">
        <v>2.7230096544865301</v>
      </c>
      <c r="AB33" s="55" t="s">
        <v>142</v>
      </c>
      <c r="AC33" s="56" t="s">
        <v>112</v>
      </c>
      <c r="AD33" s="54" t="s">
        <v>141</v>
      </c>
      <c r="AE33" s="104" t="s">
        <v>210</v>
      </c>
      <c r="AF33" s="104" t="s">
        <v>190</v>
      </c>
      <c r="AG33" s="107" t="s">
        <v>191</v>
      </c>
      <c r="AH33" s="104" t="s">
        <v>199</v>
      </c>
      <c r="AI33" s="104"/>
    </row>
    <row r="34" spans="1:35" ht="15" customHeight="1">
      <c r="A34" s="70"/>
      <c r="B34" s="70"/>
      <c r="C34" s="70" t="s">
        <v>116</v>
      </c>
      <c r="D34" s="84">
        <v>963.29453999999998</v>
      </c>
      <c r="E34" s="70"/>
      <c r="F34" s="85">
        <v>0.6</v>
      </c>
      <c r="G34" s="86"/>
      <c r="H34" s="85">
        <v>0.7</v>
      </c>
      <c r="I34" s="70"/>
      <c r="J34" s="84">
        <v>960.62991999999997</v>
      </c>
      <c r="K34" s="70"/>
      <c r="L34" s="85">
        <v>1.1000000000000001</v>
      </c>
      <c r="M34" s="86"/>
      <c r="N34" s="85">
        <v>4.4000000000000004</v>
      </c>
      <c r="O34" s="70"/>
      <c r="P34" s="84">
        <v>961.73045000000002</v>
      </c>
      <c r="Q34" s="70"/>
      <c r="R34" s="85">
        <v>0.9</v>
      </c>
      <c r="S34" s="86"/>
      <c r="T34" s="85">
        <v>2.8</v>
      </c>
      <c r="U34" s="65"/>
      <c r="W34" s="118">
        <v>37681</v>
      </c>
      <c r="X34" s="116">
        <v>1.4953289565027728</v>
      </c>
      <c r="Y34" s="116">
        <v>3.3582021918161953</v>
      </c>
      <c r="Z34" s="117">
        <v>2.5210013299439282</v>
      </c>
      <c r="AB34" s="53" t="str">
        <f t="shared" ref="AB34:AB60" si="0">IF(ISBLANK(A25),AB33,A25)</f>
        <v>2003</v>
      </c>
      <c r="AC34" s="48" t="str">
        <f t="shared" ref="AC34:AC60" si="1">C25 &amp; " " &amp; AB34</f>
        <v>Mar 2003</v>
      </c>
      <c r="AD34" s="57">
        <f>P25</f>
        <v>913.47753999999998</v>
      </c>
      <c r="AE34" s="105">
        <f t="shared" ref="AE34:AE62" si="2">AD34*$AE$15</f>
        <v>913.47753999999998</v>
      </c>
      <c r="AF34" s="105"/>
      <c r="AH34" s="105"/>
      <c r="AI34" s="105"/>
    </row>
    <row r="35" spans="1:35" ht="15" customHeight="1">
      <c r="A35" s="70"/>
      <c r="B35" s="70"/>
      <c r="C35" s="70" t="s">
        <v>117</v>
      </c>
      <c r="D35" s="84">
        <v>974.0376</v>
      </c>
      <c r="E35" s="70"/>
      <c r="F35" s="85">
        <v>1.1000000000000001</v>
      </c>
      <c r="G35" s="86"/>
      <c r="H35" s="85">
        <v>1.9</v>
      </c>
      <c r="I35" s="70"/>
      <c r="J35" s="84">
        <v>970.86613999999997</v>
      </c>
      <c r="K35" s="70"/>
      <c r="L35" s="85">
        <v>1.1000000000000001</v>
      </c>
      <c r="M35" s="86"/>
      <c r="N35" s="85">
        <v>4.4000000000000004</v>
      </c>
      <c r="O35" s="70"/>
      <c r="P35" s="84">
        <v>972.54575999999997</v>
      </c>
      <c r="Q35" s="70"/>
      <c r="R35" s="85">
        <v>1.1000000000000001</v>
      </c>
      <c r="S35" s="86"/>
      <c r="T35" s="85">
        <v>3.4</v>
      </c>
      <c r="U35" s="65"/>
      <c r="W35" s="118">
        <v>37773</v>
      </c>
      <c r="X35" s="116">
        <v>-1.1039495457139115</v>
      </c>
      <c r="Y35" s="116">
        <v>3.6178152960543164</v>
      </c>
      <c r="Z35" s="117">
        <v>1.4787377089391596</v>
      </c>
      <c r="AB35" s="53" t="str">
        <f t="shared" si="0"/>
        <v>2003</v>
      </c>
      <c r="AC35" s="48" t="str">
        <f t="shared" si="1"/>
        <v>Jun 2003</v>
      </c>
      <c r="AD35" s="57">
        <f t="shared" ref="AD35:AD60" si="3">P26</f>
        <v>913.47753999999998</v>
      </c>
      <c r="AE35" s="105">
        <f t="shared" si="2"/>
        <v>913.47753999999998</v>
      </c>
      <c r="AF35" s="105"/>
      <c r="AH35" s="105"/>
      <c r="AI35" s="105"/>
    </row>
    <row r="36" spans="1:35" ht="15" customHeight="1">
      <c r="A36" s="70"/>
      <c r="B36" s="70"/>
      <c r="C36" s="70" t="s">
        <v>113</v>
      </c>
      <c r="D36" s="84">
        <v>978.51387999999997</v>
      </c>
      <c r="E36" s="70"/>
      <c r="F36" s="85">
        <v>0.5</v>
      </c>
      <c r="G36" s="86"/>
      <c r="H36" s="85">
        <v>1.7</v>
      </c>
      <c r="I36" s="70"/>
      <c r="J36" s="84">
        <v>980.31496000000004</v>
      </c>
      <c r="K36" s="70"/>
      <c r="L36" s="85">
        <v>1</v>
      </c>
      <c r="M36" s="86"/>
      <c r="N36" s="85">
        <v>4.3</v>
      </c>
      <c r="O36" s="70"/>
      <c r="P36" s="84">
        <v>979.20132999999998</v>
      </c>
      <c r="Q36" s="70"/>
      <c r="R36" s="85">
        <v>0.7</v>
      </c>
      <c r="S36" s="86"/>
      <c r="T36" s="85">
        <v>3.2</v>
      </c>
      <c r="U36" s="65"/>
      <c r="W36" s="118">
        <v>37865</v>
      </c>
      <c r="X36" s="116">
        <v>-1.4760165472623821</v>
      </c>
      <c r="Y36" s="116">
        <v>3.7649261446589311</v>
      </c>
      <c r="Z36" s="117">
        <v>1.4719469005704866</v>
      </c>
      <c r="AB36" s="53" t="str">
        <f t="shared" si="0"/>
        <v>2003</v>
      </c>
      <c r="AC36" s="48" t="str">
        <f t="shared" si="1"/>
        <v>Sep 2003</v>
      </c>
      <c r="AD36" s="57">
        <f t="shared" si="3"/>
        <v>917.63726999999994</v>
      </c>
      <c r="AE36" s="105">
        <f t="shared" si="2"/>
        <v>917.63726999999994</v>
      </c>
      <c r="AF36" s="105"/>
      <c r="AG36" s="105"/>
      <c r="AH36" s="105"/>
      <c r="AI36" s="105"/>
    </row>
    <row r="37" spans="1:35" ht="15" customHeight="1">
      <c r="A37" s="83" t="s">
        <v>119</v>
      </c>
      <c r="B37" s="70"/>
      <c r="C37" s="70" t="s">
        <v>115</v>
      </c>
      <c r="D37" s="84">
        <v>977.61861999999996</v>
      </c>
      <c r="E37" s="70"/>
      <c r="F37" s="85">
        <v>-0.1</v>
      </c>
      <c r="G37" s="86"/>
      <c r="H37" s="85">
        <v>2.1</v>
      </c>
      <c r="I37" s="70"/>
      <c r="J37" s="84">
        <v>989.76378</v>
      </c>
      <c r="K37" s="70"/>
      <c r="L37" s="85">
        <v>1</v>
      </c>
      <c r="M37" s="86"/>
      <c r="N37" s="85">
        <v>4.0999999999999996</v>
      </c>
      <c r="O37" s="70"/>
      <c r="P37" s="84">
        <v>985.02495999999996</v>
      </c>
      <c r="Q37" s="70"/>
      <c r="R37" s="85">
        <v>0.6</v>
      </c>
      <c r="S37" s="86"/>
      <c r="T37" s="85">
        <v>3.3</v>
      </c>
      <c r="U37" s="65"/>
      <c r="W37" s="118">
        <v>37956</v>
      </c>
      <c r="X37" s="116">
        <v>-2.0202108268169039</v>
      </c>
      <c r="Y37" s="116">
        <v>4.1856266271514508</v>
      </c>
      <c r="Z37" s="117">
        <v>1.5539200250332508</v>
      </c>
      <c r="AB37" s="53" t="str">
        <f t="shared" si="0"/>
        <v>2003</v>
      </c>
      <c r="AC37" s="48" t="str">
        <f t="shared" si="1"/>
        <v>Dec 2003</v>
      </c>
      <c r="AD37" s="57">
        <f t="shared" si="3"/>
        <v>924.29285000000004</v>
      </c>
      <c r="AE37" s="105">
        <f t="shared" si="2"/>
        <v>924.29285000000004</v>
      </c>
      <c r="AF37" s="105">
        <f>SUM(AE34:AE37)</f>
        <v>3668.8851999999997</v>
      </c>
      <c r="AG37" s="105"/>
      <c r="AH37" s="105"/>
      <c r="AI37" s="105"/>
    </row>
    <row r="38" spans="1:35" ht="15" customHeight="1">
      <c r="A38" s="70"/>
      <c r="B38" s="70"/>
      <c r="C38" s="70" t="s">
        <v>116</v>
      </c>
      <c r="D38" s="84">
        <v>1000</v>
      </c>
      <c r="E38" s="70"/>
      <c r="F38" s="85">
        <v>2.2999999999999998</v>
      </c>
      <c r="G38" s="86"/>
      <c r="H38" s="85">
        <v>3.8</v>
      </c>
      <c r="I38" s="70"/>
      <c r="J38" s="84">
        <v>1000</v>
      </c>
      <c r="K38" s="70"/>
      <c r="L38" s="85">
        <v>1</v>
      </c>
      <c r="M38" s="86"/>
      <c r="N38" s="85">
        <v>4.0999999999999996</v>
      </c>
      <c r="O38" s="70"/>
      <c r="P38" s="84">
        <v>1000</v>
      </c>
      <c r="Q38" s="70"/>
      <c r="R38" s="85">
        <v>1.5</v>
      </c>
      <c r="S38" s="86"/>
      <c r="T38" s="85">
        <v>4</v>
      </c>
      <c r="U38" s="65"/>
      <c r="W38" s="118">
        <v>38047</v>
      </c>
      <c r="X38" s="116">
        <v>-2.3020279515362008</v>
      </c>
      <c r="Y38" s="116">
        <v>4.5126380480328132</v>
      </c>
      <c r="Z38" s="117">
        <v>1.5482702091731859</v>
      </c>
      <c r="AB38" s="53" t="str">
        <f t="shared" si="0"/>
        <v>2004</v>
      </c>
      <c r="AC38" s="48" t="str">
        <f t="shared" si="1"/>
        <v>Mar 2004</v>
      </c>
      <c r="AD38" s="57">
        <f t="shared" si="3"/>
        <v>927.62063000000001</v>
      </c>
      <c r="AE38" s="105">
        <f t="shared" si="2"/>
        <v>927.62063000000001</v>
      </c>
      <c r="AF38" s="105">
        <f t="shared" ref="AF38:AF83" si="4">SUM(AE35:AE38)</f>
        <v>3683.0282899999997</v>
      </c>
      <c r="AG38" s="105"/>
      <c r="AH38" s="105"/>
      <c r="AI38" s="105"/>
    </row>
    <row r="39" spans="1:35" ht="15" customHeight="1">
      <c r="A39" s="70"/>
      <c r="B39" s="70"/>
      <c r="C39" s="70" t="s">
        <v>117</v>
      </c>
      <c r="D39" s="84">
        <v>1003</v>
      </c>
      <c r="E39" s="70"/>
      <c r="F39" s="85">
        <v>0.3</v>
      </c>
      <c r="G39" s="86"/>
      <c r="H39" s="85">
        <v>3</v>
      </c>
      <c r="I39" s="70"/>
      <c r="J39" s="84">
        <v>1010</v>
      </c>
      <c r="K39" s="70"/>
      <c r="L39" s="85">
        <v>1</v>
      </c>
      <c r="M39" s="86"/>
      <c r="N39" s="85">
        <v>4</v>
      </c>
      <c r="O39" s="70"/>
      <c r="P39" s="84">
        <v>1007</v>
      </c>
      <c r="Q39" s="70"/>
      <c r="R39" s="85">
        <v>0.7</v>
      </c>
      <c r="S39" s="86"/>
      <c r="T39" s="85">
        <v>3.5</v>
      </c>
      <c r="U39" s="70"/>
      <c r="W39" s="118">
        <v>38139</v>
      </c>
      <c r="X39" s="116">
        <v>-0.65116423089667252</v>
      </c>
      <c r="Y39" s="116">
        <v>4.6553172407551413</v>
      </c>
      <c r="Z39" s="117">
        <v>2.3679510442238705</v>
      </c>
      <c r="AB39" s="53" t="str">
        <f t="shared" si="0"/>
        <v>2004</v>
      </c>
      <c r="AC39" s="48" t="str">
        <f t="shared" si="1"/>
        <v>Jun 2004</v>
      </c>
      <c r="AD39" s="57">
        <f t="shared" si="3"/>
        <v>935.10815000000002</v>
      </c>
      <c r="AE39" s="105">
        <f t="shared" si="2"/>
        <v>935.10815000000002</v>
      </c>
      <c r="AF39" s="105">
        <f t="shared" si="4"/>
        <v>3704.6588999999999</v>
      </c>
      <c r="AG39" s="105"/>
      <c r="AH39" s="105"/>
      <c r="AI39" s="105"/>
    </row>
    <row r="40" spans="1:35" ht="15" customHeight="1">
      <c r="A40" s="70"/>
      <c r="B40" s="70"/>
      <c r="C40" s="70" t="s">
        <v>113</v>
      </c>
      <c r="D40" s="84">
        <v>990</v>
      </c>
      <c r="E40" s="70"/>
      <c r="F40" s="85">
        <v>-1.3</v>
      </c>
      <c r="G40" s="86"/>
      <c r="H40" s="85">
        <v>1.2</v>
      </c>
      <c r="I40" s="70"/>
      <c r="J40" s="84">
        <v>1018</v>
      </c>
      <c r="K40" s="70"/>
      <c r="L40" s="85">
        <v>0.8</v>
      </c>
      <c r="M40" s="86"/>
      <c r="N40" s="85">
        <v>3.8</v>
      </c>
      <c r="O40" s="70"/>
      <c r="P40" s="84">
        <v>1005</v>
      </c>
      <c r="Q40" s="70"/>
      <c r="R40" s="85">
        <v>-0.2</v>
      </c>
      <c r="S40" s="86"/>
      <c r="T40" s="85">
        <v>2.6</v>
      </c>
      <c r="U40" s="70"/>
      <c r="W40" s="118">
        <v>38231</v>
      </c>
      <c r="X40" s="116">
        <v>0</v>
      </c>
      <c r="Y40" s="116">
        <v>4.5132764448272633</v>
      </c>
      <c r="Z40" s="117">
        <v>2.5385302014205413</v>
      </c>
      <c r="AB40" s="53" t="str">
        <f t="shared" si="0"/>
        <v>2004</v>
      </c>
      <c r="AC40" s="48" t="str">
        <f t="shared" si="1"/>
        <v>Sep 2004</v>
      </c>
      <c r="AD40" s="57">
        <f t="shared" si="3"/>
        <v>940.93178</v>
      </c>
      <c r="AE40" s="105">
        <f t="shared" si="2"/>
        <v>940.93178</v>
      </c>
      <c r="AF40" s="105">
        <f t="shared" si="4"/>
        <v>3727.9534100000001</v>
      </c>
      <c r="AG40" s="105"/>
      <c r="AH40" s="105"/>
      <c r="AI40" s="105"/>
    </row>
    <row r="41" spans="1:35" ht="15" customHeight="1">
      <c r="A41" s="83" t="s">
        <v>120</v>
      </c>
      <c r="B41" s="70"/>
      <c r="C41" s="70" t="s">
        <v>115</v>
      </c>
      <c r="D41" s="84">
        <v>986</v>
      </c>
      <c r="E41" s="70"/>
      <c r="F41" s="85">
        <v>-0.4</v>
      </c>
      <c r="G41" s="86"/>
      <c r="H41" s="85">
        <v>0.9</v>
      </c>
      <c r="I41" s="70"/>
      <c r="J41" s="84">
        <v>1030</v>
      </c>
      <c r="K41" s="70"/>
      <c r="L41" s="85">
        <v>1.2</v>
      </c>
      <c r="M41" s="86"/>
      <c r="N41" s="85">
        <v>4.0999999999999996</v>
      </c>
      <c r="O41" s="70"/>
      <c r="P41" s="84">
        <v>1010</v>
      </c>
      <c r="Q41" s="70"/>
      <c r="R41" s="85">
        <v>0.5</v>
      </c>
      <c r="S41" s="86"/>
      <c r="T41" s="85">
        <v>2.5</v>
      </c>
      <c r="U41" s="70"/>
      <c r="W41" s="118">
        <v>38322</v>
      </c>
      <c r="X41" s="116">
        <v>0.74977188911822257</v>
      </c>
      <c r="Y41" s="116">
        <v>4.2794785302339822</v>
      </c>
      <c r="Z41" s="117">
        <v>2.7002698711923401</v>
      </c>
      <c r="AB41" s="53" t="str">
        <f t="shared" si="0"/>
        <v>2004</v>
      </c>
      <c r="AC41" s="48" t="str">
        <f t="shared" si="1"/>
        <v>Dec 2004</v>
      </c>
      <c r="AD41" s="57">
        <f t="shared" si="3"/>
        <v>949.25125000000003</v>
      </c>
      <c r="AE41" s="105">
        <f t="shared" si="2"/>
        <v>949.25125000000003</v>
      </c>
      <c r="AF41" s="105">
        <f t="shared" si="4"/>
        <v>3752.9118099999996</v>
      </c>
      <c r="AG41" s="105"/>
      <c r="AH41" s="105"/>
      <c r="AI41" s="105"/>
    </row>
    <row r="42" spans="1:35" ht="15" customHeight="1">
      <c r="A42" s="70"/>
      <c r="B42" s="70"/>
      <c r="C42" s="70" t="s">
        <v>116</v>
      </c>
      <c r="D42" s="84">
        <v>995</v>
      </c>
      <c r="E42" s="70"/>
      <c r="F42" s="85">
        <v>0.9</v>
      </c>
      <c r="G42" s="86"/>
      <c r="H42" s="85">
        <v>-0.5</v>
      </c>
      <c r="I42" s="70"/>
      <c r="J42" s="84">
        <v>1041</v>
      </c>
      <c r="K42" s="70"/>
      <c r="L42" s="85">
        <v>1.1000000000000001</v>
      </c>
      <c r="M42" s="86"/>
      <c r="N42" s="85">
        <v>4.0999999999999996</v>
      </c>
      <c r="O42" s="70"/>
      <c r="P42" s="84">
        <v>1020</v>
      </c>
      <c r="Q42" s="70"/>
      <c r="R42" s="85">
        <v>1</v>
      </c>
      <c r="S42" s="86"/>
      <c r="T42" s="85">
        <v>2</v>
      </c>
      <c r="U42" s="70"/>
      <c r="W42" s="118">
        <v>38412</v>
      </c>
      <c r="X42" s="116">
        <v>0.8482567588239176</v>
      </c>
      <c r="Y42" s="116">
        <v>4.2314361199853767</v>
      </c>
      <c r="Z42" s="117">
        <v>2.7802746079593321</v>
      </c>
      <c r="AB42" s="53" t="str">
        <f t="shared" si="0"/>
        <v>2005</v>
      </c>
      <c r="AC42" s="48" t="str">
        <f t="shared" si="1"/>
        <v>Mar 2005</v>
      </c>
      <c r="AD42" s="57">
        <f t="shared" si="3"/>
        <v>953.41098</v>
      </c>
      <c r="AE42" s="105">
        <f t="shared" si="2"/>
        <v>953.41098</v>
      </c>
      <c r="AF42" s="105">
        <f t="shared" si="4"/>
        <v>3778.7021600000003</v>
      </c>
      <c r="AG42" s="105"/>
      <c r="AH42" s="105"/>
      <c r="AI42" s="105"/>
    </row>
    <row r="43" spans="1:35" ht="15" customHeight="1">
      <c r="A43" s="70"/>
      <c r="B43" s="70"/>
      <c r="C43" s="70" t="s">
        <v>117</v>
      </c>
      <c r="D43" s="84">
        <v>1000</v>
      </c>
      <c r="E43" s="70"/>
      <c r="F43" s="85">
        <v>0.5</v>
      </c>
      <c r="G43" s="86"/>
      <c r="H43" s="85">
        <v>-0.3</v>
      </c>
      <c r="I43" s="70"/>
      <c r="J43" s="84">
        <v>1047</v>
      </c>
      <c r="K43" s="70"/>
      <c r="L43" s="85">
        <v>0.6</v>
      </c>
      <c r="M43" s="86"/>
      <c r="N43" s="85">
        <v>3.7</v>
      </c>
      <c r="O43" s="70"/>
      <c r="P43" s="84">
        <v>1025</v>
      </c>
      <c r="Q43" s="70"/>
      <c r="R43" s="85">
        <v>0.5</v>
      </c>
      <c r="S43" s="86"/>
      <c r="T43" s="85">
        <v>1.8</v>
      </c>
      <c r="U43" s="70"/>
      <c r="W43" s="118">
        <v>38504</v>
      </c>
      <c r="X43" s="116">
        <v>0.74906982034392833</v>
      </c>
      <c r="Y43" s="116">
        <v>4.3627054977422475</v>
      </c>
      <c r="Z43" s="117">
        <v>2.8469753553652888</v>
      </c>
      <c r="AB43" s="53" t="str">
        <f t="shared" si="0"/>
        <v>2005</v>
      </c>
      <c r="AC43" s="48" t="str">
        <f t="shared" si="1"/>
        <v>Jun 2005</v>
      </c>
      <c r="AD43" s="57">
        <f t="shared" si="3"/>
        <v>961.73045000000002</v>
      </c>
      <c r="AE43" s="105">
        <f t="shared" si="2"/>
        <v>961.73045000000002</v>
      </c>
      <c r="AF43" s="105">
        <f t="shared" si="4"/>
        <v>3805.3244600000003</v>
      </c>
      <c r="AG43" s="105"/>
      <c r="AH43" s="105"/>
      <c r="AI43" s="105"/>
    </row>
    <row r="44" spans="1:35" ht="15" customHeight="1">
      <c r="A44" s="70"/>
      <c r="B44" s="70"/>
      <c r="C44" s="70" t="s">
        <v>113</v>
      </c>
      <c r="D44" s="84">
        <v>1018</v>
      </c>
      <c r="E44" s="70"/>
      <c r="F44" s="85">
        <v>1.8</v>
      </c>
      <c r="G44" s="86"/>
      <c r="H44" s="85">
        <v>2.8</v>
      </c>
      <c r="I44" s="70"/>
      <c r="J44" s="84">
        <v>1054</v>
      </c>
      <c r="K44" s="70"/>
      <c r="L44" s="85">
        <v>0.7</v>
      </c>
      <c r="M44" s="86"/>
      <c r="N44" s="85">
        <v>3.5</v>
      </c>
      <c r="O44" s="70"/>
      <c r="P44" s="84">
        <v>1037</v>
      </c>
      <c r="Q44" s="70"/>
      <c r="R44" s="85">
        <v>1.2</v>
      </c>
      <c r="S44" s="86"/>
      <c r="T44" s="85">
        <v>3.2</v>
      </c>
      <c r="U44" s="70"/>
      <c r="W44" s="118">
        <v>38596</v>
      </c>
      <c r="X44" s="116">
        <v>1.872658862657639</v>
      </c>
      <c r="Y44" s="116">
        <v>4.4030392679466512</v>
      </c>
      <c r="Z44" s="117">
        <v>3.3598609378490574</v>
      </c>
      <c r="AB44" s="53" t="str">
        <f t="shared" si="0"/>
        <v>2005</v>
      </c>
      <c r="AC44" s="48" t="str">
        <f t="shared" si="1"/>
        <v>Sep 2005</v>
      </c>
      <c r="AD44" s="57">
        <f t="shared" si="3"/>
        <v>972.54575999999997</v>
      </c>
      <c r="AE44" s="105">
        <f t="shared" si="2"/>
        <v>972.54575999999997</v>
      </c>
      <c r="AF44" s="105">
        <f t="shared" si="4"/>
        <v>3836.9384399999999</v>
      </c>
      <c r="AG44" s="105"/>
      <c r="AH44" s="105"/>
      <c r="AI44" s="105"/>
    </row>
    <row r="45" spans="1:35" ht="15" customHeight="1">
      <c r="A45" s="83" t="s">
        <v>121</v>
      </c>
      <c r="B45" s="70"/>
      <c r="C45" s="70" t="s">
        <v>115</v>
      </c>
      <c r="D45" s="84">
        <v>1020</v>
      </c>
      <c r="E45" s="70"/>
      <c r="F45" s="85">
        <v>0.2</v>
      </c>
      <c r="G45" s="86"/>
      <c r="H45" s="85">
        <v>3.4</v>
      </c>
      <c r="I45" s="70"/>
      <c r="J45" s="84">
        <v>1066</v>
      </c>
      <c r="K45" s="70"/>
      <c r="L45" s="85">
        <v>1.1000000000000001</v>
      </c>
      <c r="M45" s="86"/>
      <c r="N45" s="85">
        <v>3.5</v>
      </c>
      <c r="O45" s="70"/>
      <c r="P45" s="84">
        <v>1044</v>
      </c>
      <c r="Q45" s="70"/>
      <c r="R45" s="85">
        <v>0.7</v>
      </c>
      <c r="S45" s="86"/>
      <c r="T45" s="85">
        <v>3.4</v>
      </c>
      <c r="U45" s="70"/>
      <c r="W45" s="118">
        <v>38687</v>
      </c>
      <c r="X45" s="116">
        <v>1.6744193392493001</v>
      </c>
      <c r="Y45" s="116">
        <v>4.2713481517724361</v>
      </c>
      <c r="Z45" s="117">
        <v>3.1551395457809273</v>
      </c>
      <c r="AB45" s="53" t="str">
        <f t="shared" si="0"/>
        <v>2005</v>
      </c>
      <c r="AC45" s="48" t="str">
        <f t="shared" si="1"/>
        <v>Dec 2005</v>
      </c>
      <c r="AD45" s="57">
        <f t="shared" si="3"/>
        <v>979.20132999999998</v>
      </c>
      <c r="AE45" s="105">
        <f t="shared" si="2"/>
        <v>979.20132999999998</v>
      </c>
      <c r="AF45" s="105">
        <f t="shared" si="4"/>
        <v>3866.88852</v>
      </c>
      <c r="AG45" s="108">
        <f>AF45/AF41-1</f>
        <v>3.0370207393709103E-2</v>
      </c>
      <c r="AH45" s="105"/>
      <c r="AI45" s="105"/>
    </row>
    <row r="46" spans="1:35" ht="15" customHeight="1">
      <c r="A46" s="70"/>
      <c r="B46" s="70"/>
      <c r="C46" s="70" t="s">
        <v>116</v>
      </c>
      <c r="D46" s="84">
        <v>1043</v>
      </c>
      <c r="E46" s="70"/>
      <c r="F46" s="85">
        <v>2.2999999999999998</v>
      </c>
      <c r="G46" s="86"/>
      <c r="H46" s="85">
        <v>4.8</v>
      </c>
      <c r="I46" s="70"/>
      <c r="J46" s="84">
        <v>1076</v>
      </c>
      <c r="K46" s="70"/>
      <c r="L46" s="85">
        <v>0.9</v>
      </c>
      <c r="M46" s="86"/>
      <c r="N46" s="85">
        <v>3.4</v>
      </c>
      <c r="O46" s="70"/>
      <c r="P46" s="84">
        <v>1061</v>
      </c>
      <c r="Q46" s="70"/>
      <c r="R46" s="85">
        <v>1.6</v>
      </c>
      <c r="S46" s="86"/>
      <c r="T46" s="85">
        <v>4</v>
      </c>
      <c r="U46" s="70"/>
      <c r="W46" s="118">
        <v>38777</v>
      </c>
      <c r="X46" s="116">
        <v>2.0560734004716474</v>
      </c>
      <c r="Y46" s="116">
        <v>4.1425043116342097</v>
      </c>
      <c r="Z46" s="117">
        <v>3.3158837059777957</v>
      </c>
      <c r="AB46" s="53" t="str">
        <f t="shared" si="0"/>
        <v>2006</v>
      </c>
      <c r="AC46" s="48" t="str">
        <f t="shared" si="1"/>
        <v>Mar 2006</v>
      </c>
      <c r="AD46" s="57">
        <f t="shared" si="3"/>
        <v>985.02495999999996</v>
      </c>
      <c r="AE46" s="105">
        <f t="shared" si="2"/>
        <v>985.02495999999996</v>
      </c>
      <c r="AF46" s="105">
        <f t="shared" si="4"/>
        <v>3898.5024999999996</v>
      </c>
      <c r="AG46" s="108">
        <f t="shared" ref="AG46:AG83" si="5">AF46/AF42-1</f>
        <v>3.1704097049024771E-2</v>
      </c>
      <c r="AH46" s="105"/>
      <c r="AI46" s="105"/>
    </row>
    <row r="47" spans="1:35" ht="15" customHeight="1">
      <c r="A47" s="70"/>
      <c r="B47" s="70"/>
      <c r="C47" s="70" t="s">
        <v>117</v>
      </c>
      <c r="D47" s="84">
        <v>1063</v>
      </c>
      <c r="E47" s="70"/>
      <c r="F47" s="85">
        <v>1.9</v>
      </c>
      <c r="G47" s="86"/>
      <c r="H47" s="85">
        <v>6.3</v>
      </c>
      <c r="I47" s="70"/>
      <c r="J47" s="84">
        <v>1090</v>
      </c>
      <c r="K47" s="70"/>
      <c r="L47" s="85">
        <v>1.3</v>
      </c>
      <c r="M47" s="86"/>
      <c r="N47" s="85">
        <v>4.0999999999999996</v>
      </c>
      <c r="O47" s="70"/>
      <c r="P47" s="84">
        <v>1077</v>
      </c>
      <c r="Q47" s="70"/>
      <c r="R47" s="85">
        <v>1.5</v>
      </c>
      <c r="S47" s="86"/>
      <c r="T47" s="85">
        <v>5.0999999999999996</v>
      </c>
      <c r="U47" s="70"/>
      <c r="W47" s="118">
        <v>38869</v>
      </c>
      <c r="X47" s="116">
        <v>3.8104023421287714</v>
      </c>
      <c r="Y47" s="116">
        <v>4.098362959553925</v>
      </c>
      <c r="Z47" s="117">
        <v>3.979233267531801</v>
      </c>
      <c r="AB47" s="53" t="str">
        <f t="shared" si="0"/>
        <v>2006</v>
      </c>
      <c r="AC47" s="48" t="str">
        <f t="shared" si="1"/>
        <v>Jun 2006</v>
      </c>
      <c r="AD47" s="57">
        <f t="shared" si="3"/>
        <v>1000</v>
      </c>
      <c r="AE47" s="105">
        <f t="shared" si="2"/>
        <v>1000</v>
      </c>
      <c r="AF47" s="105">
        <f t="shared" si="4"/>
        <v>3936.7720499999996</v>
      </c>
      <c r="AG47" s="108">
        <f t="shared" si="5"/>
        <v>3.4543070211678906E-2</v>
      </c>
      <c r="AH47" s="105"/>
      <c r="AI47" s="105"/>
    </row>
    <row r="48" spans="1:35" ht="15" customHeight="1">
      <c r="A48" s="70"/>
      <c r="B48" s="70"/>
      <c r="C48" s="70" t="s">
        <v>113</v>
      </c>
      <c r="D48" s="84">
        <v>1041</v>
      </c>
      <c r="E48" s="70"/>
      <c r="F48" s="85">
        <v>-2.1</v>
      </c>
      <c r="G48" s="86"/>
      <c r="H48" s="85">
        <v>2.2999999999999998</v>
      </c>
      <c r="I48" s="70"/>
      <c r="J48" s="84">
        <v>1099</v>
      </c>
      <c r="K48" s="70"/>
      <c r="L48" s="85">
        <v>0.8</v>
      </c>
      <c r="M48" s="86"/>
      <c r="N48" s="85">
        <v>4.3</v>
      </c>
      <c r="O48" s="70"/>
      <c r="P48" s="84">
        <v>1072</v>
      </c>
      <c r="Q48" s="70"/>
      <c r="R48" s="85">
        <v>-0.5</v>
      </c>
      <c r="S48" s="86"/>
      <c r="T48" s="85">
        <v>3.4</v>
      </c>
      <c r="U48" s="70"/>
      <c r="W48" s="118">
        <v>38961</v>
      </c>
      <c r="X48" s="116">
        <v>2.9734375757157538</v>
      </c>
      <c r="Y48" s="116">
        <v>4.0308236120305319</v>
      </c>
      <c r="Z48" s="117">
        <v>3.5426814860544331</v>
      </c>
      <c r="AB48" s="53" t="str">
        <f t="shared" si="0"/>
        <v>2006</v>
      </c>
      <c r="AC48" s="48" t="str">
        <f t="shared" si="1"/>
        <v>Sep 2006</v>
      </c>
      <c r="AD48" s="57">
        <f t="shared" si="3"/>
        <v>1007</v>
      </c>
      <c r="AE48" s="105">
        <f t="shared" si="2"/>
        <v>1007</v>
      </c>
      <c r="AF48" s="105">
        <f t="shared" si="4"/>
        <v>3971.2262900000001</v>
      </c>
      <c r="AG48" s="108">
        <f t="shared" si="5"/>
        <v>3.4998698076584178E-2</v>
      </c>
      <c r="AH48" s="108"/>
      <c r="AI48" s="108"/>
    </row>
    <row r="49" spans="1:35" ht="15" customHeight="1">
      <c r="A49" s="83" t="s">
        <v>122</v>
      </c>
      <c r="B49" s="70"/>
      <c r="C49" s="70" t="s">
        <v>115</v>
      </c>
      <c r="D49" s="84">
        <v>1037</v>
      </c>
      <c r="E49" s="70"/>
      <c r="F49" s="85">
        <v>-0.4</v>
      </c>
      <c r="G49" s="86"/>
      <c r="H49" s="85">
        <v>1.7</v>
      </c>
      <c r="I49" s="70"/>
      <c r="J49" s="84">
        <v>1107</v>
      </c>
      <c r="K49" s="70"/>
      <c r="L49" s="85">
        <v>0.7</v>
      </c>
      <c r="M49" s="86"/>
      <c r="N49" s="85">
        <v>3.8</v>
      </c>
      <c r="O49" s="70"/>
      <c r="P49" s="84">
        <v>1075</v>
      </c>
      <c r="Q49" s="70"/>
      <c r="R49" s="85">
        <v>0.3</v>
      </c>
      <c r="S49" s="86"/>
      <c r="T49" s="85">
        <v>3</v>
      </c>
      <c r="U49" s="70"/>
      <c r="W49" s="115">
        <v>39052</v>
      </c>
      <c r="X49" s="116">
        <v>1.1738310513524697</v>
      </c>
      <c r="Y49" s="116">
        <v>3.8441831293189566</v>
      </c>
      <c r="Z49" s="117">
        <v>2.6346571808414376</v>
      </c>
      <c r="AB49" s="53" t="str">
        <f t="shared" si="0"/>
        <v>2006</v>
      </c>
      <c r="AC49" s="48" t="str">
        <f t="shared" si="1"/>
        <v>Dec 2006</v>
      </c>
      <c r="AD49" s="57">
        <f t="shared" si="3"/>
        <v>1005</v>
      </c>
      <c r="AE49" s="105">
        <f t="shared" si="2"/>
        <v>1005</v>
      </c>
      <c r="AF49" s="105">
        <f t="shared" si="4"/>
        <v>3997.0249599999997</v>
      </c>
      <c r="AG49" s="108">
        <f t="shared" si="5"/>
        <v>3.3654044932228899E-2</v>
      </c>
      <c r="AH49" s="108"/>
      <c r="AI49" s="108"/>
    </row>
    <row r="50" spans="1:35" ht="15" customHeight="1">
      <c r="A50" s="70"/>
      <c r="B50" s="70"/>
      <c r="C50" s="70" t="s">
        <v>116</v>
      </c>
      <c r="D50" s="84">
        <v>1045</v>
      </c>
      <c r="E50" s="70"/>
      <c r="F50" s="85">
        <v>0.8</v>
      </c>
      <c r="G50" s="86"/>
      <c r="H50" s="85">
        <v>0.2</v>
      </c>
      <c r="I50" s="70"/>
      <c r="J50" s="84">
        <v>1112</v>
      </c>
      <c r="K50" s="70"/>
      <c r="L50" s="85">
        <v>0.5</v>
      </c>
      <c r="M50" s="86"/>
      <c r="N50" s="85">
        <v>3.3</v>
      </c>
      <c r="O50" s="70"/>
      <c r="P50" s="84">
        <v>1081</v>
      </c>
      <c r="Q50" s="70"/>
      <c r="R50" s="85">
        <v>0.6</v>
      </c>
      <c r="S50" s="86"/>
      <c r="T50" s="85">
        <v>1.9</v>
      </c>
      <c r="U50" s="70"/>
      <c r="W50" s="115">
        <v>39142</v>
      </c>
      <c r="X50" s="116">
        <v>0.85732820549855315</v>
      </c>
      <c r="Y50" s="116">
        <v>4.0652325332569239</v>
      </c>
      <c r="Z50" s="117">
        <v>2.5354686429278406</v>
      </c>
      <c r="AB50" s="53" t="str">
        <f t="shared" si="0"/>
        <v>2007</v>
      </c>
      <c r="AC50" s="48" t="str">
        <f t="shared" si="1"/>
        <v>Mar 2007</v>
      </c>
      <c r="AD50" s="57">
        <f t="shared" si="3"/>
        <v>1010</v>
      </c>
      <c r="AE50" s="105">
        <f t="shared" si="2"/>
        <v>1010</v>
      </c>
      <c r="AF50" s="105">
        <f t="shared" si="4"/>
        <v>4022</v>
      </c>
      <c r="AG50" s="108">
        <f t="shared" si="5"/>
        <v>3.1678189253437905E-2</v>
      </c>
      <c r="AH50" s="108"/>
      <c r="AI50" s="108"/>
    </row>
    <row r="51" spans="1:35" ht="15" customHeight="1">
      <c r="A51" s="74"/>
      <c r="B51" s="74"/>
      <c r="C51" s="74" t="s">
        <v>117</v>
      </c>
      <c r="D51" s="87">
        <v>1062</v>
      </c>
      <c r="E51" s="74"/>
      <c r="F51" s="88">
        <v>1.6</v>
      </c>
      <c r="G51" s="89"/>
      <c r="H51" s="88">
        <v>-0.1</v>
      </c>
      <c r="I51" s="74"/>
      <c r="J51" s="87">
        <v>1123</v>
      </c>
      <c r="K51" s="74"/>
      <c r="L51" s="88">
        <v>1</v>
      </c>
      <c r="M51" s="89"/>
      <c r="N51" s="88">
        <v>3</v>
      </c>
      <c r="O51" s="74"/>
      <c r="P51" s="87">
        <v>1095</v>
      </c>
      <c r="Q51" s="74"/>
      <c r="R51" s="88">
        <v>1.3</v>
      </c>
      <c r="S51" s="89"/>
      <c r="T51" s="88">
        <v>1.7</v>
      </c>
      <c r="U51" s="74"/>
      <c r="W51" s="115">
        <v>39234</v>
      </c>
      <c r="X51" s="116">
        <v>-0.50000000000000044</v>
      </c>
      <c r="Y51" s="116">
        <v>4.0999999999999925</v>
      </c>
      <c r="Z51" s="117">
        <v>2.0000000000000018</v>
      </c>
      <c r="AB51" s="53" t="str">
        <f t="shared" si="0"/>
        <v>2007</v>
      </c>
      <c r="AC51" s="48" t="str">
        <f t="shared" si="1"/>
        <v>Jun 2007</v>
      </c>
      <c r="AD51" s="57">
        <f t="shared" si="3"/>
        <v>1020</v>
      </c>
      <c r="AE51" s="105">
        <f t="shared" si="2"/>
        <v>1020</v>
      </c>
      <c r="AF51" s="105">
        <f t="shared" si="4"/>
        <v>4042</v>
      </c>
      <c r="AG51" s="108">
        <f t="shared" si="5"/>
        <v>2.6729500378362081E-2</v>
      </c>
      <c r="AH51" s="108">
        <f t="shared" ref="AH51:AH83" si="6">AG45</f>
        <v>3.0370207393709103E-2</v>
      </c>
      <c r="AI51" s="108"/>
    </row>
    <row r="52" spans="1:35" ht="15" customHeight="1">
      <c r="W52" s="115">
        <v>39326</v>
      </c>
      <c r="X52" s="116">
        <v>-0.29910269192422456</v>
      </c>
      <c r="Y52" s="116">
        <v>3.6633663366336666</v>
      </c>
      <c r="Z52" s="117">
        <v>1.7874875868917561</v>
      </c>
      <c r="AA52" s="48"/>
      <c r="AB52" s="53" t="str">
        <f t="shared" si="0"/>
        <v>2007</v>
      </c>
      <c r="AC52" s="48" t="str">
        <f t="shared" si="1"/>
        <v>Sep 2007</v>
      </c>
      <c r="AD52" s="57">
        <f t="shared" si="3"/>
        <v>1025</v>
      </c>
      <c r="AE52" s="105">
        <f t="shared" si="2"/>
        <v>1025</v>
      </c>
      <c r="AF52" s="105">
        <f t="shared" si="4"/>
        <v>4060</v>
      </c>
      <c r="AG52" s="108">
        <f t="shared" si="5"/>
        <v>2.2354231040306649E-2</v>
      </c>
      <c r="AH52" s="108">
        <f t="shared" si="6"/>
        <v>3.1704097049024771E-2</v>
      </c>
      <c r="AI52" s="108"/>
    </row>
    <row r="53" spans="1:35" ht="15" customHeight="1">
      <c r="A53" s="29"/>
      <c r="W53" s="118">
        <v>39417</v>
      </c>
      <c r="X53" s="116">
        <v>2.8282828282828243</v>
      </c>
      <c r="Y53" s="116">
        <v>3.5363457760314354</v>
      </c>
      <c r="Z53" s="117">
        <v>3.184079601990053</v>
      </c>
      <c r="AB53" s="53" t="str">
        <f t="shared" si="0"/>
        <v>2007</v>
      </c>
      <c r="AC53" s="48" t="str">
        <f t="shared" si="1"/>
        <v>Dec 2007</v>
      </c>
      <c r="AD53" s="57">
        <f t="shared" si="3"/>
        <v>1037</v>
      </c>
      <c r="AE53" s="105">
        <f t="shared" si="2"/>
        <v>1037</v>
      </c>
      <c r="AF53" s="105">
        <f t="shared" si="4"/>
        <v>4092</v>
      </c>
      <c r="AG53" s="108">
        <f t="shared" si="5"/>
        <v>2.3761432803261817E-2</v>
      </c>
      <c r="AH53" s="108">
        <f t="shared" si="6"/>
        <v>3.4543070211678906E-2</v>
      </c>
      <c r="AI53" s="108"/>
    </row>
    <row r="54" spans="1:35" ht="15" customHeight="1">
      <c r="A54" s="29"/>
      <c r="W54" s="118">
        <v>39508</v>
      </c>
      <c r="X54" s="116">
        <v>3.4482758620689724</v>
      </c>
      <c r="Y54" s="116">
        <v>3.4951456310679641</v>
      </c>
      <c r="Z54" s="117">
        <v>3.3663366336633693</v>
      </c>
      <c r="AB54" s="53" t="str">
        <f t="shared" si="0"/>
        <v>2008</v>
      </c>
      <c r="AC54" s="48" t="str">
        <f t="shared" si="1"/>
        <v>Mar 2008</v>
      </c>
      <c r="AD54" s="57">
        <f t="shared" si="3"/>
        <v>1044</v>
      </c>
      <c r="AE54" s="105">
        <f t="shared" si="2"/>
        <v>1044</v>
      </c>
      <c r="AF54" s="105">
        <f t="shared" si="4"/>
        <v>4126</v>
      </c>
      <c r="AG54" s="108">
        <f t="shared" si="5"/>
        <v>2.5857782197911572E-2</v>
      </c>
      <c r="AH54" s="108">
        <f t="shared" si="6"/>
        <v>3.4998698076584178E-2</v>
      </c>
      <c r="AI54" s="108"/>
    </row>
    <row r="55" spans="1:35" ht="15" customHeight="1">
      <c r="W55" s="118">
        <v>39600</v>
      </c>
      <c r="X55" s="116">
        <v>4.8241206030150696</v>
      </c>
      <c r="Y55" s="116">
        <v>3.3621517771373677</v>
      </c>
      <c r="Z55" s="117">
        <v>4.0196078431372628</v>
      </c>
      <c r="AB55" s="53" t="str">
        <f t="shared" si="0"/>
        <v>2008</v>
      </c>
      <c r="AC55" s="48" t="str">
        <f t="shared" si="1"/>
        <v>Jun 2008</v>
      </c>
      <c r="AD55" s="57">
        <f t="shared" si="3"/>
        <v>1061</v>
      </c>
      <c r="AE55" s="105">
        <f t="shared" si="2"/>
        <v>1061</v>
      </c>
      <c r="AF55" s="105">
        <f t="shared" si="4"/>
        <v>4167</v>
      </c>
      <c r="AG55" s="108">
        <f t="shared" si="5"/>
        <v>3.0925284512617557E-2</v>
      </c>
      <c r="AH55" s="108">
        <f t="shared" si="6"/>
        <v>3.3654044932228899E-2</v>
      </c>
      <c r="AI55" s="108"/>
    </row>
    <row r="56" spans="1:35" ht="15" customHeight="1">
      <c r="A56" s="29"/>
      <c r="W56" s="118">
        <v>39692</v>
      </c>
      <c r="X56" s="116">
        <v>6.2999999999999945</v>
      </c>
      <c r="Y56" s="116">
        <v>4.1069723018147153</v>
      </c>
      <c r="Z56" s="117">
        <v>5.0731707317073216</v>
      </c>
      <c r="AB56" s="53" t="str">
        <f t="shared" si="0"/>
        <v>2008</v>
      </c>
      <c r="AC56" s="48" t="str">
        <f t="shared" si="1"/>
        <v>Sep 2008</v>
      </c>
      <c r="AD56" s="57">
        <f t="shared" si="3"/>
        <v>1077</v>
      </c>
      <c r="AE56" s="105">
        <f t="shared" si="2"/>
        <v>1077</v>
      </c>
      <c r="AF56" s="105">
        <f t="shared" si="4"/>
        <v>4219</v>
      </c>
      <c r="AG56" s="108">
        <f t="shared" si="5"/>
        <v>3.9162561576354671E-2</v>
      </c>
      <c r="AH56" s="108">
        <f t="shared" si="6"/>
        <v>3.1678189253437905E-2</v>
      </c>
      <c r="AI56" s="108"/>
    </row>
    <row r="57" spans="1:35" ht="15" customHeight="1">
      <c r="A57" s="29"/>
      <c r="W57" s="115">
        <v>39783</v>
      </c>
      <c r="X57" s="116">
        <v>2.2593320235756442</v>
      </c>
      <c r="Y57" s="116">
        <v>4.2694497153700217</v>
      </c>
      <c r="Z57" s="117">
        <v>3.3751205400192941</v>
      </c>
      <c r="AB57" s="53" t="str">
        <f t="shared" si="0"/>
        <v>2008</v>
      </c>
      <c r="AC57" s="48" t="str">
        <f t="shared" si="1"/>
        <v>Dec 2008</v>
      </c>
      <c r="AD57" s="57">
        <f t="shared" si="3"/>
        <v>1072</v>
      </c>
      <c r="AE57" s="105">
        <f t="shared" si="2"/>
        <v>1072</v>
      </c>
      <c r="AF57" s="105">
        <f t="shared" si="4"/>
        <v>4254</v>
      </c>
      <c r="AG57" s="108">
        <f t="shared" si="5"/>
        <v>3.9589442815249232E-2</v>
      </c>
      <c r="AH57" s="108">
        <f t="shared" si="6"/>
        <v>2.6729500378362081E-2</v>
      </c>
      <c r="AI57" s="108"/>
    </row>
    <row r="58" spans="1:35" ht="15" customHeight="1">
      <c r="A58" s="29"/>
      <c r="W58" s="115">
        <v>39873</v>
      </c>
      <c r="X58" s="116">
        <v>1.6666666666666607</v>
      </c>
      <c r="Y58" s="116">
        <v>3.8461538461538547</v>
      </c>
      <c r="Z58" s="117">
        <v>2.9693486590038232</v>
      </c>
      <c r="AB58" s="53" t="str">
        <f t="shared" si="0"/>
        <v>2009</v>
      </c>
      <c r="AC58" s="48" t="str">
        <f t="shared" si="1"/>
        <v>Mar 2009</v>
      </c>
      <c r="AD58" s="57">
        <f t="shared" si="3"/>
        <v>1075</v>
      </c>
      <c r="AE58" s="105">
        <f t="shared" si="2"/>
        <v>1075</v>
      </c>
      <c r="AF58" s="105">
        <f t="shared" si="4"/>
        <v>4285</v>
      </c>
      <c r="AG58" s="108">
        <f t="shared" si="5"/>
        <v>3.8536112457586036E-2</v>
      </c>
      <c r="AH58" s="108">
        <f t="shared" si="6"/>
        <v>2.2354231040306649E-2</v>
      </c>
      <c r="AI58" s="108"/>
    </row>
    <row r="59" spans="1:35" ht="15" customHeight="1">
      <c r="W59" s="115">
        <v>39965</v>
      </c>
      <c r="X59" s="116">
        <v>0.19175455417066445</v>
      </c>
      <c r="Y59" s="116">
        <v>3.3457249070631967</v>
      </c>
      <c r="Z59" s="117">
        <v>1.8850141376060225</v>
      </c>
      <c r="AB59" s="53" t="str">
        <f t="shared" si="0"/>
        <v>2009</v>
      </c>
      <c r="AC59" s="48" t="str">
        <f t="shared" si="1"/>
        <v>Jun 2009</v>
      </c>
      <c r="AD59" s="57">
        <f t="shared" si="3"/>
        <v>1081</v>
      </c>
      <c r="AE59" s="105">
        <f t="shared" si="2"/>
        <v>1081</v>
      </c>
      <c r="AF59" s="105">
        <f t="shared" si="4"/>
        <v>4305</v>
      </c>
      <c r="AG59" s="108">
        <f t="shared" si="5"/>
        <v>3.3117350611951091E-2</v>
      </c>
      <c r="AH59" s="108">
        <f t="shared" si="6"/>
        <v>2.3761432803261817E-2</v>
      </c>
      <c r="AI59" s="108"/>
    </row>
    <row r="60" spans="1:35" ht="15" customHeight="1" thickBot="1">
      <c r="A60" s="29"/>
      <c r="W60" s="115">
        <v>40057</v>
      </c>
      <c r="X60" s="116">
        <v>-0.66539742472884189</v>
      </c>
      <c r="Y60" s="116">
        <v>2.7513238797469031</v>
      </c>
      <c r="Z60" s="117">
        <v>1.2291974215507429</v>
      </c>
      <c r="AB60" s="59" t="str">
        <f t="shared" si="0"/>
        <v>2009</v>
      </c>
      <c r="AC60" s="100" t="str">
        <f t="shared" si="1"/>
        <v>Sep 2009</v>
      </c>
      <c r="AD60" s="57">
        <f t="shared" si="3"/>
        <v>1095</v>
      </c>
      <c r="AE60" s="105">
        <f t="shared" si="2"/>
        <v>1095</v>
      </c>
      <c r="AF60" s="105">
        <f t="shared" si="4"/>
        <v>4323</v>
      </c>
      <c r="AG60" s="108">
        <f t="shared" si="5"/>
        <v>2.465039108793543E-2</v>
      </c>
      <c r="AH60" s="108">
        <f t="shared" si="6"/>
        <v>2.5857782197911572E-2</v>
      </c>
      <c r="AI60" s="108"/>
    </row>
    <row r="61" spans="1:35" ht="15" customHeight="1">
      <c r="A61" s="29"/>
      <c r="W61" s="118">
        <v>40148</v>
      </c>
      <c r="X61" s="116">
        <v>1.797533159279685</v>
      </c>
      <c r="Y61" s="116">
        <v>2.1333209403478604</v>
      </c>
      <c r="Z61" s="117">
        <v>1.9539396945181808</v>
      </c>
      <c r="AB61" s="40"/>
      <c r="AC61" s="40" t="s">
        <v>171</v>
      </c>
      <c r="AD61" s="111">
        <f t="shared" ref="AD61:AD83" si="7">AD57*(1+Z61/100)</f>
        <v>1092.9462335252349</v>
      </c>
      <c r="AE61" s="105">
        <f t="shared" si="2"/>
        <v>1092.9462335252349</v>
      </c>
      <c r="AF61" s="105">
        <f t="shared" si="4"/>
        <v>4343.9462335252347</v>
      </c>
      <c r="AG61" s="108">
        <f t="shared" si="5"/>
        <v>2.1143919493473051E-2</v>
      </c>
      <c r="AH61" s="108">
        <f t="shared" si="6"/>
        <v>3.0925284512617557E-2</v>
      </c>
      <c r="AI61" s="108"/>
    </row>
    <row r="62" spans="1:35" ht="15" customHeight="1">
      <c r="W62" s="118">
        <v>40238</v>
      </c>
      <c r="X62" s="116">
        <v>1.8337964866423251</v>
      </c>
      <c r="Y62" s="116">
        <v>1.7019973514783793</v>
      </c>
      <c r="Z62" s="117">
        <v>1.7233850022212005</v>
      </c>
      <c r="AB62" s="48"/>
      <c r="AC62" s="48" t="s">
        <v>172</v>
      </c>
      <c r="AD62" s="106">
        <f t="shared" si="7"/>
        <v>1093.5263887738779</v>
      </c>
      <c r="AE62" s="105">
        <f t="shared" si="2"/>
        <v>1093.5263887738779</v>
      </c>
      <c r="AF62" s="105">
        <f t="shared" si="4"/>
        <v>4362.4726222991121</v>
      </c>
      <c r="AG62" s="108">
        <f t="shared" si="5"/>
        <v>1.8079958529547691E-2</v>
      </c>
      <c r="AH62" s="108">
        <f t="shared" si="6"/>
        <v>3.9162561576354671E-2</v>
      </c>
      <c r="AI62" s="108"/>
    </row>
    <row r="63" spans="1:35" ht="15" customHeight="1">
      <c r="W63" s="118">
        <v>40330</v>
      </c>
      <c r="X63" s="116">
        <v>1.9376162230735794</v>
      </c>
      <c r="Y63" s="116">
        <v>1.5717008500137242</v>
      </c>
      <c r="Z63" s="117">
        <v>1.7390770699066138</v>
      </c>
      <c r="AB63" s="48"/>
      <c r="AC63" s="48" t="s">
        <v>173</v>
      </c>
      <c r="AD63" s="106">
        <f t="shared" si="7"/>
        <v>1099.7994231256905</v>
      </c>
      <c r="AE63" s="105">
        <f t="shared" ref="AE63" si="8">AD63*$AE$15</f>
        <v>1099.7994231256905</v>
      </c>
      <c r="AF63" s="105">
        <f t="shared" si="4"/>
        <v>4381.2720454248029</v>
      </c>
      <c r="AG63" s="108">
        <f t="shared" si="5"/>
        <v>1.7717083722369908E-2</v>
      </c>
      <c r="AH63" s="108">
        <f t="shared" si="6"/>
        <v>3.9589442815249232E-2</v>
      </c>
      <c r="AI63" s="108"/>
    </row>
    <row r="64" spans="1:35" ht="15" customHeight="1" thickBot="1">
      <c r="W64" s="118">
        <v>40422</v>
      </c>
      <c r="X64" s="116">
        <v>1.3697867460479962</v>
      </c>
      <c r="Y64" s="116">
        <v>1.4007119958781233</v>
      </c>
      <c r="Z64" s="117">
        <v>1.3866342525788111</v>
      </c>
      <c r="AB64" s="48"/>
      <c r="AC64" s="48" t="s">
        <v>174</v>
      </c>
      <c r="AD64" s="106">
        <f t="shared" si="7"/>
        <v>1110.1836450657379</v>
      </c>
      <c r="AE64" s="179">
        <f>AD64*$AE$15</f>
        <v>1110.1836450657379</v>
      </c>
      <c r="AF64" s="105">
        <f>SUM(AE61:AE64)</f>
        <v>4396.4556904905421</v>
      </c>
      <c r="AG64" s="108">
        <f>AF64/AF60-1</f>
        <v>1.6991832174541255E-2</v>
      </c>
      <c r="AH64" s="108">
        <f t="shared" si="6"/>
        <v>3.8536112457586036E-2</v>
      </c>
      <c r="AI64" s="108"/>
    </row>
    <row r="65" spans="16:35" ht="15" customHeight="1" thickTop="1">
      <c r="W65" s="118">
        <v>40513</v>
      </c>
      <c r="X65" s="116">
        <v>1.3864251699514218</v>
      </c>
      <c r="Y65" s="116">
        <v>1.6497260341482356</v>
      </c>
      <c r="Z65" s="117">
        <v>1.5296852874783884</v>
      </c>
      <c r="AB65" s="48"/>
      <c r="AC65" s="48" t="s">
        <v>175</v>
      </c>
      <c r="AD65" s="106">
        <f t="shared" si="7"/>
        <v>1109.6648712595197</v>
      </c>
      <c r="AE65" s="105">
        <f>AD65</f>
        <v>1109.6648712595197</v>
      </c>
      <c r="AF65" s="105">
        <f t="shared" si="4"/>
        <v>4413.1743282248262</v>
      </c>
      <c r="AG65" s="108">
        <f t="shared" si="5"/>
        <v>1.5936683139701424E-2</v>
      </c>
      <c r="AH65" s="108">
        <f t="shared" si="6"/>
        <v>3.3117350611951091E-2</v>
      </c>
      <c r="AI65" s="108"/>
    </row>
    <row r="66" spans="16:35" ht="15" customHeight="1">
      <c r="W66" s="118">
        <v>40603</v>
      </c>
      <c r="X66" s="116">
        <v>2.0032405373259676</v>
      </c>
      <c r="Y66" s="116">
        <v>1.9630770590550961</v>
      </c>
      <c r="Z66" s="117">
        <v>1.9812209526758329</v>
      </c>
      <c r="AB66" s="48"/>
      <c r="AC66" s="48" t="s">
        <v>176</v>
      </c>
      <c r="AD66" s="106">
        <f t="shared" si="7"/>
        <v>1115.1915627113053</v>
      </c>
      <c r="AE66" s="105">
        <f t="shared" ref="AE66:AE83" si="9">AD66</f>
        <v>1115.1915627113053</v>
      </c>
      <c r="AF66" s="105">
        <f t="shared" si="4"/>
        <v>4434.8395021622528</v>
      </c>
      <c r="AG66" s="108">
        <f t="shared" si="5"/>
        <v>1.6588500634532766E-2</v>
      </c>
      <c r="AH66" s="108">
        <f t="shared" si="6"/>
        <v>2.465039108793543E-2</v>
      </c>
      <c r="AI66" s="108"/>
    </row>
    <row r="67" spans="16:35" ht="15" customHeight="1">
      <c r="W67" s="118">
        <v>40695</v>
      </c>
      <c r="X67" s="116">
        <v>2.4220310695197256</v>
      </c>
      <c r="Y67" s="116">
        <v>2.1905876283857095</v>
      </c>
      <c r="Z67" s="117">
        <v>2.2963498118220071</v>
      </c>
      <c r="AB67" s="48"/>
      <c r="AC67" s="48" t="s">
        <v>177</v>
      </c>
      <c r="AD67" s="106">
        <f t="shared" si="7"/>
        <v>1125.0546651090567</v>
      </c>
      <c r="AE67" s="105">
        <f t="shared" si="9"/>
        <v>1125.0546651090567</v>
      </c>
      <c r="AF67" s="105">
        <f t="shared" si="4"/>
        <v>4460.0947441456192</v>
      </c>
      <c r="AG67" s="108">
        <f t="shared" si="5"/>
        <v>1.7990825016932721E-2</v>
      </c>
      <c r="AH67" s="108">
        <f t="shared" si="6"/>
        <v>2.1143919493473051E-2</v>
      </c>
      <c r="AI67" s="108"/>
    </row>
    <row r="68" spans="16:35" ht="15" customHeight="1">
      <c r="W68" s="118">
        <v>40787</v>
      </c>
      <c r="X68" s="116">
        <v>2.7480786199340246</v>
      </c>
      <c r="Y68" s="116">
        <v>2.2564747415323883</v>
      </c>
      <c r="Z68" s="117">
        <v>2.4815799138702799</v>
      </c>
      <c r="AB68" s="48"/>
      <c r="AC68" s="48" t="s">
        <v>178</v>
      </c>
      <c r="AD68" s="106">
        <f t="shared" si="7"/>
        <v>1137.7337394087622</v>
      </c>
      <c r="AE68" s="105">
        <f t="shared" si="9"/>
        <v>1137.7337394087622</v>
      </c>
      <c r="AF68" s="105">
        <f t="shared" si="4"/>
        <v>4487.6448384886444</v>
      </c>
      <c r="AG68" s="108">
        <f>AF68/AF64-1</f>
        <v>2.0741514169093644E-2</v>
      </c>
      <c r="AH68" s="108">
        <f t="shared" si="6"/>
        <v>1.8079958529547691E-2</v>
      </c>
      <c r="AI68" s="108"/>
    </row>
    <row r="69" spans="16:35" ht="15" customHeight="1">
      <c r="W69" s="118">
        <v>40878</v>
      </c>
      <c r="X69" s="116">
        <v>2.8065315530439561</v>
      </c>
      <c r="Y69" s="116">
        <v>2.2297359331033828</v>
      </c>
      <c r="Z69" s="117">
        <v>2.4943936068159145</v>
      </c>
      <c r="AB69" s="48"/>
      <c r="AC69" s="48" t="s">
        <v>179</v>
      </c>
      <c r="AD69" s="106">
        <f t="shared" si="7"/>
        <v>1137.3442808652992</v>
      </c>
      <c r="AE69" s="105">
        <f t="shared" si="9"/>
        <v>1137.3442808652992</v>
      </c>
      <c r="AF69" s="105">
        <f t="shared" si="4"/>
        <v>4515.3242480944236</v>
      </c>
      <c r="AG69" s="108">
        <f t="shared" si="5"/>
        <v>2.3146586169571659E-2</v>
      </c>
      <c r="AH69" s="108">
        <f t="shared" si="6"/>
        <v>1.7717083722369908E-2</v>
      </c>
      <c r="AI69" s="108"/>
    </row>
    <row r="70" spans="16:35" ht="15" customHeight="1" thickBot="1">
      <c r="W70" s="119">
        <v>40969</v>
      </c>
      <c r="X70" s="120">
        <v>2.7683605833463298</v>
      </c>
      <c r="Y70" s="120">
        <v>2.154175421261284</v>
      </c>
      <c r="Z70" s="121">
        <v>2.4339880629970168</v>
      </c>
      <c r="AB70" s="48"/>
      <c r="AC70" s="48" t="s">
        <v>180</v>
      </c>
      <c r="AD70" s="106">
        <f t="shared" si="7"/>
        <v>1142.3351922272484</v>
      </c>
      <c r="AE70" s="105">
        <f t="shared" si="9"/>
        <v>1142.3351922272484</v>
      </c>
      <c r="AF70" s="105">
        <f t="shared" si="4"/>
        <v>4542.4678776103665</v>
      </c>
      <c r="AG70" s="108">
        <f t="shared" si="5"/>
        <v>2.4268832140518004E-2</v>
      </c>
      <c r="AH70" s="108">
        <f t="shared" si="6"/>
        <v>1.6991832174541255E-2</v>
      </c>
      <c r="AI70" s="108"/>
    </row>
    <row r="71" spans="16:35" ht="15" customHeight="1">
      <c r="P71" s="29"/>
      <c r="W71" s="195" t="s">
        <v>127</v>
      </c>
      <c r="X71" s="196"/>
      <c r="Y71" s="196"/>
      <c r="Z71" s="197">
        <f>AVERAGE($Z$67:$Z$70)</f>
        <v>2.4265778488763043</v>
      </c>
      <c r="AB71" s="48"/>
      <c r="AC71" s="58" t="s">
        <v>127</v>
      </c>
      <c r="AD71" s="106">
        <f t="shared" si="7"/>
        <v>1152.3549924003426</v>
      </c>
      <c r="AE71" s="105">
        <f t="shared" si="9"/>
        <v>1152.3549924003426</v>
      </c>
      <c r="AF71" s="105">
        <f t="shared" si="4"/>
        <v>4569.768204901653</v>
      </c>
      <c r="AG71" s="108">
        <f t="shared" si="5"/>
        <v>2.4589939686817885E-2</v>
      </c>
      <c r="AH71" s="108">
        <f t="shared" si="6"/>
        <v>1.5936683139701424E-2</v>
      </c>
      <c r="AI71" s="108"/>
    </row>
    <row r="72" spans="16:35" ht="15" customHeight="1">
      <c r="P72" s="29"/>
      <c r="W72" s="198" t="s">
        <v>128</v>
      </c>
      <c r="X72" s="199"/>
      <c r="Y72" s="199"/>
      <c r="Z72" s="200">
        <f>$Z$71</f>
        <v>2.4265778488763043</v>
      </c>
      <c r="AB72" s="48"/>
      <c r="AC72" s="58" t="s">
        <v>128</v>
      </c>
      <c r="AD72" s="106">
        <f t="shared" si="7"/>
        <v>1165.3417343084473</v>
      </c>
      <c r="AE72" s="105">
        <f t="shared" si="9"/>
        <v>1165.3417343084473</v>
      </c>
      <c r="AF72" s="105">
        <f t="shared" si="4"/>
        <v>4597.3761998013379</v>
      </c>
      <c r="AG72" s="108">
        <f t="shared" si="5"/>
        <v>2.445188183600755E-2</v>
      </c>
      <c r="AH72" s="108">
        <f t="shared" si="6"/>
        <v>1.6588500634532766E-2</v>
      </c>
      <c r="AI72" s="108"/>
    </row>
    <row r="73" spans="16:35" ht="15" customHeight="1">
      <c r="P73" s="29"/>
      <c r="W73" s="198" t="s">
        <v>129</v>
      </c>
      <c r="X73" s="199"/>
      <c r="Y73" s="199"/>
      <c r="Z73" s="200">
        <f t="shared" ref="Z73:Z83" si="10">$Z$71</f>
        <v>2.4265778488763043</v>
      </c>
      <c r="AB73" s="48"/>
      <c r="AC73" s="58" t="s">
        <v>129</v>
      </c>
      <c r="AD73" s="106">
        <f t="shared" si="7"/>
        <v>1164.942825250238</v>
      </c>
      <c r="AE73" s="105">
        <f t="shared" si="9"/>
        <v>1164.942825250238</v>
      </c>
      <c r="AF73" s="105">
        <f t="shared" si="4"/>
        <v>4624.9747441862764</v>
      </c>
      <c r="AG73" s="108">
        <f t="shared" si="5"/>
        <v>2.4284080182752854E-2</v>
      </c>
      <c r="AH73" s="108">
        <f t="shared" si="6"/>
        <v>1.7990825016932721E-2</v>
      </c>
      <c r="AI73" s="108"/>
    </row>
    <row r="74" spans="16:35" ht="15" customHeight="1">
      <c r="P74" s="29"/>
      <c r="W74" s="198" t="s">
        <v>130</v>
      </c>
      <c r="X74" s="199"/>
      <c r="Y74" s="199"/>
      <c r="Z74" s="200">
        <f t="shared" si="10"/>
        <v>2.4265778488763043</v>
      </c>
      <c r="AB74" s="48"/>
      <c r="AC74" s="58" t="s">
        <v>130</v>
      </c>
      <c r="AD74" s="106">
        <f t="shared" si="7"/>
        <v>1170.0548449617534</v>
      </c>
      <c r="AE74" s="105">
        <f t="shared" si="9"/>
        <v>1170.0548449617534</v>
      </c>
      <c r="AF74" s="105">
        <f t="shared" si="4"/>
        <v>4652.6943969207814</v>
      </c>
      <c r="AG74" s="108">
        <f t="shared" si="5"/>
        <v>2.426577848876299E-2</v>
      </c>
      <c r="AH74" s="108">
        <f t="shared" si="6"/>
        <v>2.0741514169093644E-2</v>
      </c>
      <c r="AI74" s="108"/>
    </row>
    <row r="75" spans="16:35" ht="15" customHeight="1">
      <c r="P75" s="29"/>
      <c r="W75" s="198" t="s">
        <v>131</v>
      </c>
      <c r="X75" s="199"/>
      <c r="Y75" s="199"/>
      <c r="Z75" s="200">
        <f t="shared" si="10"/>
        <v>2.4265778488763043</v>
      </c>
      <c r="AB75" s="48"/>
      <c r="AC75" s="58" t="s">
        <v>131</v>
      </c>
      <c r="AD75" s="106">
        <f t="shared" si="7"/>
        <v>1180.3177833863494</v>
      </c>
      <c r="AE75" s="105">
        <f t="shared" si="9"/>
        <v>1180.3177833863494</v>
      </c>
      <c r="AF75" s="105">
        <f t="shared" si="4"/>
        <v>4680.6571879067878</v>
      </c>
      <c r="AG75" s="108">
        <f t="shared" si="5"/>
        <v>2.4265778488762768E-2</v>
      </c>
      <c r="AH75" s="108">
        <f t="shared" si="6"/>
        <v>2.3146586169571659E-2</v>
      </c>
      <c r="AI75" s="108"/>
    </row>
    <row r="76" spans="16:35" ht="15" customHeight="1">
      <c r="P76" s="29"/>
      <c r="W76" s="198" t="s">
        <v>132</v>
      </c>
      <c r="X76" s="199"/>
      <c r="Y76" s="199"/>
      <c r="Z76" s="200">
        <f t="shared" si="10"/>
        <v>2.4265778488763043</v>
      </c>
      <c r="AB76" s="48"/>
      <c r="AC76" s="58" t="s">
        <v>132</v>
      </c>
      <c r="AD76" s="106">
        <f t="shared" si="7"/>
        <v>1193.619658696887</v>
      </c>
      <c r="AE76" s="105">
        <f t="shared" si="9"/>
        <v>1193.619658696887</v>
      </c>
      <c r="AF76" s="105">
        <f t="shared" si="4"/>
        <v>4708.9351122952276</v>
      </c>
      <c r="AG76" s="108">
        <f t="shared" si="5"/>
        <v>2.4265778488762768E-2</v>
      </c>
      <c r="AH76" s="108">
        <f t="shared" si="6"/>
        <v>2.4268832140518004E-2</v>
      </c>
      <c r="AI76" s="108"/>
    </row>
    <row r="77" spans="16:35" ht="15" customHeight="1">
      <c r="P77" s="29"/>
      <c r="W77" s="198" t="s">
        <v>133</v>
      </c>
      <c r="X77" s="199"/>
      <c r="Y77" s="199"/>
      <c r="Z77" s="200">
        <f t="shared" si="10"/>
        <v>2.4265778488763043</v>
      </c>
      <c r="AB77" s="48"/>
      <c r="AC77" s="58" t="s">
        <v>133</v>
      </c>
      <c r="AD77" s="106">
        <f t="shared" si="7"/>
        <v>1193.2110697998339</v>
      </c>
      <c r="AE77" s="105">
        <f t="shared" si="9"/>
        <v>1193.2110697998339</v>
      </c>
      <c r="AF77" s="105">
        <f t="shared" si="4"/>
        <v>4737.2033568448242</v>
      </c>
      <c r="AG77" s="108">
        <f t="shared" si="5"/>
        <v>2.426577848876299E-2</v>
      </c>
      <c r="AH77" s="108">
        <f t="shared" si="6"/>
        <v>2.4589939686817885E-2</v>
      </c>
      <c r="AI77" s="108"/>
    </row>
    <row r="78" spans="16:35" ht="15" customHeight="1">
      <c r="P78" s="29"/>
      <c r="W78" s="198" t="s">
        <v>135</v>
      </c>
      <c r="X78" s="199"/>
      <c r="Y78" s="199"/>
      <c r="Z78" s="200">
        <f t="shared" si="10"/>
        <v>2.4265778488763043</v>
      </c>
      <c r="AB78" s="48"/>
      <c r="AC78" s="58" t="s">
        <v>135</v>
      </c>
      <c r="AD78" s="106">
        <f t="shared" si="7"/>
        <v>1198.4471366492992</v>
      </c>
      <c r="AE78" s="105">
        <f t="shared" si="9"/>
        <v>1198.4471366492992</v>
      </c>
      <c r="AF78" s="105">
        <f t="shared" si="4"/>
        <v>4765.5956485323695</v>
      </c>
      <c r="AG78" s="108">
        <f t="shared" si="5"/>
        <v>2.426577848876299E-2</v>
      </c>
      <c r="AH78" s="108">
        <f t="shared" si="6"/>
        <v>2.445188183600755E-2</v>
      </c>
      <c r="AI78" s="108"/>
    </row>
    <row r="79" spans="16:35" ht="15" customHeight="1">
      <c r="P79" s="29"/>
      <c r="W79" s="198" t="s">
        <v>134</v>
      </c>
      <c r="X79" s="199"/>
      <c r="Y79" s="199"/>
      <c r="Z79" s="200">
        <f t="shared" si="10"/>
        <v>2.4265778488763043</v>
      </c>
      <c r="AB79" s="48"/>
      <c r="AC79" s="58" t="s">
        <v>134</v>
      </c>
      <c r="AD79" s="106">
        <f t="shared" si="7"/>
        <v>1208.9591132643504</v>
      </c>
      <c r="AE79" s="105">
        <f t="shared" si="9"/>
        <v>1208.9591132643504</v>
      </c>
      <c r="AF79" s="105">
        <f t="shared" si="4"/>
        <v>4794.2369784103703</v>
      </c>
      <c r="AG79" s="108">
        <f t="shared" si="5"/>
        <v>2.426577848876299E-2</v>
      </c>
      <c r="AH79" s="108">
        <f t="shared" si="6"/>
        <v>2.4284080182752854E-2</v>
      </c>
      <c r="AI79" s="108"/>
    </row>
    <row r="80" spans="16:35" ht="15" customHeight="1">
      <c r="P80" s="102"/>
      <c r="W80" s="198" t="s">
        <v>136</v>
      </c>
      <c r="X80" s="199"/>
      <c r="Y80" s="199"/>
      <c r="Z80" s="200">
        <f t="shared" si="10"/>
        <v>2.4265778488763043</v>
      </c>
      <c r="AB80" s="48"/>
      <c r="AC80" s="58" t="s">
        <v>136</v>
      </c>
      <c r="AD80" s="106">
        <f t="shared" si="7"/>
        <v>1222.5837689346586</v>
      </c>
      <c r="AE80" s="105">
        <f t="shared" si="9"/>
        <v>1222.5837689346586</v>
      </c>
      <c r="AF80" s="105">
        <f t="shared" si="4"/>
        <v>4823.2010886481421</v>
      </c>
      <c r="AG80" s="108">
        <f t="shared" si="5"/>
        <v>2.426577848876299E-2</v>
      </c>
      <c r="AH80" s="108">
        <f t="shared" si="6"/>
        <v>2.426577848876299E-2</v>
      </c>
      <c r="AI80" s="108"/>
    </row>
    <row r="81" spans="16:35" ht="15" customHeight="1">
      <c r="P81" s="29"/>
      <c r="W81" s="198" t="s">
        <v>137</v>
      </c>
      <c r="X81" s="199"/>
      <c r="Y81" s="199"/>
      <c r="Z81" s="200">
        <f t="shared" si="10"/>
        <v>2.4265778488763043</v>
      </c>
      <c r="AB81" s="48"/>
      <c r="AC81" s="58" t="s">
        <v>137</v>
      </c>
      <c r="AD81" s="106">
        <f t="shared" si="7"/>
        <v>1222.1652653099366</v>
      </c>
      <c r="AE81" s="105">
        <f t="shared" si="9"/>
        <v>1222.1652653099366</v>
      </c>
      <c r="AF81" s="105">
        <f t="shared" si="4"/>
        <v>4852.1552841582452</v>
      </c>
      <c r="AG81" s="108">
        <f t="shared" si="5"/>
        <v>2.426577848876299E-2</v>
      </c>
      <c r="AH81" s="108">
        <f t="shared" si="6"/>
        <v>2.4265778488762768E-2</v>
      </c>
      <c r="AI81" s="108"/>
    </row>
    <row r="82" spans="16:35" ht="15" customHeight="1">
      <c r="P82" s="29"/>
      <c r="W82" s="198" t="s">
        <v>138</v>
      </c>
      <c r="X82" s="199"/>
      <c r="Y82" s="199"/>
      <c r="Z82" s="200">
        <f t="shared" si="10"/>
        <v>2.4265778488763043</v>
      </c>
      <c r="AB82" s="48"/>
      <c r="AC82" s="58" t="s">
        <v>138</v>
      </c>
      <c r="AD82" s="106">
        <f t="shared" si="7"/>
        <v>1227.5283893977235</v>
      </c>
      <c r="AE82" s="105">
        <f t="shared" si="9"/>
        <v>1227.5283893977235</v>
      </c>
      <c r="AF82" s="105">
        <f t="shared" si="4"/>
        <v>4881.2365369066683</v>
      </c>
      <c r="AG82" s="108">
        <f t="shared" si="5"/>
        <v>2.426577848876299E-2</v>
      </c>
      <c r="AH82" s="108">
        <f t="shared" si="6"/>
        <v>2.4265778488762768E-2</v>
      </c>
      <c r="AI82" s="108"/>
    </row>
    <row r="83" spans="16:35" ht="15" customHeight="1" thickBot="1">
      <c r="P83" s="29"/>
      <c r="W83" s="201" t="s">
        <v>139</v>
      </c>
      <c r="X83" s="202"/>
      <c r="Y83" s="202"/>
      <c r="Z83" s="203">
        <f t="shared" si="10"/>
        <v>2.4265778488763043</v>
      </c>
      <c r="AB83" s="48"/>
      <c r="AC83" s="58" t="s">
        <v>139</v>
      </c>
      <c r="AD83" s="106">
        <f t="shared" si="7"/>
        <v>1238.2954473087946</v>
      </c>
      <c r="AE83" s="105">
        <f t="shared" si="9"/>
        <v>1238.2954473087946</v>
      </c>
      <c r="AF83" s="105">
        <f t="shared" si="4"/>
        <v>4910.5728709511131</v>
      </c>
      <c r="AG83" s="108">
        <f t="shared" si="5"/>
        <v>2.426577848876299E-2</v>
      </c>
      <c r="AH83" s="108">
        <f t="shared" si="6"/>
        <v>2.426577848876299E-2</v>
      </c>
      <c r="AI83" s="108"/>
    </row>
    <row r="84" spans="16:35" ht="15" customHeight="1"/>
    <row r="85" spans="16:35" ht="15" customHeight="1">
      <c r="AD85" s="60" t="s">
        <v>200</v>
      </c>
      <c r="AE85" s="60" t="s">
        <v>211</v>
      </c>
    </row>
    <row r="86" spans="16:35" ht="15" customHeight="1">
      <c r="AD86" s="110" t="s">
        <v>201</v>
      </c>
      <c r="AE86" s="110" t="s">
        <v>212</v>
      </c>
    </row>
    <row r="87" spans="16:35" ht="15" customHeight="1">
      <c r="AD87" s="110" t="s">
        <v>202</v>
      </c>
      <c r="AE87" s="110" t="s">
        <v>213</v>
      </c>
    </row>
    <row r="88" spans="16:35" ht="15" customHeight="1">
      <c r="AD88" s="60" t="s">
        <v>203</v>
      </c>
      <c r="AE88" s="60" t="s">
        <v>214</v>
      </c>
    </row>
    <row r="89" spans="16:35" ht="15" customHeight="1">
      <c r="AC89" s="28" t="str">
        <f>AC62</f>
        <v>Mar 2010</v>
      </c>
      <c r="AD89" s="123">
        <f>AH62</f>
        <v>3.9162561576354671E-2</v>
      </c>
      <c r="AE89" s="109">
        <f>AE62/AE58-1</f>
        <v>1.7233850022212005E-2</v>
      </c>
    </row>
    <row r="90" spans="16:35" ht="15" customHeight="1">
      <c r="AC90" s="28" t="str">
        <f>AC66</f>
        <v>Mar 2011</v>
      </c>
      <c r="AD90" s="109">
        <f>AH66</f>
        <v>2.465039108793543E-2</v>
      </c>
      <c r="AE90" s="109">
        <f>AE66/AE62-1</f>
        <v>1.9812209526758329E-2</v>
      </c>
    </row>
    <row r="91" spans="16:35" ht="15" customHeight="1">
      <c r="AC91" s="28" t="str">
        <f>AC70</f>
        <v>Mar 2012</v>
      </c>
      <c r="AD91" s="109">
        <f>AH70</f>
        <v>1.6991832174541255E-2</v>
      </c>
      <c r="AE91" s="109">
        <f>AE70/AE66-1</f>
        <v>2.4339880629970168E-2</v>
      </c>
    </row>
    <row r="92" spans="16:35" ht="15" customHeight="1">
      <c r="AC92" s="28" t="str">
        <f>AC74</f>
        <v>Mar 2013</v>
      </c>
      <c r="AD92" s="109">
        <f>AH74</f>
        <v>2.0741514169093644E-2</v>
      </c>
      <c r="AE92" s="109">
        <f>AE74/AE70-1</f>
        <v>2.426577848876299E-2</v>
      </c>
    </row>
    <row r="93" spans="16:35" ht="15" customHeight="1">
      <c r="AC93" s="28" t="str">
        <f>AC78</f>
        <v>Mar 2014</v>
      </c>
      <c r="AD93" s="109">
        <f>AH78</f>
        <v>2.445188183600755E-2</v>
      </c>
      <c r="AE93" s="109">
        <f>AE78/AE74-1</f>
        <v>2.426577848876299E-2</v>
      </c>
    </row>
    <row r="94" spans="16:35" ht="15" customHeight="1">
      <c r="AC94" s="28" t="str">
        <f t="shared" ref="AC94" si="11">AC82</f>
        <v>Mar 2015</v>
      </c>
      <c r="AD94" s="109">
        <f t="shared" ref="AD94" si="12">AH82</f>
        <v>2.4265778488762768E-2</v>
      </c>
      <c r="AE94" s="109">
        <f>AE82/AE78-1</f>
        <v>2.426577848876299E-2</v>
      </c>
    </row>
    <row r="95" spans="16:35" ht="15" customHeight="1">
      <c r="AD95" s="109"/>
      <c r="AE95" s="109"/>
    </row>
    <row r="96" spans="16:35" ht="15" customHeight="1">
      <c r="X96" s="180"/>
      <c r="Y96" s="181"/>
      <c r="Z96" s="181"/>
      <c r="AA96" s="181"/>
      <c r="AB96" s="181"/>
      <c r="AC96" s="182"/>
      <c r="AD96" s="182"/>
      <c r="AE96" s="183" t="str">
        <f>"CPI changes as forecast in September 2009, " &amp; IF(AE15=1,"not adjusted for the impact of GST changes in 2010","adjusted for the impact of GST changes in 2010")</f>
        <v>CPI changes as forecast in September 2009, not adjusted for the impact of GST changes in 2010</v>
      </c>
    </row>
    <row r="97" spans="24:31" ht="15" customHeight="1">
      <c r="X97" s="184"/>
      <c r="Y97" s="48"/>
      <c r="Z97" s="48"/>
      <c r="AA97" s="48"/>
      <c r="AB97" s="48"/>
      <c r="AC97" s="185"/>
      <c r="AD97" s="185"/>
      <c r="AE97" s="186"/>
    </row>
    <row r="98" spans="24:31" ht="15" customHeight="1">
      <c r="X98" s="187"/>
      <c r="Y98" s="48"/>
      <c r="Z98" s="48" t="str">
        <f>AC89</f>
        <v>Mar 2010</v>
      </c>
      <c r="AA98" s="48" t="str">
        <f>AC90</f>
        <v>Mar 2011</v>
      </c>
      <c r="AB98" s="48" t="str">
        <f>AC91</f>
        <v>Mar 2012</v>
      </c>
      <c r="AC98" s="48" t="str">
        <f>AC92</f>
        <v>Mar 2013</v>
      </c>
      <c r="AD98" s="48" t="str">
        <f>AC93</f>
        <v>Mar 2014</v>
      </c>
      <c r="AE98" s="186" t="str">
        <f>AC94</f>
        <v>Mar 2015</v>
      </c>
    </row>
    <row r="99" spans="24:31" ht="15" customHeight="1">
      <c r="X99" s="187"/>
      <c r="Y99" s="188" t="s">
        <v>215</v>
      </c>
      <c r="Z99" s="185">
        <f>AD89</f>
        <v>3.9162561576354671E-2</v>
      </c>
      <c r="AA99" s="185">
        <f>AD90</f>
        <v>2.465039108793543E-2</v>
      </c>
      <c r="AB99" s="185">
        <f>AD91</f>
        <v>1.6991832174541255E-2</v>
      </c>
      <c r="AC99" s="185">
        <f>AD92</f>
        <v>2.0741514169093644E-2</v>
      </c>
      <c r="AD99" s="185">
        <f>AD93</f>
        <v>2.445188183600755E-2</v>
      </c>
      <c r="AE99" s="189">
        <f>AD94</f>
        <v>2.4265778488762768E-2</v>
      </c>
    </row>
    <row r="100" spans="24:31" ht="15" customHeight="1">
      <c r="X100" s="190"/>
      <c r="Y100" s="191" t="s">
        <v>216</v>
      </c>
      <c r="Z100" s="192">
        <f>AE89</f>
        <v>1.7233850022212005E-2</v>
      </c>
      <c r="AA100" s="192">
        <f>AE90</f>
        <v>1.9812209526758329E-2</v>
      </c>
      <c r="AB100" s="192">
        <f>AE91</f>
        <v>2.4339880629970168E-2</v>
      </c>
      <c r="AC100" s="192">
        <f>AE92</f>
        <v>2.426577848876299E-2</v>
      </c>
      <c r="AD100" s="192">
        <f>AE93</f>
        <v>2.426577848876299E-2</v>
      </c>
      <c r="AE100" s="193">
        <f>AE94</f>
        <v>2.426577848876299E-2</v>
      </c>
    </row>
    <row r="101" spans="24:31" ht="15" customHeight="1">
      <c r="Y101" s="122"/>
      <c r="Z101" s="109"/>
      <c r="AA101" s="109"/>
      <c r="AB101" s="109"/>
      <c r="AC101" s="109"/>
      <c r="AD101" s="109"/>
    </row>
    <row r="102" spans="24:31" ht="15" customHeight="1"/>
    <row r="103" spans="24:31" ht="15" customHeight="1"/>
    <row r="104" spans="24:31" ht="15" customHeight="1"/>
    <row r="105" spans="24:31" ht="15" customHeight="1"/>
    <row r="106" spans="24:31" ht="15" customHeight="1"/>
    <row r="107" spans="24:31" ht="15" customHeight="1"/>
    <row r="108" spans="24:31" ht="15" customHeight="1"/>
    <row r="109" spans="24:31" ht="15" customHeight="1"/>
    <row r="110" spans="24:31" ht="15" customHeight="1"/>
    <row r="111" spans="24:31" ht="15" customHeight="1"/>
    <row r="112" spans="24:31" ht="15" customHeight="1"/>
    <row r="113" ht="15" customHeight="1"/>
    <row r="114" ht="15" customHeight="1"/>
    <row r="115" ht="15" customHeight="1"/>
    <row r="116" ht="15" customHeight="1"/>
    <row r="117" ht="15" customHeight="1"/>
  </sheetData>
  <mergeCells count="3">
    <mergeCell ref="D14:E15"/>
    <mergeCell ref="J14:K15"/>
    <mergeCell ref="P14:Q15"/>
  </mergeCells>
  <dataValidations count="1">
    <dataValidation type="list" allowBlank="1" showInputMessage="1" showErrorMessage="1" sqref="AE15">
      <formula1>"1,1.02"</formula1>
    </dataValidation>
  </dataValidations>
  <printOptions horizontalCentered="1"/>
  <pageMargins left="0.39370078740157483" right="0.39370078740157483" top="0.62992125984251968" bottom="0.62992125984251968" header="0.19685039370078741" footer="0.39370078740157483"/>
  <pageSetup paperSize="9" scale="30" orientation="landscape" r:id="rId1"/>
</worksheet>
</file>

<file path=xl/worksheets/sheet23.xml><?xml version="1.0" encoding="utf-8"?>
<worksheet xmlns="http://schemas.openxmlformats.org/spreadsheetml/2006/main" xmlns:r="http://schemas.openxmlformats.org/officeDocument/2006/relationships">
  <sheetPr codeName="Sheet9">
    <pageSetUpPr fitToPage="1"/>
  </sheetPr>
  <dimension ref="A2:AI121"/>
  <sheetViews>
    <sheetView zoomScaleNormal="100" workbookViewId="0"/>
  </sheetViews>
  <sheetFormatPr defaultRowHeight="11.25"/>
  <cols>
    <col min="1" max="2" width="2.28515625" style="28" customWidth="1"/>
    <col min="3" max="3" width="8.7109375" style="28" customWidth="1"/>
    <col min="4" max="4" width="6.7109375" style="28" hidden="1" customWidth="1"/>
    <col min="5" max="5" width="2.7109375" style="28" hidden="1" customWidth="1"/>
    <col min="6" max="6" width="4.7109375" style="28" hidden="1" customWidth="1"/>
    <col min="7" max="7" width="2.7109375" style="28" hidden="1" customWidth="1"/>
    <col min="8" max="8" width="7.28515625" style="28" hidden="1" customWidth="1"/>
    <col min="9" max="9" width="3.28515625" style="28" hidden="1" customWidth="1"/>
    <col min="10" max="10" width="6.7109375" style="28" hidden="1" customWidth="1"/>
    <col min="11" max="11" width="2.7109375" style="28" hidden="1" customWidth="1"/>
    <col min="12" max="12" width="4.7109375" style="28" hidden="1" customWidth="1"/>
    <col min="13" max="13" width="2.7109375" style="28" hidden="1" customWidth="1"/>
    <col min="14" max="14" width="7.28515625" style="28" hidden="1" customWidth="1"/>
    <col min="15" max="15" width="4.28515625" style="28" hidden="1" customWidth="1"/>
    <col min="16" max="16" width="6.7109375" style="28" customWidth="1"/>
    <col min="17" max="17" width="2.7109375" style="28" customWidth="1"/>
    <col min="18" max="18" width="4.7109375" style="28" hidden="1" customWidth="1"/>
    <col min="19" max="19" width="2.7109375" style="28" hidden="1" customWidth="1"/>
    <col min="20" max="20" width="7.28515625" style="28" hidden="1" customWidth="1"/>
    <col min="21" max="21" width="3.28515625" style="28" hidden="1" customWidth="1"/>
    <col min="22" max="22" width="1.5703125" style="28" customWidth="1"/>
    <col min="23" max="24" width="12.7109375" style="28" customWidth="1"/>
    <col min="25" max="25" width="18" style="28" customWidth="1"/>
    <col min="26" max="26" width="9.140625" style="28"/>
    <col min="27" max="27" width="6.85546875" style="28" customWidth="1"/>
    <col min="28" max="28" width="5.85546875" style="28" customWidth="1"/>
    <col min="29" max="34" width="9.140625" style="28"/>
    <col min="35" max="35" width="3.140625" style="28" customWidth="1"/>
    <col min="36" max="36" width="9.140625" style="28"/>
    <col min="37" max="37" width="10.42578125" style="28" customWidth="1"/>
    <col min="38" max="16384" width="9.140625" style="28"/>
  </cols>
  <sheetData>
    <row r="2" spans="1:31" ht="18">
      <c r="C2" s="96" t="s">
        <v>306</v>
      </c>
    </row>
    <row r="4" spans="1:31" ht="33.75">
      <c r="C4" s="145"/>
    </row>
    <row r="7" spans="1:31">
      <c r="A7" s="46" t="s">
        <v>304</v>
      </c>
      <c r="B7" s="30"/>
      <c r="C7" s="30"/>
      <c r="D7" s="30"/>
      <c r="E7" s="30"/>
      <c r="F7" s="30"/>
      <c r="G7" s="30"/>
      <c r="H7" s="30"/>
      <c r="I7" s="30"/>
      <c r="J7" s="30"/>
      <c r="K7" s="30"/>
      <c r="L7" s="30"/>
      <c r="M7" s="30"/>
      <c r="N7" s="30"/>
      <c r="O7" s="30"/>
      <c r="P7" s="30"/>
      <c r="Q7" s="30"/>
      <c r="R7" s="30"/>
      <c r="S7" s="30"/>
      <c r="T7" s="30"/>
      <c r="U7" s="30"/>
      <c r="V7" s="30"/>
      <c r="W7" s="30"/>
      <c r="X7" s="30"/>
    </row>
    <row r="9" spans="1:31" ht="15" customHeight="1">
      <c r="A9" s="61" t="s">
        <v>101</v>
      </c>
      <c r="B9" s="62"/>
      <c r="C9" s="62"/>
      <c r="D9" s="62"/>
      <c r="E9" s="62"/>
      <c r="F9" s="62"/>
      <c r="G9" s="62"/>
      <c r="H9" s="62"/>
      <c r="I9" s="62"/>
      <c r="J9" s="62"/>
      <c r="K9" s="62"/>
      <c r="L9" s="62"/>
      <c r="M9" s="62"/>
      <c r="N9" s="62"/>
      <c r="O9" s="62"/>
      <c r="P9" s="62"/>
      <c r="Q9" s="62"/>
      <c r="R9" s="62"/>
      <c r="S9" s="62"/>
      <c r="T9" s="62"/>
      <c r="U9" s="62"/>
    </row>
    <row r="10" spans="1:31" ht="16.5" customHeight="1">
      <c r="A10" s="63" t="s">
        <v>153</v>
      </c>
      <c r="B10" s="62"/>
      <c r="C10" s="62"/>
      <c r="D10" s="62"/>
      <c r="E10" s="62"/>
      <c r="F10" s="62"/>
      <c r="G10" s="62"/>
      <c r="H10" s="62"/>
      <c r="I10" s="62"/>
      <c r="J10" s="62"/>
      <c r="K10" s="62"/>
      <c r="L10" s="62"/>
      <c r="M10" s="62"/>
      <c r="N10" s="62"/>
      <c r="O10" s="62"/>
      <c r="P10" s="62"/>
      <c r="Q10" s="62"/>
      <c r="R10" s="62"/>
      <c r="S10" s="62"/>
      <c r="T10" s="62"/>
      <c r="U10" s="62"/>
    </row>
    <row r="11" spans="1:31" ht="12.75" customHeight="1">
      <c r="A11" s="64" t="s">
        <v>102</v>
      </c>
      <c r="B11" s="62"/>
      <c r="C11" s="62"/>
      <c r="D11" s="62"/>
      <c r="E11" s="62"/>
      <c r="F11" s="62"/>
      <c r="G11" s="62"/>
      <c r="H11" s="62"/>
      <c r="I11" s="62"/>
      <c r="J11" s="62"/>
      <c r="K11" s="62"/>
      <c r="L11" s="62"/>
      <c r="M11" s="62"/>
      <c r="N11" s="62"/>
      <c r="O11" s="62"/>
      <c r="P11" s="62"/>
      <c r="Q11" s="62"/>
      <c r="R11" s="62"/>
      <c r="S11" s="62"/>
      <c r="T11" s="62"/>
      <c r="U11" s="62"/>
    </row>
    <row r="12" spans="1:31" ht="7.5" customHeight="1">
      <c r="A12" s="65"/>
      <c r="B12" s="65"/>
      <c r="C12" s="65"/>
      <c r="D12" s="65"/>
      <c r="E12" s="65"/>
      <c r="F12" s="65"/>
      <c r="G12" s="65"/>
      <c r="H12" s="65"/>
      <c r="I12" s="65"/>
      <c r="J12" s="65"/>
      <c r="K12" s="65"/>
      <c r="L12" s="65"/>
      <c r="M12" s="65"/>
      <c r="N12" s="65"/>
      <c r="O12" s="65"/>
      <c r="P12" s="65"/>
      <c r="Q12" s="65"/>
      <c r="R12" s="65"/>
      <c r="S12" s="65"/>
      <c r="T12" s="65"/>
      <c r="U12" s="65"/>
    </row>
    <row r="13" spans="1:31" ht="12.75" customHeight="1" thickBot="1">
      <c r="A13" s="66"/>
      <c r="B13" s="66"/>
      <c r="C13" s="67"/>
      <c r="D13" s="68" t="s">
        <v>154</v>
      </c>
      <c r="E13" s="68"/>
      <c r="F13" s="68"/>
      <c r="G13" s="68"/>
      <c r="H13" s="68"/>
      <c r="I13" s="69"/>
      <c r="J13" s="68" t="s">
        <v>155</v>
      </c>
      <c r="K13" s="68"/>
      <c r="L13" s="68"/>
      <c r="M13" s="68"/>
      <c r="N13" s="68"/>
      <c r="O13" s="69"/>
      <c r="P13" s="68" t="s">
        <v>156</v>
      </c>
      <c r="Q13" s="68"/>
      <c r="R13" s="68"/>
      <c r="S13" s="68"/>
      <c r="T13" s="68"/>
      <c r="U13" s="68"/>
      <c r="W13" s="47" t="s">
        <v>315</v>
      </c>
    </row>
    <row r="14" spans="1:31" ht="22.5" customHeight="1">
      <c r="A14" s="70"/>
      <c r="B14" s="70"/>
      <c r="C14" s="71"/>
      <c r="D14" s="344" t="s">
        <v>103</v>
      </c>
      <c r="E14" s="345"/>
      <c r="F14" s="72" t="s">
        <v>104</v>
      </c>
      <c r="G14" s="73"/>
      <c r="H14" s="73"/>
      <c r="I14" s="73"/>
      <c r="J14" s="344" t="s">
        <v>103</v>
      </c>
      <c r="K14" s="345"/>
      <c r="L14" s="72" t="s">
        <v>104</v>
      </c>
      <c r="M14" s="73"/>
      <c r="N14" s="73"/>
      <c r="O14" s="73"/>
      <c r="P14" s="344" t="s">
        <v>103</v>
      </c>
      <c r="Q14" s="345"/>
      <c r="R14" s="72" t="s">
        <v>104</v>
      </c>
      <c r="S14" s="73"/>
      <c r="T14" s="73"/>
      <c r="U14" s="73"/>
      <c r="W14" s="41" t="s">
        <v>312</v>
      </c>
      <c r="X14" s="42" t="s">
        <v>205</v>
      </c>
      <c r="Y14" s="282"/>
      <c r="Z14" s="207"/>
    </row>
    <row r="15" spans="1:31" ht="33.75" customHeight="1">
      <c r="A15" s="74"/>
      <c r="B15" s="74"/>
      <c r="C15" s="75"/>
      <c r="D15" s="346"/>
      <c r="E15" s="347"/>
      <c r="F15" s="76" t="s">
        <v>105</v>
      </c>
      <c r="G15" s="77"/>
      <c r="H15" s="76" t="s">
        <v>106</v>
      </c>
      <c r="I15" s="77"/>
      <c r="J15" s="346"/>
      <c r="K15" s="347"/>
      <c r="L15" s="76" t="s">
        <v>105</v>
      </c>
      <c r="M15" s="77"/>
      <c r="N15" s="76" t="s">
        <v>106</v>
      </c>
      <c r="O15" s="77"/>
      <c r="P15" s="346"/>
      <c r="Q15" s="347"/>
      <c r="R15" s="76" t="s">
        <v>105</v>
      </c>
      <c r="S15" s="77"/>
      <c r="T15" s="76" t="s">
        <v>106</v>
      </c>
      <c r="U15" s="77"/>
      <c r="W15" s="208"/>
      <c r="X15" s="43" t="s">
        <v>126</v>
      </c>
      <c r="Y15" s="36"/>
      <c r="Z15" s="209"/>
      <c r="AD15" s="178" t="s">
        <v>303</v>
      </c>
      <c r="AE15" s="30">
        <v>1</v>
      </c>
    </row>
    <row r="16" spans="1:31" ht="18.75" customHeight="1">
      <c r="A16" s="78" t="s">
        <v>107</v>
      </c>
      <c r="B16" s="78"/>
      <c r="C16" s="78"/>
      <c r="D16" s="79" t="s">
        <v>108</v>
      </c>
      <c r="E16" s="80"/>
      <c r="F16" s="81" t="s">
        <v>109</v>
      </c>
      <c r="G16" s="80"/>
      <c r="H16" s="81" t="s">
        <v>109</v>
      </c>
      <c r="I16" s="80"/>
      <c r="J16" s="79" t="s">
        <v>110</v>
      </c>
      <c r="K16" s="80"/>
      <c r="L16" s="81" t="s">
        <v>109</v>
      </c>
      <c r="M16" s="80"/>
      <c r="N16" s="81" t="s">
        <v>109</v>
      </c>
      <c r="O16" s="80"/>
      <c r="P16" s="79" t="s">
        <v>111</v>
      </c>
      <c r="Q16" s="80"/>
      <c r="R16" s="81" t="s">
        <v>109</v>
      </c>
      <c r="S16" s="80"/>
      <c r="T16" s="81" t="s">
        <v>109</v>
      </c>
      <c r="U16" s="80"/>
      <c r="W16" s="208"/>
      <c r="X16" s="36"/>
      <c r="Y16" s="36"/>
      <c r="Z16" s="209"/>
    </row>
    <row r="17" spans="1:35" ht="15">
      <c r="A17" s="65"/>
      <c r="B17" s="65"/>
      <c r="C17" s="65"/>
      <c r="D17" s="65"/>
      <c r="E17" s="65"/>
      <c r="F17" s="65"/>
      <c r="G17" s="65"/>
      <c r="H17" s="65"/>
      <c r="I17" s="65"/>
      <c r="J17" s="65"/>
      <c r="K17" s="65"/>
      <c r="L17" s="65"/>
      <c r="M17" s="65"/>
      <c r="N17" s="65"/>
      <c r="O17" s="65"/>
      <c r="P17" s="65"/>
      <c r="Q17" s="65"/>
      <c r="R17" s="65"/>
      <c r="S17" s="65"/>
      <c r="T17" s="65"/>
      <c r="U17" s="65"/>
      <c r="W17" s="208"/>
      <c r="X17" s="36"/>
      <c r="Y17" s="36"/>
      <c r="Z17" s="209"/>
    </row>
    <row r="18" spans="1:35" ht="15">
      <c r="A18" s="82" t="s">
        <v>112</v>
      </c>
      <c r="B18" s="70"/>
      <c r="C18" s="70"/>
      <c r="D18" s="70"/>
      <c r="E18" s="70"/>
      <c r="F18" s="70"/>
      <c r="G18" s="70"/>
      <c r="H18" s="70"/>
      <c r="I18" s="70"/>
      <c r="J18" s="70"/>
      <c r="K18" s="70"/>
      <c r="L18" s="70"/>
      <c r="M18" s="70"/>
      <c r="N18" s="70"/>
      <c r="O18" s="70"/>
      <c r="P18" s="70"/>
      <c r="Q18" s="70"/>
      <c r="R18" s="70"/>
      <c r="S18" s="70"/>
      <c r="T18" s="70"/>
      <c r="U18" s="70"/>
      <c r="W18" s="44" t="s">
        <v>313</v>
      </c>
      <c r="X18" s="36"/>
      <c r="Y18" s="36"/>
      <c r="Z18" s="209"/>
    </row>
    <row r="19" spans="1:35" ht="15">
      <c r="A19" s="83" t="s">
        <v>152</v>
      </c>
      <c r="B19" s="70"/>
      <c r="C19" s="70" t="s">
        <v>117</v>
      </c>
      <c r="D19" s="84">
        <v>957.02774999999997</v>
      </c>
      <c r="E19" s="70"/>
      <c r="F19" s="85">
        <v>0.5</v>
      </c>
      <c r="G19" s="86"/>
      <c r="H19" s="85">
        <v>3.6</v>
      </c>
      <c r="I19" s="70"/>
      <c r="J19" s="84">
        <v>828.34645999999998</v>
      </c>
      <c r="K19" s="70"/>
      <c r="L19" s="85">
        <v>0.7</v>
      </c>
      <c r="M19" s="86"/>
      <c r="N19" s="85">
        <v>1.5</v>
      </c>
      <c r="O19" s="70"/>
      <c r="P19" s="84">
        <v>881.03161</v>
      </c>
      <c r="Q19" s="70"/>
      <c r="R19" s="85">
        <v>0.6</v>
      </c>
      <c r="S19" s="86"/>
      <c r="T19" s="85">
        <v>2.4</v>
      </c>
      <c r="U19" s="70"/>
      <c r="W19" s="208"/>
      <c r="X19" s="36"/>
      <c r="Y19" s="36"/>
      <c r="Z19" s="209"/>
    </row>
    <row r="20" spans="1:35" ht="19.5" customHeight="1">
      <c r="A20" s="70"/>
      <c r="B20" s="70"/>
      <c r="C20" s="70" t="s">
        <v>113</v>
      </c>
      <c r="D20" s="84">
        <v>959.71352000000002</v>
      </c>
      <c r="E20" s="70"/>
      <c r="F20" s="85">
        <v>0.3</v>
      </c>
      <c r="G20" s="86"/>
      <c r="H20" s="85">
        <v>2.1</v>
      </c>
      <c r="I20" s="70"/>
      <c r="J20" s="84">
        <v>833.85826999999995</v>
      </c>
      <c r="K20" s="70"/>
      <c r="L20" s="85">
        <v>0.7</v>
      </c>
      <c r="M20" s="86"/>
      <c r="N20" s="85">
        <v>1.5</v>
      </c>
      <c r="O20" s="70"/>
      <c r="P20" s="84">
        <v>886.02328999999997</v>
      </c>
      <c r="Q20" s="70"/>
      <c r="R20" s="85">
        <v>0.6</v>
      </c>
      <c r="S20" s="86"/>
      <c r="T20" s="85">
        <v>1.8</v>
      </c>
      <c r="U20" s="70"/>
      <c r="W20" s="113" t="s">
        <v>314</v>
      </c>
      <c r="X20" s="114" t="s">
        <v>206</v>
      </c>
      <c r="Y20" s="114" t="s">
        <v>207</v>
      </c>
      <c r="Z20" s="210" t="s">
        <v>208</v>
      </c>
    </row>
    <row r="21" spans="1:35" ht="15" customHeight="1" thickBot="1">
      <c r="A21" s="83" t="s">
        <v>151</v>
      </c>
      <c r="B21" s="70"/>
      <c r="C21" s="70" t="s">
        <v>115</v>
      </c>
      <c r="D21" s="84">
        <v>957.92300999999998</v>
      </c>
      <c r="E21" s="70"/>
      <c r="F21" s="85">
        <v>-0.2</v>
      </c>
      <c r="G21" s="86"/>
      <c r="H21" s="85">
        <v>2.1</v>
      </c>
      <c r="I21" s="70"/>
      <c r="J21" s="84">
        <v>844.09448999999995</v>
      </c>
      <c r="K21" s="70"/>
      <c r="L21" s="85">
        <v>1.2</v>
      </c>
      <c r="M21" s="86"/>
      <c r="N21" s="85">
        <v>2.9</v>
      </c>
      <c r="O21" s="70"/>
      <c r="P21" s="84">
        <v>891.01498000000004</v>
      </c>
      <c r="Q21" s="70"/>
      <c r="R21" s="85">
        <v>0.6</v>
      </c>
      <c r="S21" s="86"/>
      <c r="T21" s="85">
        <v>2.6</v>
      </c>
      <c r="U21" s="70"/>
      <c r="W21" s="208"/>
      <c r="X21" s="276" t="s">
        <v>311</v>
      </c>
      <c r="Y21" s="276" t="s">
        <v>311</v>
      </c>
      <c r="Z21" s="277" t="s">
        <v>311</v>
      </c>
    </row>
    <row r="22" spans="1:35" ht="15" customHeight="1">
      <c r="A22" s="70"/>
      <c r="B22" s="70"/>
      <c r="C22" s="70" t="s">
        <v>116</v>
      </c>
      <c r="D22" s="84">
        <v>973.14234999999996</v>
      </c>
      <c r="E22" s="70"/>
      <c r="F22" s="85">
        <v>1.6</v>
      </c>
      <c r="G22" s="86"/>
      <c r="H22" s="85">
        <v>2.2000000000000002</v>
      </c>
      <c r="I22" s="70"/>
      <c r="J22" s="84">
        <v>848.81889999999999</v>
      </c>
      <c r="K22" s="70"/>
      <c r="L22" s="85">
        <v>0.6</v>
      </c>
      <c r="M22" s="86"/>
      <c r="N22" s="85">
        <v>3.2</v>
      </c>
      <c r="O22" s="70"/>
      <c r="P22" s="84">
        <v>900.16638999999998</v>
      </c>
      <c r="Q22" s="70"/>
      <c r="R22" s="85">
        <v>1</v>
      </c>
      <c r="S22" s="86"/>
      <c r="T22" s="85">
        <v>2.8</v>
      </c>
      <c r="U22" s="70"/>
      <c r="W22" s="53"/>
      <c r="X22" s="48"/>
      <c r="Y22" s="48"/>
      <c r="Z22" s="52"/>
      <c r="AB22" s="49" t="s">
        <v>144</v>
      </c>
      <c r="AC22" s="40"/>
      <c r="AD22" s="50"/>
      <c r="AE22" s="48"/>
      <c r="AF22" s="48"/>
      <c r="AG22" s="48"/>
      <c r="AH22" s="48"/>
      <c r="AI22" s="48"/>
    </row>
    <row r="23" spans="1:35" ht="15" customHeight="1">
      <c r="A23" s="70"/>
      <c r="B23" s="70"/>
      <c r="C23" s="70" t="s">
        <v>117</v>
      </c>
      <c r="D23" s="84">
        <v>970.45658000000003</v>
      </c>
      <c r="E23" s="70"/>
      <c r="F23" s="85">
        <v>-0.3</v>
      </c>
      <c r="G23" s="86"/>
      <c r="H23" s="85">
        <v>1.4</v>
      </c>
      <c r="I23" s="70"/>
      <c r="J23" s="84">
        <v>857.48031000000003</v>
      </c>
      <c r="K23" s="70"/>
      <c r="L23" s="85">
        <v>1</v>
      </c>
      <c r="M23" s="86"/>
      <c r="N23" s="85">
        <v>3.5</v>
      </c>
      <c r="O23" s="70"/>
      <c r="P23" s="84">
        <v>904.32611999999995</v>
      </c>
      <c r="Q23" s="70"/>
      <c r="R23" s="85">
        <v>0.5</v>
      </c>
      <c r="S23" s="86"/>
      <c r="T23" s="85">
        <v>2.6</v>
      </c>
      <c r="U23" s="65"/>
      <c r="W23" s="53"/>
      <c r="X23" s="48"/>
      <c r="Y23" s="48"/>
      <c r="Z23" s="52"/>
      <c r="AB23" s="51" t="s">
        <v>145</v>
      </c>
      <c r="AC23" s="48"/>
      <c r="AD23" s="52"/>
      <c r="AE23" s="48"/>
      <c r="AF23" s="48"/>
      <c r="AG23" s="48"/>
      <c r="AH23" s="48"/>
      <c r="AI23" s="48"/>
    </row>
    <row r="24" spans="1:35" ht="15" customHeight="1">
      <c r="A24" s="70"/>
      <c r="B24" s="70"/>
      <c r="C24" s="70" t="s">
        <v>113</v>
      </c>
      <c r="D24" s="84">
        <v>974.93286000000001</v>
      </c>
      <c r="E24" s="70"/>
      <c r="F24" s="85">
        <v>0.5</v>
      </c>
      <c r="G24" s="86"/>
      <c r="H24" s="85">
        <v>1.6</v>
      </c>
      <c r="I24" s="70"/>
      <c r="J24" s="84">
        <v>865.35433</v>
      </c>
      <c r="K24" s="70"/>
      <c r="L24" s="85">
        <v>0.9</v>
      </c>
      <c r="M24" s="86"/>
      <c r="N24" s="85">
        <v>3.8</v>
      </c>
      <c r="O24" s="70"/>
      <c r="P24" s="84">
        <v>910.14975000000004</v>
      </c>
      <c r="Q24" s="70"/>
      <c r="R24" s="85">
        <v>0.6</v>
      </c>
      <c r="S24" s="86"/>
      <c r="T24" s="85">
        <v>2.7</v>
      </c>
      <c r="U24" s="65"/>
      <c r="W24" s="115"/>
      <c r="X24" s="116"/>
      <c r="Y24" s="116"/>
      <c r="Z24" s="209"/>
      <c r="AB24" s="51" t="s">
        <v>146</v>
      </c>
      <c r="AC24" s="48"/>
      <c r="AD24" s="52"/>
      <c r="AE24" s="48"/>
      <c r="AF24" s="48"/>
      <c r="AG24" s="48"/>
      <c r="AH24" s="48"/>
      <c r="AI24" s="48"/>
    </row>
    <row r="25" spans="1:35" ht="15" customHeight="1">
      <c r="A25" s="83" t="s">
        <v>150</v>
      </c>
      <c r="B25" s="70"/>
      <c r="C25" s="70" t="s">
        <v>115</v>
      </c>
      <c r="D25" s="84">
        <v>972.24708999999996</v>
      </c>
      <c r="E25" s="70"/>
      <c r="F25" s="85">
        <v>-0.3</v>
      </c>
      <c r="G25" s="86"/>
      <c r="H25" s="85">
        <v>1.5</v>
      </c>
      <c r="I25" s="70"/>
      <c r="J25" s="84">
        <v>872.44093999999996</v>
      </c>
      <c r="K25" s="70"/>
      <c r="L25" s="85">
        <v>0.8</v>
      </c>
      <c r="M25" s="86"/>
      <c r="N25" s="85">
        <v>3.4</v>
      </c>
      <c r="O25" s="70"/>
      <c r="P25" s="84">
        <v>913.47753999999998</v>
      </c>
      <c r="Q25" s="70"/>
      <c r="R25" s="85">
        <v>0.4</v>
      </c>
      <c r="S25" s="86"/>
      <c r="T25" s="85">
        <v>2.5</v>
      </c>
      <c r="U25" s="65"/>
      <c r="W25" s="115"/>
      <c r="X25" s="116"/>
      <c r="Y25" s="116"/>
      <c r="Z25" s="209"/>
      <c r="AB25" s="53" t="s">
        <v>186</v>
      </c>
      <c r="AC25" s="48"/>
      <c r="AD25" s="52"/>
      <c r="AE25" s="48"/>
      <c r="AF25" s="48"/>
      <c r="AG25" s="48"/>
      <c r="AH25" s="48"/>
      <c r="AI25" s="48"/>
    </row>
    <row r="26" spans="1:35" ht="15" customHeight="1">
      <c r="A26" s="70"/>
      <c r="B26" s="70"/>
      <c r="C26" s="70" t="s">
        <v>116</v>
      </c>
      <c r="D26" s="84">
        <v>962.39927999999998</v>
      </c>
      <c r="E26" s="70"/>
      <c r="F26" s="85">
        <v>-1</v>
      </c>
      <c r="G26" s="86"/>
      <c r="H26" s="85">
        <v>-1.1000000000000001</v>
      </c>
      <c r="I26" s="70"/>
      <c r="J26" s="84">
        <v>879.52755999999999</v>
      </c>
      <c r="K26" s="70"/>
      <c r="L26" s="85">
        <v>0.8</v>
      </c>
      <c r="M26" s="86"/>
      <c r="N26" s="85">
        <v>3.6</v>
      </c>
      <c r="O26" s="70"/>
      <c r="P26" s="84">
        <v>913.47753999999998</v>
      </c>
      <c r="Q26" s="70"/>
      <c r="R26" s="85">
        <v>0</v>
      </c>
      <c r="S26" s="86"/>
      <c r="T26" s="85">
        <v>1.5</v>
      </c>
      <c r="U26" s="65"/>
      <c r="W26" s="118"/>
      <c r="X26" s="116"/>
      <c r="Y26" s="116"/>
      <c r="Z26" s="209"/>
      <c r="AB26" s="53" t="s">
        <v>187</v>
      </c>
      <c r="AC26" s="48"/>
      <c r="AD26" s="52"/>
      <c r="AE26" s="48"/>
      <c r="AF26" s="48"/>
      <c r="AG26" s="48"/>
      <c r="AH26" s="48"/>
      <c r="AI26" s="48"/>
    </row>
    <row r="27" spans="1:35" ht="15" customHeight="1">
      <c r="A27" s="70"/>
      <c r="B27" s="70"/>
      <c r="C27" s="70" t="s">
        <v>117</v>
      </c>
      <c r="D27" s="84">
        <v>956.13250000000005</v>
      </c>
      <c r="E27" s="70"/>
      <c r="F27" s="85">
        <v>-0.7</v>
      </c>
      <c r="G27" s="86"/>
      <c r="H27" s="85">
        <v>-1.5</v>
      </c>
      <c r="I27" s="70"/>
      <c r="J27" s="84">
        <v>889.76378</v>
      </c>
      <c r="K27" s="70"/>
      <c r="L27" s="85">
        <v>1.2</v>
      </c>
      <c r="M27" s="86"/>
      <c r="N27" s="85">
        <v>3.8</v>
      </c>
      <c r="O27" s="70"/>
      <c r="P27" s="84">
        <v>917.63726999999994</v>
      </c>
      <c r="Q27" s="70"/>
      <c r="R27" s="85">
        <v>0.5</v>
      </c>
      <c r="S27" s="86"/>
      <c r="T27" s="85">
        <v>1.5</v>
      </c>
      <c r="U27" s="65"/>
      <c r="W27" s="118"/>
      <c r="X27" s="116"/>
      <c r="Y27" s="116"/>
      <c r="Z27" s="209"/>
      <c r="AB27" s="53" t="s">
        <v>185</v>
      </c>
      <c r="AC27" s="48"/>
      <c r="AD27" s="52"/>
      <c r="AE27" s="48"/>
      <c r="AF27" s="48"/>
      <c r="AG27" s="48"/>
      <c r="AH27" s="48"/>
      <c r="AI27" s="48"/>
    </row>
    <row r="28" spans="1:35" ht="15" customHeight="1">
      <c r="A28" s="70"/>
      <c r="B28" s="70"/>
      <c r="C28" s="70" t="s">
        <v>113</v>
      </c>
      <c r="D28" s="84">
        <v>955.23724000000004</v>
      </c>
      <c r="E28" s="70"/>
      <c r="F28" s="85">
        <v>-0.1</v>
      </c>
      <c r="G28" s="86"/>
      <c r="H28" s="85">
        <v>-2</v>
      </c>
      <c r="I28" s="70"/>
      <c r="J28" s="84">
        <v>901.57479999999998</v>
      </c>
      <c r="K28" s="70"/>
      <c r="L28" s="85">
        <v>1.3</v>
      </c>
      <c r="M28" s="86"/>
      <c r="N28" s="85">
        <v>4.2</v>
      </c>
      <c r="O28" s="70"/>
      <c r="P28" s="84">
        <v>924.29285000000004</v>
      </c>
      <c r="Q28" s="70"/>
      <c r="R28" s="85">
        <v>0.7</v>
      </c>
      <c r="S28" s="86"/>
      <c r="T28" s="85">
        <v>1.6</v>
      </c>
      <c r="U28" s="65"/>
      <c r="W28" s="118"/>
      <c r="X28" s="116"/>
      <c r="Y28" s="116"/>
      <c r="Z28" s="209"/>
      <c r="AB28" s="53" t="s">
        <v>182</v>
      </c>
      <c r="AC28" s="48"/>
      <c r="AD28" s="52"/>
      <c r="AE28" s="48"/>
      <c r="AF28" s="48"/>
      <c r="AG28" s="48"/>
      <c r="AH28" s="48"/>
      <c r="AI28" s="48"/>
    </row>
    <row r="29" spans="1:35" ht="15" customHeight="1">
      <c r="A29" s="83" t="s">
        <v>114</v>
      </c>
      <c r="B29" s="70"/>
      <c r="C29" s="70" t="s">
        <v>115</v>
      </c>
      <c r="D29" s="84">
        <v>949.86571000000004</v>
      </c>
      <c r="E29" s="70"/>
      <c r="F29" s="85">
        <v>-0.6</v>
      </c>
      <c r="G29" s="86"/>
      <c r="H29" s="85">
        <v>-2.2999999999999998</v>
      </c>
      <c r="I29" s="70"/>
      <c r="J29" s="84">
        <v>911.81101999999998</v>
      </c>
      <c r="K29" s="70"/>
      <c r="L29" s="85">
        <v>1.1000000000000001</v>
      </c>
      <c r="M29" s="86"/>
      <c r="N29" s="85">
        <v>4.5</v>
      </c>
      <c r="O29" s="70"/>
      <c r="P29" s="84">
        <v>927.62063000000001</v>
      </c>
      <c r="Q29" s="70"/>
      <c r="R29" s="85">
        <v>0.4</v>
      </c>
      <c r="S29" s="86"/>
      <c r="T29" s="85">
        <v>1.5</v>
      </c>
      <c r="U29" s="65"/>
      <c r="W29" s="118"/>
      <c r="X29" s="116"/>
      <c r="Y29" s="116"/>
      <c r="Z29" s="209"/>
      <c r="AB29" s="53" t="s">
        <v>183</v>
      </c>
      <c r="AC29" s="48"/>
      <c r="AD29" s="52"/>
      <c r="AE29" s="48"/>
      <c r="AF29" s="48"/>
      <c r="AG29" s="104" t="s">
        <v>193</v>
      </c>
    </row>
    <row r="30" spans="1:35" ht="15" customHeight="1">
      <c r="A30" s="70"/>
      <c r="B30" s="70"/>
      <c r="C30" s="70" t="s">
        <v>116</v>
      </c>
      <c r="D30" s="84">
        <v>956.13250000000005</v>
      </c>
      <c r="E30" s="70"/>
      <c r="F30" s="85">
        <v>0.7</v>
      </c>
      <c r="G30" s="86"/>
      <c r="H30" s="85">
        <v>-0.7</v>
      </c>
      <c r="I30" s="70"/>
      <c r="J30" s="84">
        <v>920.47244000000001</v>
      </c>
      <c r="K30" s="70"/>
      <c r="L30" s="85">
        <v>0.9</v>
      </c>
      <c r="M30" s="86"/>
      <c r="N30" s="85">
        <v>4.7</v>
      </c>
      <c r="O30" s="70"/>
      <c r="P30" s="84">
        <v>935.10815000000002</v>
      </c>
      <c r="Q30" s="70"/>
      <c r="R30" s="85">
        <v>0.8</v>
      </c>
      <c r="S30" s="86"/>
      <c r="T30" s="85">
        <v>2.4</v>
      </c>
      <c r="U30" s="65"/>
      <c r="W30" s="118"/>
      <c r="X30" s="116"/>
      <c r="Y30" s="116"/>
      <c r="Z30" s="209"/>
      <c r="AB30" s="53" t="s">
        <v>184</v>
      </c>
      <c r="AC30" s="48"/>
      <c r="AD30" s="52"/>
      <c r="AE30" s="104" t="s">
        <v>140</v>
      </c>
      <c r="AF30" s="48"/>
      <c r="AG30" s="104" t="s">
        <v>194</v>
      </c>
      <c r="AH30" s="56" t="s">
        <v>196</v>
      </c>
      <c r="AI30" s="56"/>
    </row>
    <row r="31" spans="1:35" ht="15" customHeight="1">
      <c r="A31" s="70"/>
      <c r="B31" s="70"/>
      <c r="C31" s="70" t="s">
        <v>117</v>
      </c>
      <c r="D31" s="84">
        <v>956.13250000000005</v>
      </c>
      <c r="E31" s="70"/>
      <c r="F31" s="85">
        <v>0</v>
      </c>
      <c r="G31" s="86"/>
      <c r="H31" s="85">
        <v>0</v>
      </c>
      <c r="I31" s="70"/>
      <c r="J31" s="84">
        <v>929.92125999999996</v>
      </c>
      <c r="K31" s="70"/>
      <c r="L31" s="85">
        <v>1</v>
      </c>
      <c r="M31" s="86"/>
      <c r="N31" s="85">
        <v>4.5</v>
      </c>
      <c r="O31" s="70"/>
      <c r="P31" s="84">
        <v>940.93178</v>
      </c>
      <c r="Q31" s="70"/>
      <c r="R31" s="85">
        <v>0.6</v>
      </c>
      <c r="S31" s="86"/>
      <c r="T31" s="85">
        <v>2.5</v>
      </c>
      <c r="U31" s="65"/>
      <c r="W31" s="118"/>
      <c r="X31" s="116"/>
      <c r="Y31" s="116"/>
      <c r="Z31" s="209"/>
      <c r="AB31" s="53"/>
      <c r="AC31" s="48"/>
      <c r="AD31" s="54" t="s">
        <v>140</v>
      </c>
      <c r="AE31" s="104" t="s">
        <v>111</v>
      </c>
      <c r="AF31" s="104" t="s">
        <v>188</v>
      </c>
      <c r="AG31" s="104" t="s">
        <v>195</v>
      </c>
      <c r="AH31" s="56" t="s">
        <v>197</v>
      </c>
      <c r="AI31" s="56"/>
    </row>
    <row r="32" spans="1:35" ht="15" customHeight="1">
      <c r="A32" s="70"/>
      <c r="B32" s="70"/>
      <c r="C32" s="70" t="s">
        <v>113</v>
      </c>
      <c r="D32" s="84">
        <v>962.39927999999998</v>
      </c>
      <c r="E32" s="70"/>
      <c r="F32" s="85">
        <v>0.7</v>
      </c>
      <c r="G32" s="86"/>
      <c r="H32" s="85">
        <v>0.7</v>
      </c>
      <c r="I32" s="70"/>
      <c r="J32" s="84">
        <v>940.15747999999996</v>
      </c>
      <c r="K32" s="70"/>
      <c r="L32" s="85">
        <v>1.1000000000000001</v>
      </c>
      <c r="M32" s="86"/>
      <c r="N32" s="85">
        <v>4.3</v>
      </c>
      <c r="O32" s="70"/>
      <c r="P32" s="84">
        <v>949.25125000000003</v>
      </c>
      <c r="Q32" s="70"/>
      <c r="R32" s="85">
        <v>0.9</v>
      </c>
      <c r="S32" s="86"/>
      <c r="T32" s="85">
        <v>2.7</v>
      </c>
      <c r="U32" s="65"/>
      <c r="W32" s="118"/>
      <c r="X32" s="116"/>
      <c r="Y32" s="116"/>
      <c r="Z32" s="209"/>
      <c r="AB32" s="53"/>
      <c r="AC32" s="48"/>
      <c r="AD32" s="54" t="s">
        <v>111</v>
      </c>
      <c r="AE32" s="104" t="s">
        <v>209</v>
      </c>
      <c r="AF32" s="104" t="s">
        <v>189</v>
      </c>
      <c r="AG32" s="107" t="s">
        <v>192</v>
      </c>
      <c r="AH32" s="104" t="s">
        <v>198</v>
      </c>
      <c r="AI32" s="104"/>
    </row>
    <row r="33" spans="1:35" ht="15" customHeight="1">
      <c r="A33" s="165" t="s">
        <v>118</v>
      </c>
      <c r="B33" s="166"/>
      <c r="C33" s="166" t="s">
        <v>115</v>
      </c>
      <c r="D33" s="167">
        <v>957.92300999999998</v>
      </c>
      <c r="E33" s="166"/>
      <c r="F33" s="168">
        <v>-0.5</v>
      </c>
      <c r="G33" s="169"/>
      <c r="H33" s="168">
        <v>0.8</v>
      </c>
      <c r="I33" s="166"/>
      <c r="J33" s="167">
        <v>950.39369999999997</v>
      </c>
      <c r="K33" s="166"/>
      <c r="L33" s="168">
        <v>1.1000000000000001</v>
      </c>
      <c r="M33" s="169"/>
      <c r="N33" s="168">
        <v>4.2</v>
      </c>
      <c r="O33" s="166"/>
      <c r="P33" s="167">
        <v>953.41098</v>
      </c>
      <c r="Q33" s="166"/>
      <c r="R33" s="168">
        <v>0.4</v>
      </c>
      <c r="S33" s="169"/>
      <c r="T33" s="168">
        <v>2.8</v>
      </c>
      <c r="U33" s="65"/>
      <c r="W33" s="118"/>
      <c r="X33" s="116"/>
      <c r="Y33" s="116"/>
      <c r="Z33" s="209"/>
      <c r="AB33" s="55" t="s">
        <v>142</v>
      </c>
      <c r="AC33" s="56" t="s">
        <v>112</v>
      </c>
      <c r="AD33" s="54" t="s">
        <v>141</v>
      </c>
      <c r="AE33" s="104" t="s">
        <v>210</v>
      </c>
      <c r="AF33" s="104" t="s">
        <v>190</v>
      </c>
      <c r="AG33" s="107" t="s">
        <v>191</v>
      </c>
      <c r="AH33" s="104" t="s">
        <v>199</v>
      </c>
      <c r="AI33" s="104"/>
    </row>
    <row r="34" spans="1:35" ht="15" customHeight="1">
      <c r="A34" s="166"/>
      <c r="B34" s="166"/>
      <c r="C34" s="166" t="s">
        <v>116</v>
      </c>
      <c r="D34" s="167">
        <v>963.29453999999998</v>
      </c>
      <c r="E34" s="166"/>
      <c r="F34" s="168">
        <v>0.6</v>
      </c>
      <c r="G34" s="169"/>
      <c r="H34" s="168">
        <v>0.7</v>
      </c>
      <c r="I34" s="166"/>
      <c r="J34" s="167">
        <v>960.62991999999997</v>
      </c>
      <c r="K34" s="166"/>
      <c r="L34" s="168">
        <v>1.1000000000000001</v>
      </c>
      <c r="M34" s="169"/>
      <c r="N34" s="168">
        <v>4.4000000000000004</v>
      </c>
      <c r="O34" s="166"/>
      <c r="P34" s="167">
        <v>961.73045000000002</v>
      </c>
      <c r="Q34" s="166"/>
      <c r="R34" s="168">
        <v>0.9</v>
      </c>
      <c r="S34" s="169"/>
      <c r="T34" s="168">
        <v>2.8</v>
      </c>
      <c r="U34" s="65"/>
      <c r="W34" s="118"/>
      <c r="X34" s="116"/>
      <c r="Y34" s="116"/>
      <c r="Z34" s="209"/>
      <c r="AB34" s="53" t="str">
        <f t="shared" ref="AB34:AB71" si="0">IF(ISBLANK(A25),AB33,A25)</f>
        <v>2003</v>
      </c>
      <c r="AC34" s="48" t="str">
        <f t="shared" ref="AC34:AC71" si="1">C25 &amp; " " &amp; AB34</f>
        <v>Mar 2003</v>
      </c>
      <c r="AD34" s="57">
        <f>P25</f>
        <v>913.47753999999998</v>
      </c>
      <c r="AE34" s="105">
        <f>AD34*$AE$15</f>
        <v>913.47753999999998</v>
      </c>
      <c r="AF34" s="105"/>
      <c r="AH34" s="105"/>
      <c r="AI34" s="105"/>
    </row>
    <row r="35" spans="1:35" ht="15" customHeight="1">
      <c r="A35" s="166"/>
      <c r="B35" s="166"/>
      <c r="C35" s="166" t="s">
        <v>117</v>
      </c>
      <c r="D35" s="167">
        <v>974.0376</v>
      </c>
      <c r="E35" s="166"/>
      <c r="F35" s="168">
        <v>1.1000000000000001</v>
      </c>
      <c r="G35" s="169"/>
      <c r="H35" s="168">
        <v>1.9</v>
      </c>
      <c r="I35" s="166"/>
      <c r="J35" s="167">
        <v>970.86613999999997</v>
      </c>
      <c r="K35" s="166"/>
      <c r="L35" s="168">
        <v>1.1000000000000001</v>
      </c>
      <c r="M35" s="169"/>
      <c r="N35" s="168">
        <v>4.4000000000000004</v>
      </c>
      <c r="O35" s="166"/>
      <c r="P35" s="167">
        <v>972.54575999999997</v>
      </c>
      <c r="Q35" s="166"/>
      <c r="R35" s="168">
        <v>1.1000000000000001</v>
      </c>
      <c r="S35" s="169"/>
      <c r="T35" s="168">
        <v>3.4</v>
      </c>
      <c r="U35" s="65"/>
      <c r="W35" s="118"/>
      <c r="X35" s="116"/>
      <c r="Y35" s="116"/>
      <c r="Z35" s="209"/>
      <c r="AB35" s="53" t="str">
        <f t="shared" si="0"/>
        <v>2003</v>
      </c>
      <c r="AC35" s="48" t="str">
        <f t="shared" si="1"/>
        <v>Jun 2003</v>
      </c>
      <c r="AD35" s="57">
        <f t="shared" ref="AD35:AD60" si="2">P26</f>
        <v>913.47753999999998</v>
      </c>
      <c r="AE35" s="105">
        <f t="shared" ref="AE35:AE64" si="3">AD35*$AE$15</f>
        <v>913.47753999999998</v>
      </c>
      <c r="AF35" s="105"/>
      <c r="AH35" s="105"/>
      <c r="AI35" s="105"/>
    </row>
    <row r="36" spans="1:35" ht="15" customHeight="1">
      <c r="A36" s="166"/>
      <c r="B36" s="166"/>
      <c r="C36" s="166" t="s">
        <v>113</v>
      </c>
      <c r="D36" s="167">
        <v>978.51387999999997</v>
      </c>
      <c r="E36" s="166"/>
      <c r="F36" s="168">
        <v>0.5</v>
      </c>
      <c r="G36" s="169"/>
      <c r="H36" s="168">
        <v>1.7</v>
      </c>
      <c r="I36" s="166"/>
      <c r="J36" s="167">
        <v>980.31496000000004</v>
      </c>
      <c r="K36" s="166"/>
      <c r="L36" s="168">
        <v>1</v>
      </c>
      <c r="M36" s="169"/>
      <c r="N36" s="168">
        <v>4.3</v>
      </c>
      <c r="O36" s="166"/>
      <c r="P36" s="167">
        <v>979.20132999999998</v>
      </c>
      <c r="Q36" s="166"/>
      <c r="R36" s="168">
        <v>0.7</v>
      </c>
      <c r="S36" s="169"/>
      <c r="T36" s="168">
        <v>3.2</v>
      </c>
      <c r="U36" s="65"/>
      <c r="W36" s="118"/>
      <c r="X36" s="116"/>
      <c r="Y36" s="116"/>
      <c r="Z36" s="209"/>
      <c r="AB36" s="53" t="str">
        <f t="shared" si="0"/>
        <v>2003</v>
      </c>
      <c r="AC36" s="48" t="str">
        <f t="shared" si="1"/>
        <v>Sep 2003</v>
      </c>
      <c r="AD36" s="57">
        <f t="shared" si="2"/>
        <v>917.63726999999994</v>
      </c>
      <c r="AE36" s="105">
        <f t="shared" si="3"/>
        <v>917.63726999999994</v>
      </c>
      <c r="AF36" s="105"/>
      <c r="AG36" s="105"/>
      <c r="AH36" s="105"/>
      <c r="AI36" s="105"/>
    </row>
    <row r="37" spans="1:35" ht="15" customHeight="1">
      <c r="A37" s="165" t="s">
        <v>119</v>
      </c>
      <c r="B37" s="166"/>
      <c r="C37" s="166" t="s">
        <v>115</v>
      </c>
      <c r="D37" s="167">
        <v>977.61861999999996</v>
      </c>
      <c r="E37" s="166"/>
      <c r="F37" s="168">
        <v>-0.1</v>
      </c>
      <c r="G37" s="169"/>
      <c r="H37" s="168">
        <v>2.1</v>
      </c>
      <c r="I37" s="166"/>
      <c r="J37" s="167">
        <v>989.76378</v>
      </c>
      <c r="K37" s="166"/>
      <c r="L37" s="168">
        <v>1</v>
      </c>
      <c r="M37" s="169"/>
      <c r="N37" s="168">
        <v>4.0999999999999996</v>
      </c>
      <c r="O37" s="166"/>
      <c r="P37" s="167">
        <v>985.02495999999996</v>
      </c>
      <c r="Q37" s="166"/>
      <c r="R37" s="168">
        <v>0.6</v>
      </c>
      <c r="S37" s="169"/>
      <c r="T37" s="168">
        <v>3.3</v>
      </c>
      <c r="U37" s="65"/>
      <c r="W37" s="118"/>
      <c r="X37" s="116"/>
      <c r="Y37" s="116"/>
      <c r="Z37" s="209"/>
      <c r="AB37" s="53" t="str">
        <f t="shared" si="0"/>
        <v>2003</v>
      </c>
      <c r="AC37" s="48" t="str">
        <f t="shared" si="1"/>
        <v>Dec 2003</v>
      </c>
      <c r="AD37" s="57">
        <f t="shared" si="2"/>
        <v>924.29285000000004</v>
      </c>
      <c r="AE37" s="105">
        <f t="shared" si="3"/>
        <v>924.29285000000004</v>
      </c>
      <c r="AF37" s="105">
        <f>SUM(AE34:AE37)</f>
        <v>3668.8851999999997</v>
      </c>
      <c r="AG37" s="105"/>
      <c r="AH37" s="105"/>
      <c r="AI37" s="105"/>
    </row>
    <row r="38" spans="1:35" ht="15" customHeight="1">
      <c r="A38" s="166"/>
      <c r="B38" s="166"/>
      <c r="C38" s="166" t="s">
        <v>116</v>
      </c>
      <c r="D38" s="167">
        <v>1000</v>
      </c>
      <c r="E38" s="166"/>
      <c r="F38" s="168">
        <v>2.2999999999999998</v>
      </c>
      <c r="G38" s="169"/>
      <c r="H38" s="168">
        <v>3.8</v>
      </c>
      <c r="I38" s="166"/>
      <c r="J38" s="167">
        <v>1000</v>
      </c>
      <c r="K38" s="166"/>
      <c r="L38" s="168">
        <v>1</v>
      </c>
      <c r="M38" s="169"/>
      <c r="N38" s="168">
        <v>4.0999999999999996</v>
      </c>
      <c r="O38" s="166"/>
      <c r="P38" s="167">
        <v>1000</v>
      </c>
      <c r="Q38" s="166"/>
      <c r="R38" s="168">
        <v>1.5</v>
      </c>
      <c r="S38" s="169"/>
      <c r="T38" s="168">
        <v>4</v>
      </c>
      <c r="U38" s="65"/>
      <c r="W38" s="118"/>
      <c r="X38" s="116"/>
      <c r="Y38" s="116"/>
      <c r="Z38" s="209"/>
      <c r="AB38" s="53" t="str">
        <f t="shared" si="0"/>
        <v>2004</v>
      </c>
      <c r="AC38" s="48" t="str">
        <f t="shared" si="1"/>
        <v>Mar 2004</v>
      </c>
      <c r="AD38" s="57">
        <f t="shared" si="2"/>
        <v>927.62063000000001</v>
      </c>
      <c r="AE38" s="105">
        <f t="shared" si="3"/>
        <v>927.62063000000001</v>
      </c>
      <c r="AF38" s="105">
        <f t="shared" ref="AF38:AF82" si="4">SUM(AE35:AE38)</f>
        <v>3683.0282899999997</v>
      </c>
      <c r="AG38" s="105"/>
      <c r="AH38" s="105"/>
      <c r="AI38" s="105"/>
    </row>
    <row r="39" spans="1:35" ht="15" customHeight="1">
      <c r="A39" s="166"/>
      <c r="B39" s="166"/>
      <c r="C39" s="166" t="s">
        <v>117</v>
      </c>
      <c r="D39" s="167">
        <v>1003</v>
      </c>
      <c r="E39" s="166"/>
      <c r="F39" s="168">
        <v>0.3</v>
      </c>
      <c r="G39" s="169"/>
      <c r="H39" s="168">
        <v>3</v>
      </c>
      <c r="I39" s="166"/>
      <c r="J39" s="167">
        <v>1010</v>
      </c>
      <c r="K39" s="166"/>
      <c r="L39" s="168">
        <v>1</v>
      </c>
      <c r="M39" s="169"/>
      <c r="N39" s="168">
        <v>4</v>
      </c>
      <c r="O39" s="166"/>
      <c r="P39" s="167">
        <v>1007</v>
      </c>
      <c r="Q39" s="166"/>
      <c r="R39" s="168">
        <v>0.7</v>
      </c>
      <c r="S39" s="169"/>
      <c r="T39" s="168">
        <v>3.5</v>
      </c>
      <c r="U39" s="70"/>
      <c r="W39" s="118"/>
      <c r="X39" s="116"/>
      <c r="Y39" s="116"/>
      <c r="Z39" s="209"/>
      <c r="AB39" s="53" t="str">
        <f t="shared" si="0"/>
        <v>2004</v>
      </c>
      <c r="AC39" s="48" t="str">
        <f t="shared" si="1"/>
        <v>Jun 2004</v>
      </c>
      <c r="AD39" s="57">
        <f t="shared" si="2"/>
        <v>935.10815000000002</v>
      </c>
      <c r="AE39" s="105">
        <f t="shared" si="3"/>
        <v>935.10815000000002</v>
      </c>
      <c r="AF39" s="105">
        <f t="shared" si="4"/>
        <v>3704.6588999999999</v>
      </c>
      <c r="AG39" s="105"/>
      <c r="AH39" s="105"/>
      <c r="AI39" s="105"/>
    </row>
    <row r="40" spans="1:35" ht="15" customHeight="1">
      <c r="A40" s="166"/>
      <c r="B40" s="166"/>
      <c r="C40" s="166" t="s">
        <v>113</v>
      </c>
      <c r="D40" s="167">
        <v>990</v>
      </c>
      <c r="E40" s="166"/>
      <c r="F40" s="168">
        <v>-1.3</v>
      </c>
      <c r="G40" s="169"/>
      <c r="H40" s="168">
        <v>1.2</v>
      </c>
      <c r="I40" s="166"/>
      <c r="J40" s="167">
        <v>1018</v>
      </c>
      <c r="K40" s="166"/>
      <c r="L40" s="168">
        <v>0.8</v>
      </c>
      <c r="M40" s="169"/>
      <c r="N40" s="168">
        <v>3.8</v>
      </c>
      <c r="O40" s="166"/>
      <c r="P40" s="167">
        <v>1005</v>
      </c>
      <c r="Q40" s="166"/>
      <c r="R40" s="168">
        <v>-0.2</v>
      </c>
      <c r="S40" s="169"/>
      <c r="T40" s="168">
        <v>2.6</v>
      </c>
      <c r="U40" s="70"/>
      <c r="W40" s="118"/>
      <c r="X40" s="116"/>
      <c r="Y40" s="116"/>
      <c r="Z40" s="209"/>
      <c r="AB40" s="53" t="str">
        <f t="shared" si="0"/>
        <v>2004</v>
      </c>
      <c r="AC40" s="48" t="str">
        <f t="shared" si="1"/>
        <v>Sep 2004</v>
      </c>
      <c r="AD40" s="57">
        <f t="shared" si="2"/>
        <v>940.93178</v>
      </c>
      <c r="AE40" s="105">
        <f t="shared" si="3"/>
        <v>940.93178</v>
      </c>
      <c r="AF40" s="105">
        <f t="shared" si="4"/>
        <v>3727.9534100000001</v>
      </c>
      <c r="AG40" s="105"/>
      <c r="AH40" s="105"/>
      <c r="AI40" s="105"/>
    </row>
    <row r="41" spans="1:35" ht="15" customHeight="1">
      <c r="A41" s="165" t="s">
        <v>120</v>
      </c>
      <c r="B41" s="166"/>
      <c r="C41" s="166" t="s">
        <v>115</v>
      </c>
      <c r="D41" s="167">
        <v>986</v>
      </c>
      <c r="E41" s="166"/>
      <c r="F41" s="168">
        <v>-0.4</v>
      </c>
      <c r="G41" s="169"/>
      <c r="H41" s="168">
        <v>0.9</v>
      </c>
      <c r="I41" s="166"/>
      <c r="J41" s="167">
        <v>1030</v>
      </c>
      <c r="K41" s="166"/>
      <c r="L41" s="168">
        <v>1.2</v>
      </c>
      <c r="M41" s="169"/>
      <c r="N41" s="168">
        <v>4.0999999999999996</v>
      </c>
      <c r="O41" s="166"/>
      <c r="P41" s="167">
        <v>1010</v>
      </c>
      <c r="Q41" s="166"/>
      <c r="R41" s="168">
        <v>0.5</v>
      </c>
      <c r="S41" s="169"/>
      <c r="T41" s="168">
        <v>2.5</v>
      </c>
      <c r="U41" s="70"/>
      <c r="W41" s="118"/>
      <c r="X41" s="116"/>
      <c r="Y41" s="116"/>
      <c r="Z41" s="209"/>
      <c r="AB41" s="53" t="str">
        <f t="shared" si="0"/>
        <v>2004</v>
      </c>
      <c r="AC41" s="48" t="str">
        <f t="shared" si="1"/>
        <v>Dec 2004</v>
      </c>
      <c r="AD41" s="57">
        <f t="shared" si="2"/>
        <v>949.25125000000003</v>
      </c>
      <c r="AE41" s="105">
        <f t="shared" si="3"/>
        <v>949.25125000000003</v>
      </c>
      <c r="AF41" s="105">
        <f t="shared" si="4"/>
        <v>3752.9118099999996</v>
      </c>
      <c r="AG41" s="105"/>
      <c r="AH41" s="105"/>
      <c r="AI41" s="105"/>
    </row>
    <row r="42" spans="1:35" ht="15" customHeight="1">
      <c r="A42" s="166"/>
      <c r="B42" s="166"/>
      <c r="C42" s="166" t="s">
        <v>116</v>
      </c>
      <c r="D42" s="167">
        <v>995</v>
      </c>
      <c r="E42" s="166"/>
      <c r="F42" s="168">
        <v>0.9</v>
      </c>
      <c r="G42" s="169"/>
      <c r="H42" s="168">
        <v>-0.5</v>
      </c>
      <c r="I42" s="166"/>
      <c r="J42" s="167">
        <v>1041</v>
      </c>
      <c r="K42" s="166"/>
      <c r="L42" s="168">
        <v>1.1000000000000001</v>
      </c>
      <c r="M42" s="169"/>
      <c r="N42" s="168">
        <v>4.0999999999999996</v>
      </c>
      <c r="O42" s="166"/>
      <c r="P42" s="167">
        <v>1020</v>
      </c>
      <c r="Q42" s="166"/>
      <c r="R42" s="168">
        <v>1</v>
      </c>
      <c r="S42" s="169"/>
      <c r="T42" s="168">
        <v>2</v>
      </c>
      <c r="U42" s="70"/>
      <c r="W42" s="211">
        <v>38442</v>
      </c>
      <c r="X42" s="278">
        <v>0.8482567588239176</v>
      </c>
      <c r="Y42" s="278">
        <v>4.2314361199853767</v>
      </c>
      <c r="Z42" s="279">
        <v>2.7802746079593321</v>
      </c>
      <c r="AA42" s="206"/>
      <c r="AB42" s="53" t="str">
        <f t="shared" si="0"/>
        <v>2005</v>
      </c>
      <c r="AC42" s="48" t="str">
        <f t="shared" si="1"/>
        <v>Mar 2005</v>
      </c>
      <c r="AD42" s="57">
        <f t="shared" si="2"/>
        <v>953.41098</v>
      </c>
      <c r="AE42" s="105">
        <f t="shared" si="3"/>
        <v>953.41098</v>
      </c>
      <c r="AF42" s="105">
        <f t="shared" si="4"/>
        <v>3778.7021600000003</v>
      </c>
      <c r="AG42" s="105"/>
      <c r="AH42" s="105"/>
      <c r="AI42" s="105"/>
    </row>
    <row r="43" spans="1:35" ht="15" customHeight="1">
      <c r="A43" s="166"/>
      <c r="B43" s="166"/>
      <c r="C43" s="166" t="s">
        <v>117</v>
      </c>
      <c r="D43" s="167">
        <v>1000</v>
      </c>
      <c r="E43" s="166"/>
      <c r="F43" s="168">
        <v>0.5</v>
      </c>
      <c r="G43" s="169"/>
      <c r="H43" s="168">
        <v>-0.3</v>
      </c>
      <c r="I43" s="166"/>
      <c r="J43" s="167">
        <v>1047</v>
      </c>
      <c r="K43" s="166"/>
      <c r="L43" s="168">
        <v>0.6</v>
      </c>
      <c r="M43" s="169"/>
      <c r="N43" s="168">
        <v>3.7</v>
      </c>
      <c r="O43" s="166"/>
      <c r="P43" s="167">
        <v>1025</v>
      </c>
      <c r="Q43" s="166"/>
      <c r="R43" s="168">
        <v>0.5</v>
      </c>
      <c r="S43" s="169"/>
      <c r="T43" s="168">
        <v>1.8</v>
      </c>
      <c r="U43" s="70"/>
      <c r="W43" s="211">
        <v>38533</v>
      </c>
      <c r="X43" s="278">
        <v>0.74906982034392833</v>
      </c>
      <c r="Y43" s="278">
        <v>4.3627054977422475</v>
      </c>
      <c r="Z43" s="279">
        <v>2.8469753553652888</v>
      </c>
      <c r="AA43" s="206"/>
      <c r="AB43" s="53" t="str">
        <f t="shared" si="0"/>
        <v>2005</v>
      </c>
      <c r="AC43" s="48" t="str">
        <f t="shared" si="1"/>
        <v>Jun 2005</v>
      </c>
      <c r="AD43" s="57">
        <f t="shared" si="2"/>
        <v>961.73045000000002</v>
      </c>
      <c r="AE43" s="105">
        <f t="shared" si="3"/>
        <v>961.73045000000002</v>
      </c>
      <c r="AF43" s="105">
        <f t="shared" si="4"/>
        <v>3805.3244600000003</v>
      </c>
      <c r="AG43" s="105"/>
      <c r="AH43" s="105"/>
      <c r="AI43" s="105"/>
    </row>
    <row r="44" spans="1:35" ht="15" customHeight="1">
      <c r="A44" s="166"/>
      <c r="B44" s="166"/>
      <c r="C44" s="166" t="s">
        <v>113</v>
      </c>
      <c r="D44" s="167">
        <v>1018</v>
      </c>
      <c r="E44" s="166"/>
      <c r="F44" s="168">
        <v>1.8</v>
      </c>
      <c r="G44" s="169"/>
      <c r="H44" s="168">
        <v>2.8</v>
      </c>
      <c r="I44" s="166"/>
      <c r="J44" s="167">
        <v>1054</v>
      </c>
      <c r="K44" s="166"/>
      <c r="L44" s="168">
        <v>0.7</v>
      </c>
      <c r="M44" s="169"/>
      <c r="N44" s="168">
        <v>3.5</v>
      </c>
      <c r="O44" s="166"/>
      <c r="P44" s="167">
        <v>1037</v>
      </c>
      <c r="Q44" s="166"/>
      <c r="R44" s="168">
        <v>1.2</v>
      </c>
      <c r="S44" s="169"/>
      <c r="T44" s="168">
        <v>3.2</v>
      </c>
      <c r="U44" s="70"/>
      <c r="W44" s="211">
        <v>38625</v>
      </c>
      <c r="X44" s="278">
        <v>1.872658862657639</v>
      </c>
      <c r="Y44" s="278">
        <v>4.4030392679466512</v>
      </c>
      <c r="Z44" s="279">
        <v>3.3598609378490574</v>
      </c>
      <c r="AA44" s="206"/>
      <c r="AB44" s="53" t="str">
        <f t="shared" si="0"/>
        <v>2005</v>
      </c>
      <c r="AC44" s="48" t="str">
        <f t="shared" si="1"/>
        <v>Sep 2005</v>
      </c>
      <c r="AD44" s="57">
        <f t="shared" si="2"/>
        <v>972.54575999999997</v>
      </c>
      <c r="AE44" s="105">
        <f t="shared" si="3"/>
        <v>972.54575999999997</v>
      </c>
      <c r="AF44" s="105">
        <f t="shared" si="4"/>
        <v>3836.9384399999999</v>
      </c>
      <c r="AG44" s="105"/>
      <c r="AH44" s="105"/>
      <c r="AI44" s="105"/>
    </row>
    <row r="45" spans="1:35" ht="15" customHeight="1">
      <c r="A45" s="165" t="s">
        <v>121</v>
      </c>
      <c r="B45" s="166"/>
      <c r="C45" s="166" t="s">
        <v>115</v>
      </c>
      <c r="D45" s="167">
        <v>1020</v>
      </c>
      <c r="E45" s="166"/>
      <c r="F45" s="168">
        <v>0.2</v>
      </c>
      <c r="G45" s="169"/>
      <c r="H45" s="168">
        <v>3.4</v>
      </c>
      <c r="I45" s="166"/>
      <c r="J45" s="167">
        <v>1066</v>
      </c>
      <c r="K45" s="166"/>
      <c r="L45" s="168">
        <v>1.1000000000000001</v>
      </c>
      <c r="M45" s="169"/>
      <c r="N45" s="168">
        <v>3.5</v>
      </c>
      <c r="O45" s="166"/>
      <c r="P45" s="167">
        <v>1044</v>
      </c>
      <c r="Q45" s="166"/>
      <c r="R45" s="168">
        <v>0.7</v>
      </c>
      <c r="S45" s="169"/>
      <c r="T45" s="168">
        <v>3.4</v>
      </c>
      <c r="U45" s="70"/>
      <c r="W45" s="211">
        <v>38717</v>
      </c>
      <c r="X45" s="278">
        <v>1.6744193392493001</v>
      </c>
      <c r="Y45" s="278">
        <v>4.2713481517724361</v>
      </c>
      <c r="Z45" s="279">
        <v>3.1551395457809273</v>
      </c>
      <c r="AA45" s="206"/>
      <c r="AB45" s="53" t="str">
        <f t="shared" si="0"/>
        <v>2005</v>
      </c>
      <c r="AC45" s="48" t="str">
        <f t="shared" si="1"/>
        <v>Dec 2005</v>
      </c>
      <c r="AD45" s="57">
        <f t="shared" si="2"/>
        <v>979.20132999999998</v>
      </c>
      <c r="AE45" s="105">
        <f t="shared" si="3"/>
        <v>979.20132999999998</v>
      </c>
      <c r="AF45" s="105">
        <f t="shared" si="4"/>
        <v>3866.88852</v>
      </c>
      <c r="AG45" s="108">
        <f>AF45/AF41-1</f>
        <v>3.0370207393709103E-2</v>
      </c>
      <c r="AH45" s="105"/>
      <c r="AI45" s="105"/>
    </row>
    <row r="46" spans="1:35" ht="15" customHeight="1">
      <c r="A46" s="166"/>
      <c r="B46" s="166"/>
      <c r="C46" s="166" t="s">
        <v>116</v>
      </c>
      <c r="D46" s="167">
        <v>1043</v>
      </c>
      <c r="E46" s="166"/>
      <c r="F46" s="168">
        <v>2.2999999999999998</v>
      </c>
      <c r="G46" s="169"/>
      <c r="H46" s="168">
        <v>4.8</v>
      </c>
      <c r="I46" s="166"/>
      <c r="J46" s="167">
        <v>1076</v>
      </c>
      <c r="K46" s="166"/>
      <c r="L46" s="168">
        <v>0.9</v>
      </c>
      <c r="M46" s="169"/>
      <c r="N46" s="168">
        <v>3.4</v>
      </c>
      <c r="O46" s="166"/>
      <c r="P46" s="167">
        <v>1061</v>
      </c>
      <c r="Q46" s="166"/>
      <c r="R46" s="168">
        <v>1.6</v>
      </c>
      <c r="S46" s="169"/>
      <c r="T46" s="168">
        <v>4</v>
      </c>
      <c r="U46" s="70"/>
      <c r="W46" s="211">
        <v>38807</v>
      </c>
      <c r="X46" s="278">
        <v>2.0560734004716474</v>
      </c>
      <c r="Y46" s="278">
        <v>4.1425043116342097</v>
      </c>
      <c r="Z46" s="279">
        <v>3.3158837059777957</v>
      </c>
      <c r="AA46" s="206"/>
      <c r="AB46" s="53" t="str">
        <f t="shared" si="0"/>
        <v>2006</v>
      </c>
      <c r="AC46" s="48" t="str">
        <f t="shared" si="1"/>
        <v>Mar 2006</v>
      </c>
      <c r="AD46" s="57">
        <f t="shared" si="2"/>
        <v>985.02495999999996</v>
      </c>
      <c r="AE46" s="105">
        <f t="shared" si="3"/>
        <v>985.02495999999996</v>
      </c>
      <c r="AF46" s="105">
        <f t="shared" si="4"/>
        <v>3898.5024999999996</v>
      </c>
      <c r="AG46" s="108">
        <f t="shared" ref="AG46:AG82" si="5">AF46/AF42-1</f>
        <v>3.1704097049024771E-2</v>
      </c>
      <c r="AH46" s="105"/>
      <c r="AI46" s="105"/>
    </row>
    <row r="47" spans="1:35" ht="15" customHeight="1">
      <c r="A47" s="166"/>
      <c r="B47" s="166"/>
      <c r="C47" s="166" t="s">
        <v>117</v>
      </c>
      <c r="D47" s="167">
        <v>1063</v>
      </c>
      <c r="E47" s="166"/>
      <c r="F47" s="168">
        <v>1.9</v>
      </c>
      <c r="G47" s="169"/>
      <c r="H47" s="168">
        <v>6.3</v>
      </c>
      <c r="I47" s="166"/>
      <c r="J47" s="167">
        <v>1090</v>
      </c>
      <c r="K47" s="166"/>
      <c r="L47" s="168">
        <v>1.3</v>
      </c>
      <c r="M47" s="169"/>
      <c r="N47" s="168">
        <v>4.0999999999999996</v>
      </c>
      <c r="O47" s="166"/>
      <c r="P47" s="167">
        <v>1077</v>
      </c>
      <c r="Q47" s="166"/>
      <c r="R47" s="168">
        <v>1.5</v>
      </c>
      <c r="S47" s="169"/>
      <c r="T47" s="168">
        <v>5.0999999999999996</v>
      </c>
      <c r="U47" s="70"/>
      <c r="W47" s="211">
        <v>38898</v>
      </c>
      <c r="X47" s="278">
        <v>3.8104023421287714</v>
      </c>
      <c r="Y47" s="278">
        <v>4.098362959553925</v>
      </c>
      <c r="Z47" s="279">
        <v>3.979233267531801</v>
      </c>
      <c r="AA47" s="206"/>
      <c r="AB47" s="53" t="str">
        <f t="shared" si="0"/>
        <v>2006</v>
      </c>
      <c r="AC47" s="48" t="str">
        <f t="shared" si="1"/>
        <v>Jun 2006</v>
      </c>
      <c r="AD47" s="57">
        <f t="shared" si="2"/>
        <v>1000</v>
      </c>
      <c r="AE47" s="105">
        <f t="shared" si="3"/>
        <v>1000</v>
      </c>
      <c r="AF47" s="105">
        <f t="shared" si="4"/>
        <v>3936.7720499999996</v>
      </c>
      <c r="AG47" s="108">
        <f t="shared" si="5"/>
        <v>3.4543070211678906E-2</v>
      </c>
      <c r="AH47" s="105"/>
      <c r="AI47" s="105"/>
    </row>
    <row r="48" spans="1:35" ht="15" customHeight="1">
      <c r="A48" s="166"/>
      <c r="B48" s="166"/>
      <c r="C48" s="166" t="s">
        <v>113</v>
      </c>
      <c r="D48" s="167">
        <v>1041</v>
      </c>
      <c r="E48" s="166"/>
      <c r="F48" s="168">
        <v>-2.1</v>
      </c>
      <c r="G48" s="169"/>
      <c r="H48" s="168">
        <v>2.2999999999999998</v>
      </c>
      <c r="I48" s="166"/>
      <c r="J48" s="167">
        <v>1099</v>
      </c>
      <c r="K48" s="166"/>
      <c r="L48" s="168">
        <v>0.8</v>
      </c>
      <c r="M48" s="169"/>
      <c r="N48" s="168">
        <v>4.3</v>
      </c>
      <c r="O48" s="166"/>
      <c r="P48" s="167">
        <v>1072</v>
      </c>
      <c r="Q48" s="166"/>
      <c r="R48" s="168">
        <v>-0.5</v>
      </c>
      <c r="S48" s="169"/>
      <c r="T48" s="168">
        <v>3.4</v>
      </c>
      <c r="U48" s="70"/>
      <c r="W48" s="211">
        <v>38990</v>
      </c>
      <c r="X48" s="278">
        <v>2.9734375757157538</v>
      </c>
      <c r="Y48" s="278">
        <v>4.0308236120305319</v>
      </c>
      <c r="Z48" s="279">
        <v>3.5426814860544331</v>
      </c>
      <c r="AA48" s="206"/>
      <c r="AB48" s="53" t="str">
        <f t="shared" si="0"/>
        <v>2006</v>
      </c>
      <c r="AC48" s="48" t="str">
        <f t="shared" si="1"/>
        <v>Sep 2006</v>
      </c>
      <c r="AD48" s="57">
        <f t="shared" si="2"/>
        <v>1007</v>
      </c>
      <c r="AE48" s="105">
        <f t="shared" si="3"/>
        <v>1007</v>
      </c>
      <c r="AF48" s="105">
        <f t="shared" si="4"/>
        <v>3971.2262900000001</v>
      </c>
      <c r="AG48" s="108">
        <f t="shared" si="5"/>
        <v>3.4998698076584178E-2</v>
      </c>
      <c r="AH48" s="108"/>
      <c r="AI48" s="108"/>
    </row>
    <row r="49" spans="1:35" ht="15" customHeight="1">
      <c r="A49" s="165" t="s">
        <v>122</v>
      </c>
      <c r="B49" s="166"/>
      <c r="C49" s="166" t="s">
        <v>115</v>
      </c>
      <c r="D49" s="167">
        <v>1037</v>
      </c>
      <c r="E49" s="166"/>
      <c r="F49" s="168">
        <v>-0.4</v>
      </c>
      <c r="G49" s="169"/>
      <c r="H49" s="168">
        <v>1.7</v>
      </c>
      <c r="I49" s="166"/>
      <c r="J49" s="167">
        <v>1107</v>
      </c>
      <c r="K49" s="166"/>
      <c r="L49" s="168">
        <v>0.7</v>
      </c>
      <c r="M49" s="169"/>
      <c r="N49" s="168">
        <v>3.8</v>
      </c>
      <c r="O49" s="166"/>
      <c r="P49" s="167">
        <v>1075</v>
      </c>
      <c r="Q49" s="166"/>
      <c r="R49" s="168">
        <v>0.3</v>
      </c>
      <c r="S49" s="169"/>
      <c r="T49" s="168">
        <v>3</v>
      </c>
      <c r="U49" s="70"/>
      <c r="W49" s="211">
        <v>39082</v>
      </c>
      <c r="X49" s="278">
        <v>1.1738310513524697</v>
      </c>
      <c r="Y49" s="278">
        <v>3.8441831293189566</v>
      </c>
      <c r="Z49" s="279">
        <v>2.6346571808414376</v>
      </c>
      <c r="AA49" s="206"/>
      <c r="AB49" s="53" t="str">
        <f t="shared" si="0"/>
        <v>2006</v>
      </c>
      <c r="AC49" s="48" t="str">
        <f t="shared" si="1"/>
        <v>Dec 2006</v>
      </c>
      <c r="AD49" s="57">
        <f t="shared" si="2"/>
        <v>1005</v>
      </c>
      <c r="AE49" s="105">
        <f t="shared" si="3"/>
        <v>1005</v>
      </c>
      <c r="AF49" s="105">
        <f t="shared" si="4"/>
        <v>3997.0249599999997</v>
      </c>
      <c r="AG49" s="108">
        <f t="shared" si="5"/>
        <v>3.3654044932228899E-2</v>
      </c>
      <c r="AH49" s="108"/>
      <c r="AI49" s="108"/>
    </row>
    <row r="50" spans="1:35" ht="15" customHeight="1">
      <c r="A50" s="166"/>
      <c r="B50" s="166"/>
      <c r="C50" s="166" t="s">
        <v>116</v>
      </c>
      <c r="D50" s="167">
        <v>1045</v>
      </c>
      <c r="E50" s="166"/>
      <c r="F50" s="168">
        <v>0.8</v>
      </c>
      <c r="G50" s="169"/>
      <c r="H50" s="168">
        <v>0.2</v>
      </c>
      <c r="I50" s="166"/>
      <c r="J50" s="167">
        <v>1112</v>
      </c>
      <c r="K50" s="166"/>
      <c r="L50" s="168">
        <v>0.5</v>
      </c>
      <c r="M50" s="169"/>
      <c r="N50" s="168">
        <v>3.3</v>
      </c>
      <c r="O50" s="166"/>
      <c r="P50" s="167">
        <v>1081</v>
      </c>
      <c r="Q50" s="166"/>
      <c r="R50" s="168">
        <v>0.6</v>
      </c>
      <c r="S50" s="169"/>
      <c r="T50" s="168">
        <v>1.9</v>
      </c>
      <c r="U50" s="70"/>
      <c r="W50" s="211">
        <v>39172</v>
      </c>
      <c r="X50" s="278">
        <v>0.85732820549855315</v>
      </c>
      <c r="Y50" s="278">
        <v>4.0652325332569239</v>
      </c>
      <c r="Z50" s="279">
        <v>2.5354686429278406</v>
      </c>
      <c r="AA50" s="206"/>
      <c r="AB50" s="53" t="str">
        <f t="shared" si="0"/>
        <v>2007</v>
      </c>
      <c r="AC50" s="48" t="str">
        <f t="shared" si="1"/>
        <v>Mar 2007</v>
      </c>
      <c r="AD50" s="57">
        <f t="shared" si="2"/>
        <v>1010</v>
      </c>
      <c r="AE50" s="105">
        <f t="shared" si="3"/>
        <v>1010</v>
      </c>
      <c r="AF50" s="105">
        <f t="shared" si="4"/>
        <v>4022</v>
      </c>
      <c r="AG50" s="108">
        <f t="shared" si="5"/>
        <v>3.1678189253437905E-2</v>
      </c>
      <c r="AH50" s="108"/>
      <c r="AI50" s="108"/>
    </row>
    <row r="51" spans="1:35" ht="15" customHeight="1">
      <c r="A51" s="172"/>
      <c r="B51" s="172"/>
      <c r="C51" s="172" t="s">
        <v>117</v>
      </c>
      <c r="D51" s="173">
        <v>1062</v>
      </c>
      <c r="E51" s="172"/>
      <c r="F51" s="174">
        <v>1.6</v>
      </c>
      <c r="G51" s="175"/>
      <c r="H51" s="174">
        <v>-0.1</v>
      </c>
      <c r="I51" s="172"/>
      <c r="J51" s="173">
        <v>1123</v>
      </c>
      <c r="K51" s="172"/>
      <c r="L51" s="174">
        <v>1</v>
      </c>
      <c r="M51" s="175"/>
      <c r="N51" s="174">
        <v>3</v>
      </c>
      <c r="O51" s="172"/>
      <c r="P51" s="173">
        <v>1095</v>
      </c>
      <c r="Q51" s="172"/>
      <c r="R51" s="174">
        <v>1.3</v>
      </c>
      <c r="S51" s="175"/>
      <c r="T51" s="174">
        <v>1.7</v>
      </c>
      <c r="U51" s="176"/>
      <c r="W51" s="211">
        <v>39263</v>
      </c>
      <c r="X51" s="278">
        <v>-0.50000000000000044</v>
      </c>
      <c r="Y51" s="278">
        <v>4.0999999999999925</v>
      </c>
      <c r="Z51" s="279">
        <v>2.0000000000000018</v>
      </c>
      <c r="AA51" s="206"/>
      <c r="AB51" s="53" t="str">
        <f t="shared" si="0"/>
        <v>2007</v>
      </c>
      <c r="AC51" s="48" t="str">
        <f t="shared" si="1"/>
        <v>Jun 2007</v>
      </c>
      <c r="AD51" s="57">
        <f t="shared" si="2"/>
        <v>1020</v>
      </c>
      <c r="AE51" s="105">
        <f t="shared" si="3"/>
        <v>1020</v>
      </c>
      <c r="AF51" s="105">
        <f t="shared" si="4"/>
        <v>4042</v>
      </c>
      <c r="AG51" s="108">
        <f t="shared" si="5"/>
        <v>2.6729500378362081E-2</v>
      </c>
      <c r="AH51" s="108">
        <f t="shared" ref="AH51:AH82" si="6">AG45</f>
        <v>3.0370207393709103E-2</v>
      </c>
      <c r="AI51" s="108"/>
    </row>
    <row r="52" spans="1:35" ht="15" customHeight="1">
      <c r="A52" s="177"/>
      <c r="B52" s="177"/>
      <c r="C52" s="177" t="s">
        <v>113</v>
      </c>
      <c r="D52" s="177">
        <v>1057</v>
      </c>
      <c r="E52" s="177"/>
      <c r="F52" s="177">
        <v>-0.5</v>
      </c>
      <c r="G52" s="177"/>
      <c r="H52" s="177">
        <v>1.5</v>
      </c>
      <c r="I52" s="177"/>
      <c r="J52" s="177">
        <v>1124</v>
      </c>
      <c r="K52" s="177"/>
      <c r="L52" s="177">
        <v>0.1</v>
      </c>
      <c r="M52" s="177"/>
      <c r="N52" s="177">
        <v>2.2999999999999998</v>
      </c>
      <c r="O52" s="177"/>
      <c r="P52" s="177">
        <v>1093</v>
      </c>
      <c r="Q52" s="177"/>
      <c r="R52" s="177">
        <v>-0.2</v>
      </c>
      <c r="S52" s="177"/>
      <c r="T52" s="177">
        <v>2</v>
      </c>
      <c r="U52" s="48"/>
      <c r="W52" s="211">
        <v>39355</v>
      </c>
      <c r="X52" s="278">
        <v>-0.29910269192422456</v>
      </c>
      <c r="Y52" s="278">
        <v>3.6633663366336666</v>
      </c>
      <c r="Z52" s="279">
        <v>1.7874875868917561</v>
      </c>
      <c r="AA52" s="206"/>
      <c r="AB52" s="53" t="str">
        <f t="shared" si="0"/>
        <v>2007</v>
      </c>
      <c r="AC52" s="48" t="str">
        <f t="shared" si="1"/>
        <v>Sep 2007</v>
      </c>
      <c r="AD52" s="57">
        <f t="shared" si="2"/>
        <v>1025</v>
      </c>
      <c r="AE52" s="105">
        <f t="shared" si="3"/>
        <v>1025</v>
      </c>
      <c r="AF52" s="105">
        <f t="shared" si="4"/>
        <v>4060</v>
      </c>
      <c r="AG52" s="108">
        <f t="shared" si="5"/>
        <v>2.2354231040306649E-2</v>
      </c>
      <c r="AH52" s="108">
        <f t="shared" si="6"/>
        <v>3.1704097049024771E-2</v>
      </c>
      <c r="AI52" s="108"/>
    </row>
    <row r="53" spans="1:35" ht="15" customHeight="1">
      <c r="A53" s="171" t="s">
        <v>300</v>
      </c>
      <c r="B53" s="170"/>
      <c r="C53" s="170" t="s">
        <v>115</v>
      </c>
      <c r="D53" s="170">
        <v>1058</v>
      </c>
      <c r="E53" s="170"/>
      <c r="F53" s="170">
        <v>0.1</v>
      </c>
      <c r="G53" s="170"/>
      <c r="H53" s="170">
        <v>2</v>
      </c>
      <c r="I53" s="170"/>
      <c r="J53" s="170">
        <v>1130</v>
      </c>
      <c r="K53" s="170"/>
      <c r="L53" s="170">
        <v>0.5</v>
      </c>
      <c r="M53" s="170"/>
      <c r="N53" s="170">
        <v>2.1</v>
      </c>
      <c r="O53" s="170"/>
      <c r="P53" s="170">
        <v>1097</v>
      </c>
      <c r="Q53" s="170"/>
      <c r="R53" s="170">
        <v>0.4</v>
      </c>
      <c r="S53" s="170"/>
      <c r="T53" s="170">
        <v>2</v>
      </c>
      <c r="W53" s="211">
        <v>39447</v>
      </c>
      <c r="X53" s="278">
        <v>2.8282828282828243</v>
      </c>
      <c r="Y53" s="278">
        <v>3.5363457760314354</v>
      </c>
      <c r="Z53" s="279">
        <v>3.184079601990053</v>
      </c>
      <c r="AA53" s="206"/>
      <c r="AB53" s="53" t="str">
        <f t="shared" si="0"/>
        <v>2007</v>
      </c>
      <c r="AC53" s="48" t="str">
        <f t="shared" si="1"/>
        <v>Dec 2007</v>
      </c>
      <c r="AD53" s="57">
        <f t="shared" si="2"/>
        <v>1037</v>
      </c>
      <c r="AE53" s="105">
        <f t="shared" si="3"/>
        <v>1037</v>
      </c>
      <c r="AF53" s="105">
        <f t="shared" si="4"/>
        <v>4092</v>
      </c>
      <c r="AG53" s="108">
        <f t="shared" si="5"/>
        <v>2.3761432803261817E-2</v>
      </c>
      <c r="AH53" s="108">
        <f t="shared" si="6"/>
        <v>3.4543070211678906E-2</v>
      </c>
      <c r="AI53" s="108"/>
    </row>
    <row r="54" spans="1:35" ht="15" customHeight="1">
      <c r="A54" s="171"/>
      <c r="B54" s="170"/>
      <c r="C54" s="170" t="s">
        <v>116</v>
      </c>
      <c r="D54" s="170">
        <v>1055</v>
      </c>
      <c r="E54" s="170"/>
      <c r="F54" s="170">
        <v>-0.3</v>
      </c>
      <c r="G54" s="170"/>
      <c r="H54" s="170">
        <v>1</v>
      </c>
      <c r="I54" s="170"/>
      <c r="J54" s="170">
        <v>1137</v>
      </c>
      <c r="K54" s="170"/>
      <c r="L54" s="170">
        <v>0.6</v>
      </c>
      <c r="M54" s="170"/>
      <c r="N54" s="170">
        <v>2.2000000000000002</v>
      </c>
      <c r="O54" s="170"/>
      <c r="P54" s="170">
        <v>1099</v>
      </c>
      <c r="Q54" s="170"/>
      <c r="R54" s="170">
        <v>0.2</v>
      </c>
      <c r="S54" s="170"/>
      <c r="T54" s="170">
        <v>1.7</v>
      </c>
      <c r="W54" s="211">
        <v>39538</v>
      </c>
      <c r="X54" s="278">
        <v>3.4482758620689724</v>
      </c>
      <c r="Y54" s="278">
        <v>3.4951456310679641</v>
      </c>
      <c r="Z54" s="279">
        <v>3.3663366336633693</v>
      </c>
      <c r="AA54" s="206"/>
      <c r="AB54" s="53" t="str">
        <f t="shared" si="0"/>
        <v>2008</v>
      </c>
      <c r="AC54" s="48" t="str">
        <f t="shared" si="1"/>
        <v>Mar 2008</v>
      </c>
      <c r="AD54" s="57">
        <f t="shared" si="2"/>
        <v>1044</v>
      </c>
      <c r="AE54" s="105">
        <f t="shared" si="3"/>
        <v>1044</v>
      </c>
      <c r="AF54" s="105">
        <f t="shared" si="4"/>
        <v>4126</v>
      </c>
      <c r="AG54" s="108">
        <f t="shared" si="5"/>
        <v>2.5857782197911572E-2</v>
      </c>
      <c r="AH54" s="108">
        <f t="shared" si="6"/>
        <v>3.4998698076584178E-2</v>
      </c>
      <c r="AI54" s="108"/>
    </row>
    <row r="55" spans="1:35" ht="15" customHeight="1">
      <c r="A55" s="170"/>
      <c r="B55" s="170"/>
      <c r="C55" s="170" t="s">
        <v>117</v>
      </c>
      <c r="D55" s="170">
        <v>1065</v>
      </c>
      <c r="E55" s="170"/>
      <c r="F55" s="170">
        <v>0.9</v>
      </c>
      <c r="G55" s="170"/>
      <c r="H55" s="170">
        <v>0.3</v>
      </c>
      <c r="I55" s="170"/>
      <c r="J55" s="170">
        <v>1151</v>
      </c>
      <c r="K55" s="170"/>
      <c r="L55" s="170">
        <v>1.2</v>
      </c>
      <c r="M55" s="170"/>
      <c r="N55" s="170">
        <v>2.5</v>
      </c>
      <c r="O55" s="170"/>
      <c r="P55" s="170">
        <v>1111</v>
      </c>
      <c r="Q55" s="170"/>
      <c r="R55" s="170">
        <v>1.1000000000000001</v>
      </c>
      <c r="S55" s="170"/>
      <c r="T55" s="170">
        <v>1.5</v>
      </c>
      <c r="W55" s="211">
        <v>39629</v>
      </c>
      <c r="X55" s="278">
        <v>4.8241206030150696</v>
      </c>
      <c r="Y55" s="278">
        <v>3.3621517771373677</v>
      </c>
      <c r="Z55" s="279">
        <v>4.0196078431372628</v>
      </c>
      <c r="AA55" s="206"/>
      <c r="AB55" s="53" t="str">
        <f t="shared" si="0"/>
        <v>2008</v>
      </c>
      <c r="AC55" s="48" t="str">
        <f t="shared" si="1"/>
        <v>Jun 2008</v>
      </c>
      <c r="AD55" s="57">
        <f t="shared" si="2"/>
        <v>1061</v>
      </c>
      <c r="AE55" s="105">
        <f t="shared" si="3"/>
        <v>1061</v>
      </c>
      <c r="AF55" s="105">
        <f t="shared" si="4"/>
        <v>4167</v>
      </c>
      <c r="AG55" s="108">
        <f t="shared" si="5"/>
        <v>3.0925284512617557E-2</v>
      </c>
      <c r="AH55" s="108">
        <f t="shared" si="6"/>
        <v>3.3654044932228899E-2</v>
      </c>
      <c r="AI55" s="108"/>
    </row>
    <row r="56" spans="1:35" ht="15" customHeight="1">
      <c r="A56" s="171"/>
      <c r="B56" s="170"/>
      <c r="C56" s="170" t="s">
        <v>113</v>
      </c>
      <c r="D56" s="170">
        <v>1092</v>
      </c>
      <c r="E56" s="170"/>
      <c r="F56" s="170">
        <v>2.5</v>
      </c>
      <c r="G56" s="170"/>
      <c r="H56" s="170">
        <v>3.3</v>
      </c>
      <c r="I56" s="170"/>
      <c r="J56" s="170">
        <v>1176</v>
      </c>
      <c r="K56" s="170"/>
      <c r="L56" s="170">
        <v>2.2000000000000002</v>
      </c>
      <c r="M56" s="170"/>
      <c r="N56" s="170">
        <v>4.5999999999999996</v>
      </c>
      <c r="O56" s="170"/>
      <c r="P56" s="170">
        <v>1137</v>
      </c>
      <c r="Q56" s="170"/>
      <c r="R56" s="170">
        <v>2.2999999999999998</v>
      </c>
      <c r="S56" s="170"/>
      <c r="T56" s="170">
        <v>4</v>
      </c>
      <c r="W56" s="211">
        <v>39721</v>
      </c>
      <c r="X56" s="278">
        <v>6.2999999999999945</v>
      </c>
      <c r="Y56" s="278">
        <v>4.1069723018147153</v>
      </c>
      <c r="Z56" s="279">
        <v>5.0731707317073216</v>
      </c>
      <c r="AA56" s="206"/>
      <c r="AB56" s="53" t="str">
        <f t="shared" si="0"/>
        <v>2008</v>
      </c>
      <c r="AC56" s="48" t="str">
        <f t="shared" si="1"/>
        <v>Sep 2008</v>
      </c>
      <c r="AD56" s="57">
        <f t="shared" si="2"/>
        <v>1077</v>
      </c>
      <c r="AE56" s="105">
        <f t="shared" si="3"/>
        <v>1077</v>
      </c>
      <c r="AF56" s="105">
        <f t="shared" si="4"/>
        <v>4219</v>
      </c>
      <c r="AG56" s="108">
        <f t="shared" si="5"/>
        <v>3.9162561576354671E-2</v>
      </c>
      <c r="AH56" s="108">
        <f t="shared" si="6"/>
        <v>3.1678189253437905E-2</v>
      </c>
      <c r="AI56" s="108"/>
    </row>
    <row r="57" spans="1:35" ht="15" customHeight="1">
      <c r="A57" s="171" t="s">
        <v>301</v>
      </c>
      <c r="B57" s="170"/>
      <c r="C57" s="170" t="s">
        <v>115</v>
      </c>
      <c r="D57" s="170">
        <v>1097</v>
      </c>
      <c r="E57" s="170"/>
      <c r="F57" s="170">
        <v>0.5</v>
      </c>
      <c r="G57" s="170"/>
      <c r="H57" s="170">
        <v>3.7</v>
      </c>
      <c r="I57" s="170"/>
      <c r="J57" s="170">
        <v>1189</v>
      </c>
      <c r="K57" s="170"/>
      <c r="L57" s="170">
        <v>1.1000000000000001</v>
      </c>
      <c r="M57" s="170"/>
      <c r="N57" s="170">
        <v>5.2</v>
      </c>
      <c r="O57" s="170"/>
      <c r="P57" s="170">
        <v>1146</v>
      </c>
      <c r="Q57" s="170"/>
      <c r="R57" s="170">
        <v>0.8</v>
      </c>
      <c r="S57" s="170"/>
      <c r="T57" s="170">
        <v>4.5</v>
      </c>
      <c r="W57" s="211">
        <v>39813</v>
      </c>
      <c r="X57" s="278">
        <v>2.2593320235756442</v>
      </c>
      <c r="Y57" s="278">
        <v>4.2694497153700217</v>
      </c>
      <c r="Z57" s="279">
        <v>3.3751205400192941</v>
      </c>
      <c r="AA57" s="206"/>
      <c r="AB57" s="53" t="str">
        <f t="shared" si="0"/>
        <v>2008</v>
      </c>
      <c r="AC57" s="48" t="str">
        <f t="shared" si="1"/>
        <v>Dec 2008</v>
      </c>
      <c r="AD57" s="57">
        <f t="shared" si="2"/>
        <v>1072</v>
      </c>
      <c r="AE57" s="105">
        <f t="shared" si="3"/>
        <v>1072</v>
      </c>
      <c r="AF57" s="105">
        <f t="shared" si="4"/>
        <v>4254</v>
      </c>
      <c r="AG57" s="108">
        <f t="shared" si="5"/>
        <v>3.9589442815249232E-2</v>
      </c>
      <c r="AH57" s="108">
        <f t="shared" si="6"/>
        <v>2.6729500378362081E-2</v>
      </c>
      <c r="AI57" s="108"/>
    </row>
    <row r="58" spans="1:35" ht="15" customHeight="1">
      <c r="A58" s="171"/>
      <c r="B58" s="170"/>
      <c r="C58" s="170" t="s">
        <v>116</v>
      </c>
      <c r="D58" s="170">
        <v>1113</v>
      </c>
      <c r="E58" s="170"/>
      <c r="F58" s="170">
        <v>1.5</v>
      </c>
      <c r="G58" s="170"/>
      <c r="H58" s="170">
        <v>5.5</v>
      </c>
      <c r="I58" s="170"/>
      <c r="J58" s="170">
        <v>1196</v>
      </c>
      <c r="K58" s="170"/>
      <c r="L58" s="170">
        <v>0.6</v>
      </c>
      <c r="M58" s="170"/>
      <c r="N58" s="170">
        <v>5.2</v>
      </c>
      <c r="O58" s="170"/>
      <c r="P58" s="170">
        <v>1157</v>
      </c>
      <c r="Q58" s="170"/>
      <c r="R58" s="170">
        <v>1</v>
      </c>
      <c r="S58" s="170"/>
      <c r="T58" s="170">
        <v>5.3</v>
      </c>
      <c r="W58" s="211">
        <v>39903</v>
      </c>
      <c r="X58" s="278">
        <v>1.6666666666666607</v>
      </c>
      <c r="Y58" s="278">
        <v>3.8461538461538547</v>
      </c>
      <c r="Z58" s="279">
        <v>2.9693486590038232</v>
      </c>
      <c r="AA58" s="206"/>
      <c r="AB58" s="53" t="str">
        <f t="shared" si="0"/>
        <v>2009</v>
      </c>
      <c r="AC58" s="48" t="str">
        <f t="shared" si="1"/>
        <v>Mar 2009</v>
      </c>
      <c r="AD58" s="57">
        <f t="shared" si="2"/>
        <v>1075</v>
      </c>
      <c r="AE58" s="105">
        <f t="shared" si="3"/>
        <v>1075</v>
      </c>
      <c r="AF58" s="105">
        <f t="shared" si="4"/>
        <v>4285</v>
      </c>
      <c r="AG58" s="108">
        <f t="shared" si="5"/>
        <v>3.8536112457586036E-2</v>
      </c>
      <c r="AH58" s="108">
        <f t="shared" si="6"/>
        <v>2.2354231040306649E-2</v>
      </c>
      <c r="AI58" s="108"/>
    </row>
    <row r="59" spans="1:35" ht="15" customHeight="1">
      <c r="A59" s="170"/>
      <c r="B59" s="170"/>
      <c r="C59" s="170" t="s">
        <v>117</v>
      </c>
      <c r="D59" s="170">
        <v>1114</v>
      </c>
      <c r="E59" s="170"/>
      <c r="F59" s="170">
        <v>0.1</v>
      </c>
      <c r="G59" s="170"/>
      <c r="H59" s="170">
        <v>4.5999999999999996</v>
      </c>
      <c r="I59" s="170"/>
      <c r="J59" s="170">
        <v>1203</v>
      </c>
      <c r="K59" s="170"/>
      <c r="L59" s="170">
        <v>0.6</v>
      </c>
      <c r="M59" s="170"/>
      <c r="N59" s="170">
        <v>4.5</v>
      </c>
      <c r="O59" s="170"/>
      <c r="P59" s="170">
        <v>1162</v>
      </c>
      <c r="Q59" s="170"/>
      <c r="R59" s="170">
        <v>0.4</v>
      </c>
      <c r="S59" s="170"/>
      <c r="T59" s="170">
        <v>4.5999999999999996</v>
      </c>
      <c r="W59" s="211">
        <v>39994</v>
      </c>
      <c r="X59" s="278">
        <v>0.19175455417066445</v>
      </c>
      <c r="Y59" s="278">
        <v>3.3457249070631967</v>
      </c>
      <c r="Z59" s="279">
        <v>1.8850141376060225</v>
      </c>
      <c r="AA59" s="206"/>
      <c r="AB59" s="53" t="str">
        <f t="shared" si="0"/>
        <v>2009</v>
      </c>
      <c r="AC59" s="48" t="str">
        <f t="shared" si="1"/>
        <v>Jun 2009</v>
      </c>
      <c r="AD59" s="57">
        <f t="shared" si="2"/>
        <v>1081</v>
      </c>
      <c r="AE59" s="105">
        <f t="shared" si="3"/>
        <v>1081</v>
      </c>
      <c r="AF59" s="105">
        <f t="shared" si="4"/>
        <v>4305</v>
      </c>
      <c r="AG59" s="108">
        <f t="shared" si="5"/>
        <v>3.3117350611951091E-2</v>
      </c>
      <c r="AH59" s="108">
        <f t="shared" si="6"/>
        <v>2.3761432803261817E-2</v>
      </c>
      <c r="AI59" s="108"/>
    </row>
    <row r="60" spans="1:35" ht="15" customHeight="1">
      <c r="A60" s="171"/>
      <c r="B60" s="170"/>
      <c r="C60" s="170" t="s">
        <v>113</v>
      </c>
      <c r="D60" s="170">
        <v>1104</v>
      </c>
      <c r="E60" s="170"/>
      <c r="F60" s="170">
        <v>-0.9</v>
      </c>
      <c r="G60" s="170"/>
      <c r="H60" s="170">
        <v>1.1000000000000001</v>
      </c>
      <c r="I60" s="170"/>
      <c r="J60" s="170">
        <v>1205</v>
      </c>
      <c r="K60" s="170"/>
      <c r="L60" s="170">
        <v>0.2</v>
      </c>
      <c r="M60" s="170"/>
      <c r="N60" s="170">
        <v>2.5</v>
      </c>
      <c r="O60" s="170"/>
      <c r="P60" s="170">
        <v>1158</v>
      </c>
      <c r="Q60" s="170"/>
      <c r="R60" s="170">
        <v>-0.3</v>
      </c>
      <c r="S60" s="170"/>
      <c r="T60" s="170">
        <v>1.8</v>
      </c>
      <c r="W60" s="211">
        <v>40086</v>
      </c>
      <c r="X60" s="278">
        <v>-9.4073377234238365E-2</v>
      </c>
      <c r="Y60" s="278">
        <v>3.0275229357798139</v>
      </c>
      <c r="Z60" s="279">
        <v>1.6713091922005541</v>
      </c>
      <c r="AA60" s="206"/>
      <c r="AB60" s="53" t="str">
        <f t="shared" si="0"/>
        <v>2009</v>
      </c>
      <c r="AC60" s="48" t="str">
        <f t="shared" si="1"/>
        <v>Sep 2009</v>
      </c>
      <c r="AD60" s="57">
        <f t="shared" si="2"/>
        <v>1095</v>
      </c>
      <c r="AE60" s="105">
        <f t="shared" si="3"/>
        <v>1095</v>
      </c>
      <c r="AF60" s="105">
        <f t="shared" si="4"/>
        <v>4323</v>
      </c>
      <c r="AG60" s="108">
        <f t="shared" si="5"/>
        <v>2.465039108793543E-2</v>
      </c>
      <c r="AH60" s="108">
        <f t="shared" si="6"/>
        <v>2.5857782197911572E-2</v>
      </c>
      <c r="AI60" s="108"/>
    </row>
    <row r="61" spans="1:35" ht="15" customHeight="1">
      <c r="A61" s="171" t="s">
        <v>302</v>
      </c>
      <c r="B61" s="170"/>
      <c r="C61" s="170" t="s">
        <v>115</v>
      </c>
      <c r="D61" s="170">
        <v>1100</v>
      </c>
      <c r="E61" s="170"/>
      <c r="F61" s="170">
        <v>-0.4</v>
      </c>
      <c r="G61" s="170"/>
      <c r="H61" s="170">
        <v>0.3</v>
      </c>
      <c r="I61" s="170"/>
      <c r="J61" s="170">
        <v>1219</v>
      </c>
      <c r="K61" s="170"/>
      <c r="L61" s="170">
        <v>1.2</v>
      </c>
      <c r="M61" s="170"/>
      <c r="N61" s="170">
        <v>2.5</v>
      </c>
      <c r="O61" s="170"/>
      <c r="P61" s="170">
        <v>1164</v>
      </c>
      <c r="Q61" s="170"/>
      <c r="R61" s="170">
        <v>0.5</v>
      </c>
      <c r="S61" s="170"/>
      <c r="T61" s="170">
        <v>1.6</v>
      </c>
      <c r="W61" s="211">
        <v>40178</v>
      </c>
      <c r="X61" s="278">
        <v>1.5369836695485084</v>
      </c>
      <c r="Y61" s="278">
        <v>2.2747952684258443</v>
      </c>
      <c r="Z61" s="279">
        <v>1.9589552238805874</v>
      </c>
      <c r="AA61" s="206"/>
      <c r="AB61" s="53" t="str">
        <f t="shared" si="0"/>
        <v>2009</v>
      </c>
      <c r="AC61" s="48" t="str">
        <f t="shared" si="1"/>
        <v>Dec 2009</v>
      </c>
      <c r="AD61" s="57">
        <f t="shared" ref="AD61:AD69" si="7">P52</f>
        <v>1093</v>
      </c>
      <c r="AE61" s="105">
        <f t="shared" si="3"/>
        <v>1093</v>
      </c>
      <c r="AF61" s="105">
        <f t="shared" si="4"/>
        <v>4344</v>
      </c>
      <c r="AG61" s="108">
        <f t="shared" si="5"/>
        <v>2.1156558533145242E-2</v>
      </c>
      <c r="AH61" s="108">
        <f t="shared" si="6"/>
        <v>3.0925284512617557E-2</v>
      </c>
      <c r="AI61" s="108"/>
    </row>
    <row r="62" spans="1:35" ht="15" customHeight="1">
      <c r="A62" s="170"/>
      <c r="B62" s="170"/>
      <c r="C62" s="170" t="s">
        <v>116</v>
      </c>
      <c r="D62" s="170">
        <v>1101</v>
      </c>
      <c r="E62" s="170"/>
      <c r="F62" s="170">
        <v>0.1</v>
      </c>
      <c r="G62" s="170"/>
      <c r="H62" s="170">
        <v>-1.1000000000000001</v>
      </c>
      <c r="I62" s="170"/>
      <c r="J62" s="170">
        <v>1225</v>
      </c>
      <c r="K62" s="170"/>
      <c r="L62" s="170">
        <v>0.5</v>
      </c>
      <c r="M62" s="170"/>
      <c r="N62" s="170">
        <v>2.4</v>
      </c>
      <c r="O62" s="170"/>
      <c r="P62" s="170">
        <v>1168</v>
      </c>
      <c r="Q62" s="170"/>
      <c r="R62" s="170">
        <v>0.3</v>
      </c>
      <c r="S62" s="170"/>
      <c r="T62" s="170">
        <v>1</v>
      </c>
      <c r="W62" s="211">
        <v>40268</v>
      </c>
      <c r="X62" s="278">
        <v>2.0250723240115676</v>
      </c>
      <c r="Y62" s="278">
        <v>2.0776874435411097</v>
      </c>
      <c r="Z62" s="279">
        <v>2.0465116279069662</v>
      </c>
      <c r="AA62" s="206"/>
      <c r="AB62" s="53" t="str">
        <f t="shared" si="0"/>
        <v>2010</v>
      </c>
      <c r="AC62" s="48" t="str">
        <f t="shared" si="1"/>
        <v>Mar 2010</v>
      </c>
      <c r="AD62" s="57">
        <f t="shared" si="7"/>
        <v>1097</v>
      </c>
      <c r="AE62" s="105">
        <f t="shared" si="3"/>
        <v>1097</v>
      </c>
      <c r="AF62" s="105">
        <f t="shared" si="4"/>
        <v>4366</v>
      </c>
      <c r="AG62" s="108">
        <f t="shared" si="5"/>
        <v>1.890315052508762E-2</v>
      </c>
      <c r="AH62" s="108">
        <f t="shared" si="6"/>
        <v>3.9162561576354671E-2</v>
      </c>
      <c r="AI62" s="108"/>
    </row>
    <row r="63" spans="1:35" ht="15" customHeight="1">
      <c r="W63" s="211">
        <v>40359</v>
      </c>
      <c r="X63" s="278">
        <v>0.95693779904306719</v>
      </c>
      <c r="Y63" s="278">
        <v>2.248201438848918</v>
      </c>
      <c r="Z63" s="279">
        <v>1.6651248843663202</v>
      </c>
      <c r="AA63" s="206"/>
      <c r="AB63" s="53" t="str">
        <f t="shared" si="0"/>
        <v>2010</v>
      </c>
      <c r="AC63" s="48" t="str">
        <f t="shared" si="1"/>
        <v>Jun 2010</v>
      </c>
      <c r="AD63" s="57">
        <f t="shared" si="7"/>
        <v>1099</v>
      </c>
      <c r="AE63" s="105">
        <f t="shared" si="3"/>
        <v>1099</v>
      </c>
      <c r="AF63" s="105">
        <f t="shared" si="4"/>
        <v>4384</v>
      </c>
      <c r="AG63" s="108">
        <f t="shared" si="5"/>
        <v>1.8350754936120817E-2</v>
      </c>
      <c r="AH63" s="108">
        <f t="shared" si="6"/>
        <v>3.9589442815249232E-2</v>
      </c>
      <c r="AI63" s="108"/>
    </row>
    <row r="64" spans="1:35" ht="15" customHeight="1" thickBot="1">
      <c r="W64" s="211">
        <v>40451</v>
      </c>
      <c r="X64" s="278">
        <v>0.28248587570620654</v>
      </c>
      <c r="Y64" s="278">
        <v>2.4933214603739984</v>
      </c>
      <c r="Z64" s="279">
        <v>1.4611872146118809</v>
      </c>
      <c r="AA64" s="206"/>
      <c r="AB64" s="53" t="str">
        <f t="shared" si="0"/>
        <v>2010</v>
      </c>
      <c r="AC64" s="48" t="str">
        <f t="shared" si="1"/>
        <v>Sep 2010</v>
      </c>
      <c r="AD64" s="57">
        <f t="shared" si="7"/>
        <v>1111</v>
      </c>
      <c r="AE64" s="179">
        <f t="shared" si="3"/>
        <v>1111</v>
      </c>
      <c r="AF64" s="105">
        <f t="shared" si="4"/>
        <v>4400</v>
      </c>
      <c r="AG64" s="108">
        <f>AF64/AF60-1</f>
        <v>1.7811704834605591E-2</v>
      </c>
      <c r="AH64" s="108">
        <f t="shared" si="6"/>
        <v>3.8536112457586036E-2</v>
      </c>
      <c r="AI64" s="108"/>
    </row>
    <row r="65" spans="16:35" ht="15" customHeight="1" thickTop="1">
      <c r="W65" s="211">
        <v>40543</v>
      </c>
      <c r="X65" s="278">
        <v>3.3112582781456901</v>
      </c>
      <c r="Y65" s="278">
        <v>4.6263345195729499</v>
      </c>
      <c r="Z65" s="279">
        <v>4.0256175663311966</v>
      </c>
      <c r="AA65" s="206"/>
      <c r="AB65" s="53" t="str">
        <f t="shared" si="0"/>
        <v>2010</v>
      </c>
      <c r="AC65" s="48" t="str">
        <f t="shared" si="1"/>
        <v>Dec 2010</v>
      </c>
      <c r="AD65" s="57">
        <f t="shared" si="7"/>
        <v>1137</v>
      </c>
      <c r="AE65" s="105">
        <f>AD65</f>
        <v>1137</v>
      </c>
      <c r="AF65" s="105">
        <f t="shared" si="4"/>
        <v>4444</v>
      </c>
      <c r="AG65" s="108">
        <f t="shared" si="5"/>
        <v>2.3020257826887658E-2</v>
      </c>
      <c r="AH65" s="108">
        <f t="shared" si="6"/>
        <v>3.3117350611951091E-2</v>
      </c>
      <c r="AI65" s="108"/>
    </row>
    <row r="66" spans="16:35" ht="15" customHeight="1">
      <c r="W66" s="211">
        <v>40633</v>
      </c>
      <c r="X66" s="278">
        <v>3.6862003780718355</v>
      </c>
      <c r="Y66" s="278">
        <v>5.2212389380531077</v>
      </c>
      <c r="Z66" s="279">
        <v>4.4667274384685429</v>
      </c>
      <c r="AA66" s="206"/>
      <c r="AB66" s="53" t="str">
        <f t="shared" si="0"/>
        <v>2011</v>
      </c>
      <c r="AC66" s="48" t="str">
        <f t="shared" si="1"/>
        <v>Mar 2011</v>
      </c>
      <c r="AD66" s="57">
        <f t="shared" si="7"/>
        <v>1146</v>
      </c>
      <c r="AE66" s="105">
        <f t="shared" ref="AE66:AE82" si="8">AD66</f>
        <v>1146</v>
      </c>
      <c r="AF66" s="105">
        <f t="shared" si="4"/>
        <v>4493</v>
      </c>
      <c r="AG66" s="108">
        <f t="shared" si="5"/>
        <v>2.9088410444342738E-2</v>
      </c>
      <c r="AH66" s="108">
        <f t="shared" si="6"/>
        <v>2.465039108793543E-2</v>
      </c>
      <c r="AI66" s="108"/>
    </row>
    <row r="67" spans="16:35" ht="15" customHeight="1">
      <c r="W67" s="211">
        <v>40724</v>
      </c>
      <c r="X67" s="278">
        <v>5.4976303317535447</v>
      </c>
      <c r="Y67" s="278">
        <v>5.1890941072999075</v>
      </c>
      <c r="Z67" s="279">
        <v>5.277525022747942</v>
      </c>
      <c r="AA67" s="206"/>
      <c r="AB67" s="53" t="str">
        <f t="shared" si="0"/>
        <v>2011</v>
      </c>
      <c r="AC67" s="48" t="str">
        <f t="shared" si="1"/>
        <v>Jun 2011</v>
      </c>
      <c r="AD67" s="57">
        <f t="shared" si="7"/>
        <v>1157</v>
      </c>
      <c r="AE67" s="105">
        <f t="shared" si="8"/>
        <v>1157</v>
      </c>
      <c r="AF67" s="105">
        <f t="shared" si="4"/>
        <v>4551</v>
      </c>
      <c r="AG67" s="108">
        <f t="shared" si="5"/>
        <v>3.8093065693430628E-2</v>
      </c>
      <c r="AH67" s="108">
        <f t="shared" si="6"/>
        <v>2.1156558533145242E-2</v>
      </c>
      <c r="AI67" s="108"/>
    </row>
    <row r="68" spans="16:35" ht="15" customHeight="1">
      <c r="W68" s="211">
        <v>40816</v>
      </c>
      <c r="X68" s="278">
        <v>4.6009389671361589</v>
      </c>
      <c r="Y68" s="278">
        <v>4.517810599478711</v>
      </c>
      <c r="Z68" s="279">
        <v>4.5904590459045824</v>
      </c>
      <c r="AA68" s="206"/>
      <c r="AB68" s="53" t="str">
        <f t="shared" si="0"/>
        <v>2011</v>
      </c>
      <c r="AC68" s="48" t="str">
        <f t="shared" si="1"/>
        <v>Sep 2011</v>
      </c>
      <c r="AD68" s="57">
        <f t="shared" si="7"/>
        <v>1162</v>
      </c>
      <c r="AE68" s="105">
        <f t="shared" si="8"/>
        <v>1162</v>
      </c>
      <c r="AF68" s="105">
        <f t="shared" si="4"/>
        <v>4602</v>
      </c>
      <c r="AG68" s="108">
        <f t="shared" si="5"/>
        <v>4.5909090909090899E-2</v>
      </c>
      <c r="AH68" s="108">
        <f t="shared" si="6"/>
        <v>1.890315052508762E-2</v>
      </c>
      <c r="AI68" s="108"/>
    </row>
    <row r="69" spans="16:35" ht="15" customHeight="1">
      <c r="W69" s="211">
        <v>40908</v>
      </c>
      <c r="X69" s="278">
        <v>1.098901098901095</v>
      </c>
      <c r="Y69" s="278">
        <v>2.4659863945578175</v>
      </c>
      <c r="Z69" s="279">
        <v>1.846965699208436</v>
      </c>
      <c r="AA69" s="206"/>
      <c r="AB69" s="53" t="str">
        <f t="shared" si="0"/>
        <v>2011</v>
      </c>
      <c r="AC69" s="48" t="str">
        <f t="shared" si="1"/>
        <v>Dec 2011</v>
      </c>
      <c r="AD69" s="57">
        <f t="shared" si="7"/>
        <v>1158</v>
      </c>
      <c r="AE69" s="105">
        <f t="shared" si="8"/>
        <v>1158</v>
      </c>
      <c r="AF69" s="105">
        <f t="shared" si="4"/>
        <v>4623</v>
      </c>
      <c r="AG69" s="108">
        <f t="shared" si="5"/>
        <v>4.0279027902790254E-2</v>
      </c>
      <c r="AH69" s="108">
        <f t="shared" si="6"/>
        <v>1.8350754936120817E-2</v>
      </c>
      <c r="AI69" s="108"/>
    </row>
    <row r="70" spans="16:35" ht="15" customHeight="1">
      <c r="W70" s="211">
        <v>40999</v>
      </c>
      <c r="X70" s="278">
        <v>0.27347310847760653</v>
      </c>
      <c r="Y70" s="278">
        <v>2.5166347802966671</v>
      </c>
      <c r="Z70" s="279">
        <v>1.5706806282722585</v>
      </c>
      <c r="AA70" s="206"/>
      <c r="AB70" s="53" t="str">
        <f t="shared" si="0"/>
        <v>2012</v>
      </c>
      <c r="AC70" s="48" t="str">
        <f t="shared" si="1"/>
        <v>Mar 2012</v>
      </c>
      <c r="AD70" s="57">
        <f t="shared" ref="AD70:AD71" si="9">P61</f>
        <v>1164</v>
      </c>
      <c r="AE70" s="105">
        <f t="shared" si="8"/>
        <v>1164</v>
      </c>
      <c r="AF70" s="105">
        <f t="shared" si="4"/>
        <v>4641</v>
      </c>
      <c r="AG70" s="108">
        <f t="shared" si="5"/>
        <v>3.2940129089695125E-2</v>
      </c>
      <c r="AH70" s="108">
        <f t="shared" si="6"/>
        <v>1.7811704834605591E-2</v>
      </c>
      <c r="AI70" s="108"/>
    </row>
    <row r="71" spans="16:35" ht="15" customHeight="1" thickBot="1">
      <c r="P71" s="29"/>
      <c r="W71" s="211">
        <v>41090</v>
      </c>
      <c r="X71" s="278">
        <v>-0.61723855289037566</v>
      </c>
      <c r="Y71" s="278">
        <v>2.5222566353187759</v>
      </c>
      <c r="Z71" s="279">
        <v>1.1235955056179803</v>
      </c>
      <c r="AA71" s="206"/>
      <c r="AB71" s="59" t="str">
        <f t="shared" si="0"/>
        <v>2012</v>
      </c>
      <c r="AC71" s="100" t="str">
        <f t="shared" si="1"/>
        <v>Jun 2012</v>
      </c>
      <c r="AD71" s="57">
        <f t="shared" si="9"/>
        <v>1168</v>
      </c>
      <c r="AE71" s="105">
        <f t="shared" si="8"/>
        <v>1168</v>
      </c>
      <c r="AF71" s="105">
        <f t="shared" si="4"/>
        <v>4652</v>
      </c>
      <c r="AG71" s="108">
        <f t="shared" si="5"/>
        <v>2.2192924631948996E-2</v>
      </c>
      <c r="AH71" s="108">
        <f t="shared" si="6"/>
        <v>2.3020257826887658E-2</v>
      </c>
      <c r="AI71" s="108"/>
    </row>
    <row r="72" spans="16:35" ht="15" customHeight="1">
      <c r="P72" s="29"/>
      <c r="W72" s="211">
        <v>41182</v>
      </c>
      <c r="X72" s="278">
        <v>-0.17793492454517557</v>
      </c>
      <c r="Y72" s="278">
        <v>2.680861703484072</v>
      </c>
      <c r="Z72" s="279">
        <v>1.3769363166953541</v>
      </c>
      <c r="AA72" s="206"/>
      <c r="AB72" s="213"/>
      <c r="AC72" s="40" t="s">
        <v>128</v>
      </c>
      <c r="AD72" s="57">
        <f>AD68*(1+Z72/100)</f>
        <v>1178</v>
      </c>
      <c r="AE72" s="105">
        <f t="shared" si="8"/>
        <v>1178</v>
      </c>
      <c r="AF72" s="105">
        <f t="shared" si="4"/>
        <v>4668</v>
      </c>
      <c r="AG72" s="108">
        <f t="shared" si="5"/>
        <v>1.4341590612777066E-2</v>
      </c>
      <c r="AH72" s="108">
        <f t="shared" si="6"/>
        <v>2.9088410444342738E-2</v>
      </c>
      <c r="AI72" s="108"/>
    </row>
    <row r="73" spans="16:35" ht="15" customHeight="1">
      <c r="P73" s="29"/>
      <c r="W73" s="211">
        <v>41274</v>
      </c>
      <c r="X73" s="278">
        <v>-0.11785701355246925</v>
      </c>
      <c r="Y73" s="278">
        <v>3.0015815993381434</v>
      </c>
      <c r="Z73" s="279">
        <v>1.6407599309153698</v>
      </c>
      <c r="AA73" s="206"/>
      <c r="AB73" s="53"/>
      <c r="AC73" s="48" t="s">
        <v>129</v>
      </c>
      <c r="AD73" s="57">
        <f t="shared" ref="AD73:AD82" si="10">AD69*(1+Z73/100)</f>
        <v>1177</v>
      </c>
      <c r="AE73" s="105">
        <f t="shared" si="8"/>
        <v>1177</v>
      </c>
      <c r="AF73" s="105">
        <f t="shared" si="4"/>
        <v>4687</v>
      </c>
      <c r="AG73" s="108">
        <f t="shared" si="5"/>
        <v>1.3843824356478462E-2</v>
      </c>
      <c r="AH73" s="108">
        <f t="shared" si="6"/>
        <v>3.8093065693430628E-2</v>
      </c>
      <c r="AI73" s="108"/>
    </row>
    <row r="74" spans="16:35" ht="15" customHeight="1">
      <c r="P74" s="29"/>
      <c r="W74" s="211">
        <v>41364</v>
      </c>
      <c r="X74" s="278">
        <v>0.11529290994058972</v>
      </c>
      <c r="Y74" s="278">
        <v>3.341319042894253</v>
      </c>
      <c r="Z74" s="279">
        <v>1.8900343642611617</v>
      </c>
      <c r="AA74" s="206"/>
      <c r="AB74" s="53"/>
      <c r="AC74" s="48" t="s">
        <v>130</v>
      </c>
      <c r="AD74" s="57">
        <f t="shared" si="10"/>
        <v>1186</v>
      </c>
      <c r="AE74" s="105">
        <f t="shared" si="8"/>
        <v>1186</v>
      </c>
      <c r="AF74" s="105">
        <f t="shared" si="4"/>
        <v>4709</v>
      </c>
      <c r="AG74" s="108">
        <f t="shared" si="5"/>
        <v>1.46520146520146E-2</v>
      </c>
      <c r="AH74" s="108">
        <f t="shared" si="6"/>
        <v>4.5909090909090899E-2</v>
      </c>
      <c r="AI74" s="108"/>
    </row>
    <row r="75" spans="16:35" ht="15" customHeight="1">
      <c r="P75" s="29"/>
      <c r="W75" s="211">
        <v>41455</v>
      </c>
      <c r="X75" s="278">
        <v>0.43027783930660313</v>
      </c>
      <c r="Y75" s="278">
        <v>3.5544831351941752</v>
      </c>
      <c r="Z75" s="279">
        <v>2.2222222222222143</v>
      </c>
      <c r="AA75" s="206"/>
      <c r="AB75" s="53"/>
      <c r="AC75" s="48" t="s">
        <v>131</v>
      </c>
      <c r="AD75" s="57">
        <f t="shared" si="10"/>
        <v>1193.9555555555555</v>
      </c>
      <c r="AE75" s="105">
        <f t="shared" si="8"/>
        <v>1193.9555555555555</v>
      </c>
      <c r="AF75" s="105">
        <f t="shared" si="4"/>
        <v>4734.9555555555553</v>
      </c>
      <c r="AG75" s="108">
        <f t="shared" si="5"/>
        <v>1.7832234642208844E-2</v>
      </c>
      <c r="AH75" s="108">
        <f t="shared" si="6"/>
        <v>4.0279027902790254E-2</v>
      </c>
      <c r="AI75" s="108"/>
    </row>
    <row r="76" spans="16:35" ht="15" customHeight="1">
      <c r="P76" s="29"/>
      <c r="W76" s="211">
        <v>41547</v>
      </c>
      <c r="X76" s="278">
        <v>7.5886643170508528E-2</v>
      </c>
      <c r="Y76" s="278">
        <v>3.5895405918217049</v>
      </c>
      <c r="Z76" s="279">
        <v>2.0373514431239359</v>
      </c>
      <c r="AA76" s="206"/>
      <c r="AB76" s="53"/>
      <c r="AC76" s="48" t="s">
        <v>132</v>
      </c>
      <c r="AD76" s="57">
        <f t="shared" si="10"/>
        <v>1202</v>
      </c>
      <c r="AE76" s="105">
        <f t="shared" si="8"/>
        <v>1202</v>
      </c>
      <c r="AF76" s="105">
        <f t="shared" si="4"/>
        <v>4758.9555555555553</v>
      </c>
      <c r="AG76" s="108">
        <f t="shared" si="5"/>
        <v>1.9484909073598011E-2</v>
      </c>
      <c r="AH76" s="108">
        <f t="shared" si="6"/>
        <v>3.2940129089695125E-2</v>
      </c>
      <c r="AI76" s="108"/>
    </row>
    <row r="77" spans="16:35" ht="15" customHeight="1">
      <c r="P77" s="29"/>
      <c r="W77" s="211">
        <v>41639</v>
      </c>
      <c r="X77" s="278">
        <v>0.56451149801040046</v>
      </c>
      <c r="Y77" s="278">
        <v>3.7481341197926232</v>
      </c>
      <c r="Z77" s="279">
        <v>2.2939677145284554</v>
      </c>
      <c r="AA77" s="206"/>
      <c r="AB77" s="53"/>
      <c r="AC77" s="48" t="s">
        <v>133</v>
      </c>
      <c r="AD77" s="57">
        <f t="shared" si="10"/>
        <v>1204</v>
      </c>
      <c r="AE77" s="105">
        <f t="shared" si="8"/>
        <v>1204</v>
      </c>
      <c r="AF77" s="105">
        <f t="shared" si="4"/>
        <v>4785.9555555555553</v>
      </c>
      <c r="AG77" s="108">
        <f t="shared" si="5"/>
        <v>2.1112770547376813E-2</v>
      </c>
      <c r="AH77" s="108">
        <f t="shared" si="6"/>
        <v>2.2192924631948996E-2</v>
      </c>
      <c r="AI77" s="108"/>
    </row>
    <row r="78" spans="16:35" ht="15" customHeight="1">
      <c r="P78" s="29"/>
      <c r="W78" s="211">
        <v>41729</v>
      </c>
      <c r="X78" s="278">
        <v>0.38222695385803362</v>
      </c>
      <c r="Y78" s="278">
        <v>3.5108578698586745</v>
      </c>
      <c r="Z78" s="279">
        <v>2.1079258010118007</v>
      </c>
      <c r="AA78" s="206"/>
      <c r="AB78" s="53"/>
      <c r="AC78" s="48" t="s">
        <v>135</v>
      </c>
      <c r="AD78" s="57">
        <f t="shared" si="10"/>
        <v>1211</v>
      </c>
      <c r="AE78" s="105">
        <f t="shared" si="8"/>
        <v>1211</v>
      </c>
      <c r="AF78" s="105">
        <f t="shared" si="4"/>
        <v>4810.9555555555553</v>
      </c>
      <c r="AG78" s="108">
        <f t="shared" si="5"/>
        <v>2.1651211627851996E-2</v>
      </c>
      <c r="AH78" s="108">
        <f>AG72</f>
        <v>1.4341590612777066E-2</v>
      </c>
      <c r="AI78" s="108"/>
    </row>
    <row r="79" spans="16:35" ht="15" customHeight="1">
      <c r="P79" s="29"/>
      <c r="W79" s="211">
        <v>41820</v>
      </c>
      <c r="X79" s="278">
        <v>0.49719643575489858</v>
      </c>
      <c r="Y79" s="278">
        <v>3.4804930898802544</v>
      </c>
      <c r="Z79" s="279">
        <v>2.1739130434782705</v>
      </c>
      <c r="AA79" s="206"/>
      <c r="AB79" s="53"/>
      <c r="AC79" s="48" t="s">
        <v>134</v>
      </c>
      <c r="AD79" s="57">
        <f t="shared" si="10"/>
        <v>1219.9111111111113</v>
      </c>
      <c r="AE79" s="105">
        <f t="shared" si="8"/>
        <v>1219.9111111111113</v>
      </c>
      <c r="AF79" s="105">
        <f t="shared" si="4"/>
        <v>4836.9111111111115</v>
      </c>
      <c r="AG79" s="108">
        <f t="shared" si="5"/>
        <v>2.1532526411136121E-2</v>
      </c>
      <c r="AH79" s="108">
        <f>AG73</f>
        <v>1.3843824356478462E-2</v>
      </c>
      <c r="AI79" s="108"/>
    </row>
    <row r="80" spans="16:35" ht="15" customHeight="1">
      <c r="P80" s="102"/>
      <c r="W80" s="211">
        <v>41912</v>
      </c>
      <c r="X80" s="278">
        <v>0.62357113038560286</v>
      </c>
      <c r="Y80" s="278">
        <v>3.4228482896180745</v>
      </c>
      <c r="Z80" s="279">
        <v>2.1630615640598982</v>
      </c>
      <c r="AA80" s="206"/>
      <c r="AB80" s="53"/>
      <c r="AC80" s="48" t="s">
        <v>136</v>
      </c>
      <c r="AD80" s="57">
        <f t="shared" si="10"/>
        <v>1228</v>
      </c>
      <c r="AE80" s="105">
        <f t="shared" si="8"/>
        <v>1228</v>
      </c>
      <c r="AF80" s="105">
        <f t="shared" si="4"/>
        <v>4862.9111111111115</v>
      </c>
      <c r="AG80" s="108">
        <f t="shared" si="5"/>
        <v>2.1844195505082986E-2</v>
      </c>
      <c r="AH80" s="108">
        <f t="shared" si="6"/>
        <v>1.46520146520146E-2</v>
      </c>
      <c r="AI80" s="108"/>
    </row>
    <row r="81" spans="16:35" ht="15" customHeight="1">
      <c r="P81" s="29"/>
      <c r="W81" s="211">
        <v>42004</v>
      </c>
      <c r="X81" s="278">
        <v>0.71834553485343733</v>
      </c>
      <c r="Y81" s="278">
        <v>3.34406447493516</v>
      </c>
      <c r="Z81" s="279">
        <v>2.2425249169435224</v>
      </c>
      <c r="AA81" s="206"/>
      <c r="AB81" s="53"/>
      <c r="AC81" s="48" t="s">
        <v>137</v>
      </c>
      <c r="AD81" s="57">
        <f t="shared" si="10"/>
        <v>1231</v>
      </c>
      <c r="AE81" s="105">
        <f t="shared" si="8"/>
        <v>1231</v>
      </c>
      <c r="AF81" s="105">
        <f t="shared" si="4"/>
        <v>4889.9111111111115</v>
      </c>
      <c r="AG81" s="108">
        <f t="shared" si="5"/>
        <v>2.1720961331302746E-2</v>
      </c>
      <c r="AH81" s="108">
        <f t="shared" si="6"/>
        <v>1.7832234642208844E-2</v>
      </c>
      <c r="AI81" s="108"/>
    </row>
    <row r="82" spans="16:35" ht="15" customHeight="1" thickBot="1">
      <c r="P82" s="29"/>
      <c r="W82" s="212">
        <v>42094</v>
      </c>
      <c r="X82" s="280">
        <v>0.81409361518778312</v>
      </c>
      <c r="Y82" s="280">
        <v>3.3039920711315895</v>
      </c>
      <c r="Z82" s="281">
        <v>2.2295623451692892</v>
      </c>
      <c r="AA82" s="206"/>
      <c r="AB82" s="59"/>
      <c r="AC82" s="100" t="s">
        <v>138</v>
      </c>
      <c r="AD82" s="194">
        <f t="shared" si="10"/>
        <v>1238</v>
      </c>
      <c r="AE82" s="105">
        <f t="shared" si="8"/>
        <v>1238</v>
      </c>
      <c r="AF82" s="105">
        <f t="shared" si="4"/>
        <v>4916.9111111111115</v>
      </c>
      <c r="AG82" s="108">
        <f t="shared" si="5"/>
        <v>2.2023806774353227E-2</v>
      </c>
      <c r="AH82" s="108">
        <f t="shared" si="6"/>
        <v>1.9484909073598011E-2</v>
      </c>
      <c r="AI82" s="108"/>
    </row>
    <row r="83" spans="16:35" ht="15" customHeight="1">
      <c r="P83" s="29"/>
      <c r="W83" s="103"/>
      <c r="X83" s="103"/>
      <c r="Y83" s="101"/>
      <c r="Z83" s="48"/>
      <c r="AA83" s="206"/>
    </row>
    <row r="84" spans="16:35" ht="15" customHeight="1"/>
    <row r="85" spans="16:35" ht="15" customHeight="1">
      <c r="AD85" s="60" t="s">
        <v>200</v>
      </c>
      <c r="AE85" s="60" t="s">
        <v>211</v>
      </c>
    </row>
    <row r="86" spans="16:35" ht="15" customHeight="1">
      <c r="AD86" s="110" t="s">
        <v>201</v>
      </c>
      <c r="AE86" s="110" t="s">
        <v>212</v>
      </c>
    </row>
    <row r="87" spans="16:35" ht="15" customHeight="1">
      <c r="AD87" s="110" t="s">
        <v>202</v>
      </c>
      <c r="AE87" s="110" t="s">
        <v>213</v>
      </c>
    </row>
    <row r="88" spans="16:35" ht="15" customHeight="1">
      <c r="AD88" s="60" t="s">
        <v>203</v>
      </c>
      <c r="AE88" s="60" t="s">
        <v>214</v>
      </c>
    </row>
    <row r="89" spans="16:35" ht="15" customHeight="1">
      <c r="AC89" s="28" t="str">
        <f>AC62</f>
        <v>Mar 2010</v>
      </c>
      <c r="AD89" s="123">
        <f>AH62</f>
        <v>3.9162561576354671E-2</v>
      </c>
      <c r="AE89" s="109">
        <f>AE62/AE58-1</f>
        <v>2.0465116279069662E-2</v>
      </c>
    </row>
    <row r="90" spans="16:35" ht="15" customHeight="1">
      <c r="AC90" s="28" t="str">
        <f>AC66</f>
        <v>Mar 2011</v>
      </c>
      <c r="AD90" s="109">
        <f>AH66</f>
        <v>2.465039108793543E-2</v>
      </c>
      <c r="AE90" s="109">
        <f>AE66/AE62-1</f>
        <v>4.4667274384685429E-2</v>
      </c>
    </row>
    <row r="91" spans="16:35" ht="15" customHeight="1">
      <c r="AC91" s="28" t="str">
        <f>AC70</f>
        <v>Mar 2012</v>
      </c>
      <c r="AD91" s="109">
        <f>AH70</f>
        <v>1.7811704834605591E-2</v>
      </c>
      <c r="AE91" s="109">
        <f>AE70/AE66-1</f>
        <v>1.5706806282722585E-2</v>
      </c>
    </row>
    <row r="92" spans="16:35" ht="15" customHeight="1">
      <c r="AC92" s="28" t="str">
        <f>AC74</f>
        <v>Mar 2013</v>
      </c>
      <c r="AD92" s="109">
        <f>AH74</f>
        <v>4.5909090909090899E-2</v>
      </c>
      <c r="AE92" s="109">
        <f>AE74/AE70-1</f>
        <v>1.8900343642611617E-2</v>
      </c>
    </row>
    <row r="93" spans="16:35" ht="15" customHeight="1">
      <c r="AC93" s="28" t="str">
        <f>AC78</f>
        <v>Mar 2014</v>
      </c>
      <c r="AD93" s="109">
        <f>AH78</f>
        <v>1.4341590612777066E-2</v>
      </c>
      <c r="AE93" s="109">
        <f>AE78/AE74-1</f>
        <v>2.1079258010118007E-2</v>
      </c>
    </row>
    <row r="94" spans="16:35" ht="15" customHeight="1">
      <c r="AC94" s="28" t="str">
        <f t="shared" ref="AC94" si="11">AC82</f>
        <v>Mar 2015</v>
      </c>
      <c r="AD94" s="109">
        <f t="shared" ref="AD94" si="12">AH82</f>
        <v>1.9484909073598011E-2</v>
      </c>
      <c r="AE94" s="109">
        <f>AE82/AE78-1</f>
        <v>2.2295623451692892E-2</v>
      </c>
    </row>
    <row r="95" spans="16:35" ht="15" customHeight="1">
      <c r="AD95" s="109"/>
      <c r="AE95" s="109"/>
    </row>
    <row r="96" spans="16:35" ht="15" customHeight="1">
      <c r="X96" s="180"/>
      <c r="Y96" s="181"/>
      <c r="Z96" s="181"/>
      <c r="AA96" s="181"/>
      <c r="AB96" s="181"/>
      <c r="AC96" s="181"/>
      <c r="AD96" s="181"/>
      <c r="AE96" s="183" t="str">
        <f>"CPI changes as forecast in August 2012, " &amp; IF(AE15=1,"not adjusted for the impact of GST changes in 2010","adjusted for the impact of GST changes in 2010")</f>
        <v>CPI changes as forecast in August 2012, not adjusted for the impact of GST changes in 2010</v>
      </c>
    </row>
    <row r="97" spans="24:31" ht="15" customHeight="1">
      <c r="X97" s="187"/>
      <c r="Y97" s="48"/>
      <c r="Z97" s="48"/>
      <c r="AA97" s="48"/>
      <c r="AB97" s="48"/>
      <c r="AC97" s="48"/>
      <c r="AD97" s="48"/>
      <c r="AE97" s="186"/>
    </row>
    <row r="98" spans="24:31" ht="15" customHeight="1">
      <c r="X98" s="187"/>
      <c r="Y98" s="48"/>
      <c r="Z98" s="48" t="str">
        <f>AC89</f>
        <v>Mar 2010</v>
      </c>
      <c r="AA98" s="48" t="str">
        <f>AC90</f>
        <v>Mar 2011</v>
      </c>
      <c r="AB98" s="48" t="str">
        <f>AC91</f>
        <v>Mar 2012</v>
      </c>
      <c r="AC98" s="48" t="str">
        <f>AC92</f>
        <v>Mar 2013</v>
      </c>
      <c r="AD98" s="48" t="str">
        <f>AC93</f>
        <v>Mar 2014</v>
      </c>
      <c r="AE98" s="186" t="str">
        <f>AC94</f>
        <v>Mar 2015</v>
      </c>
    </row>
    <row r="99" spans="24:31" ht="15" customHeight="1">
      <c r="X99" s="187"/>
      <c r="Y99" s="188" t="s">
        <v>215</v>
      </c>
      <c r="Z99" s="185">
        <f>AD89</f>
        <v>3.9162561576354671E-2</v>
      </c>
      <c r="AA99" s="185">
        <f>AD90</f>
        <v>2.465039108793543E-2</v>
      </c>
      <c r="AB99" s="185">
        <f>AD91</f>
        <v>1.7811704834605591E-2</v>
      </c>
      <c r="AC99" s="185">
        <f>AD92</f>
        <v>4.5909090909090899E-2</v>
      </c>
      <c r="AD99" s="185">
        <f>AD93</f>
        <v>1.4341590612777066E-2</v>
      </c>
      <c r="AE99" s="189">
        <f>AD94</f>
        <v>1.9484909073598011E-2</v>
      </c>
    </row>
    <row r="100" spans="24:31" ht="15" customHeight="1">
      <c r="X100" s="190"/>
      <c r="Y100" s="191" t="s">
        <v>216</v>
      </c>
      <c r="Z100" s="192">
        <f>AE89</f>
        <v>2.0465116279069662E-2</v>
      </c>
      <c r="AA100" s="192">
        <f>AE90</f>
        <v>4.4667274384685429E-2</v>
      </c>
      <c r="AB100" s="192">
        <f>AE91</f>
        <v>1.5706806282722585E-2</v>
      </c>
      <c r="AC100" s="192">
        <f>AE92</f>
        <v>1.8900343642611617E-2</v>
      </c>
      <c r="AD100" s="192">
        <f>AE93</f>
        <v>2.1079258010118007E-2</v>
      </c>
      <c r="AE100" s="193">
        <f>AE94</f>
        <v>2.2295623451692892E-2</v>
      </c>
    </row>
    <row r="101" spans="24:31" ht="15" customHeight="1"/>
    <row r="102" spans="24:31" ht="15" customHeight="1"/>
    <row r="103" spans="24:31" ht="15" customHeight="1"/>
    <row r="104" spans="24:31" ht="15" customHeight="1"/>
    <row r="105" spans="24:31" ht="15" customHeight="1"/>
    <row r="106" spans="24:31" ht="15" customHeight="1"/>
    <row r="107" spans="24:31" ht="15" customHeight="1"/>
    <row r="108" spans="24:31" ht="15" customHeight="1"/>
    <row r="109" spans="24:31" ht="15" customHeight="1"/>
    <row r="110" spans="24:31" ht="15" customHeight="1"/>
    <row r="111" spans="24:31" ht="15" customHeight="1"/>
    <row r="112" spans="24:31"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3">
    <mergeCell ref="D14:E15"/>
    <mergeCell ref="J14:K15"/>
    <mergeCell ref="P14:Q15"/>
  </mergeCells>
  <dataValidations count="1">
    <dataValidation type="list" allowBlank="1" showInputMessage="1" showErrorMessage="1" sqref="AE15">
      <formula1>"1,1.02"</formula1>
    </dataValidation>
  </dataValidations>
  <printOptions horizontalCentered="1"/>
  <pageMargins left="0.39370078740157483" right="0.39370078740157483" top="0.62992125984251968" bottom="0.62992125984251968" header="0.19685039370078741" footer="0.39370078740157483"/>
  <pageSetup paperSize="9" scale="30" orientation="landscape" r:id="rId1"/>
</worksheet>
</file>

<file path=xl/worksheets/sheet3.xml><?xml version="1.0" encoding="utf-8"?>
<worksheet xmlns="http://schemas.openxmlformats.org/spreadsheetml/2006/main" xmlns:r="http://schemas.openxmlformats.org/officeDocument/2006/relationships">
  <sheetPr codeName="Sheet6">
    <pageSetUpPr fitToPage="1"/>
  </sheetPr>
  <dimension ref="A2:AB39"/>
  <sheetViews>
    <sheetView zoomScale="85" zoomScaleNormal="85" workbookViewId="0"/>
  </sheetViews>
  <sheetFormatPr defaultRowHeight="15"/>
  <cols>
    <col min="1" max="1" width="2.42578125" style="229" customWidth="1"/>
    <col min="2" max="2" width="2.7109375" style="229" customWidth="1"/>
    <col min="3" max="3" width="42.140625" style="229" customWidth="1"/>
    <col min="4" max="4" width="6.140625" style="229" customWidth="1"/>
    <col min="5" max="18" width="10.85546875" style="229" customWidth="1"/>
    <col min="19" max="19" width="11.5703125" style="229" bestFit="1" customWidth="1"/>
    <col min="20" max="20" width="10.85546875" style="229" customWidth="1"/>
    <col min="21" max="21" width="3.140625" style="229" customWidth="1"/>
    <col min="22" max="22" width="12.5703125" style="229" bestFit="1" customWidth="1"/>
    <col min="23" max="23" width="10.7109375" style="229" bestFit="1" customWidth="1"/>
    <col min="24" max="26" width="9.140625" style="229"/>
    <col min="27" max="27" width="13.7109375" style="229" customWidth="1"/>
    <col min="28" max="16384" width="9.140625" style="229"/>
  </cols>
  <sheetData>
    <row r="2" spans="1:28" ht="50.25" customHeight="1">
      <c r="B2" s="348" t="s">
        <v>519</v>
      </c>
    </row>
    <row r="3" spans="1:28">
      <c r="E3" s="248"/>
    </row>
    <row r="4" spans="1:28" ht="9.75" customHeight="1">
      <c r="C4" s="249"/>
      <c r="E4" s="250"/>
      <c r="F4" s="250"/>
      <c r="G4" s="250"/>
      <c r="H4" s="250"/>
      <c r="I4" s="250"/>
      <c r="J4" s="250"/>
      <c r="K4" s="250"/>
      <c r="L4" s="250"/>
      <c r="M4" s="250"/>
      <c r="N4" s="250"/>
      <c r="O4" s="250"/>
      <c r="P4" s="250"/>
      <c r="Q4" s="250"/>
      <c r="R4" s="250"/>
      <c r="S4" s="250"/>
      <c r="T4" s="250"/>
    </row>
    <row r="5" spans="1:28" ht="69" customHeight="1">
      <c r="C5" s="251"/>
      <c r="D5" s="252" t="s">
        <v>170</v>
      </c>
      <c r="E5" s="253" t="str">
        <f ca="1">Alp!C1</f>
        <v xml:space="preserve">Alpine Energy </v>
      </c>
      <c r="F5" s="253" t="str">
        <f ca="1">Aur!C1</f>
        <v>Aurora Energy</v>
      </c>
      <c r="G5" s="253" t="str">
        <f ca="1">Ctl!C1</f>
        <v xml:space="preserve">Centralines </v>
      </c>
      <c r="H5" s="253" t="str">
        <f ca="1">Est!C1</f>
        <v xml:space="preserve">Eastland </v>
      </c>
      <c r="I5" s="253" t="str">
        <f ca="1">Ash!C1</f>
        <v>Electricity Ashburton</v>
      </c>
      <c r="J5" s="253" t="str">
        <f ca="1">Inv!C1</f>
        <v>Electricity Invercargill</v>
      </c>
      <c r="K5" s="253" t="str">
        <f ca="1">Hoz!C1</f>
        <v xml:space="preserve">Horizon Energy </v>
      </c>
      <c r="L5" s="253" t="str">
        <f ca="1">Nel!C1</f>
        <v xml:space="preserve">Nelson Electricity </v>
      </c>
      <c r="M5" s="253" t="str">
        <f ca="1">Tas!C1</f>
        <v xml:space="preserve">Network Tasman </v>
      </c>
      <c r="N5" s="253" t="str">
        <f ca="1">Ota!C1</f>
        <v xml:space="preserve">OtagoNet </v>
      </c>
      <c r="O5" s="253" t="str">
        <f ca="1">Pco!C1</f>
        <v xml:space="preserve">Powerco </v>
      </c>
      <c r="P5" s="253" t="str">
        <f ca="1">TLC!C1</f>
        <v>The Lines Company</v>
      </c>
      <c r="Q5" s="253" t="str">
        <f ca="1">Top!C1</f>
        <v xml:space="preserve">Top Energy </v>
      </c>
      <c r="R5" s="253" t="str">
        <f ca="1">Uni!C1</f>
        <v xml:space="preserve">Unison </v>
      </c>
      <c r="S5" s="253" t="str">
        <f ca="1">Vct!C1</f>
        <v xml:space="preserve">Vector </v>
      </c>
      <c r="T5" s="253" t="str">
        <f ca="1">Wel!C1</f>
        <v xml:space="preserve">Wellington Electricity </v>
      </c>
      <c r="V5" s="253" t="s">
        <v>369</v>
      </c>
    </row>
    <row r="6" spans="1:28">
      <c r="C6" s="251" t="s">
        <v>413</v>
      </c>
      <c r="D6" s="252"/>
      <c r="E6" s="229" t="str">
        <f ca="1">Alp!C1</f>
        <v xml:space="preserve">Alpine Energy </v>
      </c>
      <c r="F6" s="229" t="str">
        <f ca="1">Aur!C1</f>
        <v>Aurora Energy</v>
      </c>
      <c r="G6" s="229" t="str">
        <f ca="1">Ctl!C1</f>
        <v xml:space="preserve">Centralines </v>
      </c>
      <c r="H6" s="229" t="str">
        <f ca="1">Est!C1</f>
        <v xml:space="preserve">Eastland </v>
      </c>
      <c r="I6" s="229" t="str">
        <f ca="1">Ash!C1</f>
        <v>Electricity Ashburton</v>
      </c>
      <c r="J6" s="229" t="str">
        <f ca="1">Inv!C1</f>
        <v>Electricity Invercargill</v>
      </c>
      <c r="K6" s="229" t="str">
        <f ca="1">Hoz!C1</f>
        <v xml:space="preserve">Horizon Energy </v>
      </c>
      <c r="L6" s="229" t="str">
        <f ca="1">Nel!C1</f>
        <v xml:space="preserve">Nelson Electricity </v>
      </c>
      <c r="M6" s="229" t="str">
        <f ca="1">Tas!C1</f>
        <v xml:space="preserve">Network Tasman </v>
      </c>
      <c r="N6" s="229" t="str">
        <f ca="1">Ota!C1</f>
        <v xml:space="preserve">OtagoNet </v>
      </c>
      <c r="O6" s="229" t="str">
        <f ca="1">Pco!C1</f>
        <v xml:space="preserve">Powerco </v>
      </c>
      <c r="P6" s="229" t="str">
        <f ca="1">TLC!C1</f>
        <v>The Lines Company</v>
      </c>
      <c r="Q6" s="229" t="str">
        <f ca="1">Top!C1</f>
        <v xml:space="preserve">Top Energy </v>
      </c>
      <c r="R6" s="229" t="str">
        <f ca="1">Uni!C1</f>
        <v xml:space="preserve">Unison </v>
      </c>
      <c r="S6" s="229" t="str">
        <f ca="1">Vct!C1</f>
        <v xml:space="preserve">Vector </v>
      </c>
      <c r="T6" s="229" t="str">
        <f ca="1">Wel!C1</f>
        <v xml:space="preserve">Wellington Electricity </v>
      </c>
    </row>
    <row r="7" spans="1:28" ht="29.25" customHeight="1">
      <c r="A7" s="254"/>
      <c r="C7" s="251" t="s">
        <v>412</v>
      </c>
      <c r="E7" s="254">
        <f>Alp!F227</f>
        <v>23793.741445818861</v>
      </c>
      <c r="F7" s="254">
        <f>Aur!F227</f>
        <v>53568.578499176241</v>
      </c>
      <c r="G7" s="254">
        <f>Ctl!F227</f>
        <v>6507.4136915277222</v>
      </c>
      <c r="H7" s="254">
        <f>Est!F227</f>
        <v>19389.52297403257</v>
      </c>
      <c r="I7" s="254">
        <f>Ash!F227</f>
        <v>23134.747964111397</v>
      </c>
      <c r="J7" s="254">
        <f>Inv!F227</f>
        <v>11424.204923614003</v>
      </c>
      <c r="K7" s="254">
        <f>Hoz!F227</f>
        <v>19964.539856402356</v>
      </c>
      <c r="L7" s="254">
        <f>Nel!F227</f>
        <v>5983.2528040727248</v>
      </c>
      <c r="M7" s="254">
        <f>Tas!F227</f>
        <v>23722.03311969139</v>
      </c>
      <c r="N7" s="254">
        <f>Ota!F227</f>
        <v>19899.907926763048</v>
      </c>
      <c r="O7" s="254">
        <f>Pco!F227</f>
        <v>225434.93694647009</v>
      </c>
      <c r="P7" s="254">
        <f>TLC!F227</f>
        <v>24316.944763235242</v>
      </c>
      <c r="Q7" s="254">
        <f>Top!F227</f>
        <v>21961.599920396406</v>
      </c>
      <c r="R7" s="254">
        <f>Uni!F227</f>
        <v>79377.069114990605</v>
      </c>
      <c r="S7" s="254">
        <f>Vct!F227</f>
        <v>395584.26221780217</v>
      </c>
      <c r="T7" s="254">
        <f>Wel!F227</f>
        <v>103257.75862042404</v>
      </c>
      <c r="U7" s="254"/>
      <c r="V7" s="254"/>
    </row>
    <row r="8" spans="1:28">
      <c r="A8" s="254"/>
      <c r="C8" s="251" t="s">
        <v>414</v>
      </c>
      <c r="D8" s="252"/>
      <c r="E8" s="254">
        <f>Alp!G227</f>
        <v>24474.095217911112</v>
      </c>
      <c r="F8" s="254">
        <f>Aur!G227</f>
        <v>52580.797710794097</v>
      </c>
      <c r="G8" s="254">
        <f>Ctl!G227</f>
        <v>6509.2583496529287</v>
      </c>
      <c r="H8" s="254">
        <f>Est!G227</f>
        <v>19387.325677295823</v>
      </c>
      <c r="I8" s="254">
        <f>Ash!G227</f>
        <v>24273.569862746786</v>
      </c>
      <c r="J8" s="254">
        <f>Inv!G227</f>
        <v>11625.173373323538</v>
      </c>
      <c r="K8" s="254">
        <f>Hoz!G227</f>
        <v>20056.334265742033</v>
      </c>
      <c r="L8" s="254">
        <f>Nel!G227</f>
        <v>6060.9790636570424</v>
      </c>
      <c r="M8" s="254">
        <f>Tas!G227</f>
        <v>24057.15181834103</v>
      </c>
      <c r="N8" s="254">
        <f>Ota!G227</f>
        <v>19845.063894754552</v>
      </c>
      <c r="O8" s="254">
        <f>Pco!G227</f>
        <v>229841.47537355384</v>
      </c>
      <c r="P8" s="254">
        <f>TLC!G227</f>
        <v>24550.746730642717</v>
      </c>
      <c r="Q8" s="254">
        <f>Top!G227</f>
        <v>22402.116386980048</v>
      </c>
      <c r="R8" s="254">
        <f>Uni!G227</f>
        <v>79747.64455562814</v>
      </c>
      <c r="S8" s="254">
        <f>Vct!G227</f>
        <v>409568.4312528281</v>
      </c>
      <c r="T8" s="254">
        <f>Wel!G227</f>
        <v>106292.55475055723</v>
      </c>
      <c r="U8" s="254"/>
      <c r="V8" s="254"/>
    </row>
    <row r="9" spans="1:28">
      <c r="A9" s="254"/>
      <c r="C9" s="251" t="s">
        <v>415</v>
      </c>
      <c r="D9" s="252"/>
      <c r="E9" s="254">
        <f>Alp!H227</f>
        <v>25693.383186292409</v>
      </c>
      <c r="F9" s="254">
        <f>Aur!H227</f>
        <v>55125.972294435487</v>
      </c>
      <c r="G9" s="254">
        <f>Ctl!H227</f>
        <v>6820.1959088399299</v>
      </c>
      <c r="H9" s="254">
        <f>Est!H227</f>
        <v>20323.653371664055</v>
      </c>
      <c r="I9" s="254">
        <f>Ash!H227</f>
        <v>25665.260732853119</v>
      </c>
      <c r="J9" s="254">
        <f>Inv!H227</f>
        <v>12164.159134954396</v>
      </c>
      <c r="K9" s="254">
        <f>Hoz!H227</f>
        <v>21039.726980153762</v>
      </c>
      <c r="L9" s="254">
        <f>Nel!H227</f>
        <v>6416.267361910649</v>
      </c>
      <c r="M9" s="254">
        <f>Tas!H227</f>
        <v>25477.386622335256</v>
      </c>
      <c r="N9" s="254">
        <f>Ota!H227</f>
        <v>20730.141043139858</v>
      </c>
      <c r="O9" s="254">
        <f>Pco!H227</f>
        <v>242006.7779075935</v>
      </c>
      <c r="P9" s="254">
        <f>TLC!H227</f>
        <v>25765.119945815906</v>
      </c>
      <c r="Q9" s="254">
        <f>Top!H227</f>
        <v>23540.141676202897</v>
      </c>
      <c r="R9" s="254">
        <f>Uni!H227</f>
        <v>83788.685109123529</v>
      </c>
      <c r="S9" s="254">
        <f>Vct!H227</f>
        <v>434980.47006392456</v>
      </c>
      <c r="T9" s="254">
        <f>Wel!H227</f>
        <v>111970.77814961835</v>
      </c>
      <c r="U9" s="254"/>
      <c r="V9" s="254"/>
    </row>
    <row r="10" spans="1:28">
      <c r="A10" s="254"/>
      <c r="C10" s="251" t="s">
        <v>416</v>
      </c>
      <c r="D10" s="252"/>
      <c r="E10" s="254">
        <f>Alp!I227</f>
        <v>26435.98299710557</v>
      </c>
      <c r="F10" s="254">
        <f>Aur!I227</f>
        <v>56676.862382798005</v>
      </c>
      <c r="G10" s="254">
        <f>Ctl!I227</f>
        <v>6997.9708367954545</v>
      </c>
      <c r="H10" s="254">
        <f>Est!I227</f>
        <v>20863.708645515831</v>
      </c>
      <c r="I10" s="254">
        <f>Ash!I227</f>
        <v>26626.33439536329</v>
      </c>
      <c r="J10" s="254">
        <f>Inv!I227</f>
        <v>12466.389403067435</v>
      </c>
      <c r="K10" s="254">
        <f>Hoz!I227</f>
        <v>21627.135270695595</v>
      </c>
      <c r="L10" s="254">
        <f>Nel!I227</f>
        <v>6613.7605494049039</v>
      </c>
      <c r="M10" s="254">
        <f>Tas!I227</f>
        <v>26278.613910340257</v>
      </c>
      <c r="N10" s="254">
        <f>Ota!I227</f>
        <v>21223.228160157752</v>
      </c>
      <c r="O10" s="254">
        <f>Pco!I227</f>
        <v>249347.30775052769</v>
      </c>
      <c r="P10" s="254">
        <f>TLC!I227</f>
        <v>26403.62965831596</v>
      </c>
      <c r="Q10" s="254">
        <f>Top!I227</f>
        <v>24201.442443214026</v>
      </c>
      <c r="R10" s="254">
        <f>Uni!I227</f>
        <v>86207.546383812951</v>
      </c>
      <c r="S10" s="254">
        <f>Vct!I227</f>
        <v>452019.76691234461</v>
      </c>
      <c r="T10" s="254">
        <f>Wel!I227</f>
        <v>115546.05278203904</v>
      </c>
      <c r="U10" s="254"/>
      <c r="V10" s="254">
        <f>SUM(E10:T10)</f>
        <v>1179535.7324814983</v>
      </c>
    </row>
    <row r="11" spans="1:28">
      <c r="A11" s="254"/>
      <c r="C11" s="251" t="s">
        <v>417</v>
      </c>
      <c r="D11" s="252"/>
      <c r="E11" s="254">
        <f>Alp!J227</f>
        <v>27200.469820764261</v>
      </c>
      <c r="F11" s="254">
        <f>Aur!J227</f>
        <v>58284.521076369223</v>
      </c>
      <c r="G11" s="254">
        <f>Ctl!J227</f>
        <v>7184.105195474991</v>
      </c>
      <c r="H11" s="254">
        <f>Est!J227</f>
        <v>21429.925793116923</v>
      </c>
      <c r="I11" s="254">
        <f>Ash!J227</f>
        <v>27634.099659541782</v>
      </c>
      <c r="J11" s="254">
        <f>Inv!J227</f>
        <v>12777.115788854642</v>
      </c>
      <c r="K11" s="254">
        <f>Hoz!J227</f>
        <v>22241.525696555498</v>
      </c>
      <c r="L11" s="254">
        <f>Nel!J227</f>
        <v>6821.7938288732475</v>
      </c>
      <c r="M11" s="254">
        <f>Tas!J227</f>
        <v>27121.798911231646</v>
      </c>
      <c r="N11" s="254">
        <f>Ota!J227</f>
        <v>21728.527435381264</v>
      </c>
      <c r="O11" s="254">
        <f>Pco!J227</f>
        <v>256949.70647557618</v>
      </c>
      <c r="P11" s="254">
        <f>TLC!J227</f>
        <v>27066.062603406408</v>
      </c>
      <c r="Q11" s="254">
        <f>Top!J227</f>
        <v>24881.488212244447</v>
      </c>
      <c r="R11" s="254">
        <f>Uni!J227</f>
        <v>88738.665486063997</v>
      </c>
      <c r="S11" s="254">
        <f>Vct!J227</f>
        <v>469826.31087283947</v>
      </c>
      <c r="T11" s="254">
        <f>Wel!J227</f>
        <v>119250.73475392361</v>
      </c>
      <c r="U11" s="254"/>
      <c r="V11" s="254">
        <f>SUM(E11:T11)</f>
        <v>1219136.8516102177</v>
      </c>
    </row>
    <row r="12" spans="1:28" ht="29.25" customHeight="1">
      <c r="A12" s="254"/>
      <c r="C12" s="251" t="s">
        <v>422</v>
      </c>
      <c r="D12" s="252"/>
      <c r="E12" s="254">
        <f>Alp!F276</f>
        <v>33616.219319092153</v>
      </c>
      <c r="F12" s="254">
        <f>Aur!F276</f>
        <v>56860.151415217115</v>
      </c>
      <c r="G12" s="254">
        <f>Ctl!F276</f>
        <v>9409.7758116959303</v>
      </c>
      <c r="H12" s="254">
        <f>Est!F276</f>
        <v>19600.491032814425</v>
      </c>
      <c r="I12" s="254">
        <f>Ash!F276</f>
        <v>25761.58103020017</v>
      </c>
      <c r="J12" s="254">
        <f>Inv!F276</f>
        <v>11710.916172198384</v>
      </c>
      <c r="K12" s="254">
        <f>Hoz!F276</f>
        <v>19146.935424912161</v>
      </c>
      <c r="L12" s="254">
        <f>Nel!F276</f>
        <v>6487.9577123503377</v>
      </c>
      <c r="M12" s="254">
        <f>Tas!F276</f>
        <v>25801.560775525832</v>
      </c>
      <c r="N12" s="254">
        <f>Ota!F276</f>
        <v>23325.186680227005</v>
      </c>
      <c r="O12" s="254">
        <f>Pco!F276</f>
        <v>230151.31613640138</v>
      </c>
      <c r="P12" s="254">
        <f>TLC!F276</f>
        <v>30184.691297609177</v>
      </c>
      <c r="Q12" s="254">
        <f>Top!F276</f>
        <v>31607.449756115486</v>
      </c>
      <c r="R12" s="254">
        <f>Uni!F276</f>
        <v>87299.326370399343</v>
      </c>
      <c r="S12" s="254">
        <f>Vct!F276</f>
        <v>362236.74960733176</v>
      </c>
      <c r="T12" s="254">
        <f>Wel!F276</f>
        <v>97796.812312538867</v>
      </c>
      <c r="U12" s="254"/>
      <c r="V12" s="254"/>
      <c r="AA12" s="254"/>
      <c r="AB12" s="272"/>
    </row>
    <row r="13" spans="1:28">
      <c r="A13" s="254"/>
      <c r="C13" s="251" t="s">
        <v>423</v>
      </c>
      <c r="D13" s="252"/>
      <c r="E13" s="254">
        <f>Alp!G276</f>
        <v>34577.435177863445</v>
      </c>
      <c r="F13" s="254">
        <f>Aur!G276</f>
        <v>55811.675484624429</v>
      </c>
      <c r="G13" s="254">
        <f>Ctl!G276</f>
        <v>9412.4432031098204</v>
      </c>
      <c r="H13" s="254">
        <f>Est!G276</f>
        <v>19598.269828350411</v>
      </c>
      <c r="I13" s="254">
        <f>Ash!G276</f>
        <v>27029.710368206073</v>
      </c>
      <c r="J13" s="254">
        <f>Inv!G276</f>
        <v>11916.928291513597</v>
      </c>
      <c r="K13" s="254">
        <f>Hoz!G276</f>
        <v>19234.970593297527</v>
      </c>
      <c r="L13" s="254">
        <f>Nel!G276</f>
        <v>6572.240409711706</v>
      </c>
      <c r="M13" s="254">
        <f>Tas!G276</f>
        <v>26166.056745436876</v>
      </c>
      <c r="N13" s="254">
        <f>Ota!G276</f>
        <v>23260.90259963716</v>
      </c>
      <c r="O13" s="254">
        <f>Pco!G276</f>
        <v>234650.04482653239</v>
      </c>
      <c r="P13" s="254">
        <f>TLC!G276</f>
        <v>30474.910331278166</v>
      </c>
      <c r="Q13" s="254">
        <f>Top!G276</f>
        <v>32241.447376268501</v>
      </c>
      <c r="R13" s="254">
        <f>Uni!G276</f>
        <v>87706.887227681756</v>
      </c>
      <c r="S13" s="254">
        <f>Vct!G276</f>
        <v>375042.06170141674</v>
      </c>
      <c r="T13" s="254">
        <f>Wel!G276</f>
        <v>100671.10855439775</v>
      </c>
      <c r="U13" s="254"/>
      <c r="V13" s="254"/>
      <c r="AA13" s="254"/>
      <c r="AB13" s="272"/>
    </row>
    <row r="14" spans="1:28">
      <c r="A14" s="254"/>
      <c r="C14" s="251" t="s">
        <v>424</v>
      </c>
      <c r="D14" s="252"/>
      <c r="E14" s="254">
        <f>Alp!H276</f>
        <v>36300.066814067868</v>
      </c>
      <c r="F14" s="254">
        <f>Aur!H276</f>
        <v>58513.240772682926</v>
      </c>
      <c r="G14" s="254">
        <f>Ctl!H276</f>
        <v>9862.0615710329948</v>
      </c>
      <c r="H14" s="254">
        <f>Est!H276</f>
        <v>20544.785253295056</v>
      </c>
      <c r="I14" s="254">
        <f>Ash!H276</f>
        <v>28579.420664374029</v>
      </c>
      <c r="J14" s="254">
        <f>Inv!H276</f>
        <v>12469.440883389507</v>
      </c>
      <c r="K14" s="254">
        <f>Hoz!H276</f>
        <v>20178.090591834953</v>
      </c>
      <c r="L14" s="254">
        <f>Nel!H276</f>
        <v>6957.4983171150616</v>
      </c>
      <c r="M14" s="254">
        <f>Tas!H276</f>
        <v>27710.79257924515</v>
      </c>
      <c r="N14" s="254">
        <f>Ota!H276</f>
        <v>24298.323968040866</v>
      </c>
      <c r="O14" s="254">
        <f>Pco!H276</f>
        <v>247069.86061609455</v>
      </c>
      <c r="P14" s="254">
        <f>TLC!H276</f>
        <v>31982.315187315311</v>
      </c>
      <c r="Q14" s="254">
        <f>Top!H276</f>
        <v>33879.309703270163</v>
      </c>
      <c r="R14" s="254">
        <f>Uni!H276</f>
        <v>92151.245303495234</v>
      </c>
      <c r="S14" s="254">
        <f>Vct!H276</f>
        <v>398311.88110277284</v>
      </c>
      <c r="T14" s="254">
        <f>Wel!H276</f>
        <v>106049.03032459594</v>
      </c>
      <c r="U14" s="254"/>
      <c r="V14" s="254"/>
      <c r="AA14" s="254"/>
      <c r="AB14" s="272"/>
    </row>
    <row r="15" spans="1:28">
      <c r="A15" s="254"/>
      <c r="C15" s="251" t="s">
        <v>425</v>
      </c>
      <c r="D15" s="252"/>
      <c r="E15" s="254">
        <f>Alp!I276</f>
        <v>30401.380446671406</v>
      </c>
      <c r="F15" s="254">
        <f>Aur!I276</f>
        <v>60159.426796715801</v>
      </c>
      <c r="G15" s="254">
        <f>Ctl!I276</f>
        <v>8047.6664623147717</v>
      </c>
      <c r="H15" s="254">
        <f>Est!I276</f>
        <v>21090.716608415671</v>
      </c>
      <c r="I15" s="254">
        <f>Ash!I276</f>
        <v>29649.619357316566</v>
      </c>
      <c r="J15" s="254">
        <f>Inv!I276</f>
        <v>12779.256171038702</v>
      </c>
      <c r="K15" s="254">
        <f>Hoz!I276</f>
        <v>20741.442849786225</v>
      </c>
      <c r="L15" s="254">
        <f>Nel!I276</f>
        <v>7171.6506337391929</v>
      </c>
      <c r="M15" s="254">
        <f>Tas!I276</f>
        <v>28582.25728305717</v>
      </c>
      <c r="N15" s="254">
        <f>Ota!I276</f>
        <v>23616.670364890215</v>
      </c>
      <c r="O15" s="254">
        <f>Pco!I276</f>
        <v>254563.96347066225</v>
      </c>
      <c r="P15" s="254">
        <f>TLC!I276</f>
        <v>30364.174107063354</v>
      </c>
      <c r="Q15" s="254">
        <f>Top!I276</f>
        <v>27831.658809696128</v>
      </c>
      <c r="R15" s="254">
        <f>Uni!I276</f>
        <v>94811.521907534669</v>
      </c>
      <c r="S15" s="254">
        <f>Vct!I276</f>
        <v>413914.77559448488</v>
      </c>
      <c r="T15" s="254">
        <f>Wel!I276</f>
        <v>109435.22102701032</v>
      </c>
      <c r="U15" s="254"/>
      <c r="V15" s="254">
        <f>SUM(E15:T15)</f>
        <v>1173161.4018903973</v>
      </c>
      <c r="W15" s="259"/>
      <c r="AA15" s="254"/>
      <c r="AB15" s="272"/>
    </row>
    <row r="16" spans="1:28">
      <c r="A16" s="254"/>
      <c r="C16" s="251" t="s">
        <v>426</v>
      </c>
      <c r="D16" s="252"/>
      <c r="E16" s="254">
        <f>Alp!J276</f>
        <v>35972.621337960729</v>
      </c>
      <c r="F16" s="254">
        <f>Aur!J276</f>
        <v>61865.869627597633</v>
      </c>
      <c r="G16" s="254">
        <f>Ctl!J276</f>
        <v>9500.9791210156727</v>
      </c>
      <c r="H16" s="254">
        <f>Est!J276</f>
        <v>21663.094492030657</v>
      </c>
      <c r="I16" s="254">
        <f>Ash!J276</f>
        <v>30771.811246021345</v>
      </c>
      <c r="J16" s="254">
        <f>Inv!J276</f>
        <v>13097.7808019233</v>
      </c>
      <c r="K16" s="254">
        <f>Hoz!J276</f>
        <v>21330.672248221443</v>
      </c>
      <c r="L16" s="254">
        <f>Nel!J276</f>
        <v>7397.2321299837495</v>
      </c>
      <c r="M16" s="254">
        <f>Tas!J276</f>
        <v>29499.357808789598</v>
      </c>
      <c r="N16" s="254">
        <f>Ota!J276</f>
        <v>26838.639595852361</v>
      </c>
      <c r="O16" s="254">
        <f>Pco!J276</f>
        <v>262325.41382996965</v>
      </c>
      <c r="P16" s="254">
        <f>TLC!J276</f>
        <v>35794.867793004967</v>
      </c>
      <c r="Q16" s="254">
        <f>Top!J276</f>
        <v>32905.768160693282</v>
      </c>
      <c r="R16" s="254">
        <f>Uni!J276</f>
        <v>97595.260272447878</v>
      </c>
      <c r="S16" s="254">
        <f>Vct!J276</f>
        <v>430220.23873355775</v>
      </c>
      <c r="T16" s="254">
        <f>Wel!J276</f>
        <v>112943.97516154349</v>
      </c>
      <c r="U16" s="254"/>
      <c r="V16" s="254">
        <f>SUM(E16:T16)</f>
        <v>1229723.5823606136</v>
      </c>
      <c r="AA16" s="254"/>
      <c r="AB16" s="272"/>
    </row>
    <row r="17" spans="1:28" ht="30" customHeight="1">
      <c r="A17" s="255"/>
      <c r="C17" s="251" t="s">
        <v>418</v>
      </c>
      <c r="D17" s="252"/>
      <c r="E17" s="255">
        <f>Alp!D231</f>
        <v>0.41281771072616841</v>
      </c>
      <c r="F17" s="255">
        <f>Aur!D231</f>
        <v>6.144596344089074E-2</v>
      </c>
      <c r="G17" s="255">
        <f>Ctl!D231</f>
        <v>0.44600854621351577</v>
      </c>
      <c r="H17" s="255">
        <f>Est!D231</f>
        <v>1.0880518260526479E-2</v>
      </c>
      <c r="I17" s="255">
        <f>Ash!D231</f>
        <v>0.11354491824003193</v>
      </c>
      <c r="J17" s="255">
        <f>Inv!D231</f>
        <v>2.5096822973802314E-2</v>
      </c>
      <c r="K17" s="255">
        <f>Hoz!D231</f>
        <v>-4.095283123833162E-2</v>
      </c>
      <c r="L17" s="255">
        <f>Nel!D231</f>
        <v>8.4352930555444267E-2</v>
      </c>
      <c r="M17" s="255">
        <f>Tas!D231</f>
        <v>8.7662286168391154E-2</v>
      </c>
      <c r="N17" s="255">
        <f>Ota!D231</f>
        <v>0.1721253568644586</v>
      </c>
      <c r="O17" s="255">
        <f>Pco!D231</f>
        <v>2.0921243414241533E-2</v>
      </c>
      <c r="P17" s="255">
        <f>TLC!D231</f>
        <v>0.24130278665786062</v>
      </c>
      <c r="Q17" s="255">
        <f>Top!D231</f>
        <v>0.43921435007841503</v>
      </c>
      <c r="R17" s="255">
        <f>Uni!D231</f>
        <v>9.9805363737127409E-2</v>
      </c>
      <c r="S17" s="255">
        <f>Vct!D231</f>
        <v>-8.4299391546850178E-2</v>
      </c>
      <c r="T17" s="255">
        <f>Wel!D231</f>
        <v>-5.2886547033812792E-2</v>
      </c>
      <c r="U17" s="255"/>
      <c r="V17" s="254"/>
      <c r="AA17" s="273"/>
      <c r="AB17" s="272"/>
    </row>
    <row r="18" spans="1:28" ht="30" customHeight="1">
      <c r="A18" s="255"/>
      <c r="C18" s="229" t="s">
        <v>451</v>
      </c>
      <c r="D18" s="252"/>
      <c r="E18" s="255">
        <f>Alp!D283</f>
        <v>0.15000000000000005</v>
      </c>
      <c r="F18" s="255">
        <f>Aur!D283</f>
        <v>6.144596344089065E-2</v>
      </c>
      <c r="G18" s="255">
        <f>Ctl!D283</f>
        <v>0.14999999999999986</v>
      </c>
      <c r="H18" s="255">
        <f>Est!D283</f>
        <v>1.0880518260526479E-2</v>
      </c>
      <c r="I18" s="255">
        <f>Ash!D283</f>
        <v>0.11354491824003195</v>
      </c>
      <c r="J18" s="255">
        <f>Inv!D283</f>
        <v>2.5096822973802203E-2</v>
      </c>
      <c r="K18" s="255">
        <f>Hoz!D283</f>
        <v>-4.0952831238331815E-2</v>
      </c>
      <c r="L18" s="255">
        <f>Nel!D283</f>
        <v>8.4352930555444294E-2</v>
      </c>
      <c r="M18" s="255">
        <f>Tas!D283</f>
        <v>8.7662286168391196E-2</v>
      </c>
      <c r="N18" s="255">
        <f>Ota!D283</f>
        <v>0.11277465363283697</v>
      </c>
      <c r="O18" s="255">
        <f>Pco!D283</f>
        <v>2.0921243414241422E-2</v>
      </c>
      <c r="P18" s="255">
        <f>TLC!D283</f>
        <v>0.15</v>
      </c>
      <c r="Q18" s="255">
        <f>Top!D283</f>
        <v>0.14999999999999991</v>
      </c>
      <c r="R18" s="255">
        <f>Uni!D283</f>
        <v>9.9805363737127215E-2</v>
      </c>
      <c r="S18" s="255">
        <f>Vct!D283</f>
        <v>-8.4299391546850275E-2</v>
      </c>
      <c r="T18" s="255">
        <f>Wel!D283</f>
        <v>-5.2886547033812743E-2</v>
      </c>
      <c r="U18" s="255"/>
      <c r="V18" s="254"/>
      <c r="AA18" s="273"/>
      <c r="AB18" s="272"/>
    </row>
    <row r="19" spans="1:28" ht="30" customHeight="1">
      <c r="A19" s="255"/>
      <c r="C19" s="229" t="s">
        <v>419</v>
      </c>
      <c r="D19" s="252"/>
      <c r="E19" s="255">
        <f>Alp!E22</f>
        <v>-0.15</v>
      </c>
      <c r="F19" s="255">
        <f>Aur!E22</f>
        <v>0</v>
      </c>
      <c r="G19" s="255">
        <f>Ctl!E22</f>
        <v>-0.15</v>
      </c>
      <c r="H19" s="255">
        <f>Est!E22</f>
        <v>0</v>
      </c>
      <c r="I19" s="255">
        <f>Ash!E22</f>
        <v>0</v>
      </c>
      <c r="J19" s="255">
        <f>Inv!E22</f>
        <v>0</v>
      </c>
      <c r="K19" s="255">
        <f>Hoz!E22</f>
        <v>0</v>
      </c>
      <c r="L19" s="255">
        <f>Nel!E22</f>
        <v>0</v>
      </c>
      <c r="M19" s="255">
        <f>Tas!E22</f>
        <v>0</v>
      </c>
      <c r="N19" s="255">
        <f>Ota!E22</f>
        <v>-0.11</v>
      </c>
      <c r="O19" s="255">
        <f>Pco!E22</f>
        <v>0</v>
      </c>
      <c r="P19" s="255">
        <f>TLC!E22</f>
        <v>-0.15</v>
      </c>
      <c r="Q19" s="255">
        <f>Top!E22</f>
        <v>-0.15</v>
      </c>
      <c r="R19" s="255">
        <f>Uni!E22</f>
        <v>0</v>
      </c>
      <c r="S19" s="255">
        <f>Vct!E22</f>
        <v>0</v>
      </c>
      <c r="T19" s="255">
        <f>Wel!E22</f>
        <v>0</v>
      </c>
      <c r="U19" s="255"/>
      <c r="V19" s="254"/>
      <c r="AA19" s="273"/>
      <c r="AB19" s="272"/>
    </row>
    <row r="20" spans="1:28" ht="30" customHeight="1">
      <c r="A20" s="255"/>
      <c r="C20" s="229" t="s">
        <v>420</v>
      </c>
      <c r="D20" s="252"/>
      <c r="E20" s="256">
        <f>Alp!E260</f>
        <v>1.0080993068373849</v>
      </c>
      <c r="F20" s="256">
        <f>Aur!E260</f>
        <v>1.0059887565452852</v>
      </c>
      <c r="G20" s="256">
        <f>Ctl!E260</f>
        <v>1.0033561501088941</v>
      </c>
      <c r="H20" s="256">
        <f>Est!E260</f>
        <v>1.0043569775498591</v>
      </c>
      <c r="I20" s="256">
        <f>Ash!E260</f>
        <v>1.0237460232066542</v>
      </c>
      <c r="J20" s="256">
        <f>Inv!E260</f>
        <v>1.0008194746773751</v>
      </c>
      <c r="K20" s="256">
        <f>Hoz!E260</f>
        <v>1.0063798557585573</v>
      </c>
      <c r="L20" s="256">
        <f>Nel!E260</f>
        <v>1.0184041983960479</v>
      </c>
      <c r="M20" s="256">
        <f>Tas!E260</f>
        <v>1.0194659920704696</v>
      </c>
      <c r="N20" s="256">
        <f>Ota!E260</f>
        <v>0.9980985830500968</v>
      </c>
      <c r="O20" s="256">
        <f>Pco!E260</f>
        <v>1.0124900879366627</v>
      </c>
      <c r="P20" s="256">
        <f>TLC!E260</f>
        <v>1.0037219557714165</v>
      </c>
      <c r="Q20" s="256">
        <f>Top!E260</f>
        <v>1.0082464458497957</v>
      </c>
      <c r="R20" s="256">
        <f>Uni!E260</f>
        <v>1.0088855867191653</v>
      </c>
      <c r="S20" s="256">
        <f>Vct!E260</f>
        <v>1.0300195076651804</v>
      </c>
      <c r="T20" s="256">
        <f>Wel!E260</f>
        <v>1.0145343737224619</v>
      </c>
      <c r="U20" s="255"/>
      <c r="V20" s="254"/>
      <c r="AA20" s="273"/>
      <c r="AB20" s="272"/>
    </row>
    <row r="21" spans="1:28" ht="30" customHeight="1">
      <c r="A21" s="254"/>
      <c r="C21" s="229" t="s">
        <v>405</v>
      </c>
      <c r="D21" s="252"/>
      <c r="E21" s="254">
        <f>Alp!F288</f>
        <v>-28662.204116055218</v>
      </c>
      <c r="F21" s="254">
        <f>Aur!F288</f>
        <v>-9147.3593520131253</v>
      </c>
      <c r="G21" s="254">
        <f>Ctl!F288</f>
        <v>-8199.4597890656441</v>
      </c>
      <c r="H21" s="254">
        <f>Est!F288</f>
        <v>-596.35821787463647</v>
      </c>
      <c r="I21" s="254">
        <f>Ash!F288</f>
        <v>-7938.950597184652</v>
      </c>
      <c r="J21" s="254">
        <f>Inv!F288</f>
        <v>-821.84403667081642</v>
      </c>
      <c r="K21" s="254">
        <f>Hoz!F288</f>
        <v>2326.5755140264155</v>
      </c>
      <c r="L21" s="254">
        <f>Nel!F288</f>
        <v>-1465.4234886240956</v>
      </c>
      <c r="M21" s="254">
        <f>Tas!F288</f>
        <v>-6050.8285282364814</v>
      </c>
      <c r="N21" s="254">
        <f>Ota!F288</f>
        <v>-9596.1439002734624</v>
      </c>
      <c r="O21" s="254">
        <f>Pco!F288</f>
        <v>-13700.761432928964</v>
      </c>
      <c r="P21" s="254">
        <f>TLC!F288</f>
        <v>-16737.372170438364</v>
      </c>
      <c r="Q21" s="254">
        <f>Top!F288</f>
        <v>-27918.052009603918</v>
      </c>
      <c r="R21" s="254">
        <f>Uni!F288</f>
        <v>-22600.538785365206</v>
      </c>
      <c r="S21" s="254">
        <f>Vct!F288</f>
        <v>100050.53708586842</v>
      </c>
      <c r="T21" s="254">
        <f>Wel!F288</f>
        <v>16048.170468327415</v>
      </c>
      <c r="V21" s="254"/>
      <c r="AA21" s="273"/>
      <c r="AB21" s="272"/>
    </row>
    <row r="22" spans="1:28" ht="30" customHeight="1">
      <c r="A22" s="254"/>
      <c r="C22" s="229" t="s">
        <v>448</v>
      </c>
      <c r="D22" s="252"/>
      <c r="E22" s="254">
        <f>Alp!F274</f>
        <v>33616.219319092153</v>
      </c>
      <c r="F22" s="254">
        <f>Aur!F274</f>
        <v>56860.151415217115</v>
      </c>
      <c r="G22" s="254">
        <f>Ctl!F274</f>
        <v>9409.7758116959303</v>
      </c>
      <c r="H22" s="254">
        <f>Est!F274</f>
        <v>19600.491032814425</v>
      </c>
      <c r="I22" s="254">
        <f>Ash!F274</f>
        <v>25761.58103020017</v>
      </c>
      <c r="J22" s="254">
        <f>Inv!F274</f>
        <v>11710.916172198384</v>
      </c>
      <c r="K22" s="254">
        <f>Hoz!F274</f>
        <v>19146.935424912161</v>
      </c>
      <c r="L22" s="254">
        <f>Nel!F274</f>
        <v>6487.9577123503377</v>
      </c>
      <c r="M22" s="254">
        <f>Tas!F274</f>
        <v>25801.560775525832</v>
      </c>
      <c r="N22" s="254">
        <f>Ota!F274</f>
        <v>23325.186680227005</v>
      </c>
      <c r="O22" s="254">
        <f>Pco!F274</f>
        <v>230151.31613640138</v>
      </c>
      <c r="P22" s="254">
        <f>TLC!F274</f>
        <v>30184.691297609177</v>
      </c>
      <c r="Q22" s="254">
        <f>Top!F274</f>
        <v>31607.449756115486</v>
      </c>
      <c r="R22" s="254">
        <f>Uni!F274</f>
        <v>87299.326370399343</v>
      </c>
      <c r="S22" s="254">
        <f>Vct!F274</f>
        <v>362236.74960733176</v>
      </c>
      <c r="T22" s="254">
        <f>Wel!F274</f>
        <v>97796.812312538867</v>
      </c>
      <c r="V22" s="254">
        <f t="shared" ref="V22" si="0">SUM(E22:T22)</f>
        <v>1070997.1208546297</v>
      </c>
      <c r="AA22" s="273"/>
      <c r="AB22" s="272"/>
    </row>
    <row r="23" spans="1:28" ht="30" customHeight="1">
      <c r="A23" s="255"/>
      <c r="C23" s="229" t="s">
        <v>449</v>
      </c>
      <c r="D23" s="252"/>
      <c r="E23" s="255">
        <f>Alp!E277</f>
        <v>0.15000000000000013</v>
      </c>
      <c r="F23" s="255">
        <f>Aur!E277</f>
        <v>6.1445963440890594E-2</v>
      </c>
      <c r="G23" s="255">
        <f>Ctl!E277</f>
        <v>0.14999999999999991</v>
      </c>
      <c r="H23" s="255">
        <f>Est!E277</f>
        <v>1.0880518260526495E-2</v>
      </c>
      <c r="I23" s="255">
        <f>Ash!E277</f>
        <v>0.1135449182400321</v>
      </c>
      <c r="J23" s="255">
        <f>Inv!E277</f>
        <v>2.5096822973802224E-2</v>
      </c>
      <c r="K23" s="255">
        <f>Hoz!E277</f>
        <v>-4.0952831238331711E-2</v>
      </c>
      <c r="L23" s="255">
        <f>Nel!E277</f>
        <v>8.4352930555444239E-2</v>
      </c>
      <c r="M23" s="255">
        <f>Tas!E277</f>
        <v>8.7662286168391113E-2</v>
      </c>
      <c r="N23" s="255">
        <f>Ota!E277</f>
        <v>0.1127746536328369</v>
      </c>
      <c r="O23" s="255">
        <f>Pco!E277</f>
        <v>2.0921243414241397E-2</v>
      </c>
      <c r="P23" s="255">
        <f>TLC!E277</f>
        <v>0.15000000000000013</v>
      </c>
      <c r="Q23" s="255">
        <f>Top!E277</f>
        <v>0.15000000000000013</v>
      </c>
      <c r="R23" s="255">
        <f>Uni!E277</f>
        <v>9.9805363737127228E-2</v>
      </c>
      <c r="S23" s="255">
        <f>Vct!E277</f>
        <v>-8.4299391546850289E-2</v>
      </c>
      <c r="T23" s="255">
        <f>Wel!E277</f>
        <v>-5.2886547033812681E-2</v>
      </c>
      <c r="V23" s="254"/>
      <c r="AA23" s="273"/>
      <c r="AB23" s="272"/>
    </row>
    <row r="24" spans="1:28" ht="30" customHeight="1">
      <c r="A24" s="255"/>
      <c r="C24" s="229" t="s">
        <v>450</v>
      </c>
      <c r="D24" s="252"/>
      <c r="E24" s="255">
        <f>Alp!E278</f>
        <v>0.14999999999999969</v>
      </c>
      <c r="F24" s="255">
        <f>Aur!E278</f>
        <v>0</v>
      </c>
      <c r="G24" s="255">
        <f>Ctl!E278</f>
        <v>0.14999999999999991</v>
      </c>
      <c r="H24" s="255">
        <f>Est!E278</f>
        <v>0</v>
      </c>
      <c r="I24" s="255">
        <f>Ash!E278</f>
        <v>0</v>
      </c>
      <c r="J24" s="255">
        <f>Inv!E278</f>
        <v>0</v>
      </c>
      <c r="K24" s="255">
        <f>Hoz!E278</f>
        <v>0</v>
      </c>
      <c r="L24" s="255">
        <f>Nel!E278</f>
        <v>0</v>
      </c>
      <c r="M24" s="255">
        <f>Tas!E278</f>
        <v>0</v>
      </c>
      <c r="N24" s="255">
        <f>Ota!E278</f>
        <v>0.1100000000000001</v>
      </c>
      <c r="O24" s="255">
        <f>Pco!E278</f>
        <v>0</v>
      </c>
      <c r="P24" s="255">
        <f>TLC!E278</f>
        <v>0.14999999999999991</v>
      </c>
      <c r="Q24" s="255">
        <f>Top!E278</f>
        <v>0.14999999999999991</v>
      </c>
      <c r="R24" s="255">
        <f>Uni!E278</f>
        <v>0</v>
      </c>
      <c r="S24" s="255">
        <f>Vct!E278</f>
        <v>0</v>
      </c>
      <c r="T24" s="255">
        <f>Wel!E278</f>
        <v>0</v>
      </c>
      <c r="V24" s="254"/>
      <c r="AA24" s="273"/>
      <c r="AB24" s="272"/>
    </row>
    <row r="25" spans="1:28">
      <c r="A25" s="254"/>
      <c r="M25" s="253"/>
      <c r="N25" s="253"/>
      <c r="O25" s="253"/>
      <c r="P25" s="253"/>
      <c r="Q25" s="253"/>
      <c r="R25" s="253"/>
      <c r="S25" s="253"/>
      <c r="T25" s="253"/>
      <c r="V25" s="253"/>
      <c r="AA25" s="273"/>
      <c r="AB25" s="272"/>
    </row>
    <row r="26" spans="1:28">
      <c r="A26" s="254"/>
      <c r="M26" s="253"/>
      <c r="N26" s="253"/>
      <c r="O26" s="253"/>
      <c r="P26" s="253"/>
      <c r="Q26" s="253"/>
      <c r="R26" s="253"/>
      <c r="S26" s="253"/>
      <c r="T26" s="253"/>
      <c r="V26" s="253"/>
      <c r="AA26" s="273"/>
      <c r="AB26" s="272"/>
    </row>
    <row r="27" spans="1:28">
      <c r="A27" s="254"/>
      <c r="M27" s="253"/>
      <c r="N27" s="253"/>
      <c r="O27" s="253"/>
      <c r="P27" s="253"/>
      <c r="Q27" s="253"/>
      <c r="R27" s="253"/>
      <c r="S27" s="253"/>
      <c r="T27" s="253"/>
      <c r="V27" s="253"/>
      <c r="AA27" s="273"/>
      <c r="AB27" s="272"/>
    </row>
    <row r="28" spans="1:28">
      <c r="A28" s="254"/>
      <c r="M28" s="253"/>
      <c r="N28" s="253"/>
      <c r="O28" s="253"/>
      <c r="P28" s="253"/>
      <c r="Q28" s="253"/>
      <c r="R28" s="253"/>
      <c r="S28" s="253"/>
      <c r="T28" s="253"/>
      <c r="V28" s="253"/>
      <c r="AA28" s="274"/>
    </row>
    <row r="29" spans="1:28">
      <c r="A29" s="254"/>
      <c r="M29" s="253"/>
      <c r="N29" s="253"/>
      <c r="O29" s="253"/>
      <c r="P29" s="253"/>
      <c r="Q29" s="253"/>
      <c r="R29" s="253"/>
      <c r="S29" s="253"/>
      <c r="T29" s="257" t="s">
        <v>515</v>
      </c>
      <c r="V29" s="258">
        <f>(V15-V10)/V10</f>
        <v>-5.4041013049182483E-3</v>
      </c>
      <c r="AA29" s="274"/>
    </row>
    <row r="30" spans="1:28">
      <c r="T30" s="257" t="s">
        <v>446</v>
      </c>
      <c r="V30" s="338">
        <f>(V16-V11)/V11</f>
        <v>8.6837919273895468E-3</v>
      </c>
      <c r="AA30" s="274"/>
    </row>
    <row r="31" spans="1:28">
      <c r="T31" s="257"/>
      <c r="V31" s="258"/>
      <c r="AA31" s="274"/>
    </row>
    <row r="32" spans="1:28">
      <c r="AA32" s="274"/>
    </row>
    <row r="39" ht="110.25" customHeight="1"/>
  </sheetData>
  <pageMargins left="0.31" right="0.39" top="0.74803149606299213" bottom="0.74803149606299213" header="0.31496062992125984" footer="0.31496062992125984"/>
  <pageSetup paperSize="8" scale="61" orientation="landscape" r:id="rId1"/>
</worksheet>
</file>

<file path=xl/worksheets/sheet4.xml><?xml version="1.0" encoding="utf-8"?>
<worksheet xmlns="http://schemas.openxmlformats.org/spreadsheetml/2006/main" xmlns:r="http://schemas.openxmlformats.org/officeDocument/2006/relationships">
  <sheetPr codeName="Sheet3"/>
  <dimension ref="A1:Q43"/>
  <sheetViews>
    <sheetView zoomScale="85" zoomScaleNormal="85" workbookViewId="0"/>
  </sheetViews>
  <sheetFormatPr defaultRowHeight="15"/>
  <cols>
    <col min="1" max="1" width="25.28515625" style="229" customWidth="1"/>
    <col min="2" max="17" width="12.7109375" style="229" customWidth="1"/>
    <col min="18" max="16384" width="9.140625" style="229"/>
  </cols>
  <sheetData>
    <row r="1" spans="1:17" ht="31.5">
      <c r="A1" s="339" t="s">
        <v>454</v>
      </c>
    </row>
    <row r="3" spans="1:17" s="238" customFormat="1" ht="21">
      <c r="A3" s="238" t="s">
        <v>404</v>
      </c>
    </row>
    <row r="4" spans="1:17" s="236" customFormat="1" ht="18.75">
      <c r="A4" s="236" t="s">
        <v>403</v>
      </c>
    </row>
    <row r="6" spans="1:17" s="233" customFormat="1" ht="25.5">
      <c r="B6" s="233" t="s">
        <v>12</v>
      </c>
      <c r="C6" s="233" t="s">
        <v>13</v>
      </c>
      <c r="D6" s="233" t="s">
        <v>14</v>
      </c>
      <c r="E6" s="233" t="s">
        <v>15</v>
      </c>
      <c r="F6" s="233" t="s">
        <v>16</v>
      </c>
      <c r="G6" s="233" t="s">
        <v>17</v>
      </c>
      <c r="H6" s="233" t="s">
        <v>18</v>
      </c>
      <c r="I6" s="233" t="s">
        <v>19</v>
      </c>
      <c r="J6" s="233" t="s">
        <v>20</v>
      </c>
      <c r="K6" s="233" t="s">
        <v>21</v>
      </c>
      <c r="L6" s="233" t="s">
        <v>22</v>
      </c>
      <c r="M6" s="233" t="s">
        <v>23</v>
      </c>
      <c r="N6" s="233" t="s">
        <v>24</v>
      </c>
      <c r="O6" s="233" t="s">
        <v>25</v>
      </c>
      <c r="P6" s="233" t="s">
        <v>26</v>
      </c>
      <c r="Q6" s="233" t="s">
        <v>27</v>
      </c>
    </row>
    <row r="7" spans="1:17" s="232" customFormat="1" ht="12.75"/>
    <row r="8" spans="1:17" s="230" customFormat="1" ht="12.75">
      <c r="A8" s="230" t="s">
        <v>402</v>
      </c>
      <c r="B8" s="260">
        <f>Results!E15</f>
        <v>30401.380446671406</v>
      </c>
      <c r="C8" s="261">
        <f>Results!F15</f>
        <v>60159.426796715801</v>
      </c>
      <c r="D8" s="261">
        <f>Results!G15</f>
        <v>8047.6664623147717</v>
      </c>
      <c r="E8" s="261">
        <f>Results!H15</f>
        <v>21090.716608415671</v>
      </c>
      <c r="F8" s="261">
        <f>Results!I15</f>
        <v>29649.619357316566</v>
      </c>
      <c r="G8" s="261">
        <f>Results!J15</f>
        <v>12779.256171038702</v>
      </c>
      <c r="H8" s="261">
        <f>Results!K15</f>
        <v>20741.442849786225</v>
      </c>
      <c r="I8" s="261">
        <f>Results!L15</f>
        <v>7171.6506337391929</v>
      </c>
      <c r="J8" s="261">
        <f>Results!M15</f>
        <v>28582.25728305717</v>
      </c>
      <c r="K8" s="261">
        <f>Results!N15</f>
        <v>23616.670364890215</v>
      </c>
      <c r="L8" s="261">
        <f>Results!O15</f>
        <v>254563.96347066225</v>
      </c>
      <c r="M8" s="261">
        <f>Results!P15</f>
        <v>30364.174107063354</v>
      </c>
      <c r="N8" s="261">
        <f>Results!Q15</f>
        <v>27831.658809696128</v>
      </c>
      <c r="O8" s="261">
        <f>Results!R15</f>
        <v>94811.521907534669</v>
      </c>
      <c r="P8" s="261">
        <f>Results!S15</f>
        <v>413914.77559448488</v>
      </c>
      <c r="Q8" s="262">
        <f>Results!T15</f>
        <v>109435.22102701032</v>
      </c>
    </row>
    <row r="9" spans="1:17" s="230" customFormat="1" ht="12.75">
      <c r="B9" s="239"/>
      <c r="C9" s="239"/>
      <c r="D9" s="239"/>
      <c r="E9" s="239"/>
      <c r="F9" s="239"/>
      <c r="G9" s="239"/>
      <c r="H9" s="239"/>
      <c r="I9" s="239"/>
      <c r="J9" s="239"/>
      <c r="K9" s="239"/>
      <c r="L9" s="239"/>
      <c r="M9" s="239"/>
      <c r="N9" s="239"/>
      <c r="O9" s="239"/>
      <c r="P9" s="239"/>
      <c r="Q9" s="239"/>
    </row>
    <row r="10" spans="1:17" s="231" customFormat="1" ht="12.75">
      <c r="A10" s="231" t="s">
        <v>380</v>
      </c>
      <c r="B10" s="234" t="s">
        <v>379</v>
      </c>
      <c r="C10" s="234" t="s">
        <v>379</v>
      </c>
      <c r="D10" s="234" t="s">
        <v>379</v>
      </c>
      <c r="E10" s="234" t="s">
        <v>379</v>
      </c>
      <c r="F10" s="234" t="s">
        <v>379</v>
      </c>
      <c r="G10" s="234" t="s">
        <v>379</v>
      </c>
      <c r="H10" s="234" t="s">
        <v>379</v>
      </c>
      <c r="I10" s="234" t="s">
        <v>379</v>
      </c>
      <c r="J10" s="234" t="s">
        <v>379</v>
      </c>
      <c r="K10" s="234" t="s">
        <v>379</v>
      </c>
      <c r="L10" s="234" t="s">
        <v>379</v>
      </c>
      <c r="M10" s="234" t="s">
        <v>379</v>
      </c>
      <c r="N10" s="234" t="s">
        <v>379</v>
      </c>
      <c r="O10" s="234" t="s">
        <v>379</v>
      </c>
      <c r="P10" s="234" t="s">
        <v>379</v>
      </c>
      <c r="Q10" s="234" t="s">
        <v>379</v>
      </c>
    </row>
    <row r="11" spans="1:17" s="230" customFormat="1" ht="12.75">
      <c r="A11" s="230" t="s">
        <v>401</v>
      </c>
      <c r="B11" s="245">
        <f t="shared" ref="B11:Q11" si="0">ROUND((B8/1000),0)</f>
        <v>30</v>
      </c>
      <c r="C11" s="245">
        <f t="shared" si="0"/>
        <v>60</v>
      </c>
      <c r="D11" s="245">
        <f t="shared" si="0"/>
        <v>8</v>
      </c>
      <c r="E11" s="245">
        <f t="shared" si="0"/>
        <v>21</v>
      </c>
      <c r="F11" s="245">
        <f t="shared" si="0"/>
        <v>30</v>
      </c>
      <c r="G11" s="245">
        <f t="shared" si="0"/>
        <v>13</v>
      </c>
      <c r="H11" s="245">
        <f t="shared" si="0"/>
        <v>21</v>
      </c>
      <c r="I11" s="245">
        <f t="shared" si="0"/>
        <v>7</v>
      </c>
      <c r="J11" s="245">
        <f t="shared" si="0"/>
        <v>29</v>
      </c>
      <c r="K11" s="245">
        <f t="shared" si="0"/>
        <v>24</v>
      </c>
      <c r="L11" s="245">
        <f t="shared" si="0"/>
        <v>255</v>
      </c>
      <c r="M11" s="245">
        <f t="shared" si="0"/>
        <v>30</v>
      </c>
      <c r="N11" s="245">
        <f t="shared" si="0"/>
        <v>28</v>
      </c>
      <c r="O11" s="245">
        <f t="shared" si="0"/>
        <v>95</v>
      </c>
      <c r="P11" s="245">
        <f t="shared" si="0"/>
        <v>414</v>
      </c>
      <c r="Q11" s="245">
        <f t="shared" si="0"/>
        <v>109</v>
      </c>
    </row>
    <row r="12" spans="1:17" s="231" customFormat="1" ht="12.75">
      <c r="A12" s="231" t="s">
        <v>374</v>
      </c>
      <c r="B12" s="234" t="s">
        <v>377</v>
      </c>
      <c r="C12" s="234" t="s">
        <v>377</v>
      </c>
      <c r="D12" s="234" t="s">
        <v>377</v>
      </c>
      <c r="E12" s="234" t="s">
        <v>377</v>
      </c>
      <c r="F12" s="234" t="s">
        <v>377</v>
      </c>
      <c r="G12" s="234" t="s">
        <v>377</v>
      </c>
      <c r="H12" s="234" t="s">
        <v>377</v>
      </c>
      <c r="I12" s="234" t="s">
        <v>377</v>
      </c>
      <c r="J12" s="234" t="s">
        <v>377</v>
      </c>
      <c r="K12" s="234" t="s">
        <v>377</v>
      </c>
      <c r="L12" s="234" t="s">
        <v>377</v>
      </c>
      <c r="M12" s="234" t="s">
        <v>377</v>
      </c>
      <c r="N12" s="234" t="s">
        <v>377</v>
      </c>
      <c r="O12" s="234" t="s">
        <v>377</v>
      </c>
      <c r="P12" s="234" t="s">
        <v>377</v>
      </c>
      <c r="Q12" s="234" t="s">
        <v>377</v>
      </c>
    </row>
    <row r="13" spans="1:17" s="231" customFormat="1" ht="12.75">
      <c r="A13" s="231" t="s">
        <v>375</v>
      </c>
      <c r="B13" s="234" t="str">
        <f t="shared" ref="B13:Q13" si="1">B10 &amp; B11 &amp; B12</f>
        <v>$30m</v>
      </c>
      <c r="C13" s="234" t="str">
        <f t="shared" si="1"/>
        <v>$60m</v>
      </c>
      <c r="D13" s="234" t="str">
        <f t="shared" si="1"/>
        <v>$8m</v>
      </c>
      <c r="E13" s="234" t="str">
        <f t="shared" si="1"/>
        <v>$21m</v>
      </c>
      <c r="F13" s="234" t="str">
        <f t="shared" si="1"/>
        <v>$30m</v>
      </c>
      <c r="G13" s="234" t="str">
        <f t="shared" si="1"/>
        <v>$13m</v>
      </c>
      <c r="H13" s="234" t="str">
        <f t="shared" si="1"/>
        <v>$21m</v>
      </c>
      <c r="I13" s="234" t="str">
        <f t="shared" si="1"/>
        <v>$7m</v>
      </c>
      <c r="J13" s="234" t="str">
        <f t="shared" si="1"/>
        <v>$29m</v>
      </c>
      <c r="K13" s="234" t="str">
        <f t="shared" si="1"/>
        <v>$24m</v>
      </c>
      <c r="L13" s="234" t="str">
        <f t="shared" si="1"/>
        <v>$255m</v>
      </c>
      <c r="M13" s="234" t="str">
        <f t="shared" si="1"/>
        <v>$30m</v>
      </c>
      <c r="N13" s="234" t="str">
        <f t="shared" si="1"/>
        <v>$28m</v>
      </c>
      <c r="O13" s="234" t="str">
        <f t="shared" si="1"/>
        <v>$95m</v>
      </c>
      <c r="P13" s="234" t="str">
        <f t="shared" si="1"/>
        <v>$414m</v>
      </c>
      <c r="Q13" s="234" t="str">
        <f t="shared" si="1"/>
        <v>$109m</v>
      </c>
    </row>
    <row r="14" spans="1:17" s="231" customFormat="1" ht="12.75"/>
    <row r="15" spans="1:17" s="231" customFormat="1" ht="12.75">
      <c r="A15" s="231" t="s">
        <v>400</v>
      </c>
      <c r="B15" s="234" t="s">
        <v>208</v>
      </c>
      <c r="C15" s="234" t="s">
        <v>208</v>
      </c>
      <c r="D15" s="234" t="s">
        <v>208</v>
      </c>
      <c r="E15" s="234" t="s">
        <v>208</v>
      </c>
      <c r="F15" s="234" t="s">
        <v>208</v>
      </c>
      <c r="G15" s="234" t="s">
        <v>208</v>
      </c>
      <c r="H15" s="234" t="s">
        <v>208</v>
      </c>
      <c r="I15" s="234" t="s">
        <v>208</v>
      </c>
      <c r="J15" s="234" t="s">
        <v>208</v>
      </c>
      <c r="K15" s="234" t="s">
        <v>208</v>
      </c>
      <c r="L15" s="234" t="s">
        <v>208</v>
      </c>
      <c r="M15" s="234" t="s">
        <v>208</v>
      </c>
      <c r="N15" s="234" t="s">
        <v>208</v>
      </c>
      <c r="O15" s="234" t="s">
        <v>208</v>
      </c>
      <c r="P15" s="234" t="s">
        <v>208</v>
      </c>
      <c r="Q15" s="234" t="s">
        <v>208</v>
      </c>
    </row>
    <row r="16" spans="1:17" s="231" customFormat="1" ht="12.75">
      <c r="A16" s="231" t="s">
        <v>399</v>
      </c>
      <c r="B16" s="263">
        <f>Results!E19</f>
        <v>-0.15</v>
      </c>
      <c r="C16" s="264">
        <f>Results!F19</f>
        <v>0</v>
      </c>
      <c r="D16" s="264">
        <f>Results!G19</f>
        <v>-0.15</v>
      </c>
      <c r="E16" s="264">
        <f>Results!H19</f>
        <v>0</v>
      </c>
      <c r="F16" s="264">
        <f>Results!I19</f>
        <v>0</v>
      </c>
      <c r="G16" s="264">
        <f>Results!J19</f>
        <v>0</v>
      </c>
      <c r="H16" s="264">
        <f>Results!K19</f>
        <v>0</v>
      </c>
      <c r="I16" s="264">
        <f>Results!L19</f>
        <v>0</v>
      </c>
      <c r="J16" s="264">
        <f>Results!M19</f>
        <v>0</v>
      </c>
      <c r="K16" s="264">
        <f>Results!N19</f>
        <v>-0.11</v>
      </c>
      <c r="L16" s="264">
        <f>Results!O19</f>
        <v>0</v>
      </c>
      <c r="M16" s="264">
        <f>Results!P19</f>
        <v>-0.15</v>
      </c>
      <c r="N16" s="264">
        <f>Results!Q19</f>
        <v>-0.15</v>
      </c>
      <c r="O16" s="264">
        <f>Results!R19</f>
        <v>0</v>
      </c>
      <c r="P16" s="264">
        <f>Results!S19</f>
        <v>0</v>
      </c>
      <c r="Q16" s="265">
        <f>Results!T19</f>
        <v>0</v>
      </c>
    </row>
    <row r="17" spans="1:17" s="231" customFormat="1" ht="12.75">
      <c r="A17" s="231" t="s">
        <v>398</v>
      </c>
      <c r="B17" s="244">
        <f t="shared" ref="B17:Q17" si="2">-B16*100</f>
        <v>15</v>
      </c>
      <c r="C17" s="244">
        <f t="shared" si="2"/>
        <v>0</v>
      </c>
      <c r="D17" s="244">
        <f t="shared" si="2"/>
        <v>15</v>
      </c>
      <c r="E17" s="244">
        <f t="shared" si="2"/>
        <v>0</v>
      </c>
      <c r="F17" s="244">
        <f t="shared" si="2"/>
        <v>0</v>
      </c>
      <c r="G17" s="244">
        <f t="shared" si="2"/>
        <v>0</v>
      </c>
      <c r="H17" s="244">
        <f t="shared" si="2"/>
        <v>0</v>
      </c>
      <c r="I17" s="244">
        <f t="shared" si="2"/>
        <v>0</v>
      </c>
      <c r="J17" s="244">
        <f t="shared" si="2"/>
        <v>0</v>
      </c>
      <c r="K17" s="244">
        <f t="shared" si="2"/>
        <v>11</v>
      </c>
      <c r="L17" s="244">
        <f t="shared" si="2"/>
        <v>0</v>
      </c>
      <c r="M17" s="244">
        <f t="shared" si="2"/>
        <v>15</v>
      </c>
      <c r="N17" s="244">
        <f t="shared" si="2"/>
        <v>15</v>
      </c>
      <c r="O17" s="244">
        <f t="shared" si="2"/>
        <v>0</v>
      </c>
      <c r="P17" s="244">
        <f t="shared" si="2"/>
        <v>0</v>
      </c>
      <c r="Q17" s="244">
        <f t="shared" si="2"/>
        <v>0</v>
      </c>
    </row>
    <row r="18" spans="1:17" s="231" customFormat="1" ht="12.75">
      <c r="A18" s="231" t="s">
        <v>381</v>
      </c>
      <c r="B18" s="243" t="str">
        <f t="shared" ref="B18:Q18" si="3">IF(B17&gt;1,"+","-")</f>
        <v>+</v>
      </c>
      <c r="C18" s="243" t="str">
        <f t="shared" si="3"/>
        <v>-</v>
      </c>
      <c r="D18" s="243" t="str">
        <f t="shared" si="3"/>
        <v>+</v>
      </c>
      <c r="E18" s="243" t="str">
        <f t="shared" si="3"/>
        <v>-</v>
      </c>
      <c r="F18" s="243" t="str">
        <f t="shared" si="3"/>
        <v>-</v>
      </c>
      <c r="G18" s="243" t="str">
        <f t="shared" si="3"/>
        <v>-</v>
      </c>
      <c r="H18" s="243" t="str">
        <f t="shared" si="3"/>
        <v>-</v>
      </c>
      <c r="I18" s="243" t="str">
        <f t="shared" si="3"/>
        <v>-</v>
      </c>
      <c r="J18" s="243" t="str">
        <f t="shared" si="3"/>
        <v>-</v>
      </c>
      <c r="K18" s="243" t="str">
        <f t="shared" si="3"/>
        <v>+</v>
      </c>
      <c r="L18" s="243" t="str">
        <f t="shared" si="3"/>
        <v>-</v>
      </c>
      <c r="M18" s="243" t="str">
        <f t="shared" si="3"/>
        <v>+</v>
      </c>
      <c r="N18" s="243" t="str">
        <f t="shared" si="3"/>
        <v>+</v>
      </c>
      <c r="O18" s="243" t="str">
        <f t="shared" si="3"/>
        <v>-</v>
      </c>
      <c r="P18" s="243" t="str">
        <f t="shared" si="3"/>
        <v>-</v>
      </c>
      <c r="Q18" s="243" t="str">
        <f t="shared" si="3"/>
        <v>-</v>
      </c>
    </row>
    <row r="19" spans="1:17" s="231" customFormat="1" ht="12.75">
      <c r="A19" s="231" t="s">
        <v>397</v>
      </c>
      <c r="B19" s="242" t="s">
        <v>311</v>
      </c>
      <c r="C19" s="242" t="s">
        <v>311</v>
      </c>
      <c r="D19" s="242" t="s">
        <v>311</v>
      </c>
      <c r="E19" s="242" t="s">
        <v>311</v>
      </c>
      <c r="F19" s="242" t="s">
        <v>311</v>
      </c>
      <c r="G19" s="242" t="s">
        <v>311</v>
      </c>
      <c r="H19" s="242" t="s">
        <v>311</v>
      </c>
      <c r="I19" s="242" t="s">
        <v>311</v>
      </c>
      <c r="J19" s="242" t="s">
        <v>311</v>
      </c>
      <c r="K19" s="242" t="s">
        <v>311</v>
      </c>
      <c r="L19" s="242" t="s">
        <v>311</v>
      </c>
      <c r="M19" s="242" t="s">
        <v>311</v>
      </c>
      <c r="N19" s="242" t="s">
        <v>311</v>
      </c>
      <c r="O19" s="242" t="s">
        <v>311</v>
      </c>
      <c r="P19" s="242" t="s">
        <v>311</v>
      </c>
      <c r="Q19" s="242" t="s">
        <v>311</v>
      </c>
    </row>
    <row r="20" spans="1:17" s="231" customFormat="1" ht="12.75">
      <c r="A20" s="231" t="s">
        <v>375</v>
      </c>
      <c r="B20" s="234" t="str">
        <f t="shared" ref="B20:Q20" si="4">", "&amp;B15&amp;B18&amp;B17&amp;B19&amp;""</f>
        <v>, CPI+15%</v>
      </c>
      <c r="C20" s="234" t="str">
        <f t="shared" si="4"/>
        <v>, CPI-0%</v>
      </c>
      <c r="D20" s="234" t="str">
        <f t="shared" si="4"/>
        <v>, CPI+15%</v>
      </c>
      <c r="E20" s="234" t="str">
        <f t="shared" si="4"/>
        <v>, CPI-0%</v>
      </c>
      <c r="F20" s="234" t="str">
        <f t="shared" si="4"/>
        <v>, CPI-0%</v>
      </c>
      <c r="G20" s="234" t="str">
        <f t="shared" si="4"/>
        <v>, CPI-0%</v>
      </c>
      <c r="H20" s="234" t="str">
        <f t="shared" si="4"/>
        <v>, CPI-0%</v>
      </c>
      <c r="I20" s="234" t="str">
        <f t="shared" si="4"/>
        <v>, CPI-0%</v>
      </c>
      <c r="J20" s="234" t="str">
        <f t="shared" si="4"/>
        <v>, CPI-0%</v>
      </c>
      <c r="K20" s="234" t="str">
        <f t="shared" si="4"/>
        <v>, CPI+11%</v>
      </c>
      <c r="L20" s="234" t="str">
        <f t="shared" si="4"/>
        <v>, CPI-0%</v>
      </c>
      <c r="M20" s="234" t="str">
        <f t="shared" si="4"/>
        <v>, CPI+15%</v>
      </c>
      <c r="N20" s="234" t="str">
        <f t="shared" si="4"/>
        <v>, CPI+15%</v>
      </c>
      <c r="O20" s="234" t="str">
        <f t="shared" si="4"/>
        <v>, CPI-0%</v>
      </c>
      <c r="P20" s="234" t="str">
        <f t="shared" si="4"/>
        <v>, CPI-0%</v>
      </c>
      <c r="Q20" s="234" t="str">
        <f t="shared" si="4"/>
        <v>, CPI-0%</v>
      </c>
    </row>
    <row r="21" spans="1:17">
      <c r="B21" s="241"/>
      <c r="C21" s="241"/>
      <c r="D21" s="241"/>
      <c r="E21" s="241"/>
      <c r="F21" s="241"/>
      <c r="G21" s="241"/>
      <c r="H21" s="241"/>
      <c r="I21" s="241"/>
      <c r="J21" s="241"/>
      <c r="K21" s="241"/>
      <c r="L21" s="241"/>
      <c r="M21" s="241"/>
      <c r="N21" s="241"/>
      <c r="O21" s="241"/>
      <c r="P21" s="241"/>
      <c r="Q21" s="241"/>
    </row>
    <row r="22" spans="1:17" s="240" customFormat="1" ht="14.25" customHeight="1">
      <c r="A22" s="240" t="s">
        <v>396</v>
      </c>
      <c r="B22" s="240" t="str">
        <f t="shared" ref="B22:Q22" si="5">B13&amp;""&amp;B20</f>
        <v>$30m, CPI+15%</v>
      </c>
      <c r="C22" s="240" t="str">
        <f t="shared" si="5"/>
        <v>$60m, CPI-0%</v>
      </c>
      <c r="D22" s="240" t="str">
        <f t="shared" si="5"/>
        <v>$8m, CPI+15%</v>
      </c>
      <c r="E22" s="240" t="str">
        <f t="shared" si="5"/>
        <v>$21m, CPI-0%</v>
      </c>
      <c r="F22" s="240" t="str">
        <f t="shared" si="5"/>
        <v>$30m, CPI-0%</v>
      </c>
      <c r="G22" s="240" t="str">
        <f t="shared" si="5"/>
        <v>$13m, CPI-0%</v>
      </c>
      <c r="H22" s="240" t="str">
        <f t="shared" si="5"/>
        <v>$21m, CPI-0%</v>
      </c>
      <c r="I22" s="240" t="str">
        <f t="shared" si="5"/>
        <v>$7m, CPI-0%</v>
      </c>
      <c r="J22" s="240" t="str">
        <f t="shared" si="5"/>
        <v>$29m, CPI-0%</v>
      </c>
      <c r="K22" s="240" t="str">
        <f t="shared" si="5"/>
        <v>$24m, CPI+11%</v>
      </c>
      <c r="L22" s="240" t="str">
        <f t="shared" si="5"/>
        <v>$255m, CPI-0%</v>
      </c>
      <c r="M22" s="240" t="str">
        <f t="shared" si="5"/>
        <v>$30m, CPI+15%</v>
      </c>
      <c r="N22" s="240" t="str">
        <f t="shared" si="5"/>
        <v>$28m, CPI+15%</v>
      </c>
      <c r="O22" s="240" t="str">
        <f t="shared" si="5"/>
        <v>$95m, CPI-0%</v>
      </c>
      <c r="P22" s="240" t="str">
        <f t="shared" si="5"/>
        <v>$414m, CPI-0%</v>
      </c>
      <c r="Q22" s="240" t="str">
        <f t="shared" si="5"/>
        <v>$109m, CPI-0%</v>
      </c>
    </row>
    <row r="24" spans="1:17" s="238" customFormat="1" ht="21">
      <c r="A24" s="238" t="s">
        <v>395</v>
      </c>
    </row>
    <row r="25" spans="1:17" s="236" customFormat="1" ht="18.75">
      <c r="A25" s="236" t="s">
        <v>394</v>
      </c>
    </row>
    <row r="27" spans="1:17" s="233" customFormat="1" ht="25.5">
      <c r="B27" s="233" t="s">
        <v>393</v>
      </c>
      <c r="C27" s="233" t="s">
        <v>392</v>
      </c>
      <c r="D27" s="233" t="s">
        <v>14</v>
      </c>
      <c r="E27" s="233" t="s">
        <v>15</v>
      </c>
      <c r="F27" s="233" t="s">
        <v>391</v>
      </c>
      <c r="G27" s="233" t="s">
        <v>390</v>
      </c>
      <c r="H27" s="233" t="s">
        <v>389</v>
      </c>
      <c r="I27" s="233" t="s">
        <v>388</v>
      </c>
      <c r="J27" s="233" t="s">
        <v>387</v>
      </c>
      <c r="K27" s="233" t="s">
        <v>21</v>
      </c>
      <c r="L27" s="233" t="s">
        <v>22</v>
      </c>
      <c r="M27" s="233" t="s">
        <v>386</v>
      </c>
      <c r="N27" s="233" t="s">
        <v>385</v>
      </c>
      <c r="O27" s="233" t="s">
        <v>25</v>
      </c>
      <c r="P27" s="233" t="s">
        <v>26</v>
      </c>
      <c r="Q27" s="233" t="s">
        <v>384</v>
      </c>
    </row>
    <row r="28" spans="1:17" s="232" customFormat="1" ht="12.75"/>
    <row r="29" spans="1:17" s="230" customFormat="1" ht="25.5">
      <c r="A29" s="230" t="s">
        <v>453</v>
      </c>
      <c r="B29" s="266">
        <f>Results!E18</f>
        <v>0.15000000000000005</v>
      </c>
      <c r="C29" s="267">
        <f>Results!F18</f>
        <v>6.144596344089065E-2</v>
      </c>
      <c r="D29" s="267">
        <f>Results!G18</f>
        <v>0.14999999999999986</v>
      </c>
      <c r="E29" s="267">
        <f>Results!H18</f>
        <v>1.0880518260526479E-2</v>
      </c>
      <c r="F29" s="267">
        <f>Results!I18</f>
        <v>0.11354491824003195</v>
      </c>
      <c r="G29" s="267">
        <f>Results!J18</f>
        <v>2.5096822973802203E-2</v>
      </c>
      <c r="H29" s="267">
        <f>Results!K18</f>
        <v>-4.0952831238331815E-2</v>
      </c>
      <c r="I29" s="267">
        <f>Results!L18</f>
        <v>8.4352930555444294E-2</v>
      </c>
      <c r="J29" s="267">
        <f>Results!M18</f>
        <v>8.7662286168391196E-2</v>
      </c>
      <c r="K29" s="267">
        <f>Results!N18</f>
        <v>0.11277465363283697</v>
      </c>
      <c r="L29" s="267">
        <f>Results!O18</f>
        <v>2.0921243414241422E-2</v>
      </c>
      <c r="M29" s="267">
        <f>Results!P18</f>
        <v>0.15</v>
      </c>
      <c r="N29" s="267">
        <f>Results!Q18</f>
        <v>0.14999999999999991</v>
      </c>
      <c r="O29" s="267">
        <f>Results!R18</f>
        <v>9.9805363737127215E-2</v>
      </c>
      <c r="P29" s="267">
        <f>Results!S18</f>
        <v>-8.4299391546850275E-2</v>
      </c>
      <c r="Q29" s="268">
        <f>Results!T18</f>
        <v>-5.2886547033812743E-2</v>
      </c>
    </row>
    <row r="30" spans="1:17" s="230" customFormat="1" ht="12.75">
      <c r="B30" s="239"/>
      <c r="C30" s="239"/>
      <c r="D30" s="239"/>
      <c r="E30" s="239"/>
      <c r="F30" s="239"/>
      <c r="G30" s="239"/>
      <c r="H30" s="239"/>
      <c r="I30" s="239"/>
      <c r="J30" s="239"/>
      <c r="K30" s="239"/>
      <c r="L30" s="239"/>
      <c r="M30" s="239"/>
      <c r="N30" s="239"/>
      <c r="O30" s="239"/>
      <c r="P30" s="239"/>
      <c r="Q30" s="239"/>
    </row>
    <row r="31" spans="1:17" s="237" customFormat="1" ht="21">
      <c r="A31" s="238" t="s">
        <v>383</v>
      </c>
      <c r="B31" s="238"/>
      <c r="C31" s="238"/>
      <c r="D31" s="238"/>
      <c r="E31" s="238"/>
      <c r="F31" s="238"/>
      <c r="G31" s="238"/>
      <c r="H31" s="238"/>
      <c r="I31" s="238"/>
      <c r="J31" s="238"/>
      <c r="K31" s="238"/>
      <c r="L31" s="238"/>
      <c r="M31" s="238"/>
      <c r="N31" s="238"/>
      <c r="O31" s="238"/>
      <c r="P31" s="238"/>
      <c r="Q31" s="238"/>
    </row>
    <row r="32" spans="1:17" ht="18.75">
      <c r="A32" s="236" t="s">
        <v>382</v>
      </c>
      <c r="B32" s="236"/>
      <c r="C32" s="236"/>
      <c r="D32" s="236"/>
      <c r="E32" s="236"/>
      <c r="F32" s="236"/>
      <c r="G32" s="236"/>
      <c r="H32" s="236"/>
      <c r="I32" s="236"/>
      <c r="J32" s="236"/>
      <c r="K32" s="236"/>
      <c r="L32" s="236"/>
      <c r="M32" s="236"/>
      <c r="N32" s="236"/>
      <c r="O32" s="236"/>
      <c r="P32" s="236"/>
      <c r="Q32" s="236"/>
    </row>
    <row r="34" spans="1:17" ht="26.25">
      <c r="A34" s="233"/>
      <c r="B34" s="233" t="s">
        <v>12</v>
      </c>
      <c r="C34" s="233" t="s">
        <v>13</v>
      </c>
      <c r="D34" s="233" t="s">
        <v>14</v>
      </c>
      <c r="E34" s="233" t="s">
        <v>15</v>
      </c>
      <c r="F34" s="233" t="s">
        <v>16</v>
      </c>
      <c r="G34" s="233" t="s">
        <v>17</v>
      </c>
      <c r="H34" s="233" t="s">
        <v>18</v>
      </c>
      <c r="I34" s="233" t="s">
        <v>19</v>
      </c>
      <c r="J34" s="233" t="s">
        <v>20</v>
      </c>
      <c r="K34" s="233" t="s">
        <v>21</v>
      </c>
      <c r="L34" s="233" t="s">
        <v>22</v>
      </c>
      <c r="M34" s="233" t="s">
        <v>23</v>
      </c>
      <c r="N34" s="233" t="s">
        <v>24</v>
      </c>
      <c r="O34" s="233" t="s">
        <v>25</v>
      </c>
      <c r="P34" s="233" t="s">
        <v>26</v>
      </c>
      <c r="Q34" s="233" t="s">
        <v>27</v>
      </c>
    </row>
    <row r="35" spans="1:17">
      <c r="A35" s="232"/>
      <c r="B35" s="232"/>
      <c r="C35" s="232"/>
      <c r="D35" s="232"/>
      <c r="E35" s="232"/>
      <c r="F35" s="232"/>
      <c r="G35" s="232"/>
      <c r="H35" s="232"/>
      <c r="I35" s="232"/>
      <c r="J35" s="232"/>
      <c r="K35" s="232"/>
      <c r="L35" s="232"/>
      <c r="M35" s="232"/>
      <c r="N35" s="232"/>
      <c r="O35" s="232"/>
      <c r="P35" s="232"/>
      <c r="Q35" s="232"/>
    </row>
    <row r="36" spans="1:17" ht="51.75">
      <c r="A36" s="230" t="s">
        <v>373</v>
      </c>
      <c r="B36" s="269">
        <f>Results!E21</f>
        <v>-28662.204116055218</v>
      </c>
      <c r="C36" s="270">
        <f>Results!F21</f>
        <v>-9147.3593520131253</v>
      </c>
      <c r="D36" s="270">
        <f>Results!G21</f>
        <v>-8199.4597890656441</v>
      </c>
      <c r="E36" s="270">
        <f>Results!H21</f>
        <v>-596.35821787463647</v>
      </c>
      <c r="F36" s="270">
        <f>Results!I21</f>
        <v>-7938.950597184652</v>
      </c>
      <c r="G36" s="270">
        <f>Results!J21</f>
        <v>-821.84403667081642</v>
      </c>
      <c r="H36" s="270">
        <f>Results!K21</f>
        <v>2326.5755140264155</v>
      </c>
      <c r="I36" s="270">
        <f>Results!L21</f>
        <v>-1465.4234886240956</v>
      </c>
      <c r="J36" s="270">
        <f>Results!M21</f>
        <v>-6050.8285282364814</v>
      </c>
      <c r="K36" s="270">
        <f>Results!N21</f>
        <v>-9596.1439002734624</v>
      </c>
      <c r="L36" s="270">
        <f>Results!O21</f>
        <v>-13700.761432928964</v>
      </c>
      <c r="M36" s="270">
        <f>Results!P21</f>
        <v>-16737.372170438364</v>
      </c>
      <c r="N36" s="270">
        <f>Results!Q21</f>
        <v>-27918.052009603918</v>
      </c>
      <c r="O36" s="270">
        <f>Results!R21</f>
        <v>-22600.538785365206</v>
      </c>
      <c r="P36" s="270">
        <f>Results!S21</f>
        <v>100050.53708586842</v>
      </c>
      <c r="Q36" s="271">
        <f>Results!T21</f>
        <v>16048.170468327415</v>
      </c>
    </row>
    <row r="38" spans="1:17" s="230" customFormat="1" ht="12.75">
      <c r="A38" s="230" t="s">
        <v>381</v>
      </c>
      <c r="B38" s="235" t="str">
        <f t="shared" ref="B38:Q38" si="6">IF(B36&gt;1,"+","-")</f>
        <v>-</v>
      </c>
      <c r="C38" s="235" t="str">
        <f t="shared" si="6"/>
        <v>-</v>
      </c>
      <c r="D38" s="235" t="str">
        <f t="shared" si="6"/>
        <v>-</v>
      </c>
      <c r="E38" s="235" t="str">
        <f t="shared" si="6"/>
        <v>-</v>
      </c>
      <c r="F38" s="235" t="str">
        <f t="shared" si="6"/>
        <v>-</v>
      </c>
      <c r="G38" s="235" t="str">
        <f t="shared" si="6"/>
        <v>-</v>
      </c>
      <c r="H38" s="235" t="str">
        <f t="shared" si="6"/>
        <v>+</v>
      </c>
      <c r="I38" s="235" t="str">
        <f t="shared" si="6"/>
        <v>-</v>
      </c>
      <c r="J38" s="235" t="str">
        <f t="shared" si="6"/>
        <v>-</v>
      </c>
      <c r="K38" s="235" t="str">
        <f t="shared" si="6"/>
        <v>-</v>
      </c>
      <c r="L38" s="235" t="str">
        <f t="shared" si="6"/>
        <v>-</v>
      </c>
      <c r="M38" s="235" t="str">
        <f t="shared" si="6"/>
        <v>-</v>
      </c>
      <c r="N38" s="235" t="str">
        <f t="shared" si="6"/>
        <v>-</v>
      </c>
      <c r="O38" s="235" t="str">
        <f t="shared" si="6"/>
        <v>-</v>
      </c>
      <c r="P38" s="235" t="str">
        <f t="shared" si="6"/>
        <v>+</v>
      </c>
      <c r="Q38" s="235" t="str">
        <f t="shared" si="6"/>
        <v>+</v>
      </c>
    </row>
    <row r="39" spans="1:17" s="231" customFormat="1" ht="12.75">
      <c r="A39" s="231" t="s">
        <v>380</v>
      </c>
      <c r="B39" s="234" t="s">
        <v>379</v>
      </c>
      <c r="C39" s="234" t="s">
        <v>379</v>
      </c>
      <c r="D39" s="234" t="s">
        <v>379</v>
      </c>
      <c r="E39" s="234" t="s">
        <v>379</v>
      </c>
      <c r="F39" s="234" t="s">
        <v>379</v>
      </c>
      <c r="G39" s="234" t="s">
        <v>379</v>
      </c>
      <c r="H39" s="234" t="s">
        <v>379</v>
      </c>
      <c r="I39" s="234" t="s">
        <v>379</v>
      </c>
      <c r="J39" s="234" t="s">
        <v>379</v>
      </c>
      <c r="K39" s="234" t="s">
        <v>379</v>
      </c>
      <c r="L39" s="234" t="s">
        <v>379</v>
      </c>
      <c r="M39" s="234" t="s">
        <v>379</v>
      </c>
      <c r="N39" s="234" t="s">
        <v>379</v>
      </c>
      <c r="O39" s="234" t="s">
        <v>379</v>
      </c>
      <c r="P39" s="234" t="s">
        <v>379</v>
      </c>
      <c r="Q39" s="234" t="s">
        <v>379</v>
      </c>
    </row>
    <row r="40" spans="1:17" s="230" customFormat="1" ht="12.75">
      <c r="A40" s="230" t="s">
        <v>378</v>
      </c>
      <c r="B40" s="235">
        <f t="shared" ref="B40:Q40" si="7">ABS(ROUND((B36/1000),1))</f>
        <v>28.7</v>
      </c>
      <c r="C40" s="235">
        <f t="shared" si="7"/>
        <v>9.1</v>
      </c>
      <c r="D40" s="235">
        <f t="shared" si="7"/>
        <v>8.1999999999999993</v>
      </c>
      <c r="E40" s="235">
        <f t="shared" si="7"/>
        <v>0.6</v>
      </c>
      <c r="F40" s="235">
        <f t="shared" si="7"/>
        <v>7.9</v>
      </c>
      <c r="G40" s="235">
        <f t="shared" si="7"/>
        <v>0.8</v>
      </c>
      <c r="H40" s="235">
        <f t="shared" si="7"/>
        <v>2.2999999999999998</v>
      </c>
      <c r="I40" s="235">
        <f t="shared" si="7"/>
        <v>1.5</v>
      </c>
      <c r="J40" s="235">
        <f t="shared" si="7"/>
        <v>6.1</v>
      </c>
      <c r="K40" s="235">
        <f t="shared" si="7"/>
        <v>9.6</v>
      </c>
      <c r="L40" s="235">
        <f t="shared" si="7"/>
        <v>13.7</v>
      </c>
      <c r="M40" s="235">
        <f t="shared" si="7"/>
        <v>16.7</v>
      </c>
      <c r="N40" s="235">
        <f t="shared" si="7"/>
        <v>27.9</v>
      </c>
      <c r="O40" s="235">
        <f t="shared" si="7"/>
        <v>22.6</v>
      </c>
      <c r="P40" s="235">
        <f t="shared" si="7"/>
        <v>100.1</v>
      </c>
      <c r="Q40" s="235">
        <f t="shared" si="7"/>
        <v>16</v>
      </c>
    </row>
    <row r="41" spans="1:17" s="231" customFormat="1" ht="12.75">
      <c r="A41" s="231" t="s">
        <v>374</v>
      </c>
      <c r="B41" s="234" t="s">
        <v>377</v>
      </c>
      <c r="C41" s="234" t="s">
        <v>377</v>
      </c>
      <c r="D41" s="234" t="s">
        <v>377</v>
      </c>
      <c r="E41" s="234" t="s">
        <v>377</v>
      </c>
      <c r="F41" s="234" t="s">
        <v>377</v>
      </c>
      <c r="G41" s="234" t="s">
        <v>377</v>
      </c>
      <c r="H41" s="234" t="s">
        <v>377</v>
      </c>
      <c r="I41" s="234" t="s">
        <v>377</v>
      </c>
      <c r="J41" s="234" t="s">
        <v>377</v>
      </c>
      <c r="K41" s="234" t="s">
        <v>377</v>
      </c>
      <c r="L41" s="234" t="s">
        <v>377</v>
      </c>
      <c r="M41" s="234" t="s">
        <v>377</v>
      </c>
      <c r="N41" s="234" t="s">
        <v>377</v>
      </c>
      <c r="O41" s="234" t="s">
        <v>377</v>
      </c>
      <c r="P41" s="234" t="s">
        <v>377</v>
      </c>
      <c r="Q41" s="234" t="s">
        <v>377</v>
      </c>
    </row>
    <row r="42" spans="1:17" s="231" customFormat="1" ht="12.75">
      <c r="A42" s="231" t="s">
        <v>376</v>
      </c>
      <c r="B42" s="234" t="s">
        <v>12</v>
      </c>
      <c r="C42" s="234" t="s">
        <v>13</v>
      </c>
      <c r="D42" s="234" t="s">
        <v>14</v>
      </c>
      <c r="E42" s="234" t="s">
        <v>15</v>
      </c>
      <c r="F42" s="234" t="s">
        <v>16</v>
      </c>
      <c r="G42" s="234" t="s">
        <v>17</v>
      </c>
      <c r="H42" s="234" t="s">
        <v>18</v>
      </c>
      <c r="I42" s="234" t="s">
        <v>19</v>
      </c>
      <c r="J42" s="234" t="s">
        <v>20</v>
      </c>
      <c r="K42" s="234" t="s">
        <v>21</v>
      </c>
      <c r="L42" s="234" t="s">
        <v>22</v>
      </c>
      <c r="M42" s="234" t="s">
        <v>23</v>
      </c>
      <c r="N42" s="234" t="s">
        <v>24</v>
      </c>
      <c r="O42" s="234" t="s">
        <v>25</v>
      </c>
      <c r="P42" s="234" t="s">
        <v>26</v>
      </c>
      <c r="Q42" s="234" t="s">
        <v>27</v>
      </c>
    </row>
    <row r="43" spans="1:17" s="231" customFormat="1" ht="12.75">
      <c r="A43" s="231" t="s">
        <v>375</v>
      </c>
      <c r="B43" s="234" t="str">
        <f t="shared" ref="B43:Q43" si="8">B42&amp;": "&amp;B38&amp;B39 &amp; B40 &amp; B41</f>
        <v>Alpine Energy : -$28.7m</v>
      </c>
      <c r="C43" s="234" t="str">
        <f t="shared" si="8"/>
        <v>Aurora Energy: -$9.1m</v>
      </c>
      <c r="D43" s="234" t="str">
        <f t="shared" si="8"/>
        <v>Centralines : -$8.2m</v>
      </c>
      <c r="E43" s="234" t="str">
        <f t="shared" si="8"/>
        <v>Eastland : -$0.6m</v>
      </c>
      <c r="F43" s="234" t="str">
        <f t="shared" si="8"/>
        <v>Electricity Ashburton: -$7.9m</v>
      </c>
      <c r="G43" s="234" t="str">
        <f t="shared" si="8"/>
        <v>Electricity Invercargill: -$0.8m</v>
      </c>
      <c r="H43" s="234" t="str">
        <f t="shared" si="8"/>
        <v>Horizon Energy : +$2.3m</v>
      </c>
      <c r="I43" s="234" t="str">
        <f t="shared" si="8"/>
        <v>Nelson Electricity : -$1.5m</v>
      </c>
      <c r="J43" s="234" t="str">
        <f t="shared" si="8"/>
        <v>Network Tasman : -$6.1m</v>
      </c>
      <c r="K43" s="234" t="str">
        <f t="shared" si="8"/>
        <v>OtagoNet : -$9.6m</v>
      </c>
      <c r="L43" s="234" t="str">
        <f t="shared" si="8"/>
        <v>Powerco : -$13.7m</v>
      </c>
      <c r="M43" s="234" t="str">
        <f t="shared" si="8"/>
        <v>The Lines Company: -$16.7m</v>
      </c>
      <c r="N43" s="234" t="str">
        <f t="shared" si="8"/>
        <v>Top Energy : -$27.9m</v>
      </c>
      <c r="O43" s="234" t="str">
        <f t="shared" si="8"/>
        <v>Unison : -$22.6m</v>
      </c>
      <c r="P43" s="234" t="str">
        <f t="shared" si="8"/>
        <v>Vector : +$100.1m</v>
      </c>
      <c r="Q43" s="234" t="str">
        <f t="shared" si="8"/>
        <v>Wellington Electricity : +$16m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0">
    <tabColor theme="3" tint="0.79998168889431442"/>
  </sheetPr>
  <dimension ref="B2:O100"/>
  <sheetViews>
    <sheetView zoomScale="85" zoomScaleNormal="85" workbookViewId="0"/>
  </sheetViews>
  <sheetFormatPr defaultRowHeight="15"/>
  <cols>
    <col min="1" max="1" width="3.42578125" style="17" customWidth="1"/>
    <col min="2" max="2" width="42.85546875" style="17" customWidth="1"/>
    <col min="3" max="3" width="13" style="17" customWidth="1"/>
    <col min="4" max="4" width="15.5703125" style="17" customWidth="1"/>
    <col min="5" max="14" width="10" style="17" customWidth="1"/>
    <col min="15" max="19" width="11" style="17" customWidth="1"/>
    <col min="20" max="16384" width="9.140625" style="17"/>
  </cols>
  <sheetData>
    <row r="2" spans="2:7" ht="28.5">
      <c r="B2" s="25" t="s">
        <v>96</v>
      </c>
    </row>
    <row r="3" spans="2:7" ht="23.25">
      <c r="B3" s="133" t="s">
        <v>230</v>
      </c>
    </row>
    <row r="4" spans="2:7" ht="15.75">
      <c r="B4" s="24" t="s">
        <v>95</v>
      </c>
    </row>
    <row r="5" spans="2:7" ht="15.75">
      <c r="B5" s="24" t="s">
        <v>94</v>
      </c>
    </row>
    <row r="7" spans="2:7">
      <c r="B7" s="23" t="s">
        <v>93</v>
      </c>
    </row>
    <row r="8" spans="2:7" s="34" customFormat="1">
      <c r="B8" s="23"/>
    </row>
    <row r="9" spans="2:7">
      <c r="B9" s="17" t="s">
        <v>92</v>
      </c>
      <c r="C9" s="20">
        <v>41364</v>
      </c>
      <c r="D9" s="20"/>
      <c r="E9"/>
      <c r="F9"/>
      <c r="G9"/>
    </row>
    <row r="10" spans="2:7">
      <c r="B10" s="17" t="s">
        <v>91</v>
      </c>
      <c r="C10" s="22">
        <v>365</v>
      </c>
      <c r="D10"/>
      <c r="E10"/>
      <c r="F10"/>
      <c r="G10"/>
    </row>
    <row r="11" spans="2:7">
      <c r="B11" s="17" t="s">
        <v>90</v>
      </c>
      <c r="C11" s="20">
        <f>EOMONTH(C9,-6)</f>
        <v>41182</v>
      </c>
    </row>
    <row r="12" spans="2:7" ht="17.25">
      <c r="B12" s="17" t="s">
        <v>89</v>
      </c>
      <c r="C12" s="132">
        <f>C9-C20</f>
        <v>41216</v>
      </c>
      <c r="D12" s="34" t="s">
        <v>232</v>
      </c>
    </row>
    <row r="13" spans="2:7">
      <c r="B13" s="17" t="s">
        <v>88</v>
      </c>
      <c r="C13" s="20">
        <f>C11</f>
        <v>41182</v>
      </c>
      <c r="D13" s="20" t="s">
        <v>83</v>
      </c>
    </row>
    <row r="14" spans="2:7">
      <c r="B14" s="17" t="s">
        <v>87</v>
      </c>
      <c r="C14" s="20">
        <f>C11</f>
        <v>41182</v>
      </c>
      <c r="D14" s="20" t="s">
        <v>83</v>
      </c>
    </row>
    <row r="15" spans="2:7">
      <c r="B15" s="17" t="s">
        <v>86</v>
      </c>
      <c r="C15" s="20">
        <f>C11</f>
        <v>41182</v>
      </c>
      <c r="D15" s="20" t="s">
        <v>83</v>
      </c>
    </row>
    <row r="16" spans="2:7">
      <c r="B16" s="17" t="s">
        <v>85</v>
      </c>
      <c r="C16" s="20">
        <f>C11</f>
        <v>41182</v>
      </c>
      <c r="D16" s="20" t="s">
        <v>83</v>
      </c>
    </row>
    <row r="17" spans="2:5">
      <c r="B17" s="17" t="s">
        <v>84</v>
      </c>
      <c r="C17" s="20">
        <f>C11</f>
        <v>41182</v>
      </c>
      <c r="D17" s="20" t="s">
        <v>83</v>
      </c>
    </row>
    <row r="18" spans="2:5">
      <c r="C18" s="20"/>
    </row>
    <row r="19" spans="2:5">
      <c r="B19" s="17" t="s">
        <v>82</v>
      </c>
      <c r="C19" s="134">
        <v>182</v>
      </c>
    </row>
    <row r="20" spans="2:5">
      <c r="B20" s="17" t="s">
        <v>81</v>
      </c>
      <c r="C20" s="134">
        <v>148</v>
      </c>
    </row>
    <row r="21" spans="2:5">
      <c r="D21" s="34"/>
      <c r="E21" s="34"/>
    </row>
    <row r="22" spans="2:5">
      <c r="B22" s="34" t="s">
        <v>236</v>
      </c>
      <c r="C22" s="21">
        <f>(1+WACC)^(C19/C10)</f>
        <v>1.0428084742793051</v>
      </c>
      <c r="D22" s="34"/>
      <c r="E22" s="34"/>
    </row>
    <row r="23" spans="2:5" ht="18">
      <c r="B23" s="34" t="s">
        <v>78</v>
      </c>
      <c r="C23" s="21">
        <f>$C$22</f>
        <v>1.0428084742793051</v>
      </c>
      <c r="D23" s="34"/>
      <c r="E23" s="34" t="s">
        <v>242</v>
      </c>
    </row>
    <row r="24" spans="2:5" ht="18">
      <c r="B24" s="34" t="s">
        <v>79</v>
      </c>
      <c r="C24" s="21">
        <f t="shared" ref="C24:C26" si="0">$C$22</f>
        <v>1.0428084742793051</v>
      </c>
      <c r="D24" s="34"/>
      <c r="E24" s="149" t="s">
        <v>327</v>
      </c>
    </row>
    <row r="25" spans="2:5" ht="18">
      <c r="B25" s="34" t="s">
        <v>237</v>
      </c>
      <c r="C25" s="21">
        <f t="shared" si="0"/>
        <v>1.0428084742793051</v>
      </c>
      <c r="D25" s="34"/>
      <c r="E25" s="34" t="s">
        <v>168</v>
      </c>
    </row>
    <row r="26" spans="2:5" s="34" customFormat="1" ht="18">
      <c r="B26" s="34" t="s">
        <v>235</v>
      </c>
      <c r="C26" s="21">
        <f t="shared" si="0"/>
        <v>1.0428084742793051</v>
      </c>
      <c r="E26" s="34" t="s">
        <v>279</v>
      </c>
    </row>
    <row r="27" spans="2:5" ht="18">
      <c r="B27" s="34" t="s">
        <v>80</v>
      </c>
      <c r="C27" s="21">
        <f>(1+WACC)^(C20/C10)</f>
        <v>1.0346743941931567</v>
      </c>
      <c r="D27" s="34"/>
      <c r="E27" s="149" t="s">
        <v>328</v>
      </c>
    </row>
    <row r="28" spans="2:5" s="34" customFormat="1">
      <c r="C28" s="21"/>
    </row>
    <row r="29" spans="2:5" s="34" customFormat="1">
      <c r="C29" s="21"/>
      <c r="E29" s="21"/>
    </row>
    <row r="30" spans="2:5" s="34" customFormat="1" ht="15.75">
      <c r="B30" s="131" t="s">
        <v>227</v>
      </c>
      <c r="C30" s="21"/>
      <c r="E30" s="21"/>
    </row>
    <row r="31" spans="2:5" ht="15.75">
      <c r="B31" s="131" t="s">
        <v>228</v>
      </c>
    </row>
    <row r="32" spans="2:5">
      <c r="B32" s="35" t="s">
        <v>292</v>
      </c>
    </row>
    <row r="33" spans="2:15">
      <c r="B33" s="34" t="s">
        <v>158</v>
      </c>
      <c r="C33" s="20">
        <f>EDATE(C9,-12)</f>
        <v>40999</v>
      </c>
      <c r="D33" s="27">
        <f>EOMONTH(C33,1)+20</f>
        <v>41049</v>
      </c>
      <c r="E33" s="27">
        <f>EDATE(D33,1)</f>
        <v>41080</v>
      </c>
      <c r="F33" s="27">
        <f t="shared" ref="F33:M33" si="1">EDATE(E33,1)</f>
        <v>41110</v>
      </c>
      <c r="G33" s="27">
        <f t="shared" si="1"/>
        <v>41141</v>
      </c>
      <c r="H33" s="27">
        <f t="shared" si="1"/>
        <v>41172</v>
      </c>
      <c r="I33" s="27">
        <f t="shared" si="1"/>
        <v>41202</v>
      </c>
      <c r="J33" s="27">
        <f t="shared" si="1"/>
        <v>41233</v>
      </c>
      <c r="K33" s="27">
        <f t="shared" si="1"/>
        <v>41263</v>
      </c>
      <c r="L33" s="27">
        <f t="shared" si="1"/>
        <v>41294</v>
      </c>
      <c r="M33" s="27">
        <f t="shared" si="1"/>
        <v>41325</v>
      </c>
      <c r="N33" s="27">
        <f>EDATE(M33,1)</f>
        <v>41353</v>
      </c>
      <c r="O33" s="27">
        <f>EDATE(N33,1)</f>
        <v>41384</v>
      </c>
    </row>
    <row r="34" spans="2:15">
      <c r="B34" s="17" t="s">
        <v>100</v>
      </c>
      <c r="C34" s="17">
        <v>0</v>
      </c>
      <c r="D34" s="17">
        <v>1</v>
      </c>
      <c r="E34" s="17">
        <v>1</v>
      </c>
      <c r="F34" s="17">
        <v>1</v>
      </c>
      <c r="G34" s="17">
        <v>1</v>
      </c>
      <c r="H34" s="17">
        <v>1</v>
      </c>
      <c r="I34" s="17">
        <v>1</v>
      </c>
      <c r="J34" s="17">
        <v>1</v>
      </c>
      <c r="K34" s="17">
        <v>1</v>
      </c>
      <c r="L34" s="17">
        <v>1</v>
      </c>
      <c r="M34" s="17">
        <v>1</v>
      </c>
      <c r="N34" s="17">
        <v>1</v>
      </c>
      <c r="O34" s="17">
        <v>1</v>
      </c>
    </row>
    <row r="35" spans="2:15">
      <c r="B35" s="34" t="s">
        <v>229</v>
      </c>
      <c r="C35" s="21">
        <f>XNPV(WACC,C34:O34,C33:O33)</f>
        <v>11.415281266303815</v>
      </c>
    </row>
    <row r="36" spans="2:15" s="34" customFormat="1">
      <c r="C36" s="21"/>
    </row>
    <row r="37" spans="2:15">
      <c r="B37" s="35" t="s">
        <v>226</v>
      </c>
    </row>
    <row r="38" spans="2:15">
      <c r="B38" s="34" t="s">
        <v>158</v>
      </c>
      <c r="C38" s="20">
        <f>C33</f>
        <v>40999</v>
      </c>
      <c r="D38" s="27">
        <f>C12</f>
        <v>41216</v>
      </c>
    </row>
    <row r="39" spans="2:15">
      <c r="B39" s="34" t="s">
        <v>100</v>
      </c>
      <c r="C39" s="17">
        <v>0</v>
      </c>
      <c r="D39" s="17">
        <v>12</v>
      </c>
    </row>
    <row r="40" spans="2:15">
      <c r="B40" s="34" t="s">
        <v>157</v>
      </c>
      <c r="C40" s="21">
        <f>XNPV(WACC,C39:D39,C38:D38)</f>
        <v>11.414997453634165</v>
      </c>
    </row>
    <row r="41" spans="2:15">
      <c r="B41" s="34" t="str">
        <f>"Difference in PV for a date of " &amp; TEXT(D38,"dd mmm")</f>
        <v>Difference in PV for a date of 03 Nov</v>
      </c>
      <c r="C41" s="21">
        <f>C35-C40</f>
        <v>2.8381266965027407E-4</v>
      </c>
    </row>
    <row r="43" spans="2:15">
      <c r="H43" s="34"/>
      <c r="I43" s="34"/>
      <c r="J43" s="34"/>
      <c r="K43" s="34"/>
    </row>
    <row r="44" spans="2:15">
      <c r="H44" s="34"/>
      <c r="I44" s="34"/>
      <c r="J44" s="34"/>
      <c r="K44" s="34"/>
    </row>
    <row r="45" spans="2:15">
      <c r="H45" s="34"/>
      <c r="I45" s="34"/>
      <c r="J45" s="34"/>
      <c r="K45" s="34"/>
    </row>
    <row r="46" spans="2:15">
      <c r="H46" s="34"/>
      <c r="I46" s="34"/>
      <c r="J46" s="34"/>
      <c r="K46" s="34"/>
    </row>
    <row r="47" spans="2:15">
      <c r="H47" s="34"/>
      <c r="I47" s="34"/>
      <c r="J47" s="34"/>
      <c r="K47" s="34"/>
    </row>
    <row r="48" spans="2:15">
      <c r="H48" s="34"/>
      <c r="I48" s="34"/>
      <c r="J48" s="34"/>
      <c r="K48" s="34"/>
    </row>
    <row r="49" spans="8:11">
      <c r="H49" s="34"/>
      <c r="I49" s="34"/>
      <c r="J49" s="34"/>
      <c r="K49" s="34"/>
    </row>
    <row r="50" spans="8:11">
      <c r="H50" s="34"/>
      <c r="I50" s="34"/>
      <c r="J50" s="34"/>
      <c r="K50" s="34"/>
    </row>
    <row r="51" spans="8:11">
      <c r="H51" s="34"/>
      <c r="I51" s="34"/>
      <c r="J51" s="34"/>
      <c r="K51" s="34"/>
    </row>
    <row r="52" spans="8:11">
      <c r="H52" s="34"/>
      <c r="I52" s="34"/>
      <c r="J52" s="34"/>
      <c r="K52" s="34"/>
    </row>
    <row r="53" spans="8:11">
      <c r="H53" s="34"/>
      <c r="I53" s="34"/>
      <c r="J53" s="34"/>
      <c r="K53" s="34"/>
    </row>
    <row r="54" spans="8:11">
      <c r="H54" s="34"/>
      <c r="I54" s="34"/>
      <c r="J54" s="34"/>
      <c r="K54" s="34"/>
    </row>
    <row r="55" spans="8:11">
      <c r="H55" s="34"/>
      <c r="I55" s="34"/>
      <c r="J55" s="34"/>
      <c r="K55" s="34"/>
    </row>
    <row r="56" spans="8:11">
      <c r="H56" s="34"/>
      <c r="I56" s="34"/>
      <c r="J56" s="34"/>
      <c r="K56" s="34"/>
    </row>
    <row r="57" spans="8:11">
      <c r="H57" s="34"/>
      <c r="I57" s="34"/>
      <c r="J57" s="34"/>
      <c r="K57" s="34"/>
    </row>
    <row r="58" spans="8:11">
      <c r="H58" s="34"/>
      <c r="I58" s="34"/>
      <c r="J58" s="34"/>
      <c r="K58" s="34"/>
    </row>
    <row r="59" spans="8:11">
      <c r="H59" s="34"/>
      <c r="I59" s="34"/>
      <c r="J59" s="34"/>
      <c r="K59" s="34"/>
    </row>
    <row r="60" spans="8:11">
      <c r="H60" s="34"/>
      <c r="I60" s="34"/>
      <c r="J60" s="34"/>
      <c r="K60" s="34"/>
    </row>
    <row r="61" spans="8:11">
      <c r="H61" s="34"/>
      <c r="I61" s="34"/>
      <c r="J61" s="34"/>
      <c r="K61" s="34"/>
    </row>
    <row r="62" spans="8:11">
      <c r="H62" s="34"/>
      <c r="I62" s="34"/>
      <c r="J62" s="34"/>
      <c r="K62" s="34"/>
    </row>
    <row r="63" spans="8:11">
      <c r="H63" s="34"/>
      <c r="I63" s="34"/>
      <c r="J63" s="34"/>
      <c r="K63" s="34"/>
    </row>
    <row r="64" spans="8:11">
      <c r="H64" s="34"/>
      <c r="I64" s="34"/>
      <c r="J64" s="34"/>
      <c r="K64" s="34"/>
    </row>
    <row r="65" spans="8:11">
      <c r="H65" s="34"/>
      <c r="I65" s="34"/>
      <c r="J65" s="34"/>
      <c r="K65" s="34"/>
    </row>
    <row r="66" spans="8:11">
      <c r="H66" s="34"/>
      <c r="I66" s="34"/>
      <c r="J66" s="34"/>
      <c r="K66" s="34"/>
    </row>
    <row r="67" spans="8:11">
      <c r="H67" s="34"/>
      <c r="I67" s="34"/>
      <c r="J67" s="34"/>
      <c r="K67" s="34"/>
    </row>
    <row r="68" spans="8:11">
      <c r="H68" s="34"/>
      <c r="I68" s="34"/>
      <c r="J68" s="34"/>
      <c r="K68" s="34"/>
    </row>
    <row r="69" spans="8:11">
      <c r="H69" s="34"/>
      <c r="I69" s="34"/>
      <c r="J69" s="34"/>
      <c r="K69" s="34"/>
    </row>
    <row r="70" spans="8:11">
      <c r="H70" s="34"/>
      <c r="I70" s="34"/>
      <c r="J70" s="34"/>
      <c r="K70" s="34"/>
    </row>
    <row r="71" spans="8:11">
      <c r="H71" s="34"/>
      <c r="I71" s="34"/>
      <c r="J71" s="34"/>
      <c r="K71" s="34"/>
    </row>
    <row r="72" spans="8:11">
      <c r="H72" s="34"/>
      <c r="I72" s="34"/>
      <c r="J72" s="34"/>
      <c r="K72" s="34"/>
    </row>
    <row r="73" spans="8:11">
      <c r="H73" s="34"/>
      <c r="I73" s="34"/>
      <c r="J73" s="34"/>
      <c r="K73" s="34"/>
    </row>
    <row r="74" spans="8:11">
      <c r="H74" s="34"/>
      <c r="I74" s="34"/>
      <c r="J74" s="34"/>
      <c r="K74" s="34"/>
    </row>
    <row r="75" spans="8:11">
      <c r="H75" s="34"/>
      <c r="I75" s="34"/>
      <c r="J75" s="34"/>
      <c r="K75" s="34"/>
    </row>
    <row r="76" spans="8:11">
      <c r="H76" s="34"/>
      <c r="I76" s="34"/>
      <c r="J76" s="34"/>
      <c r="K76" s="34"/>
    </row>
    <row r="77" spans="8:11">
      <c r="H77" s="34"/>
      <c r="I77" s="34"/>
      <c r="J77" s="34"/>
      <c r="K77" s="34"/>
    </row>
    <row r="78" spans="8:11">
      <c r="H78" s="34"/>
      <c r="I78" s="34"/>
      <c r="J78" s="34"/>
      <c r="K78" s="34"/>
    </row>
    <row r="79" spans="8:11">
      <c r="H79" s="34"/>
      <c r="I79" s="34"/>
      <c r="J79" s="34"/>
      <c r="K79" s="34"/>
    </row>
    <row r="80" spans="8:11">
      <c r="H80" s="34"/>
      <c r="I80" s="34"/>
      <c r="J80" s="34"/>
      <c r="K80" s="34"/>
    </row>
    <row r="81" spans="8:11">
      <c r="H81" s="34"/>
      <c r="I81" s="34"/>
      <c r="J81" s="34"/>
      <c r="K81" s="34"/>
    </row>
    <row r="82" spans="8:11">
      <c r="H82" s="34"/>
      <c r="I82" s="34"/>
      <c r="J82" s="34"/>
      <c r="K82" s="34"/>
    </row>
    <row r="83" spans="8:11">
      <c r="H83" s="34"/>
      <c r="I83" s="34"/>
      <c r="J83" s="34"/>
      <c r="K83" s="34"/>
    </row>
    <row r="84" spans="8:11">
      <c r="H84" s="34"/>
      <c r="I84" s="34"/>
      <c r="J84" s="34"/>
      <c r="K84" s="34"/>
    </row>
    <row r="85" spans="8:11">
      <c r="H85" s="34"/>
      <c r="I85" s="34"/>
      <c r="J85" s="34"/>
      <c r="K85" s="34"/>
    </row>
    <row r="86" spans="8:11">
      <c r="H86" s="34"/>
      <c r="I86" s="34"/>
      <c r="J86" s="34"/>
      <c r="K86" s="34"/>
    </row>
    <row r="87" spans="8:11">
      <c r="H87" s="34"/>
      <c r="I87" s="34"/>
      <c r="J87" s="34"/>
      <c r="K87" s="34"/>
    </row>
    <row r="88" spans="8:11">
      <c r="H88" s="34"/>
      <c r="I88" s="34"/>
      <c r="J88" s="34"/>
      <c r="K88" s="34"/>
    </row>
    <row r="89" spans="8:11">
      <c r="H89" s="34"/>
      <c r="I89" s="34"/>
      <c r="J89" s="34"/>
      <c r="K89" s="34"/>
    </row>
    <row r="90" spans="8:11">
      <c r="H90" s="34"/>
      <c r="I90" s="34"/>
      <c r="J90" s="34"/>
      <c r="K90" s="34"/>
    </row>
    <row r="91" spans="8:11">
      <c r="H91" s="34"/>
      <c r="I91" s="34"/>
      <c r="J91" s="34"/>
      <c r="K91" s="34"/>
    </row>
    <row r="92" spans="8:11">
      <c r="H92" s="34"/>
      <c r="I92" s="34"/>
      <c r="J92" s="34"/>
      <c r="K92" s="34"/>
    </row>
    <row r="93" spans="8:11">
      <c r="H93" s="34"/>
      <c r="I93" s="34"/>
      <c r="J93" s="34"/>
      <c r="K93" s="34"/>
    </row>
    <row r="94" spans="8:11">
      <c r="H94" s="34"/>
      <c r="I94" s="34"/>
      <c r="J94" s="34"/>
      <c r="K94" s="34"/>
    </row>
    <row r="95" spans="8:11">
      <c r="H95" s="34"/>
      <c r="I95" s="34"/>
      <c r="J95" s="34"/>
      <c r="K95" s="34"/>
    </row>
    <row r="96" spans="8:11">
      <c r="H96" s="34"/>
      <c r="I96" s="34"/>
      <c r="J96" s="34"/>
      <c r="K96" s="34"/>
    </row>
    <row r="97" spans="8:11">
      <c r="H97" s="34"/>
      <c r="I97" s="34"/>
      <c r="J97" s="34"/>
      <c r="K97" s="34"/>
    </row>
    <row r="98" spans="8:11">
      <c r="H98" s="34"/>
      <c r="I98" s="34"/>
      <c r="J98" s="34"/>
      <c r="K98" s="34"/>
    </row>
    <row r="99" spans="8:11">
      <c r="H99" s="34"/>
      <c r="I99" s="34"/>
      <c r="J99" s="34"/>
      <c r="K99" s="34"/>
    </row>
    <row r="100" spans="8:11">
      <c r="H100" s="34"/>
      <c r="I100" s="34"/>
      <c r="J100" s="34"/>
      <c r="K100"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27">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Alpine Energy </v>
      </c>
      <c r="D1" s="2"/>
      <c r="E1" s="2"/>
      <c r="F1" s="6" t="s">
        <v>169</v>
      </c>
      <c r="G1" s="7">
        <v>1</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33162.997000000003</v>
      </c>
    </row>
    <row r="9" spans="1:16">
      <c r="A9" s="9">
        <f>A8+1</f>
        <v>2</v>
      </c>
      <c r="B9" s="9"/>
      <c r="C9" s="149" t="str">
        <f>Inputs!B21</f>
        <v>Pass-through costs</v>
      </c>
      <c r="E9" s="1">
        <f t="shared" si="0"/>
        <v>169.797</v>
      </c>
    </row>
    <row r="10" spans="1:16">
      <c r="A10" s="9">
        <f t="shared" ref="A10:A22" si="1">A9+1</f>
        <v>3</v>
      </c>
      <c r="B10" s="9"/>
      <c r="C10" s="149" t="str">
        <f>Inputs!B22</f>
        <v>Recoverable costs</v>
      </c>
      <c r="E10" s="1">
        <f t="shared" si="0"/>
        <v>9726.8340000000007</v>
      </c>
    </row>
    <row r="11" spans="1:16">
      <c r="A11" s="9">
        <f t="shared" si="1"/>
        <v>4</v>
      </c>
      <c r="B11" s="9"/>
      <c r="C11" s="155" t="str">
        <f>Inputs!B23</f>
        <v>Opening RAB</v>
      </c>
      <c r="E11" s="1">
        <f t="shared" si="0"/>
        <v>127657.81424323402</v>
      </c>
      <c r="L11" s="13"/>
    </row>
    <row r="12" spans="1:16">
      <c r="A12" s="9">
        <f t="shared" si="1"/>
        <v>5</v>
      </c>
      <c r="B12" s="9"/>
      <c r="C12" s="155" t="str">
        <f>Inputs!B24</f>
        <v>Total Depreciation</v>
      </c>
      <c r="E12" s="1">
        <f t="shared" si="0"/>
        <v>7644.3481344924612</v>
      </c>
      <c r="F12" s="161"/>
      <c r="G12" s="337" t="s">
        <v>511</v>
      </c>
    </row>
    <row r="13" spans="1:16">
      <c r="A13" s="9">
        <f t="shared" si="1"/>
        <v>6</v>
      </c>
      <c r="B13" s="9"/>
      <c r="C13" s="155" t="str">
        <f>Inputs!B25</f>
        <v>RAB of disposed assets</v>
      </c>
      <c r="E13" s="1">
        <f t="shared" si="0"/>
        <v>53.023000000000003</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6432</v>
      </c>
      <c r="G15" s="23" t="s">
        <v>514</v>
      </c>
    </row>
    <row r="16" spans="1:16">
      <c r="A16" s="9">
        <f t="shared" si="1"/>
        <v>9</v>
      </c>
      <c r="B16" s="9"/>
      <c r="C16" s="155" t="str">
        <f>Inputs!B28</f>
        <v>Opening regulatory tax asset value</v>
      </c>
      <c r="E16" s="1">
        <f t="shared" si="0"/>
        <v>60952</v>
      </c>
    </row>
    <row r="17" spans="1:21">
      <c r="A17" s="9">
        <f t="shared" si="1"/>
        <v>10</v>
      </c>
      <c r="B17" s="9"/>
      <c r="C17" s="155" t="str">
        <f>Inputs!B29</f>
        <v>Weighted Average Remaining Life at year-end</v>
      </c>
      <c r="E17" s="1">
        <f t="shared" si="0"/>
        <v>34.249324233102719</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3.2290000000000001</v>
      </c>
    </row>
    <row r="20" spans="1:21">
      <c r="A20" s="9">
        <f t="shared" si="1"/>
        <v>13</v>
      </c>
      <c r="B20" s="9"/>
      <c r="C20" s="155" t="str">
        <f>Inputs!B32</f>
        <v>Operating expenditure 2009/10</v>
      </c>
      <c r="E20" s="1">
        <f t="shared" si="0"/>
        <v>10160.846</v>
      </c>
    </row>
    <row r="21" spans="1:21">
      <c r="A21" s="9">
        <f t="shared" si="1"/>
        <v>14</v>
      </c>
      <c r="B21" s="9"/>
      <c r="C21" s="155" t="str">
        <f>Inputs!B33</f>
        <v>Other regulated income</v>
      </c>
      <c r="E21" s="1">
        <f t="shared" si="0"/>
        <v>6.1865778081198419</v>
      </c>
      <c r="K21" s="90"/>
    </row>
    <row r="22" spans="1:21">
      <c r="A22" s="9">
        <f t="shared" si="1"/>
        <v>15</v>
      </c>
      <c r="C22" s="155" t="str">
        <f>Inputs!B34</f>
        <v>Alternate X value to 2014/15</v>
      </c>
      <c r="D22" s="90"/>
      <c r="E22" s="126">
        <f t="shared" si="0"/>
        <v>-0.15</v>
      </c>
      <c r="K22" s="90"/>
    </row>
    <row r="23" spans="1:21">
      <c r="C23" s="155"/>
      <c r="K23" s="90"/>
    </row>
    <row r="24" spans="1:21">
      <c r="A24" s="9"/>
      <c r="B24" s="9"/>
      <c r="C24" s="149" t="s">
        <v>31</v>
      </c>
      <c r="E24" s="161">
        <f>E20</f>
        <v>10160.846</v>
      </c>
      <c r="F24" s="39">
        <f>INDEX(OpexBlock,F7-1,$G$1)</f>
        <v>10572.036549673365</v>
      </c>
      <c r="G24" s="39">
        <f>INDEX(OpexBlock,G7-1,$G$1)</f>
        <v>10971.408348292531</v>
      </c>
      <c r="H24" s="39">
        <f>INDEX(OpexBlock,H7-1,$G$1)</f>
        <v>11354.262142038775</v>
      </c>
      <c r="I24" s="39">
        <f>INDEX(OpexBlock,I7-1,$G$1)</f>
        <v>11767.370148651833</v>
      </c>
      <c r="J24" s="39">
        <f>INDEX(OpexBlock,J7-1,$G$1)</f>
        <v>12200.430558550508</v>
      </c>
      <c r="K24" s="90"/>
      <c r="L24" s="36"/>
      <c r="M24" s="36"/>
    </row>
    <row r="25" spans="1:21">
      <c r="A25" s="9"/>
      <c r="B25" s="9"/>
      <c r="C25" s="149" t="s">
        <v>272</v>
      </c>
      <c r="D25" s="1"/>
      <c r="E25" s="39">
        <f t="shared" ref="E25:J25" si="2">INDEX(CommAssetsBlock,E7,$G$1)</f>
        <v>11863.404999999999</v>
      </c>
      <c r="F25" s="39">
        <f t="shared" si="2"/>
        <v>24124.947971751648</v>
      </c>
      <c r="G25" s="39">
        <f t="shared" si="2"/>
        <v>22265.089313342458</v>
      </c>
      <c r="H25" s="39">
        <f t="shared" si="2"/>
        <v>29491.695070671394</v>
      </c>
      <c r="I25" s="39">
        <f t="shared" si="2"/>
        <v>20332.084526793067</v>
      </c>
      <c r="J25" s="39">
        <f t="shared" si="2"/>
        <v>13714.399790851603</v>
      </c>
      <c r="K25" s="90"/>
      <c r="L25" s="36"/>
      <c r="M25" s="36"/>
    </row>
    <row r="26" spans="1:21">
      <c r="A26" s="9"/>
      <c r="B26" s="9"/>
      <c r="C26" s="149" t="s">
        <v>342</v>
      </c>
      <c r="D26" s="1"/>
      <c r="E26" s="90"/>
      <c r="F26" s="90">
        <f t="shared" ref="F26:J26" si="3">INDEX(ConstPriceRevGrwth,F$7-1,$G$1)</f>
        <v>-1.9358131811653702E-3</v>
      </c>
      <c r="G26" s="90">
        <f t="shared" si="3"/>
        <v>1.0593420389675642E-2</v>
      </c>
      <c r="H26" s="90">
        <f t="shared" si="3"/>
        <v>3.7387962908738233E-3</v>
      </c>
      <c r="I26" s="90">
        <f t="shared" si="3"/>
        <v>4.3442682126310752E-3</v>
      </c>
      <c r="J26" s="90">
        <f t="shared" si="3"/>
        <v>4.5424149240163728E-3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6.1865778081198419</v>
      </c>
      <c r="F40" s="295">
        <f>E40*(1+F39)</f>
        <v>6.4629153765773371</v>
      </c>
      <c r="G40" s="295">
        <f t="shared" ref="G40:J40" si="5">F40*(1+G39)</f>
        <v>6.5644271364188667</v>
      </c>
      <c r="H40" s="295">
        <f t="shared" si="5"/>
        <v>6.6884970651140678</v>
      </c>
      <c r="I40" s="295">
        <f t="shared" si="5"/>
        <v>6.8294856204495247</v>
      </c>
      <c r="J40" s="295">
        <f t="shared" si="5"/>
        <v>6.9817532602118186</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16.699633768276794</v>
      </c>
      <c r="F53" s="45">
        <f>E53-1</f>
        <v>15.699633768276794</v>
      </c>
      <c r="G53" s="45">
        <f t="shared" ref="G53:J53" si="6">F53-1</f>
        <v>14.699633768276794</v>
      </c>
      <c r="H53" s="45">
        <f t="shared" si="6"/>
        <v>13.699633768276794</v>
      </c>
      <c r="I53" s="45">
        <f t="shared" si="6"/>
        <v>12.699633768276794</v>
      </c>
      <c r="J53" s="45">
        <f t="shared" si="6"/>
        <v>11.699633768276794</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53.023000000000003</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127657.81424323402</v>
      </c>
      <c r="F58" s="216">
        <f>E62</f>
        <v>122159.56494314312</v>
      </c>
      <c r="G58" s="216">
        <f t="shared" ref="G58:J58" si="9">F62</f>
        <v>116798.77032300699</v>
      </c>
      <c r="H58" s="216">
        <f t="shared" si="9"/>
        <v>111695.94591381963</v>
      </c>
      <c r="I58" s="216">
        <f t="shared" si="9"/>
        <v>106253.12828912427</v>
      </c>
      <c r="J58" s="216">
        <f t="shared" si="9"/>
        <v>100464.81383997359</v>
      </c>
      <c r="K58" s="148"/>
      <c r="L58" s="36"/>
      <c r="M58" s="36"/>
    </row>
    <row r="59" spans="3:16">
      <c r="C59" s="149" t="s">
        <v>41</v>
      </c>
      <c r="D59" s="153"/>
      <c r="E59" s="216">
        <f>E55</f>
        <v>53.023000000000003</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2199.121834401567</v>
      </c>
      <c r="F60" s="216">
        <f t="shared" si="11"/>
        <v>2420.2508963511928</v>
      </c>
      <c r="G60" s="216">
        <f t="shared" si="11"/>
        <v>2842.8681273892921</v>
      </c>
      <c r="H60" s="216">
        <f t="shared" si="11"/>
        <v>2710.3890816375988</v>
      </c>
      <c r="I60" s="216">
        <f t="shared" si="11"/>
        <v>2578.3148748020062</v>
      </c>
      <c r="J60" s="216">
        <f t="shared" si="11"/>
        <v>2437.8569185556094</v>
      </c>
      <c r="K60" s="148"/>
      <c r="L60" s="36"/>
      <c r="M60" s="36"/>
    </row>
    <row r="61" spans="3:16">
      <c r="C61" s="149" t="s">
        <v>43</v>
      </c>
      <c r="E61" s="136">
        <f>E12</f>
        <v>7644.3481344924612</v>
      </c>
      <c r="F61" s="216">
        <f t="shared" ref="F61:J61" si="12">F58/F53</f>
        <v>7781.0455164873229</v>
      </c>
      <c r="G61" s="216">
        <f t="shared" si="12"/>
        <v>7945.6925365766483</v>
      </c>
      <c r="H61" s="216">
        <f t="shared" si="12"/>
        <v>8153.206706332945</v>
      </c>
      <c r="I61" s="216">
        <f t="shared" si="12"/>
        <v>8366.6293239526785</v>
      </c>
      <c r="J61" s="216">
        <f t="shared" si="12"/>
        <v>8587.005014839091</v>
      </c>
      <c r="K61" s="148"/>
      <c r="L61" s="36"/>
      <c r="M61" s="36"/>
    </row>
    <row r="62" spans="3:16">
      <c r="C62" s="149" t="s">
        <v>44</v>
      </c>
      <c r="E62" s="139">
        <f>E58-E59+E60-E61</f>
        <v>122159.56494314312</v>
      </c>
      <c r="F62" s="139">
        <f>F58-F59+F60-F61</f>
        <v>116798.77032300699</v>
      </c>
      <c r="G62" s="139">
        <f t="shared" ref="G62:J62" si="13">G58-G59+G60-G61</f>
        <v>111695.94591381963</v>
      </c>
      <c r="H62" s="139">
        <f t="shared" si="13"/>
        <v>106253.12828912427</v>
      </c>
      <c r="I62" s="216">
        <f t="shared" si="13"/>
        <v>100464.81383997359</v>
      </c>
      <c r="J62" s="216">
        <f t="shared" si="13"/>
        <v>94315.665743690115</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11863.404999999999</v>
      </c>
      <c r="F66" s="139">
        <f t="shared" ref="F66:J66" si="15">F$25</f>
        <v>24124.947971751648</v>
      </c>
      <c r="G66" s="139">
        <f t="shared" si="15"/>
        <v>22265.089313342458</v>
      </c>
      <c r="H66" s="139">
        <f t="shared" si="15"/>
        <v>29491.695070671394</v>
      </c>
      <c r="I66" s="139">
        <f t="shared" si="15"/>
        <v>20332.084526793067</v>
      </c>
      <c r="J66" s="139">
        <f t="shared" si="15"/>
        <v>13714.399790851603</v>
      </c>
      <c r="K66" s="148"/>
      <c r="L66" s="36"/>
      <c r="M66" s="36"/>
    </row>
    <row r="67" spans="1:13">
      <c r="A67" s="149">
        <v>1</v>
      </c>
      <c r="C67" s="149" t="s">
        <v>481</v>
      </c>
      <c r="E67" s="135">
        <v>0</v>
      </c>
      <c r="F67" s="139">
        <f>E91</f>
        <v>11863.404999999999</v>
      </c>
      <c r="G67" s="139">
        <f t="shared" ref="G67:J67" si="16">F91</f>
        <v>11834.814043338569</v>
      </c>
      <c r="H67" s="139">
        <f t="shared" si="16"/>
        <v>11853.898957991812</v>
      </c>
      <c r="I67" s="139">
        <f t="shared" si="16"/>
        <v>11865.870975544112</v>
      </c>
      <c r="J67" s="139">
        <f t="shared" si="16"/>
        <v>11871.284834699953</v>
      </c>
      <c r="K67" s="148"/>
      <c r="L67" s="36"/>
      <c r="M67" s="36"/>
    </row>
    <row r="68" spans="1:13">
      <c r="A68" s="149">
        <v>2</v>
      </c>
      <c r="C68" s="149" t="s">
        <v>482</v>
      </c>
      <c r="E68" s="135">
        <v>0</v>
      </c>
      <c r="F68" s="139">
        <f t="shared" ref="F68:J71" si="17">E92</f>
        <v>0</v>
      </c>
      <c r="G68" s="139">
        <f t="shared" si="17"/>
        <v>24124.947971751648</v>
      </c>
      <c r="H68" s="139">
        <f t="shared" si="17"/>
        <v>24176.036370660509</v>
      </c>
      <c r="I68" s="139">
        <f t="shared" si="17"/>
        <v>24213.231341906769</v>
      </c>
      <c r="J68" s="139">
        <f t="shared" si="17"/>
        <v>24237.685846846492</v>
      </c>
      <c r="K68" s="148"/>
      <c r="L68" s="36"/>
      <c r="M68" s="36"/>
    </row>
    <row r="69" spans="1:13">
      <c r="A69" s="149">
        <v>3</v>
      </c>
      <c r="C69" s="149" t="s">
        <v>483</v>
      </c>
      <c r="E69" s="135">
        <v>0</v>
      </c>
      <c r="F69" s="139">
        <f t="shared" si="17"/>
        <v>0</v>
      </c>
      <c r="G69" s="139">
        <f t="shared" si="17"/>
        <v>0</v>
      </c>
      <c r="H69" s="139">
        <f t="shared" si="17"/>
        <v>22265.089313342458</v>
      </c>
      <c r="I69" s="139">
        <f t="shared" si="17"/>
        <v>22310.589276133829</v>
      </c>
      <c r="J69" s="139">
        <f t="shared" si="17"/>
        <v>22344.914246277403</v>
      </c>
      <c r="K69" s="148"/>
      <c r="L69" s="36"/>
      <c r="M69" s="36"/>
    </row>
    <row r="70" spans="1:13">
      <c r="A70" s="149">
        <v>4</v>
      </c>
      <c r="C70" s="149" t="s">
        <v>484</v>
      </c>
      <c r="E70" s="135">
        <v>0</v>
      </c>
      <c r="F70" s="139">
        <f t="shared" si="17"/>
        <v>0</v>
      </c>
      <c r="G70" s="139">
        <f t="shared" si="17"/>
        <v>0</v>
      </c>
      <c r="H70" s="139">
        <f t="shared" si="17"/>
        <v>0</v>
      </c>
      <c r="I70" s="139">
        <f t="shared" si="17"/>
        <v>29491.695070671394</v>
      </c>
      <c r="J70" s="139">
        <f t="shared" si="17"/>
        <v>29551.963008943974</v>
      </c>
      <c r="K70" s="148"/>
      <c r="L70" s="36"/>
      <c r="M70" s="36"/>
    </row>
    <row r="71" spans="1:13">
      <c r="A71" s="149">
        <v>5</v>
      </c>
      <c r="C71" s="149" t="s">
        <v>485</v>
      </c>
      <c r="E71" s="135">
        <v>0</v>
      </c>
      <c r="F71" s="139">
        <f t="shared" si="17"/>
        <v>0</v>
      </c>
      <c r="G71" s="139">
        <f t="shared" si="17"/>
        <v>0</v>
      </c>
      <c r="H71" s="139">
        <f t="shared" si="17"/>
        <v>0</v>
      </c>
      <c r="I71" s="139">
        <f t="shared" si="17"/>
        <v>0</v>
      </c>
      <c r="J71" s="139">
        <f t="shared" si="17"/>
        <v>20332.084526793067</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235.04026556079236</v>
      </c>
      <c r="G79" s="139">
        <f t="shared" si="20"/>
        <v>288.05796109275536</v>
      </c>
      <c r="H79" s="139">
        <f t="shared" si="20"/>
        <v>287.64408634280773</v>
      </c>
      <c r="I79" s="139">
        <f t="shared" si="20"/>
        <v>287.93459666879545</v>
      </c>
      <c r="J79" s="139">
        <f t="shared" si="20"/>
        <v>288.0659681758404</v>
      </c>
      <c r="K79" s="148"/>
      <c r="L79" s="36"/>
      <c r="M79" s="36"/>
    </row>
    <row r="80" spans="1:13">
      <c r="A80" s="149">
        <v>2</v>
      </c>
      <c r="C80" s="149" t="s">
        <v>488</v>
      </c>
      <c r="E80" s="139">
        <f t="shared" ref="E80:J84" si="21">E68*E$38</f>
        <v>0</v>
      </c>
      <c r="F80" s="139">
        <f t="shared" si="21"/>
        <v>0</v>
      </c>
      <c r="G80" s="139">
        <f t="shared" si="21"/>
        <v>587.19835383667601</v>
      </c>
      <c r="H80" s="139">
        <f t="shared" si="21"/>
        <v>586.65034330672552</v>
      </c>
      <c r="I80" s="139">
        <f t="shared" si="21"/>
        <v>587.5529082398831</v>
      </c>
      <c r="J80" s="139">
        <f t="shared" si="21"/>
        <v>588.14631583980281</v>
      </c>
      <c r="K80" s="148"/>
      <c r="L80" s="36"/>
      <c r="M80" s="36"/>
    </row>
    <row r="81" spans="1:13">
      <c r="A81" s="149">
        <v>3</v>
      </c>
      <c r="C81" s="149" t="s">
        <v>489</v>
      </c>
      <c r="E81" s="139">
        <f t="shared" si="21"/>
        <v>0</v>
      </c>
      <c r="F81" s="139">
        <f t="shared" si="21"/>
        <v>0</v>
      </c>
      <c r="G81" s="139">
        <f t="shared" si="21"/>
        <v>0</v>
      </c>
      <c r="H81" s="139">
        <f t="shared" si="21"/>
        <v>540.2797253100922</v>
      </c>
      <c r="I81" s="139">
        <f t="shared" si="21"/>
        <v>541.38381732843447</v>
      </c>
      <c r="J81" s="139">
        <f t="shared" si="21"/>
        <v>542.21673945057194</v>
      </c>
      <c r="K81" s="148"/>
      <c r="L81" s="36"/>
      <c r="M81" s="36"/>
    </row>
    <row r="82" spans="1:13">
      <c r="A82" s="149">
        <v>4</v>
      </c>
      <c r="C82" s="149" t="s">
        <v>490</v>
      </c>
      <c r="E82" s="139">
        <f t="shared" si="21"/>
        <v>0</v>
      </c>
      <c r="F82" s="139">
        <f t="shared" si="21"/>
        <v>0</v>
      </c>
      <c r="G82" s="139">
        <f t="shared" si="21"/>
        <v>0</v>
      </c>
      <c r="H82" s="139">
        <f t="shared" si="21"/>
        <v>0</v>
      </c>
      <c r="I82" s="139">
        <f t="shared" si="21"/>
        <v>715.63893984305548</v>
      </c>
      <c r="J82" s="139">
        <f t="shared" si="21"/>
        <v>717.10138828315235</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493.37385934196607</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263.63122222222222</v>
      </c>
      <c r="G85" s="216">
        <f t="shared" si="22"/>
        <v>268.97304643951293</v>
      </c>
      <c r="H85" s="216">
        <f t="shared" si="22"/>
        <v>275.67206879050724</v>
      </c>
      <c r="I85" s="216">
        <f t="shared" si="22"/>
        <v>282.52073751295507</v>
      </c>
      <c r="J85" s="216">
        <f t="shared" si="22"/>
        <v>289.54353255365737</v>
      </c>
      <c r="K85" s="148"/>
      <c r="L85" s="36"/>
      <c r="M85" s="36"/>
    </row>
    <row r="86" spans="1:13">
      <c r="A86" s="149">
        <v>2</v>
      </c>
      <c r="C86" s="149" t="s">
        <v>494</v>
      </c>
      <c r="E86" s="216">
        <f t="shared" si="22"/>
        <v>0</v>
      </c>
      <c r="F86" s="216">
        <f t="shared" si="22"/>
        <v>0</v>
      </c>
      <c r="G86" s="216">
        <f t="shared" si="22"/>
        <v>536.10995492781444</v>
      </c>
      <c r="H86" s="216">
        <f t="shared" si="22"/>
        <v>549.45537206046617</v>
      </c>
      <c r="I86" s="216">
        <f t="shared" si="22"/>
        <v>563.09840330015743</v>
      </c>
      <c r="J86" s="216">
        <f t="shared" si="22"/>
        <v>577.08775825824978</v>
      </c>
      <c r="K86" s="148"/>
      <c r="L86" s="36"/>
      <c r="M86" s="36"/>
    </row>
    <row r="87" spans="1:13">
      <c r="A87" s="149">
        <v>3</v>
      </c>
      <c r="C87" s="149" t="s">
        <v>495</v>
      </c>
      <c r="E87" s="216">
        <f t="shared" si="22"/>
        <v>0</v>
      </c>
      <c r="F87" s="216">
        <f t="shared" si="22"/>
        <v>0</v>
      </c>
      <c r="G87" s="216">
        <f t="shared" si="22"/>
        <v>0</v>
      </c>
      <c r="H87" s="216">
        <f t="shared" si="22"/>
        <v>494.77976251872127</v>
      </c>
      <c r="I87" s="216">
        <f t="shared" si="22"/>
        <v>507.05884718485976</v>
      </c>
      <c r="J87" s="216">
        <f t="shared" si="22"/>
        <v>519.64916851807914</v>
      </c>
      <c r="K87" s="148"/>
      <c r="L87" s="36"/>
      <c r="M87" s="36"/>
    </row>
    <row r="88" spans="1:13">
      <c r="A88" s="149">
        <v>4</v>
      </c>
      <c r="C88" s="149" t="s">
        <v>496</v>
      </c>
      <c r="E88" s="216">
        <f t="shared" si="22"/>
        <v>0</v>
      </c>
      <c r="F88" s="216">
        <f t="shared" si="22"/>
        <v>0</v>
      </c>
      <c r="G88" s="216">
        <f t="shared" si="22"/>
        <v>0</v>
      </c>
      <c r="H88" s="216">
        <f t="shared" si="22"/>
        <v>0</v>
      </c>
      <c r="I88" s="216">
        <f t="shared" si="22"/>
        <v>655.37100157047541</v>
      </c>
      <c r="J88" s="216">
        <f t="shared" si="22"/>
        <v>671.63552293054488</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451.82410059540149</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11863.404999999999</v>
      </c>
      <c r="F91" s="139">
        <f t="shared" si="23"/>
        <v>11834.814043338569</v>
      </c>
      <c r="G91" s="139">
        <f t="shared" si="23"/>
        <v>11853.898957991812</v>
      </c>
      <c r="H91" s="139">
        <f t="shared" si="23"/>
        <v>11865.870975544112</v>
      </c>
      <c r="I91" s="139">
        <f t="shared" si="23"/>
        <v>11871.284834699953</v>
      </c>
      <c r="J91" s="216">
        <f t="shared" si="23"/>
        <v>11869.807270322135</v>
      </c>
      <c r="K91" s="148"/>
      <c r="L91" s="36"/>
      <c r="M91" s="36"/>
    </row>
    <row r="92" spans="1:13">
      <c r="A92" s="149">
        <v>2</v>
      </c>
      <c r="C92" s="149" t="s">
        <v>500</v>
      </c>
      <c r="E92" s="139">
        <f t="shared" si="23"/>
        <v>0</v>
      </c>
      <c r="F92" s="139">
        <f t="shared" si="23"/>
        <v>24124.947971751648</v>
      </c>
      <c r="G92" s="139">
        <f t="shared" si="23"/>
        <v>24176.036370660509</v>
      </c>
      <c r="H92" s="139">
        <f t="shared" si="23"/>
        <v>24213.231341906769</v>
      </c>
      <c r="I92" s="139">
        <f t="shared" si="23"/>
        <v>24237.685846846492</v>
      </c>
      <c r="J92" s="216">
        <f t="shared" si="23"/>
        <v>24248.744404428046</v>
      </c>
      <c r="K92" s="148"/>
      <c r="L92" s="36"/>
      <c r="M92" s="36"/>
    </row>
    <row r="93" spans="1:13">
      <c r="A93" s="149">
        <v>3</v>
      </c>
      <c r="C93" s="149" t="s">
        <v>501</v>
      </c>
      <c r="E93" s="139">
        <f t="shared" si="23"/>
        <v>0</v>
      </c>
      <c r="F93" s="139">
        <f t="shared" si="23"/>
        <v>0</v>
      </c>
      <c r="G93" s="139">
        <f t="shared" si="23"/>
        <v>22265.089313342458</v>
      </c>
      <c r="H93" s="139">
        <f t="shared" si="23"/>
        <v>22310.589276133829</v>
      </c>
      <c r="I93" s="139">
        <f t="shared" si="23"/>
        <v>22344.914246277403</v>
      </c>
      <c r="J93" s="216">
        <f t="shared" si="23"/>
        <v>22367.481817209893</v>
      </c>
      <c r="K93" s="148"/>
      <c r="L93" s="36"/>
      <c r="M93" s="36"/>
    </row>
    <row r="94" spans="1:13">
      <c r="A94" s="149">
        <v>4</v>
      </c>
      <c r="C94" s="149" t="s">
        <v>502</v>
      </c>
      <c r="E94" s="139">
        <f t="shared" si="23"/>
        <v>0</v>
      </c>
      <c r="F94" s="139">
        <f t="shared" si="23"/>
        <v>0</v>
      </c>
      <c r="G94" s="139">
        <f t="shared" si="23"/>
        <v>0</v>
      </c>
      <c r="H94" s="139">
        <f t="shared" si="23"/>
        <v>29491.695070671394</v>
      </c>
      <c r="I94" s="139">
        <f t="shared" si="23"/>
        <v>29551.963008943974</v>
      </c>
      <c r="J94" s="216">
        <f t="shared" si="23"/>
        <v>29597.428874296584</v>
      </c>
      <c r="K94" s="148"/>
      <c r="L94" s="36"/>
      <c r="M94" s="36"/>
    </row>
    <row r="95" spans="1:13">
      <c r="A95" s="149">
        <v>5</v>
      </c>
      <c r="C95" s="149" t="s">
        <v>503</v>
      </c>
      <c r="E95" s="139">
        <f t="shared" si="23"/>
        <v>0</v>
      </c>
      <c r="F95" s="139">
        <f t="shared" si="23"/>
        <v>0</v>
      </c>
      <c r="G95" s="139">
        <f t="shared" si="23"/>
        <v>0</v>
      </c>
      <c r="H95" s="139">
        <f t="shared" si="23"/>
        <v>0</v>
      </c>
      <c r="I95" s="139">
        <f t="shared" si="23"/>
        <v>20332.084526793067</v>
      </c>
      <c r="J95" s="216">
        <f t="shared" si="23"/>
        <v>20373.634285539632</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13714.399790851603</v>
      </c>
      <c r="K96" s="148"/>
      <c r="L96" s="36"/>
      <c r="M96" s="36"/>
    </row>
    <row r="97" spans="1:13">
      <c r="C97" s="149" t="s">
        <v>260</v>
      </c>
      <c r="E97" s="139">
        <f t="shared" ref="E97:J97" si="24">SUM(E67:E72)</f>
        <v>0</v>
      </c>
      <c r="F97" s="139">
        <f t="shared" si="24"/>
        <v>11863.404999999999</v>
      </c>
      <c r="G97" s="139">
        <f t="shared" si="24"/>
        <v>35959.762015090215</v>
      </c>
      <c r="H97" s="139">
        <f t="shared" si="24"/>
        <v>58295.02464199478</v>
      </c>
      <c r="I97" s="139">
        <f t="shared" si="24"/>
        <v>87881.386664256104</v>
      </c>
      <c r="J97" s="216">
        <f t="shared" si="24"/>
        <v>108337.93246356089</v>
      </c>
      <c r="K97" s="148"/>
      <c r="L97" s="36"/>
      <c r="M97" s="36"/>
    </row>
    <row r="98" spans="1:13">
      <c r="C98" s="149" t="s">
        <v>261</v>
      </c>
      <c r="E98" s="139">
        <f t="shared" ref="E98:J98" si="25">SUM(E79:E84)</f>
        <v>0</v>
      </c>
      <c r="F98" s="139">
        <f t="shared" si="25"/>
        <v>235.04026556079236</v>
      </c>
      <c r="G98" s="139">
        <f t="shared" si="25"/>
        <v>875.25631492943137</v>
      </c>
      <c r="H98" s="139">
        <f t="shared" si="25"/>
        <v>1414.5741549596255</v>
      </c>
      <c r="I98" s="139">
        <f t="shared" si="25"/>
        <v>2132.5102620801686</v>
      </c>
      <c r="J98" s="216">
        <f t="shared" si="25"/>
        <v>2628.9042710913341</v>
      </c>
      <c r="K98" s="148"/>
      <c r="L98" s="36"/>
      <c r="M98" s="36"/>
    </row>
    <row r="99" spans="1:13">
      <c r="C99" s="149" t="s">
        <v>75</v>
      </c>
      <c r="E99" s="139">
        <f t="shared" ref="E99:J99" si="26">SUM(E85:E90)</f>
        <v>0</v>
      </c>
      <c r="F99" s="139">
        <f t="shared" si="26"/>
        <v>263.63122222222222</v>
      </c>
      <c r="G99" s="139">
        <f t="shared" si="26"/>
        <v>805.08300136732737</v>
      </c>
      <c r="H99" s="139">
        <f t="shared" si="26"/>
        <v>1319.9072033696948</v>
      </c>
      <c r="I99" s="216">
        <f t="shared" si="26"/>
        <v>2008.0489895684477</v>
      </c>
      <c r="J99" s="216">
        <f t="shared" si="26"/>
        <v>2509.7400828559325</v>
      </c>
      <c r="K99" s="148"/>
      <c r="L99" s="36"/>
      <c r="M99" s="36"/>
    </row>
    <row r="100" spans="1:13">
      <c r="C100" s="149" t="s">
        <v>262</v>
      </c>
      <c r="E100" s="139">
        <f t="shared" ref="E100:J100" si="27">SUM(E91:E96)</f>
        <v>11863.404999999999</v>
      </c>
      <c r="F100" s="139">
        <f t="shared" si="27"/>
        <v>35959.762015090215</v>
      </c>
      <c r="G100" s="139">
        <f t="shared" si="27"/>
        <v>58295.02464199478</v>
      </c>
      <c r="H100" s="139">
        <f t="shared" si="27"/>
        <v>87881.386664256104</v>
      </c>
      <c r="I100" s="216">
        <f t="shared" si="27"/>
        <v>108337.93246356089</v>
      </c>
      <c r="J100" s="216">
        <f t="shared" si="27"/>
        <v>122171.4964426479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11863.404999999999</v>
      </c>
      <c r="F104" s="139">
        <f t="shared" ref="F104:J104" si="28">F$25</f>
        <v>24124.947971751648</v>
      </c>
      <c r="G104" s="139">
        <f t="shared" si="28"/>
        <v>22265.089313342458</v>
      </c>
      <c r="H104" s="139">
        <f t="shared" si="28"/>
        <v>29491.695070671394</v>
      </c>
      <c r="I104" s="139">
        <f t="shared" si="28"/>
        <v>20332.084526793067</v>
      </c>
      <c r="J104" s="139">
        <f t="shared" si="28"/>
        <v>13714.399790851603</v>
      </c>
      <c r="K104" s="148"/>
      <c r="L104" s="36"/>
      <c r="M104" s="36"/>
    </row>
    <row r="105" spans="1:13">
      <c r="A105" s="149">
        <v>1</v>
      </c>
      <c r="C105" s="149" t="s">
        <v>457</v>
      </c>
      <c r="E105" s="135">
        <v>0</v>
      </c>
      <c r="F105" s="139">
        <f>E123</f>
        <v>11863.404999999999</v>
      </c>
      <c r="G105" s="139">
        <f t="shared" ref="G105:J105" si="29">F123</f>
        <v>11599.773777777777</v>
      </c>
      <c r="H105" s="139">
        <f t="shared" si="29"/>
        <v>11336.142555555554</v>
      </c>
      <c r="I105" s="139">
        <f t="shared" si="29"/>
        <v>11072.511333333332</v>
      </c>
      <c r="J105" s="139">
        <f t="shared" si="29"/>
        <v>10808.88011111111</v>
      </c>
      <c r="K105" s="148"/>
      <c r="L105" s="36"/>
      <c r="M105" s="36"/>
    </row>
    <row r="106" spans="1:13">
      <c r="A106" s="149">
        <v>2</v>
      </c>
      <c r="C106" s="149" t="s">
        <v>458</v>
      </c>
      <c r="E106" s="135">
        <v>0</v>
      </c>
      <c r="F106" s="139">
        <f t="shared" ref="F106:J109" si="30">E124</f>
        <v>0</v>
      </c>
      <c r="G106" s="139">
        <f t="shared" si="30"/>
        <v>24124.947971751648</v>
      </c>
      <c r="H106" s="139">
        <f t="shared" si="30"/>
        <v>23588.838016823833</v>
      </c>
      <c r="I106" s="139">
        <f t="shared" si="30"/>
        <v>23052.728061896018</v>
      </c>
      <c r="J106" s="139">
        <f t="shared" si="30"/>
        <v>22516.618106968202</v>
      </c>
      <c r="K106" s="148"/>
      <c r="L106" s="36"/>
      <c r="M106" s="36"/>
    </row>
    <row r="107" spans="1:13">
      <c r="A107" s="149">
        <v>3</v>
      </c>
      <c r="C107" s="149" t="s">
        <v>459</v>
      </c>
      <c r="E107" s="135">
        <v>0</v>
      </c>
      <c r="F107" s="139">
        <f t="shared" si="30"/>
        <v>0</v>
      </c>
      <c r="G107" s="139">
        <f t="shared" si="30"/>
        <v>0</v>
      </c>
      <c r="H107" s="139">
        <f t="shared" si="30"/>
        <v>22265.089313342458</v>
      </c>
      <c r="I107" s="139">
        <f t="shared" si="30"/>
        <v>21770.309550823738</v>
      </c>
      <c r="J107" s="139">
        <f t="shared" si="30"/>
        <v>21275.529788305015</v>
      </c>
      <c r="K107" s="148"/>
      <c r="L107" s="36"/>
      <c r="M107" s="36"/>
    </row>
    <row r="108" spans="1:13">
      <c r="A108" s="149">
        <v>4</v>
      </c>
      <c r="C108" s="149" t="s">
        <v>460</v>
      </c>
      <c r="E108" s="135">
        <v>0</v>
      </c>
      <c r="F108" s="139">
        <f t="shared" si="30"/>
        <v>0</v>
      </c>
      <c r="G108" s="139">
        <f t="shared" si="30"/>
        <v>0</v>
      </c>
      <c r="H108" s="139">
        <f t="shared" si="30"/>
        <v>0</v>
      </c>
      <c r="I108" s="139">
        <f t="shared" si="30"/>
        <v>29491.695070671394</v>
      </c>
      <c r="J108" s="139">
        <f t="shared" si="30"/>
        <v>28836.32406910092</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20332.084526793067</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263.63122222222222</v>
      </c>
      <c r="G117" s="139">
        <f t="shared" si="33"/>
        <v>263.63122222222222</v>
      </c>
      <c r="H117" s="139">
        <f t="shared" si="33"/>
        <v>263.63122222222222</v>
      </c>
      <c r="I117" s="139">
        <f t="shared" si="33"/>
        <v>263.63122222222216</v>
      </c>
      <c r="J117" s="139">
        <f t="shared" si="33"/>
        <v>263.63122222222216</v>
      </c>
      <c r="K117" s="148"/>
      <c r="L117" s="36"/>
      <c r="M117" s="36"/>
    </row>
    <row r="118" spans="1:13">
      <c r="A118" s="149">
        <v>2</v>
      </c>
      <c r="C118" s="149" t="s">
        <v>470</v>
      </c>
      <c r="E118" s="139">
        <f t="shared" si="33"/>
        <v>0</v>
      </c>
      <c r="F118" s="139">
        <f t="shared" si="33"/>
        <v>0</v>
      </c>
      <c r="G118" s="139">
        <f t="shared" si="33"/>
        <v>536.10995492781444</v>
      </c>
      <c r="H118" s="139">
        <f t="shared" si="33"/>
        <v>536.10995492781433</v>
      </c>
      <c r="I118" s="139">
        <f t="shared" si="33"/>
        <v>536.10995492781433</v>
      </c>
      <c r="J118" s="139">
        <f t="shared" si="33"/>
        <v>536.10995492781433</v>
      </c>
      <c r="K118" s="148"/>
      <c r="L118" s="36"/>
      <c r="M118" s="36"/>
    </row>
    <row r="119" spans="1:13">
      <c r="A119" s="149">
        <v>3</v>
      </c>
      <c r="C119" s="149" t="s">
        <v>471</v>
      </c>
      <c r="E119" s="139">
        <f t="shared" si="33"/>
        <v>0</v>
      </c>
      <c r="F119" s="139">
        <f t="shared" si="33"/>
        <v>0</v>
      </c>
      <c r="G119" s="139">
        <f t="shared" si="33"/>
        <v>0</v>
      </c>
      <c r="H119" s="139">
        <f t="shared" si="33"/>
        <v>494.77976251872127</v>
      </c>
      <c r="I119" s="139">
        <f t="shared" si="33"/>
        <v>494.77976251872133</v>
      </c>
      <c r="J119" s="139">
        <f t="shared" si="33"/>
        <v>494.77976251872127</v>
      </c>
      <c r="K119" s="148"/>
      <c r="L119" s="36"/>
      <c r="M119" s="36"/>
    </row>
    <row r="120" spans="1:13">
      <c r="A120" s="149">
        <v>4</v>
      </c>
      <c r="C120" s="149" t="s">
        <v>472</v>
      </c>
      <c r="E120" s="139">
        <f t="shared" si="33"/>
        <v>0</v>
      </c>
      <c r="F120" s="139">
        <f t="shared" si="33"/>
        <v>0</v>
      </c>
      <c r="G120" s="139">
        <f t="shared" si="33"/>
        <v>0</v>
      </c>
      <c r="H120" s="139">
        <f t="shared" si="33"/>
        <v>0</v>
      </c>
      <c r="I120" s="139">
        <f t="shared" si="33"/>
        <v>655.37100157047541</v>
      </c>
      <c r="J120" s="139">
        <f t="shared" si="33"/>
        <v>655.37100157047541</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451.82410059540149</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11863.404999999999</v>
      </c>
      <c r="F123" s="139">
        <f t="shared" ref="F123:J123" si="34">F105-F117+IF($A123=F$103,F$104,0)</f>
        <v>11599.773777777777</v>
      </c>
      <c r="G123" s="139">
        <f t="shared" si="34"/>
        <v>11336.142555555554</v>
      </c>
      <c r="H123" s="139">
        <f t="shared" si="34"/>
        <v>11072.511333333332</v>
      </c>
      <c r="I123" s="139">
        <f t="shared" si="34"/>
        <v>10808.88011111111</v>
      </c>
      <c r="J123" s="139">
        <f t="shared" si="34"/>
        <v>10545.248888888887</v>
      </c>
      <c r="K123" s="148"/>
      <c r="L123" s="36"/>
      <c r="M123" s="36"/>
    </row>
    <row r="124" spans="1:13">
      <c r="A124" s="149">
        <v>2</v>
      </c>
      <c r="C124" s="149" t="s">
        <v>476</v>
      </c>
      <c r="E124" s="139">
        <f t="shared" ref="E124:J128" si="35">E106-E118+IF($A124=E$103,E$104,0)</f>
        <v>0</v>
      </c>
      <c r="F124" s="139">
        <f t="shared" si="35"/>
        <v>24124.947971751648</v>
      </c>
      <c r="G124" s="139">
        <f t="shared" si="35"/>
        <v>23588.838016823833</v>
      </c>
      <c r="H124" s="139">
        <f t="shared" si="35"/>
        <v>23052.728061896018</v>
      </c>
      <c r="I124" s="139">
        <f t="shared" si="35"/>
        <v>22516.618106968202</v>
      </c>
      <c r="J124" s="139">
        <f t="shared" si="35"/>
        <v>21980.508152040387</v>
      </c>
      <c r="K124" s="148"/>
      <c r="L124" s="36"/>
      <c r="M124" s="36"/>
    </row>
    <row r="125" spans="1:13">
      <c r="A125" s="149">
        <v>3</v>
      </c>
      <c r="C125" s="149" t="s">
        <v>477</v>
      </c>
      <c r="E125" s="139">
        <f t="shared" si="35"/>
        <v>0</v>
      </c>
      <c r="F125" s="139">
        <f t="shared" si="35"/>
        <v>0</v>
      </c>
      <c r="G125" s="139">
        <f t="shared" si="35"/>
        <v>22265.089313342458</v>
      </c>
      <c r="H125" s="139">
        <f t="shared" si="35"/>
        <v>21770.309550823738</v>
      </c>
      <c r="I125" s="139">
        <f t="shared" si="35"/>
        <v>21275.529788305015</v>
      </c>
      <c r="J125" s="139">
        <f t="shared" si="35"/>
        <v>20780.750025786296</v>
      </c>
      <c r="K125" s="148"/>
      <c r="L125" s="36"/>
      <c r="M125" s="36"/>
    </row>
    <row r="126" spans="1:13">
      <c r="A126" s="149">
        <v>4</v>
      </c>
      <c r="C126" s="149" t="s">
        <v>478</v>
      </c>
      <c r="E126" s="139">
        <f t="shared" si="35"/>
        <v>0</v>
      </c>
      <c r="F126" s="139">
        <f t="shared" si="35"/>
        <v>0</v>
      </c>
      <c r="G126" s="139">
        <f t="shared" si="35"/>
        <v>0</v>
      </c>
      <c r="H126" s="139">
        <f t="shared" si="35"/>
        <v>29491.695070671394</v>
      </c>
      <c r="I126" s="139">
        <f t="shared" si="35"/>
        <v>28836.32406910092</v>
      </c>
      <c r="J126" s="139">
        <f t="shared" si="35"/>
        <v>28180.953067530445</v>
      </c>
      <c r="K126" s="148"/>
      <c r="L126" s="36"/>
      <c r="M126" s="36"/>
    </row>
    <row r="127" spans="1:13">
      <c r="A127" s="149">
        <v>5</v>
      </c>
      <c r="C127" s="149" t="s">
        <v>479</v>
      </c>
      <c r="E127" s="139">
        <f t="shared" si="35"/>
        <v>0</v>
      </c>
      <c r="F127" s="139">
        <f t="shared" si="35"/>
        <v>0</v>
      </c>
      <c r="G127" s="139">
        <f t="shared" si="35"/>
        <v>0</v>
      </c>
      <c r="H127" s="139">
        <f t="shared" si="35"/>
        <v>0</v>
      </c>
      <c r="I127" s="139">
        <f t="shared" si="35"/>
        <v>20332.084526793067</v>
      </c>
      <c r="J127" s="139">
        <f t="shared" si="35"/>
        <v>19880.260426197667</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13714.399790851603</v>
      </c>
      <c r="K128" s="148"/>
      <c r="L128" s="36"/>
      <c r="M128" s="36"/>
    </row>
    <row r="129" spans="3:13">
      <c r="C129" s="149" t="s">
        <v>72</v>
      </c>
      <c r="E129" s="139">
        <f>SUM(E105:E110)</f>
        <v>0</v>
      </c>
      <c r="F129" s="139">
        <f t="shared" ref="F129:J129" si="36">SUM(F105:F110)</f>
        <v>11863.404999999999</v>
      </c>
      <c r="G129" s="139">
        <f t="shared" si="36"/>
        <v>35724.721749529424</v>
      </c>
      <c r="H129" s="139">
        <f t="shared" si="36"/>
        <v>57190.069885721838</v>
      </c>
      <c r="I129" s="139">
        <f t="shared" si="36"/>
        <v>85387.244016724479</v>
      </c>
      <c r="J129" s="139">
        <f t="shared" si="36"/>
        <v>103769.43660227832</v>
      </c>
      <c r="K129" s="148"/>
      <c r="L129" s="36"/>
      <c r="M129" s="36"/>
    </row>
    <row r="130" spans="3:13">
      <c r="C130" s="149" t="s">
        <v>67</v>
      </c>
      <c r="E130" s="139">
        <f>SUM(E117:E122)</f>
        <v>0</v>
      </c>
      <c r="F130" s="139">
        <f t="shared" ref="F130:J130" si="37">SUM(F117:F122)</f>
        <v>263.63122222222222</v>
      </c>
      <c r="G130" s="139">
        <f t="shared" si="37"/>
        <v>799.74117715003672</v>
      </c>
      <c r="H130" s="139">
        <f t="shared" si="37"/>
        <v>1294.5209396687578</v>
      </c>
      <c r="I130" s="139">
        <f t="shared" si="37"/>
        <v>1949.8919412392333</v>
      </c>
      <c r="J130" s="139">
        <f t="shared" si="37"/>
        <v>2401.7160418346348</v>
      </c>
      <c r="K130" s="148"/>
      <c r="L130" s="36"/>
      <c r="M130" s="36"/>
    </row>
    <row r="131" spans="3:13" s="36" customFormat="1">
      <c r="C131" s="36" t="s">
        <v>73</v>
      </c>
      <c r="E131" s="139">
        <f>SUM(E123:E128)</f>
        <v>11863.404999999999</v>
      </c>
      <c r="F131" s="139">
        <f t="shared" ref="F131:J131" si="38">SUM(F123:F128)</f>
        <v>35724.721749529424</v>
      </c>
      <c r="G131" s="139">
        <f t="shared" si="38"/>
        <v>57190.069885721838</v>
      </c>
      <c r="H131" s="139">
        <f t="shared" si="38"/>
        <v>85387.244016724479</v>
      </c>
      <c r="I131" s="139">
        <f t="shared" si="38"/>
        <v>103769.43660227832</v>
      </c>
      <c r="J131" s="139">
        <f t="shared" si="38"/>
        <v>115082.12035129528</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127657.81424323402</v>
      </c>
      <c r="F134" s="139">
        <f>E137</f>
        <v>119960.44310874156</v>
      </c>
      <c r="G134" s="139">
        <f t="shared" ref="G134:J134" si="39">F137</f>
        <v>112319.47231417833</v>
      </c>
      <c r="H134" s="139">
        <f t="shared" si="39"/>
        <v>104678.50151961511</v>
      </c>
      <c r="I134" s="139">
        <f t="shared" si="39"/>
        <v>97037.530725051882</v>
      </c>
      <c r="J134" s="139">
        <f t="shared" si="39"/>
        <v>89396.559930488656</v>
      </c>
      <c r="K134" s="148"/>
      <c r="L134" s="36"/>
      <c r="M134" s="36"/>
    </row>
    <row r="135" spans="3:13">
      <c r="C135" s="149" t="s">
        <v>41</v>
      </c>
      <c r="E135" s="139">
        <f t="shared" ref="E135:J135" si="40">E55</f>
        <v>53.023000000000003</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7644.3481344924612</v>
      </c>
      <c r="F136" s="139">
        <f t="shared" si="41"/>
        <v>7640.9707945632244</v>
      </c>
      <c r="G136" s="139">
        <f t="shared" si="41"/>
        <v>7640.9707945632244</v>
      </c>
      <c r="H136" s="139">
        <f t="shared" si="41"/>
        <v>7640.9707945632244</v>
      </c>
      <c r="I136" s="139">
        <f t="shared" si="41"/>
        <v>7640.9707945632235</v>
      </c>
      <c r="J136" s="139">
        <f t="shared" si="41"/>
        <v>7640.9707945632235</v>
      </c>
      <c r="K136" s="148"/>
      <c r="L136" s="36"/>
      <c r="M136" s="36"/>
    </row>
    <row r="137" spans="3:13">
      <c r="C137" s="149" t="s">
        <v>66</v>
      </c>
      <c r="E137" s="139">
        <f t="shared" ref="E137:J137" si="42">E134-E135-E136</f>
        <v>119960.44310874156</v>
      </c>
      <c r="F137" s="139">
        <f t="shared" si="42"/>
        <v>112319.47231417833</v>
      </c>
      <c r="G137" s="139">
        <f t="shared" si="42"/>
        <v>104678.50151961511</v>
      </c>
      <c r="H137" s="139">
        <f t="shared" si="42"/>
        <v>97037.530725051882</v>
      </c>
      <c r="I137" s="139">
        <f t="shared" si="42"/>
        <v>89396.559930488656</v>
      </c>
      <c r="J137" s="139">
        <f t="shared" si="42"/>
        <v>81755.589135925431</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127657.81424323402</v>
      </c>
      <c r="F140" s="139">
        <f t="shared" si="43"/>
        <v>134022.96994314314</v>
      </c>
      <c r="G140" s="139">
        <f t="shared" si="43"/>
        <v>152758.5323380972</v>
      </c>
      <c r="H140" s="139">
        <f t="shared" si="43"/>
        <v>169990.97055581439</v>
      </c>
      <c r="I140" s="139">
        <f t="shared" si="43"/>
        <v>194134.51495338039</v>
      </c>
      <c r="J140" s="139">
        <f t="shared" si="43"/>
        <v>208802.74630353448</v>
      </c>
      <c r="K140" s="148"/>
      <c r="L140" s="36"/>
      <c r="M140" s="36"/>
    </row>
    <row r="141" spans="3:13">
      <c r="C141" s="149" t="s">
        <v>268</v>
      </c>
      <c r="E141" s="139">
        <f t="shared" ref="E141:J143" si="44">E60+E98</f>
        <v>2199.121834401567</v>
      </c>
      <c r="F141" s="139">
        <f t="shared" si="44"/>
        <v>2655.291161911985</v>
      </c>
      <c r="G141" s="139">
        <f t="shared" si="44"/>
        <v>3718.1244423187236</v>
      </c>
      <c r="H141" s="139">
        <f t="shared" si="44"/>
        <v>4124.9632365972247</v>
      </c>
      <c r="I141" s="139">
        <f t="shared" si="44"/>
        <v>4710.8251368821748</v>
      </c>
      <c r="J141" s="139">
        <f t="shared" si="44"/>
        <v>5066.7611896469434</v>
      </c>
      <c r="K141" s="148"/>
      <c r="L141" s="36"/>
      <c r="M141" s="36"/>
    </row>
    <row r="142" spans="3:13">
      <c r="C142" s="149" t="s">
        <v>267</v>
      </c>
      <c r="E142" s="139">
        <f>E61+E99</f>
        <v>7644.3481344924612</v>
      </c>
      <c r="F142" s="139">
        <f t="shared" si="44"/>
        <v>8044.6767387095451</v>
      </c>
      <c r="G142" s="139">
        <f t="shared" si="44"/>
        <v>8750.775537943975</v>
      </c>
      <c r="H142" s="139">
        <f t="shared" si="44"/>
        <v>9473.1139097026389</v>
      </c>
      <c r="I142" s="139">
        <f t="shared" si="44"/>
        <v>10374.678313521126</v>
      </c>
      <c r="J142" s="139">
        <f t="shared" si="44"/>
        <v>11096.745097695024</v>
      </c>
      <c r="K142" s="148"/>
      <c r="L142" s="36"/>
      <c r="M142" s="36"/>
    </row>
    <row r="143" spans="3:13">
      <c r="C143" s="149" t="s">
        <v>270</v>
      </c>
      <c r="E143" s="139">
        <f t="shared" si="44"/>
        <v>134022.96994314314</v>
      </c>
      <c r="F143" s="139">
        <f t="shared" si="44"/>
        <v>152758.5323380972</v>
      </c>
      <c r="G143" s="139">
        <f t="shared" si="44"/>
        <v>169990.97055581439</v>
      </c>
      <c r="H143" s="139">
        <f t="shared" si="44"/>
        <v>194134.51495338039</v>
      </c>
      <c r="I143" s="139">
        <f t="shared" si="44"/>
        <v>208802.74630353448</v>
      </c>
      <c r="J143" s="216">
        <f t="shared" si="44"/>
        <v>216487.16218633801</v>
      </c>
      <c r="K143" s="148"/>
      <c r="L143" s="36"/>
      <c r="M143" s="36"/>
    </row>
    <row r="144" spans="3:13">
      <c r="C144" s="149" t="s">
        <v>46</v>
      </c>
      <c r="E144" s="139">
        <f t="shared" ref="E144:J144" si="45">E130+E136</f>
        <v>7644.3481344924612</v>
      </c>
      <c r="F144" s="139">
        <f t="shared" si="45"/>
        <v>7904.6020167854467</v>
      </c>
      <c r="G144" s="139">
        <f t="shared" si="45"/>
        <v>8440.7119717132609</v>
      </c>
      <c r="H144" s="139">
        <f t="shared" si="45"/>
        <v>8935.4917342319823</v>
      </c>
      <c r="I144" s="139">
        <f t="shared" si="45"/>
        <v>9590.8627358024569</v>
      </c>
      <c r="J144" s="139">
        <f t="shared" si="45"/>
        <v>10042.686836397857</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1.0498610738217811</v>
      </c>
      <c r="G148" s="308">
        <f t="shared" ref="G148:J148" si="46">G140/$E140</f>
        <v>1.1966250028927903</v>
      </c>
      <c r="H148" s="308">
        <f t="shared" si="46"/>
        <v>1.3316142968884026</v>
      </c>
      <c r="I148" s="308">
        <f t="shared" si="46"/>
        <v>1.5207413357672281</v>
      </c>
      <c r="J148" s="308">
        <f t="shared" si="46"/>
        <v>1.6356440656714535</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0.1055256595353721</v>
      </c>
      <c r="E152" s="36"/>
      <c r="F152" s="36"/>
      <c r="G152" s="36"/>
      <c r="H152" s="36"/>
      <c r="I152" s="36"/>
      <c r="J152" s="36"/>
      <c r="K152" s="148"/>
      <c r="L152" s="36"/>
      <c r="M152" s="36"/>
    </row>
    <row r="153" spans="1:13">
      <c r="C153" s="149" t="s">
        <v>282</v>
      </c>
      <c r="E153" s="135">
        <f>E16</f>
        <v>60952</v>
      </c>
      <c r="F153" s="139">
        <f>E157</f>
        <v>66330.381999999998</v>
      </c>
      <c r="G153" s="139">
        <f t="shared" ref="G153:J153" si="48">F157</f>
        <v>83455.77266396847</v>
      </c>
      <c r="H153" s="139">
        <f t="shared" si="48"/>
        <v>96914.136524911577</v>
      </c>
      <c r="I153" s="139">
        <f t="shared" si="48"/>
        <v>116178.90342049059</v>
      </c>
      <c r="J153" s="139">
        <f t="shared" si="48"/>
        <v>124251.13253974009</v>
      </c>
      <c r="K153" s="148"/>
      <c r="L153" s="36"/>
      <c r="M153" s="36"/>
    </row>
    <row r="154" spans="1:13">
      <c r="C154" s="149" t="s">
        <v>35</v>
      </c>
      <c r="E154" s="135">
        <f>E15</f>
        <v>6432</v>
      </c>
      <c r="F154" s="139">
        <f t="shared" ref="F154:J154" si="49">F153*$D152</f>
        <v>6999.5573077831741</v>
      </c>
      <c r="G154" s="139">
        <f t="shared" si="49"/>
        <v>8806.7254523993506</v>
      </c>
      <c r="H154" s="139">
        <f t="shared" si="49"/>
        <v>10226.928175092389</v>
      </c>
      <c r="I154" s="139">
        <f t="shared" si="49"/>
        <v>12259.855407543568</v>
      </c>
      <c r="J154" s="139">
        <f t="shared" si="49"/>
        <v>13111.682709273007</v>
      </c>
      <c r="K154" s="148"/>
      <c r="L154" s="36"/>
      <c r="M154" s="36"/>
    </row>
    <row r="155" spans="1:13">
      <c r="C155" s="149" t="s">
        <v>124</v>
      </c>
      <c r="E155" s="139">
        <f t="shared" ref="E155:J155" si="50">E25</f>
        <v>11863.404999999999</v>
      </c>
      <c r="F155" s="139">
        <f t="shared" si="50"/>
        <v>24124.947971751648</v>
      </c>
      <c r="G155" s="139">
        <f t="shared" si="50"/>
        <v>22265.089313342458</v>
      </c>
      <c r="H155" s="139">
        <f t="shared" si="50"/>
        <v>29491.695070671394</v>
      </c>
      <c r="I155" s="139">
        <f t="shared" si="50"/>
        <v>20332.084526793067</v>
      </c>
      <c r="J155" s="139">
        <f t="shared" si="50"/>
        <v>13714.399790851603</v>
      </c>
      <c r="K155" s="148"/>
      <c r="L155" s="309"/>
      <c r="M155" s="36"/>
    </row>
    <row r="156" spans="1:13">
      <c r="C156" s="149" t="s">
        <v>41</v>
      </c>
      <c r="E156" s="139">
        <f>E55</f>
        <v>53.023000000000003</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66330.381999999998</v>
      </c>
      <c r="F157" s="139">
        <f t="shared" ref="F157:J157" si="52">F153-F154+F155-F156</f>
        <v>83455.77266396847</v>
      </c>
      <c r="G157" s="139">
        <f t="shared" si="52"/>
        <v>96914.136524911577</v>
      </c>
      <c r="H157" s="139">
        <f t="shared" si="52"/>
        <v>116178.90342049059</v>
      </c>
      <c r="I157" s="139">
        <f t="shared" si="52"/>
        <v>124251.13253974009</v>
      </c>
      <c r="J157" s="139">
        <f t="shared" si="52"/>
        <v>124853.84962131869</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1212.3481344924612</v>
      </c>
      <c r="F160" s="139">
        <f t="shared" si="53"/>
        <v>905.04470900227261</v>
      </c>
      <c r="G160" s="139">
        <f t="shared" si="53"/>
        <v>-366.01348068608968</v>
      </c>
      <c r="H160" s="139">
        <f t="shared" si="53"/>
        <v>-1291.4364408604069</v>
      </c>
      <c r="I160" s="139">
        <f t="shared" si="53"/>
        <v>-2668.9926717411108</v>
      </c>
      <c r="J160" s="139">
        <f t="shared" si="53"/>
        <v>-3068.9958728751499</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-220.59159237889918</v>
      </c>
      <c r="G163" s="310">
        <f t="shared" ref="G163:J163" si="54">F166</f>
        <v>-533.37421240485492</v>
      </c>
      <c r="H163" s="310">
        <f t="shared" si="54"/>
        <v>-1181.2009508751553</v>
      </c>
      <c r="I163" s="310">
        <f t="shared" si="54"/>
        <v>-2088.1461181942645</v>
      </c>
      <c r="J163" s="310">
        <f t="shared" si="54"/>
        <v>-3380.807030159971</v>
      </c>
      <c r="K163" s="148"/>
      <c r="L163" s="36"/>
      <c r="M163" s="36"/>
    </row>
    <row r="164" spans="3:13">
      <c r="C164" s="149" t="s">
        <v>238</v>
      </c>
      <c r="E164" s="139">
        <f t="shared" ref="E164:J164" si="55">E160</f>
        <v>1212.3481344924612</v>
      </c>
      <c r="F164" s="139">
        <f t="shared" si="55"/>
        <v>905.04470900227261</v>
      </c>
      <c r="G164" s="139">
        <f t="shared" si="55"/>
        <v>-366.01348068608968</v>
      </c>
      <c r="H164" s="139">
        <f t="shared" si="55"/>
        <v>-1291.4364408604069</v>
      </c>
      <c r="I164" s="139">
        <f t="shared" si="55"/>
        <v>-2668.9926717411108</v>
      </c>
      <c r="J164" s="139">
        <f t="shared" si="55"/>
        <v>-3068.9958728751499</v>
      </c>
      <c r="K164" s="148"/>
      <c r="L164" s="36"/>
      <c r="M164" s="36"/>
    </row>
    <row r="165" spans="3:13">
      <c r="C165" s="149" t="s">
        <v>49</v>
      </c>
      <c r="E165" s="135">
        <f>(E11-E16)/E17</f>
        <v>1947.6534424221252</v>
      </c>
      <c r="F165" s="139">
        <f>E165</f>
        <v>1947.6534424221252</v>
      </c>
      <c r="G165" s="139">
        <f t="shared" ref="G165:J165" si="56">F165</f>
        <v>1947.6534424221252</v>
      </c>
      <c r="H165" s="139">
        <f t="shared" si="56"/>
        <v>1947.6534424221252</v>
      </c>
      <c r="I165" s="139">
        <f t="shared" si="56"/>
        <v>1947.6534424221252</v>
      </c>
      <c r="J165" s="139">
        <f t="shared" si="56"/>
        <v>1947.6534424221252</v>
      </c>
      <c r="K165" s="148"/>
      <c r="L165" s="36"/>
      <c r="M165" s="36"/>
    </row>
    <row r="166" spans="3:13">
      <c r="C166" s="149" t="s">
        <v>266</v>
      </c>
      <c r="E166" s="310">
        <f t="shared" ref="E166:J166" si="57">E163+(E164-E165)*E52</f>
        <v>-220.59159237889918</v>
      </c>
      <c r="F166" s="310">
        <f t="shared" si="57"/>
        <v>-533.37421240485492</v>
      </c>
      <c r="G166" s="310">
        <f t="shared" si="57"/>
        <v>-1181.2009508751553</v>
      </c>
      <c r="H166" s="310">
        <f t="shared" si="57"/>
        <v>-2088.1461181942645</v>
      </c>
      <c r="I166" s="310">
        <f t="shared" si="57"/>
        <v>-3380.807030159971</v>
      </c>
      <c r="J166" s="310">
        <f t="shared" si="57"/>
        <v>-4785.4688384432084</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127657.81424323402</v>
      </c>
      <c r="F169" s="139">
        <f t="shared" si="58"/>
        <v>133802.37835076425</v>
      </c>
      <c r="G169" s="139">
        <f t="shared" si="58"/>
        <v>152225.15812569234</v>
      </c>
      <c r="H169" s="139">
        <f t="shared" si="58"/>
        <v>168809.76960493924</v>
      </c>
      <c r="I169" s="139">
        <f t="shared" si="58"/>
        <v>192046.36883518612</v>
      </c>
      <c r="J169" s="139">
        <f t="shared" si="58"/>
        <v>205421.9392733745</v>
      </c>
      <c r="K169" s="148"/>
      <c r="L169" s="36"/>
      <c r="M169" s="36"/>
    </row>
    <row r="170" spans="3:13">
      <c r="C170" s="149" t="s">
        <v>124</v>
      </c>
      <c r="E170" s="139">
        <f t="shared" ref="E170:J170" si="59">E25</f>
        <v>11863.404999999999</v>
      </c>
      <c r="F170" s="139">
        <f t="shared" si="59"/>
        <v>24124.947971751648</v>
      </c>
      <c r="G170" s="139">
        <f t="shared" si="59"/>
        <v>22265.089313342458</v>
      </c>
      <c r="H170" s="139">
        <f t="shared" si="59"/>
        <v>29491.695070671394</v>
      </c>
      <c r="I170" s="139">
        <f t="shared" si="59"/>
        <v>20332.084526793067</v>
      </c>
      <c r="J170" s="139">
        <f t="shared" si="59"/>
        <v>13714.399790851603</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2199.121834401567</v>
      </c>
      <c r="F172" s="95">
        <f t="shared" si="61"/>
        <v>2655.291161911985</v>
      </c>
      <c r="G172" s="95">
        <f t="shared" si="61"/>
        <v>3718.1244423187236</v>
      </c>
      <c r="H172" s="95">
        <f t="shared" si="61"/>
        <v>4124.9632365972247</v>
      </c>
      <c r="I172" s="95">
        <f t="shared" si="61"/>
        <v>4710.8251368821748</v>
      </c>
      <c r="J172" s="95">
        <f t="shared" si="61"/>
        <v>5066.7611896469434</v>
      </c>
      <c r="K172" s="148"/>
      <c r="L172" s="36"/>
      <c r="M172" s="36"/>
    </row>
    <row r="173" spans="3:13">
      <c r="C173" s="149" t="s">
        <v>334</v>
      </c>
      <c r="E173" s="139">
        <f t="shared" ref="E173:J173" si="62">E169*WACC+E170*($D$46-1)+E171-E172</f>
        <v>9504.3227425375353</v>
      </c>
      <c r="F173" s="139">
        <f t="shared" si="62"/>
        <v>10111.929634188346</v>
      </c>
      <c r="G173" s="139">
        <f t="shared" si="62"/>
        <v>10585.156428501146</v>
      </c>
      <c r="H173" s="139">
        <f t="shared" si="62"/>
        <v>11942.148027641892</v>
      </c>
      <c r="I173" s="139">
        <f t="shared" si="62"/>
        <v>13002.026927473527</v>
      </c>
      <c r="J173" s="139">
        <f t="shared" si="62"/>
        <v>13535.835415330781</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4454.2364545749215</v>
      </c>
      <c r="F176" s="310">
        <f t="shared" si="63"/>
        <v>4668.6325854148654</v>
      </c>
      <c r="G176" s="310">
        <f t="shared" si="63"/>
        <v>5311.4402173216567</v>
      </c>
      <c r="H176" s="310">
        <f t="shared" si="63"/>
        <v>5890.1104810555398</v>
      </c>
      <c r="I176" s="310">
        <f t="shared" si="63"/>
        <v>6700.8819013973134</v>
      </c>
      <c r="J176" s="310">
        <f t="shared" si="63"/>
        <v>7167.5823051265825</v>
      </c>
      <c r="K176" s="148"/>
      <c r="L176" s="36"/>
      <c r="M176" s="36"/>
    </row>
    <row r="177" spans="3:13">
      <c r="C177" s="149" t="s">
        <v>52</v>
      </c>
      <c r="E177" s="310">
        <f t="shared" ref="E177:J177" si="64">E142-E144</f>
        <v>0</v>
      </c>
      <c r="F177" s="310">
        <f t="shared" si="64"/>
        <v>140.07472192409841</v>
      </c>
      <c r="G177" s="310">
        <f t="shared" si="64"/>
        <v>310.06356623071406</v>
      </c>
      <c r="H177" s="310">
        <f t="shared" si="64"/>
        <v>537.62217547065666</v>
      </c>
      <c r="I177" s="310">
        <f t="shared" si="64"/>
        <v>783.81557771866937</v>
      </c>
      <c r="J177" s="310">
        <f t="shared" si="64"/>
        <v>1054.0582612971666</v>
      </c>
      <c r="K177" s="148"/>
      <c r="L177" s="36"/>
      <c r="M177" s="36"/>
    </row>
    <row r="178" spans="3:13">
      <c r="C178" s="149" t="s">
        <v>53</v>
      </c>
      <c r="E178" s="310">
        <f t="shared" ref="E178:J178" si="65">E165+E177-E176</f>
        <v>-2506.5830121527961</v>
      </c>
      <c r="F178" s="310">
        <f t="shared" si="65"/>
        <v>-2580.9044210686416</v>
      </c>
      <c r="G178" s="310">
        <f t="shared" si="65"/>
        <v>-3053.7232086688173</v>
      </c>
      <c r="H178" s="310">
        <f t="shared" si="65"/>
        <v>-3404.8348631627578</v>
      </c>
      <c r="I178" s="310">
        <f t="shared" si="65"/>
        <v>-3969.4128812565186</v>
      </c>
      <c r="J178" s="310">
        <f t="shared" si="65"/>
        <v>-4165.8706014072905</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7644.3481344924612</v>
      </c>
      <c r="F181" s="139">
        <f t="shared" si="66"/>
        <v>8044.6767387095451</v>
      </c>
      <c r="G181" s="139">
        <f t="shared" si="66"/>
        <v>8750.775537943975</v>
      </c>
      <c r="H181" s="139">
        <f t="shared" si="66"/>
        <v>9473.1139097026389</v>
      </c>
      <c r="I181" s="139">
        <f t="shared" si="66"/>
        <v>10374.678313521126</v>
      </c>
      <c r="J181" s="139">
        <f t="shared" si="66"/>
        <v>11096.745097695024</v>
      </c>
      <c r="K181" s="148"/>
      <c r="L181" s="36"/>
      <c r="M181" s="36"/>
    </row>
    <row r="182" spans="3:13">
      <c r="C182" s="149" t="s">
        <v>275</v>
      </c>
      <c r="E182" s="139">
        <f>E55</f>
        <v>53.023000000000003</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7697.3711344924614</v>
      </c>
      <c r="F183" s="95">
        <f>F181+F182</f>
        <v>8044.6767387095451</v>
      </c>
      <c r="G183" s="95">
        <f t="shared" ref="G183:J183" si="68">G181+G182</f>
        <v>8750.775537943975</v>
      </c>
      <c r="H183" s="95">
        <f t="shared" si="68"/>
        <v>9473.1139097026389</v>
      </c>
      <c r="I183" s="95">
        <f t="shared" si="68"/>
        <v>10374.678313521126</v>
      </c>
      <c r="J183" s="95">
        <f t="shared" si="68"/>
        <v>11096.745097695024</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6.1865778081198419</v>
      </c>
      <c r="F186" s="139">
        <f t="shared" ref="F186:J186" si="69">F40</f>
        <v>6.4629153765773371</v>
      </c>
      <c r="G186" s="139">
        <f t="shared" si="69"/>
        <v>6.5644271364188667</v>
      </c>
      <c r="H186" s="139">
        <f t="shared" si="69"/>
        <v>6.6884970651140678</v>
      </c>
      <c r="I186" s="139">
        <f t="shared" si="69"/>
        <v>6.8294856204495247</v>
      </c>
      <c r="J186" s="139">
        <f t="shared" si="69"/>
        <v>6.9817532602118186</v>
      </c>
      <c r="K186" s="148"/>
      <c r="L186" s="36"/>
      <c r="M186" s="36"/>
    </row>
    <row r="187" spans="3:13">
      <c r="E187" s="36"/>
      <c r="F187" s="95"/>
      <c r="G187" s="95"/>
      <c r="H187" s="95"/>
      <c r="I187" s="95"/>
      <c r="J187" s="95"/>
      <c r="K187" s="148"/>
      <c r="L187" s="36"/>
      <c r="M187" s="36"/>
    </row>
    <row r="188" spans="3:13" ht="15.75">
      <c r="C188" s="5" t="s">
        <v>297</v>
      </c>
      <c r="E188" s="139">
        <f t="shared" ref="E188:J188" si="70">E24</f>
        <v>10160.846</v>
      </c>
      <c r="F188" s="139">
        <f t="shared" si="70"/>
        <v>10572.036549673365</v>
      </c>
      <c r="G188" s="139">
        <f t="shared" si="70"/>
        <v>10971.408348292531</v>
      </c>
      <c r="H188" s="139">
        <f t="shared" si="70"/>
        <v>11354.262142038775</v>
      </c>
      <c r="I188" s="139">
        <f t="shared" si="70"/>
        <v>11767.370148651833</v>
      </c>
      <c r="J188" s="139">
        <f t="shared" si="70"/>
        <v>12200.430558550508</v>
      </c>
      <c r="K188" s="148"/>
      <c r="L188" s="309"/>
      <c r="M188" s="36"/>
    </row>
    <row r="189" spans="3:13">
      <c r="C189" s="149" t="s">
        <v>298</v>
      </c>
      <c r="E189" s="139">
        <f t="shared" ref="E189:J189" si="71">E188*$D$44</f>
        <v>10595.81631464698</v>
      </c>
      <c r="F189" s="139">
        <f t="shared" si="71"/>
        <v>11024.609304389931</v>
      </c>
      <c r="G189" s="139">
        <f t="shared" si="71"/>
        <v>11441.077600378165</v>
      </c>
      <c r="H189" s="139">
        <f t="shared" si="71"/>
        <v>11840.32078090673</v>
      </c>
      <c r="I189" s="139">
        <f t="shared" si="71"/>
        <v>12271.113310995457</v>
      </c>
      <c r="J189" s="139">
        <f t="shared" si="71"/>
        <v>12722.712376312666</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-220.59159237889918</v>
      </c>
      <c r="F192" s="310">
        <f t="shared" si="72"/>
        <v>-312.78262002595574</v>
      </c>
      <c r="G192" s="310">
        <f t="shared" si="72"/>
        <v>-647.82673847030037</v>
      </c>
      <c r="H192" s="310">
        <f t="shared" si="72"/>
        <v>-906.94516731910926</v>
      </c>
      <c r="I192" s="310">
        <f t="shared" si="72"/>
        <v>-1292.6609119657064</v>
      </c>
      <c r="J192" s="310">
        <f t="shared" si="72"/>
        <v>-1404.6618082832374</v>
      </c>
      <c r="K192" s="148"/>
      <c r="L192" s="309"/>
      <c r="M192" s="36"/>
    </row>
    <row r="193" spans="2:15">
      <c r="C193" s="149" t="s">
        <v>285</v>
      </c>
      <c r="E193" s="36"/>
      <c r="F193" s="310">
        <f>(F173+F183+F189+((F186-F188-F142+F178)*F52+F192)*$D45-F192-F186*$D47)/($D48-F52*$D45)</f>
        <v>31214.460193620729</v>
      </c>
      <c r="G193" s="310">
        <f>(G173+G183+G189+((G186-G188-G142+G178)*G52+G192)*$D45-G192-G186*$D47)/($D48-G52*$D45)</f>
        <v>32441.742941389421</v>
      </c>
      <c r="H193" s="310">
        <f>(H173+H183+H189+((H186-H188-H142+H178)*H52+H192)*$D45-H192-H186*$D47)/($D48-H52*$D45)</f>
        <v>35191.439453873063</v>
      </c>
      <c r="I193" s="310">
        <f>(I173+I183+I189+((I186-I188-I142+I178)*I52+I192)*$D45-I192-I186*$D47)/($D48-I52*$D45)</f>
        <v>37651.291376953333</v>
      </c>
      <c r="J193" s="310">
        <f>(J173+J183+J189+((J186-J188-J142+J178)*J52+J192)*$D45-J192-J186*$D47)/($D48-J52*$D45)</f>
        <v>39412.355255242852</v>
      </c>
      <c r="K193" s="148"/>
      <c r="L193" s="309"/>
      <c r="M193" s="36"/>
    </row>
    <row r="194" spans="2:15">
      <c r="C194" s="149" t="s">
        <v>293</v>
      </c>
      <c r="E194" s="36"/>
      <c r="F194" s="310">
        <f>(F193+F186-F188-F181+F178)*F52</f>
        <v>3006.9916198637266</v>
      </c>
      <c r="G194" s="310">
        <f>(G193+G186-G188-G181+G178)*G52</f>
        <v>2708.2720766137445</v>
      </c>
      <c r="H194" s="310">
        <f>(H193+H186-H188-H181+H178)*H52</f>
        <v>3070.4567700895227</v>
      </c>
      <c r="I194" s="310">
        <f>(I193+I186-I188-I181+I178)*I52</f>
        <v>3233.0646653604067</v>
      </c>
      <c r="J194" s="310">
        <f>(J193+J186-J188-J181+J178)*J52</f>
        <v>3347.761410238068</v>
      </c>
      <c r="K194" s="148"/>
      <c r="L194" s="309"/>
      <c r="M194" s="36"/>
    </row>
    <row r="195" spans="2:15">
      <c r="C195" s="149" t="s">
        <v>277</v>
      </c>
      <c r="E195" s="36"/>
      <c r="F195" s="310">
        <f>IF(F194&lt;0,#N/A,F194)</f>
        <v>3006.9916198637266</v>
      </c>
      <c r="G195" s="310">
        <f t="shared" ref="G195:J195" si="73">IF(G194&lt;0,#N/A,G194)</f>
        <v>2708.2720766137445</v>
      </c>
      <c r="H195" s="310">
        <f t="shared" si="73"/>
        <v>3070.4567700895227</v>
      </c>
      <c r="I195" s="310">
        <f>IF(I194&lt;0,#N/A,I194)</f>
        <v>3233.0646653604067</v>
      </c>
      <c r="J195" s="310">
        <f t="shared" si="73"/>
        <v>3347.761410238068</v>
      </c>
      <c r="K195" s="148"/>
      <c r="L195" s="309"/>
      <c r="M195" s="36"/>
    </row>
    <row r="196" spans="2:15">
      <c r="C196" s="149" t="s">
        <v>286</v>
      </c>
      <c r="E196" s="36"/>
      <c r="F196" s="310">
        <f>F173+F183+F189+(F195+F192)*$D$45-F192-F186*$D$47</f>
        <v>32296.802690900931</v>
      </c>
      <c r="G196" s="310">
        <f>G173+G183+G189+(G195+G192)*$D$45-G192-G186*$D$47</f>
        <v>33566.640724452212</v>
      </c>
      <c r="H196" s="310">
        <f>H173+H183+H189+(H195+H192)*$D$45-H192-H186*$D$47</f>
        <v>36411.681297721261</v>
      </c>
      <c r="I196" s="310">
        <f>I173+I183+I189+(I195+I192)*$D$45-I192-I186*$D$47</f>
        <v>38956.827096039211</v>
      </c>
      <c r="J196" s="310">
        <f>J173+J183+J189+(J195+J192)*$D$45-J192-J186*$D$47</f>
        <v>40778.954797443868</v>
      </c>
      <c r="K196" s="148"/>
      <c r="L196" s="309"/>
      <c r="M196" s="36"/>
    </row>
    <row r="197" spans="2:15">
      <c r="C197" s="149" t="s">
        <v>287</v>
      </c>
      <c r="E197" s="36"/>
      <c r="F197" s="310">
        <f>F196/$D$48</f>
        <v>31214.460193620729</v>
      </c>
      <c r="G197" s="310">
        <f t="shared" ref="G197:J197" si="74">G196/$D$48</f>
        <v>32441.742941389417</v>
      </c>
      <c r="H197" s="310">
        <f t="shared" si="74"/>
        <v>35191.439453873063</v>
      </c>
      <c r="I197" s="310">
        <f t="shared" si="74"/>
        <v>37651.291376953333</v>
      </c>
      <c r="J197" s="310">
        <f t="shared" si="74"/>
        <v>39412.355255242852</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2694.208999837771</v>
      </c>
      <c r="G199" s="310">
        <f t="shared" ref="G199:J199" si="75">G195+G192</f>
        <v>2060.4453381434441</v>
      </c>
      <c r="H199" s="310">
        <f t="shared" si="75"/>
        <v>2163.5116027704134</v>
      </c>
      <c r="I199" s="310">
        <f t="shared" si="75"/>
        <v>1940.4037533947003</v>
      </c>
      <c r="J199" s="310">
        <f t="shared" si="75"/>
        <v>1943.0996019548306</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36411.681297721261</v>
      </c>
      <c r="I204" s="310">
        <f>I196</f>
        <v>38956.827096039211</v>
      </c>
      <c r="J204" s="310">
        <f>J196</f>
        <v>40778.954797443868</v>
      </c>
      <c r="K204" s="148"/>
      <c r="L204" s="36"/>
      <c r="M204" s="36"/>
    </row>
    <row r="205" spans="2:15">
      <c r="B205" s="149" t="s">
        <v>247</v>
      </c>
      <c r="C205" s="149" t="s">
        <v>249</v>
      </c>
      <c r="D205" s="155"/>
      <c r="E205" s="36"/>
      <c r="F205" s="310"/>
      <c r="G205" s="310"/>
      <c r="H205" s="310">
        <f>H204/(1+WACC)^H$203</f>
        <v>33475.849312973492</v>
      </c>
      <c r="I205" s="310">
        <f>I204/(1+WACC)^I$203</f>
        <v>32927.997547880877</v>
      </c>
      <c r="J205" s="310">
        <f>J204/(1+WACC)^J$203</f>
        <v>31689.012412017837</v>
      </c>
      <c r="K205" s="148"/>
      <c r="L205" s="36"/>
      <c r="M205" s="36"/>
    </row>
    <row r="206" spans="2:15">
      <c r="B206" s="149" t="s">
        <v>247</v>
      </c>
      <c r="C206" s="149" t="s">
        <v>159</v>
      </c>
      <c r="D206" s="92">
        <f>SUM(H205:J205)</f>
        <v>98092.8592728722</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98092.8592728722</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1.0289023755816378</v>
      </c>
      <c r="J211" s="316">
        <f>I211*(1+J$31)*(1+J$26)*(1-X_industry_wide)</f>
        <v>1.0586566052257333</v>
      </c>
      <c r="K211" s="148"/>
      <c r="L211" s="36" t="s">
        <v>509</v>
      </c>
      <c r="M211" s="36"/>
    </row>
    <row r="212" spans="1:13">
      <c r="C212" s="149" t="s">
        <v>160</v>
      </c>
      <c r="D212" s="155"/>
      <c r="E212" s="36"/>
      <c r="F212" s="317"/>
      <c r="G212" s="316"/>
      <c r="H212" s="316">
        <f>H211/(1+WACC)^H$203</f>
        <v>0.91937115013330895</v>
      </c>
      <c r="I212" s="316">
        <f>I211/(1+WACC)^I$203</f>
        <v>0.86967285134999006</v>
      </c>
      <c r="J212" s="316">
        <f>J211/(1+WACC)^J$203</f>
        <v>0.82267391279890756</v>
      </c>
      <c r="K212" s="148"/>
      <c r="L212" s="36" t="s">
        <v>280</v>
      </c>
      <c r="M212" s="36"/>
    </row>
    <row r="213" spans="1:13">
      <c r="C213" s="149" t="s">
        <v>99</v>
      </c>
      <c r="D213" s="140">
        <f>SUM(H212:J212)</f>
        <v>2.6117179142822065</v>
      </c>
      <c r="E213" s="36"/>
      <c r="F213" s="317"/>
      <c r="G213" s="316"/>
      <c r="H213" s="316"/>
      <c r="I213" s="316"/>
      <c r="J213" s="316"/>
      <c r="K213" s="148"/>
      <c r="L213" s="36" t="s">
        <v>510</v>
      </c>
      <c r="M213" s="36"/>
    </row>
    <row r="214" spans="1:13">
      <c r="C214" s="149" t="s">
        <v>256</v>
      </c>
      <c r="D214" s="26">
        <f>D210/D213</f>
        <v>37558.74964001678</v>
      </c>
      <c r="E214" s="36"/>
      <c r="F214" s="317"/>
      <c r="G214" s="316"/>
      <c r="H214" s="310"/>
      <c r="I214" s="310"/>
      <c r="J214" s="310"/>
      <c r="K214" s="148"/>
      <c r="L214" s="36"/>
      <c r="M214" s="36"/>
    </row>
    <row r="215" spans="1:13">
      <c r="C215" s="149" t="s">
        <v>252</v>
      </c>
      <c r="D215" s="26"/>
      <c r="E215" s="36"/>
      <c r="F215" s="317"/>
      <c r="G215" s="316"/>
      <c r="H215" s="310">
        <f t="shared" ref="H215:J215" si="76">$D214*H211</f>
        <v>37558.74964001678</v>
      </c>
      <c r="I215" s="310">
        <f t="shared" si="76"/>
        <v>38644.286728489249</v>
      </c>
      <c r="J215" s="310">
        <f t="shared" si="76"/>
        <v>39761.818390423396</v>
      </c>
      <c r="K215" s="148"/>
      <c r="L215" s="36" t="s">
        <v>243</v>
      </c>
      <c r="M215" s="36"/>
    </row>
    <row r="216" spans="1:13">
      <c r="C216" s="149" t="s">
        <v>253</v>
      </c>
      <c r="D216" s="26"/>
      <c r="E216" s="36"/>
      <c r="F216" s="317"/>
      <c r="G216" s="316"/>
      <c r="H216" s="247">
        <f t="shared" ref="H216:J216" si="77">H215/$D$48</f>
        <v>36300.066814067868</v>
      </c>
      <c r="I216" s="247">
        <f t="shared" si="77"/>
        <v>37349.224978766601</v>
      </c>
      <c r="J216" s="247">
        <f t="shared" si="77"/>
        <v>38429.305502848387</v>
      </c>
      <c r="K216" s="148"/>
      <c r="L216" s="36" t="s">
        <v>245</v>
      </c>
      <c r="M216" s="36"/>
    </row>
    <row r="217" spans="1:13">
      <c r="C217" s="149" t="s">
        <v>252</v>
      </c>
      <c r="D217" s="26"/>
      <c r="E217" s="36"/>
      <c r="F217" s="317"/>
      <c r="G217" s="316"/>
      <c r="H217" s="247">
        <f>H216*$D$48</f>
        <v>37558.74964001678</v>
      </c>
      <c r="I217" s="247">
        <f t="shared" ref="I217:J217" si="78">I216*$D$48</f>
        <v>38644.286728489249</v>
      </c>
      <c r="J217" s="247">
        <f t="shared" si="78"/>
        <v>39761.818390423396</v>
      </c>
      <c r="K217" s="148"/>
      <c r="L217" s="36" t="s">
        <v>299</v>
      </c>
      <c r="M217" s="36"/>
    </row>
    <row r="218" spans="1:13">
      <c r="C218" s="149" t="s">
        <v>254</v>
      </c>
      <c r="D218" s="155"/>
      <c r="E218" s="36"/>
      <c r="F218" s="317"/>
      <c r="G218" s="316"/>
      <c r="H218" s="310">
        <f>H215/(1+WACC)^H$203</f>
        <v>34530.430854111226</v>
      </c>
      <c r="I218" s="310">
        <f>I215/(1+WACC)^I$203</f>
        <v>32663.824892573808</v>
      </c>
      <c r="J218" s="310">
        <f>J215/(1+WACC)^J$203</f>
        <v>30898.603526187166</v>
      </c>
      <c r="K218" s="148"/>
      <c r="L218" s="36" t="s">
        <v>246</v>
      </c>
      <c r="M218" s="36"/>
    </row>
    <row r="219" spans="1:13">
      <c r="C219" s="149" t="s">
        <v>255</v>
      </c>
      <c r="D219" s="26">
        <f>SUM(H218:J218)</f>
        <v>98092.859272872185</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63562.428418760974</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-1.9358131811653702E-3</v>
      </c>
      <c r="G226" s="204">
        <f t="shared" ref="G226:J226" si="80">G$26</f>
        <v>1.0593420389675642E-2</v>
      </c>
      <c r="H226" s="204">
        <f t="shared" si="80"/>
        <v>3.7387962908738233E-3</v>
      </c>
      <c r="I226" s="204">
        <f t="shared" si="80"/>
        <v>4.3442682126310752E-3</v>
      </c>
      <c r="J226" s="204">
        <f t="shared" si="80"/>
        <v>4.5424149240163728E-3</v>
      </c>
      <c r="K226" s="148"/>
      <c r="L226" s="36"/>
      <c r="M226" s="36"/>
    </row>
    <row r="227" spans="1:14">
      <c r="A227" s="19"/>
      <c r="B227" s="19" t="s">
        <v>263</v>
      </c>
      <c r="C227" s="149" t="s">
        <v>411</v>
      </c>
      <c r="E227" s="163">
        <f>E$8-E$9-E$10</f>
        <v>23266.366000000002</v>
      </c>
      <c r="F227" s="247">
        <f>E227*(1+F225)*(1+F226)*(1-X_industry_wide)</f>
        <v>23793.741445818861</v>
      </c>
      <c r="G227" s="247">
        <f>F227*(1+G225)*(1+G226)*(1-X_industry_wide)</f>
        <v>24474.095217911112</v>
      </c>
      <c r="H227" s="320">
        <f>G227*(1+H225)*(1+H226)*(1-X_industry_wide)</f>
        <v>25693.383186292409</v>
      </c>
      <c r="I227" s="247">
        <f>H227*(1+I225)*(1+I226)*(1-X_industry_wide)</f>
        <v>26435.98299710557</v>
      </c>
      <c r="J227" s="247">
        <f>I227*(1+J225)*(1+J226)*(1-X_industry_wide)</f>
        <v>27200.469820764261</v>
      </c>
      <c r="K227" s="148"/>
      <c r="L227" s="300"/>
      <c r="M227" s="36"/>
    </row>
    <row r="228" spans="1:14">
      <c r="A228" s="19"/>
      <c r="B228" s="19"/>
      <c r="C228" s="149" t="s">
        <v>358</v>
      </c>
      <c r="E228" s="215"/>
      <c r="F228" s="247"/>
      <c r="G228" s="320">
        <f>G227*$D$48</f>
        <v>25322.719643017812</v>
      </c>
      <c r="H228" s="320">
        <f>H227*$D$48</f>
        <v>26584.285683049737</v>
      </c>
      <c r="I228" s="320">
        <f>I227*$D$48</f>
        <v>27352.634692430795</v>
      </c>
      <c r="J228" s="320">
        <f>J227*$D$48</f>
        <v>28143.629633568504</v>
      </c>
      <c r="K228" s="148"/>
      <c r="L228" s="300"/>
      <c r="M228" s="36"/>
    </row>
    <row r="229" spans="1:14">
      <c r="A229" s="19"/>
      <c r="B229" s="19" t="s">
        <v>263</v>
      </c>
      <c r="C229" s="149" t="s">
        <v>335</v>
      </c>
      <c r="D229" s="92">
        <f>H227</f>
        <v>25693.383186292409</v>
      </c>
      <c r="E229" s="36"/>
      <c r="F229" s="247"/>
      <c r="G229" s="310"/>
      <c r="H229" s="310"/>
      <c r="I229" s="310"/>
      <c r="J229" s="310"/>
      <c r="K229" s="148"/>
      <c r="L229" s="300"/>
      <c r="M229" s="36"/>
    </row>
    <row r="230" spans="1:14">
      <c r="B230" s="19" t="s">
        <v>263</v>
      </c>
      <c r="C230" s="149" t="s">
        <v>336</v>
      </c>
      <c r="D230" s="92">
        <f>D214/D48</f>
        <v>36300.066814067868</v>
      </c>
      <c r="E230" s="36"/>
      <c r="F230" s="321"/>
      <c r="G230" s="310"/>
      <c r="H230" s="310"/>
      <c r="I230" s="310"/>
      <c r="J230" s="310"/>
      <c r="K230" s="148"/>
      <c r="L230" s="36"/>
      <c r="M230" s="36"/>
    </row>
    <row r="231" spans="1:14">
      <c r="B231" s="19" t="s">
        <v>263</v>
      </c>
      <c r="C231" s="149" t="s">
        <v>329</v>
      </c>
      <c r="D231" s="32">
        <f>(D230-D229)/D229</f>
        <v>0.41281771072616841</v>
      </c>
      <c r="E231" s="36"/>
      <c r="F231" s="247"/>
      <c r="G231" s="310"/>
      <c r="H231" s="310"/>
      <c r="I231" s="310"/>
      <c r="J231" s="310"/>
      <c r="K231" s="310"/>
      <c r="L231" s="310"/>
      <c r="M231" s="310"/>
      <c r="N231" s="19"/>
    </row>
    <row r="232" spans="1:14">
      <c r="C232" s="149" t="s">
        <v>452</v>
      </c>
      <c r="D232" s="125">
        <f>NPV(WACC,H228:J228)</f>
        <v>69430.655156816982</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10606.683627775459</v>
      </c>
      <c r="F235" s="36"/>
      <c r="G235" s="36"/>
      <c r="H235" s="36"/>
      <c r="I235" s="310"/>
      <c r="J235" s="310"/>
      <c r="K235" s="148"/>
      <c r="L235" s="36"/>
      <c r="M235" s="36"/>
    </row>
    <row r="236" spans="1:14">
      <c r="C236" s="149" t="s">
        <v>341</v>
      </c>
      <c r="D236" s="94"/>
      <c r="E236" s="310">
        <f>H217-H228</f>
        <v>10974.463956967043</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63562.428418760974</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-0.15</v>
      </c>
      <c r="K243" s="148"/>
      <c r="L243" s="36"/>
      <c r="M243" s="36"/>
    </row>
    <row r="244" spans="1:13">
      <c r="A244" s="155"/>
      <c r="B244" s="155" t="s">
        <v>264</v>
      </c>
      <c r="C244" s="149" t="s">
        <v>257</v>
      </c>
      <c r="D244" s="155"/>
      <c r="E244" s="36"/>
      <c r="F244" s="317"/>
      <c r="G244" s="316"/>
      <c r="H244" s="316"/>
      <c r="I244" s="162">
        <v>1</v>
      </c>
      <c r="J244" s="316">
        <f>I244*(1+J$31)*(1+J$26)*(1-J243)</f>
        <v>1.1832561814441986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0.91949928600750708</v>
      </c>
      <c r="K245" s="148"/>
      <c r="L245" s="36" t="s">
        <v>280</v>
      </c>
      <c r="M245" s="36"/>
    </row>
    <row r="246" spans="1:13">
      <c r="A246" s="155"/>
      <c r="B246" s="155" t="s">
        <v>264</v>
      </c>
      <c r="C246" s="149" t="s">
        <v>99</v>
      </c>
      <c r="D246" s="140">
        <f>SUM(I245:J245)</f>
        <v>1.7647425977049505</v>
      </c>
      <c r="E246" s="36"/>
      <c r="F246" s="317"/>
      <c r="G246" s="316"/>
      <c r="H246" s="316"/>
      <c r="I246" s="316"/>
      <c r="J246" s="316"/>
      <c r="K246" s="148"/>
      <c r="L246" s="36" t="s">
        <v>510</v>
      </c>
      <c r="M246" s="36"/>
    </row>
    <row r="247" spans="1:13">
      <c r="A247" s="155"/>
      <c r="B247" s="155" t="s">
        <v>264</v>
      </c>
      <c r="C247" s="149" t="s">
        <v>256</v>
      </c>
      <c r="D247" s="26">
        <f>D242/D246</f>
        <v>36017.960070451052</v>
      </c>
      <c r="E247" s="36"/>
      <c r="F247" s="317"/>
      <c r="G247" s="316"/>
      <c r="H247" s="310"/>
      <c r="I247" s="310"/>
      <c r="J247" s="310"/>
      <c r="K247" s="148"/>
      <c r="L247" s="36"/>
      <c r="M247" s="36"/>
    </row>
    <row r="248" spans="1:13">
      <c r="A248" s="155"/>
      <c r="B248" s="155" t="s">
        <v>264</v>
      </c>
      <c r="C248" s="149" t="s">
        <v>252</v>
      </c>
      <c r="D248" s="26"/>
      <c r="E248" s="36"/>
      <c r="F248" s="317"/>
      <c r="G248" s="316"/>
      <c r="H248" s="163">
        <f>H215</f>
        <v>37558.74964001678</v>
      </c>
      <c r="I248" s="310">
        <f t="shared" ref="I248:J248" si="81">$D247*I244</f>
        <v>36017.960070451052</v>
      </c>
      <c r="J248" s="310">
        <f t="shared" si="81"/>
        <v>42618.473896371535</v>
      </c>
      <c r="K248" s="148"/>
      <c r="L248" s="36" t="s">
        <v>243</v>
      </c>
      <c r="M248" s="36"/>
    </row>
    <row r="249" spans="1:13">
      <c r="A249" s="155"/>
      <c r="B249" s="155" t="s">
        <v>264</v>
      </c>
      <c r="C249" s="149" t="s">
        <v>253</v>
      </c>
      <c r="D249" s="26"/>
      <c r="E249" s="36"/>
      <c r="F249" s="317"/>
      <c r="G249" s="316"/>
      <c r="H249" s="247">
        <f>H248/$D$48</f>
        <v>36300.066814067868</v>
      </c>
      <c r="I249" s="247">
        <f>I248/$D$48</f>
        <v>34810.912759214465</v>
      </c>
      <c r="J249" s="247">
        <f>J248/$D$48</f>
        <v>41190.227704055244</v>
      </c>
      <c r="K249" s="148"/>
      <c r="L249" s="36" t="s">
        <v>245</v>
      </c>
      <c r="M249" s="36"/>
    </row>
    <row r="250" spans="1:13">
      <c r="A250" s="155"/>
      <c r="B250" s="155" t="s">
        <v>264</v>
      </c>
      <c r="C250" s="149" t="s">
        <v>370</v>
      </c>
      <c r="D250" s="155"/>
      <c r="E250" s="36"/>
      <c r="F250" s="317"/>
      <c r="G250" s="316"/>
      <c r="H250" s="310"/>
      <c r="I250" s="310">
        <f>I248/(1+WACC)^I$203</f>
        <v>30443.939850534323</v>
      </c>
      <c r="J250" s="310">
        <f>J248/(1+WACC)^J$203</f>
        <v>33118.488568226647</v>
      </c>
      <c r="K250" s="148"/>
      <c r="L250" s="36" t="s">
        <v>299</v>
      </c>
      <c r="M250" s="36"/>
    </row>
    <row r="251" spans="1:13">
      <c r="A251" s="155"/>
      <c r="B251" s="155" t="s">
        <v>264</v>
      </c>
      <c r="C251" s="149" t="s">
        <v>255</v>
      </c>
      <c r="D251" s="26">
        <f>SUM(I250:J250)</f>
        <v>63562.428418760974</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3380.8724309440681</v>
      </c>
      <c r="I253" s="324">
        <f>(I249+I186-I$188-I$181+I$178)*I$52</f>
        <v>2437.7586523935233</v>
      </c>
      <c r="J253" s="324">
        <f>(J249+J186-J$188-J$181+J$178)*J$52</f>
        <v>3845.5656959055377</v>
      </c>
      <c r="K253" s="247"/>
      <c r="L253" s="36"/>
      <c r="M253" s="36"/>
    </row>
    <row r="254" spans="1:13">
      <c r="A254" s="155"/>
      <c r="B254" s="214" t="s">
        <v>264</v>
      </c>
      <c r="C254" s="143" t="s">
        <v>325</v>
      </c>
      <c r="D254" s="214"/>
      <c r="E254" s="36"/>
      <c r="F254" s="322"/>
      <c r="G254" s="323"/>
      <c r="H254" s="324">
        <f>H253+H192</f>
        <v>2473.9272636249589</v>
      </c>
      <c r="I254" s="324">
        <f>I253+I192</f>
        <v>1145.0977404278169</v>
      </c>
      <c r="J254" s="324">
        <f>J253+J192</f>
        <v>2440.9038876223003</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33616.219319092153</v>
      </c>
      <c r="G257" s="138">
        <f>H257/((1+H32)*(1+H26)*(1+X_industry_wide))</f>
        <v>34577.435177863445</v>
      </c>
      <c r="H257" s="310">
        <f>H249</f>
        <v>36300.066814067868</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1.0080993068373849</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26584.285683049737</v>
      </c>
      <c r="I266" s="334">
        <f>H266*(1+I$225)*(1+I$226)*(1+$E265)</f>
        <v>31455.529896295415</v>
      </c>
      <c r="J266" s="247">
        <f>I266*(1+J$225)*(1+J$226)*(1-$J243)</f>
        <v>37219.950190394338</v>
      </c>
      <c r="K266" s="36"/>
      <c r="L266" s="36"/>
      <c r="M266" s="36"/>
    </row>
    <row r="267" spans="3:14">
      <c r="C267" s="149" t="s">
        <v>409</v>
      </c>
      <c r="D267" s="94"/>
      <c r="E267" s="36"/>
      <c r="F267" s="36"/>
      <c r="G267" s="36"/>
      <c r="H267" s="247">
        <f>H266/$D$48</f>
        <v>25693.383186292409</v>
      </c>
      <c r="I267" s="247">
        <f t="shared" ref="I267:J267" si="82">I266/$D$48</f>
        <v>30401.380446671406</v>
      </c>
      <c r="J267" s="247">
        <f t="shared" si="82"/>
        <v>35972.621337960729</v>
      </c>
      <c r="K267" s="36"/>
      <c r="L267" s="36"/>
      <c r="M267" s="36"/>
    </row>
    <row r="268" spans="3:14">
      <c r="C268" s="149" t="s">
        <v>347</v>
      </c>
      <c r="D268" s="94"/>
      <c r="E268" s="36"/>
      <c r="F268" s="36"/>
      <c r="G268" s="36"/>
      <c r="H268" s="247">
        <f>H266/(1+WACC)^H$203</f>
        <v>24440.825303897895</v>
      </c>
      <c r="I268" s="247">
        <f>I266/(1+WACC)^I$203</f>
        <v>26587.57626074267</v>
      </c>
      <c r="J268" s="247">
        <f>J266/(1+WACC)^J$203</f>
        <v>28923.337280631422</v>
      </c>
      <c r="K268" s="36"/>
      <c r="L268" s="36"/>
      <c r="M268" s="36"/>
    </row>
    <row r="269" spans="3:14">
      <c r="C269" s="149" t="s">
        <v>348</v>
      </c>
      <c r="D269" s="94"/>
      <c r="E269" s="310">
        <f>SUM(H268:J268)</f>
        <v>79951.73884527199</v>
      </c>
      <c r="F269" s="36"/>
      <c r="G269" s="36"/>
      <c r="H269" s="36"/>
      <c r="I269" s="36"/>
      <c r="J269" s="36"/>
      <c r="K269" s="36"/>
      <c r="L269" s="36"/>
      <c r="M269" s="36"/>
    </row>
    <row r="270" spans="3:14">
      <c r="C270" s="149" t="str">
        <f>C206</f>
        <v>PV of BBAR before tax over the PV period</v>
      </c>
      <c r="E270" s="310">
        <f>D206</f>
        <v>98092.8592728722</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33616.219319092153</v>
      </c>
      <c r="G274" s="247">
        <f t="shared" ref="G274:H274" si="83">G257</f>
        <v>34577.435177863445</v>
      </c>
      <c r="H274" s="333">
        <f t="shared" si="83"/>
        <v>36300.066814067868</v>
      </c>
      <c r="I274" s="310">
        <f>I249</f>
        <v>34810.912759214465</v>
      </c>
      <c r="J274" s="310">
        <f>J249</f>
        <v>41190.227704055244</v>
      </c>
      <c r="K274" s="36"/>
      <c r="L274" s="36"/>
      <c r="M274" s="36"/>
    </row>
    <row r="275" spans="3:13">
      <c r="C275" s="149" t="s">
        <v>407</v>
      </c>
      <c r="D275" s="94"/>
      <c r="E275" s="36"/>
      <c r="F275" s="247">
        <f>F274</f>
        <v>33616.219319092153</v>
      </c>
      <c r="G275" s="247">
        <f t="shared" ref="G275:H275" si="84">G274</f>
        <v>34577.435177863445</v>
      </c>
      <c r="H275" s="333">
        <f t="shared" si="84"/>
        <v>36300.066814067868</v>
      </c>
      <c r="I275" s="247">
        <f>I267</f>
        <v>30401.380446671406</v>
      </c>
      <c r="J275" s="247">
        <f>J267</f>
        <v>35972.621337960729</v>
      </c>
      <c r="K275" s="36"/>
      <c r="L275" s="36"/>
      <c r="M275" s="36"/>
    </row>
    <row r="276" spans="3:13">
      <c r="C276" s="149" t="s">
        <v>408</v>
      </c>
      <c r="D276" s="94"/>
      <c r="E276" s="36"/>
      <c r="F276" s="247">
        <f>IF($E$22=-15%,F275,F274)</f>
        <v>33616.219319092153</v>
      </c>
      <c r="G276" s="247">
        <f t="shared" ref="G276:J276" si="85">IF($E$22=-15%,G275,G274)</f>
        <v>34577.435177863445</v>
      </c>
      <c r="H276" s="247">
        <f t="shared" si="85"/>
        <v>36300.066814067868</v>
      </c>
      <c r="I276" s="247">
        <f t="shared" si="85"/>
        <v>30401.380446671406</v>
      </c>
      <c r="J276" s="247">
        <f t="shared" si="85"/>
        <v>35972.621337960729</v>
      </c>
      <c r="K276" s="36"/>
      <c r="L276" s="36"/>
      <c r="M276" s="36"/>
    </row>
    <row r="277" spans="3:13">
      <c r="C277" s="149" t="s">
        <v>449</v>
      </c>
      <c r="D277" s="94"/>
      <c r="E277" s="328">
        <f>(I276/H267)/((1+I225)*(1+I226))-1</f>
        <v>0.15000000000000013</v>
      </c>
      <c r="F277" s="247"/>
      <c r="G277" s="247"/>
      <c r="H277" s="247"/>
      <c r="I277" s="36"/>
      <c r="J277" s="36"/>
      <c r="K277" s="36"/>
      <c r="L277" s="36"/>
      <c r="M277" s="36"/>
    </row>
    <row r="278" spans="3:13">
      <c r="C278" s="149" t="s">
        <v>450</v>
      </c>
      <c r="D278" s="94"/>
      <c r="E278" s="328">
        <f>(J276/I276)/((1+J225)*(1+J226))-1</f>
        <v>0.14999999999999969</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26435.98299710557</v>
      </c>
      <c r="E281" s="36"/>
      <c r="F281" s="313"/>
      <c r="G281" s="36"/>
      <c r="H281" s="36"/>
      <c r="I281" s="36"/>
      <c r="J281" s="36"/>
      <c r="K281" s="36"/>
      <c r="L281" s="36"/>
      <c r="M281" s="36"/>
    </row>
    <row r="282" spans="3:13">
      <c r="C282" s="149" t="s">
        <v>443</v>
      </c>
      <c r="D282" s="19">
        <f>I276</f>
        <v>30401.380446671406</v>
      </c>
      <c r="E282" s="36"/>
      <c r="F282" s="313"/>
      <c r="G282" s="36"/>
      <c r="H282" s="36"/>
      <c r="I282" s="36"/>
      <c r="J282" s="36"/>
      <c r="K282" s="36"/>
      <c r="L282" s="36"/>
      <c r="M282" s="36"/>
    </row>
    <row r="283" spans="3:13">
      <c r="C283" s="149" t="s">
        <v>445</v>
      </c>
      <c r="D283" s="152">
        <f>(D282-D281)/D281</f>
        <v>0.15000000000000005</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69430.655156816982</v>
      </c>
      <c r="G286" s="36"/>
      <c r="H286" s="36"/>
      <c r="I286" s="36"/>
      <c r="J286" s="36"/>
      <c r="K286" s="36"/>
      <c r="L286" s="36"/>
      <c r="M286" s="36"/>
    </row>
    <row r="287" spans="3:13">
      <c r="C287" s="149" t="str">
        <f>C206</f>
        <v>PV of BBAR before tax over the PV period</v>
      </c>
      <c r="E287" s="36"/>
      <c r="F287" s="310">
        <f>D206</f>
        <v>98092.8592728722</v>
      </c>
      <c r="G287" s="36"/>
      <c r="H287" s="36"/>
      <c r="I287" s="36"/>
      <c r="J287" s="36"/>
      <c r="K287" s="36"/>
      <c r="L287" s="36"/>
      <c r="M287" s="36"/>
    </row>
    <row r="288" spans="3:13">
      <c r="C288" s="149" t="s">
        <v>405</v>
      </c>
      <c r="D288" s="94"/>
      <c r="E288" s="36"/>
      <c r="F288" s="247">
        <f>F286-F287</f>
        <v>-28662.204116055218</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-168809.76960493924</v>
      </c>
      <c r="F293" s="247"/>
      <c r="G293" s="310"/>
      <c r="H293" s="310"/>
      <c r="I293" s="310"/>
      <c r="J293" s="310"/>
      <c r="K293" s="310"/>
      <c r="L293" s="36"/>
      <c r="M293" s="36"/>
      <c r="N293" s="19">
        <f>J$143+J$166</f>
        <v>211701.69334789482</v>
      </c>
    </row>
    <row r="294" spans="3:14">
      <c r="C294" s="149" t="s">
        <v>57</v>
      </c>
      <c r="D294" s="19"/>
      <c r="E294" s="90"/>
      <c r="F294" s="247"/>
      <c r="G294" s="138">
        <f>H$249</f>
        <v>36300.066814067868</v>
      </c>
      <c r="H294" s="36">
        <v>0</v>
      </c>
      <c r="I294" s="36">
        <v>0</v>
      </c>
      <c r="J294" s="164">
        <f>I$249</f>
        <v>34810.912759214465</v>
      </c>
      <c r="K294" s="310">
        <v>0</v>
      </c>
      <c r="L294" s="138">
        <v>0</v>
      </c>
      <c r="M294" s="310">
        <f>J$249</f>
        <v>41190.227704055244</v>
      </c>
    </row>
    <row r="295" spans="3:14">
      <c r="C295" s="149" t="s">
        <v>234</v>
      </c>
      <c r="D295" s="19"/>
      <c r="E295" s="299"/>
      <c r="F295" s="320">
        <f>H186</f>
        <v>6.6884970651140678</v>
      </c>
      <c r="G295" s="215"/>
      <c r="H295" s="300"/>
      <c r="I295" s="216">
        <f>I186</f>
        <v>6.8294856204495247</v>
      </c>
      <c r="J295" s="215"/>
      <c r="K295" s="215"/>
      <c r="L295" s="215">
        <f>J186</f>
        <v>6.9817532602118186</v>
      </c>
      <c r="M295" s="215"/>
    </row>
    <row r="296" spans="3:14">
      <c r="C296" s="149" t="s">
        <v>54</v>
      </c>
      <c r="D296" s="19"/>
      <c r="E296" s="299"/>
      <c r="F296" s="320">
        <f>-H$24</f>
        <v>-11354.262142038775</v>
      </c>
      <c r="G296" s="300"/>
      <c r="H296" s="215"/>
      <c r="I296" s="215">
        <f>-I$24</f>
        <v>-11767.370148651833</v>
      </c>
      <c r="J296" s="300"/>
      <c r="K296" s="215"/>
      <c r="L296" s="215">
        <f>-J$24</f>
        <v>-12200.430558550508</v>
      </c>
      <c r="M296" s="300"/>
    </row>
    <row r="297" spans="3:14">
      <c r="C297" s="149" t="s">
        <v>125</v>
      </c>
      <c r="D297" s="19"/>
      <c r="E297" s="299"/>
      <c r="F297" s="320">
        <f>-H$25</f>
        <v>-29491.695070671394</v>
      </c>
      <c r="G297" s="300"/>
      <c r="H297" s="215"/>
      <c r="I297" s="215">
        <f>-I$25</f>
        <v>-20332.084526793067</v>
      </c>
      <c r="J297" s="300"/>
      <c r="K297" s="215"/>
      <c r="L297" s="215">
        <f>-J$25</f>
        <v>-13714.399790851603</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-2473.9272636249589</v>
      </c>
      <c r="G299" s="300">
        <v>0</v>
      </c>
      <c r="H299" s="300">
        <v>0</v>
      </c>
      <c r="I299" s="336">
        <f>-I$254</f>
        <v>-1145.0977404278169</v>
      </c>
      <c r="J299" s="215">
        <v>0</v>
      </c>
      <c r="K299" s="163">
        <v>0</v>
      </c>
      <c r="L299" s="215">
        <f>-J$254</f>
        <v>-2440.9038876223003</v>
      </c>
      <c r="M299" s="300"/>
    </row>
    <row r="300" spans="3:14" ht="15.75" thickBot="1">
      <c r="C300" s="149" t="s">
        <v>217</v>
      </c>
      <c r="D300" s="19"/>
      <c r="E300" s="332">
        <f>SUM(E293:E299)</f>
        <v>-168809.76960493924</v>
      </c>
      <c r="F300" s="332">
        <f t="shared" ref="F300:K300" si="87">SUM(F293:F299)</f>
        <v>-43313.195979270015</v>
      </c>
      <c r="G300" s="332">
        <f t="shared" si="87"/>
        <v>36300.066814067868</v>
      </c>
      <c r="H300" s="332">
        <f t="shared" si="87"/>
        <v>0</v>
      </c>
      <c r="I300" s="332">
        <f t="shared" si="87"/>
        <v>-33237.722930252268</v>
      </c>
      <c r="J300" s="332">
        <f t="shared" si="87"/>
        <v>34810.912759214465</v>
      </c>
      <c r="K300" s="332">
        <f t="shared" si="87"/>
        <v>0</v>
      </c>
      <c r="L300" s="332">
        <f>SUM(L293:L299)</f>
        <v>-28348.752483764198</v>
      </c>
      <c r="M300" s="332">
        <f>SUM(M293:M299)</f>
        <v>41190.227704055244</v>
      </c>
      <c r="N300" s="129">
        <f>SUM(N293:N299)</f>
        <v>211701.69334789482</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5.8207660913467407E-11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5"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26">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Aurora Energy</v>
      </c>
      <c r="D1" s="2"/>
      <c r="E1" s="2"/>
      <c r="F1" s="6" t="s">
        <v>169</v>
      </c>
      <c r="G1" s="7">
        <v>2</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72951</v>
      </c>
    </row>
    <row r="9" spans="1:16">
      <c r="A9" s="9">
        <f>A8+1</f>
        <v>2</v>
      </c>
      <c r="B9" s="9"/>
      <c r="C9" s="149" t="str">
        <f>Inputs!B21</f>
        <v>Pass-through costs</v>
      </c>
      <c r="E9" s="1">
        <f t="shared" si="0"/>
        <v>859</v>
      </c>
    </row>
    <row r="10" spans="1:16">
      <c r="A10" s="9">
        <f t="shared" ref="A10:A22" si="1">A9+1</f>
        <v>3</v>
      </c>
      <c r="B10" s="9"/>
      <c r="C10" s="149" t="str">
        <f>Inputs!B22</f>
        <v>Recoverable costs</v>
      </c>
      <c r="E10" s="1">
        <f t="shared" si="0"/>
        <v>20979</v>
      </c>
    </row>
    <row r="11" spans="1:16">
      <c r="A11" s="9">
        <f t="shared" si="1"/>
        <v>4</v>
      </c>
      <c r="B11" s="9"/>
      <c r="C11" s="155" t="str">
        <f>Inputs!B23</f>
        <v>Opening RAB</v>
      </c>
      <c r="E11" s="1">
        <f t="shared" si="0"/>
        <v>278819</v>
      </c>
      <c r="L11" s="13"/>
    </row>
    <row r="12" spans="1:16">
      <c r="A12" s="9">
        <f t="shared" si="1"/>
        <v>5</v>
      </c>
      <c r="B12" s="9"/>
      <c r="C12" s="155" t="str">
        <f>Inputs!B24</f>
        <v>Total Depreciation</v>
      </c>
      <c r="E12" s="1">
        <f t="shared" si="0"/>
        <v>7786</v>
      </c>
      <c r="F12" s="161"/>
      <c r="G12" s="337" t="s">
        <v>511</v>
      </c>
    </row>
    <row r="13" spans="1:16">
      <c r="A13" s="9">
        <f t="shared" si="1"/>
        <v>6</v>
      </c>
      <c r="B13" s="9"/>
      <c r="C13" s="155" t="str">
        <f>Inputs!B25</f>
        <v>RAB of disposed assets</v>
      </c>
      <c r="E13" s="1">
        <f t="shared" si="0"/>
        <v>452</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13769</v>
      </c>
      <c r="G15" s="23" t="s">
        <v>514</v>
      </c>
    </row>
    <row r="16" spans="1:16">
      <c r="A16" s="9">
        <f t="shared" si="1"/>
        <v>9</v>
      </c>
      <c r="B16" s="9"/>
      <c r="C16" s="155" t="str">
        <f>Inputs!B28</f>
        <v>Opening regulatory tax asset value</v>
      </c>
      <c r="E16" s="1">
        <f t="shared" si="0"/>
        <v>150682</v>
      </c>
    </row>
    <row r="17" spans="1:21">
      <c r="A17" s="9">
        <f t="shared" si="1"/>
        <v>10</v>
      </c>
      <c r="B17" s="9"/>
      <c r="C17" s="155" t="str">
        <f>Inputs!B29</f>
        <v>Weighted Average Remaining Life at year-end</v>
      </c>
      <c r="E17" s="1">
        <f t="shared" si="0"/>
        <v>26.99</v>
      </c>
    </row>
    <row r="18" spans="1:21">
      <c r="A18" s="9">
        <f t="shared" si="1"/>
        <v>11</v>
      </c>
      <c r="B18" s="9"/>
      <c r="C18" s="155" t="str">
        <f>Inputs!B30</f>
        <v>Term Credit Spread Differential Allowance</v>
      </c>
      <c r="E18" s="1">
        <f t="shared" si="0"/>
        <v>9.5059008825002653</v>
      </c>
    </row>
    <row r="19" spans="1:21">
      <c r="A19" s="9">
        <f t="shared" si="1"/>
        <v>12</v>
      </c>
      <c r="B19" s="9"/>
      <c r="C19" s="155" t="str">
        <f>Inputs!B31</f>
        <v>Other regulated income 2009/10</v>
      </c>
      <c r="E19" s="1">
        <f t="shared" si="0"/>
        <v>598</v>
      </c>
    </row>
    <row r="20" spans="1:21">
      <c r="A20" s="9">
        <f t="shared" si="1"/>
        <v>13</v>
      </c>
      <c r="B20" s="9"/>
      <c r="C20" s="155" t="str">
        <f>Inputs!B32</f>
        <v>Operating expenditure 2009/10</v>
      </c>
      <c r="E20" s="1">
        <f t="shared" si="0"/>
        <v>19106</v>
      </c>
    </row>
    <row r="21" spans="1:21">
      <c r="A21" s="9">
        <f t="shared" si="1"/>
        <v>14</v>
      </c>
      <c r="B21" s="9"/>
      <c r="C21" s="155" t="str">
        <f>Inputs!B33</f>
        <v>Other regulated income</v>
      </c>
      <c r="E21" s="1">
        <f t="shared" si="0"/>
        <v>601.36555605184185</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19106</v>
      </c>
      <c r="F24" s="39">
        <f>INDEX(OpexBlock,F7-1,$G$1)</f>
        <v>19891.659413721864</v>
      </c>
      <c r="G24" s="39">
        <f>INDEX(OpexBlock,G7-1,$G$1)</f>
        <v>20597.478172211682</v>
      </c>
      <c r="H24" s="39">
        <f>INDEX(OpexBlock,H7-1,$G$1)</f>
        <v>21328.462699784573</v>
      </c>
      <c r="I24" s="39">
        <f>INDEX(OpexBlock,I7-1,$G$1)</f>
        <v>22111.51585626309</v>
      </c>
      <c r="J24" s="39">
        <f>INDEX(OpexBlock,J7-1,$G$1)</f>
        <v>22928.015389831518</v>
      </c>
      <c r="K24" s="90"/>
      <c r="L24" s="36"/>
      <c r="M24" s="36"/>
    </row>
    <row r="25" spans="1:21">
      <c r="A25" s="9"/>
      <c r="B25" s="9"/>
      <c r="C25" s="149" t="s">
        <v>272</v>
      </c>
      <c r="D25" s="1"/>
      <c r="E25" s="39">
        <f t="shared" ref="E25:J25" si="2">INDEX(CommAssetsBlock,E7,$G$1)</f>
        <v>21698</v>
      </c>
      <c r="F25" s="39">
        <f t="shared" si="2"/>
        <v>23991.643730886852</v>
      </c>
      <c r="G25" s="39">
        <f t="shared" si="2"/>
        <v>26258.990825688074</v>
      </c>
      <c r="H25" s="39">
        <f t="shared" si="2"/>
        <v>22977.831038428056</v>
      </c>
      <c r="I25" s="39">
        <f t="shared" si="2"/>
        <v>27042.31697382373</v>
      </c>
      <c r="J25" s="39">
        <f t="shared" si="2"/>
        <v>26150.190820407312</v>
      </c>
      <c r="K25" s="90"/>
      <c r="L25" s="36"/>
      <c r="M25" s="36"/>
    </row>
    <row r="26" spans="1:21">
      <c r="A26" s="9"/>
      <c r="B26" s="9"/>
      <c r="C26" s="149" t="s">
        <v>342</v>
      </c>
      <c r="D26" s="1"/>
      <c r="E26" s="90"/>
      <c r="F26" s="90">
        <f t="shared" ref="F26:J26" si="3">INDEX(ConstPriceRevGrwth,F$7-1,$G$1)</f>
        <v>2.2829016416224663E-2</v>
      </c>
      <c r="G26" s="90">
        <f t="shared" si="3"/>
        <v>-3.5616863500501056E-2</v>
      </c>
      <c r="H26" s="90">
        <f t="shared" si="3"/>
        <v>2.3863732238332399E-3</v>
      </c>
      <c r="I26" s="90">
        <f t="shared" si="3"/>
        <v>3.5938071562825582E-3</v>
      </c>
      <c r="J26" s="90">
        <f t="shared" si="3"/>
        <v>4.0024430312851885E-3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601.36555605184185</v>
      </c>
      <c r="F40" s="295">
        <f>E40*(1+F39)</f>
        <v>628.22691634950843</v>
      </c>
      <c r="G40" s="295">
        <f t="shared" ref="G40:J40" si="5">F40*(1+G39)</f>
        <v>638.09435482620233</v>
      </c>
      <c r="H40" s="295">
        <f t="shared" si="5"/>
        <v>650.15455740882805</v>
      </c>
      <c r="I40" s="295">
        <f t="shared" si="5"/>
        <v>663.85933307090284</v>
      </c>
      <c r="J40" s="295">
        <f t="shared" si="5"/>
        <v>678.66049078594369</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35.810300539429747</v>
      </c>
      <c r="F53" s="45">
        <f>E53-1</f>
        <v>34.810300539429747</v>
      </c>
      <c r="G53" s="45">
        <f t="shared" ref="G53:J53" si="6">F53-1</f>
        <v>33.810300539429747</v>
      </c>
      <c r="H53" s="45">
        <f t="shared" si="6"/>
        <v>32.810300539429747</v>
      </c>
      <c r="I53" s="45">
        <f t="shared" si="6"/>
        <v>31.810300539429747</v>
      </c>
      <c r="J53" s="45">
        <f t="shared" si="6"/>
        <v>30.810300539429747</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452</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278819</v>
      </c>
      <c r="F58" s="216">
        <f>E62</f>
        <v>275378.33512913308</v>
      </c>
      <c r="G58" s="216">
        <f t="shared" ref="G58:J58" si="9">F62</f>
        <v>272923.35940030514</v>
      </c>
      <c r="H58" s="216">
        <f t="shared" si="9"/>
        <v>271494.08578476572</v>
      </c>
      <c r="I58" s="216">
        <f t="shared" si="9"/>
        <v>269807.44099966553</v>
      </c>
      <c r="J58" s="216">
        <f t="shared" si="9"/>
        <v>267872.76525601326</v>
      </c>
      <c r="K58" s="148"/>
      <c r="L58" s="36"/>
      <c r="M58" s="36"/>
    </row>
    <row r="59" spans="3:16">
      <c r="C59" s="149" t="s">
        <v>41</v>
      </c>
      <c r="D59" s="153"/>
      <c r="E59" s="216">
        <f>E55</f>
        <v>452</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4797.3351291330891</v>
      </c>
      <c r="F60" s="216">
        <f t="shared" si="11"/>
        <v>5455.8532747082581</v>
      </c>
      <c r="G60" s="216">
        <f t="shared" si="11"/>
        <v>6642.9219889338738</v>
      </c>
      <c r="H60" s="216">
        <f t="shared" si="11"/>
        <v>6588.0153466623415</v>
      </c>
      <c r="I60" s="216">
        <f t="shared" si="11"/>
        <v>6547.0875979178736</v>
      </c>
      <c r="J60" s="216">
        <f t="shared" si="11"/>
        <v>6500.1411848748248</v>
      </c>
      <c r="K60" s="148"/>
      <c r="L60" s="36"/>
      <c r="M60" s="36"/>
    </row>
    <row r="61" spans="3:16">
      <c r="C61" s="149" t="s">
        <v>43</v>
      </c>
      <c r="E61" s="136">
        <f>E12</f>
        <v>7786</v>
      </c>
      <c r="F61" s="216">
        <f t="shared" ref="F61:J61" si="12">F58/F53</f>
        <v>7910.8290035362115</v>
      </c>
      <c r="G61" s="216">
        <f t="shared" si="12"/>
        <v>8072.1956044732733</v>
      </c>
      <c r="H61" s="216">
        <f t="shared" si="12"/>
        <v>8274.6601317625227</v>
      </c>
      <c r="I61" s="216">
        <f t="shared" si="12"/>
        <v>8481.7633415701857</v>
      </c>
      <c r="J61" s="216">
        <f t="shared" si="12"/>
        <v>8694.2600547891689</v>
      </c>
      <c r="K61" s="148"/>
      <c r="L61" s="36"/>
      <c r="M61" s="36"/>
    </row>
    <row r="62" spans="3:16">
      <c r="C62" s="149" t="s">
        <v>44</v>
      </c>
      <c r="E62" s="139">
        <f>E58-E59+E60-E61</f>
        <v>275378.33512913308</v>
      </c>
      <c r="F62" s="139">
        <f>F58-F59+F60-F61</f>
        <v>272923.35940030514</v>
      </c>
      <c r="G62" s="139">
        <f t="shared" ref="G62:J62" si="13">G58-G59+G60-G61</f>
        <v>271494.08578476572</v>
      </c>
      <c r="H62" s="139">
        <f t="shared" si="13"/>
        <v>269807.44099966553</v>
      </c>
      <c r="I62" s="216">
        <f t="shared" si="13"/>
        <v>267872.76525601326</v>
      </c>
      <c r="J62" s="216">
        <f t="shared" si="13"/>
        <v>265678.64638609887</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21698</v>
      </c>
      <c r="F66" s="139">
        <f t="shared" ref="F66:J66" si="15">F$25</f>
        <v>23991.643730886852</v>
      </c>
      <c r="G66" s="139">
        <f t="shared" si="15"/>
        <v>26258.990825688074</v>
      </c>
      <c r="H66" s="139">
        <f t="shared" si="15"/>
        <v>22977.831038428056</v>
      </c>
      <c r="I66" s="139">
        <f t="shared" si="15"/>
        <v>27042.31697382373</v>
      </c>
      <c r="J66" s="139">
        <f t="shared" si="15"/>
        <v>26150.190820407312</v>
      </c>
      <c r="K66" s="148"/>
      <c r="L66" s="36"/>
      <c r="M66" s="36"/>
    </row>
    <row r="67" spans="1:13">
      <c r="A67" s="149">
        <v>1</v>
      </c>
      <c r="C67" s="149" t="s">
        <v>481</v>
      </c>
      <c r="E67" s="135">
        <v>0</v>
      </c>
      <c r="F67" s="139">
        <f>E91</f>
        <v>21698</v>
      </c>
      <c r="G67" s="139">
        <f t="shared" ref="G67:J67" si="16">F91</f>
        <v>21645.707544533823</v>
      </c>
      <c r="H67" s="139">
        <f t="shared" si="16"/>
        <v>21680.613583579616</v>
      </c>
      <c r="I67" s="139">
        <f t="shared" si="16"/>
        <v>21702.510234402023</v>
      </c>
      <c r="J67" s="139">
        <f t="shared" si="16"/>
        <v>21712.412106247706</v>
      </c>
      <c r="K67" s="148"/>
      <c r="L67" s="36"/>
      <c r="M67" s="36"/>
    </row>
    <row r="68" spans="1:13">
      <c r="A68" s="149">
        <v>2</v>
      </c>
      <c r="C68" s="149" t="s">
        <v>482</v>
      </c>
      <c r="E68" s="135">
        <v>0</v>
      </c>
      <c r="F68" s="139">
        <f t="shared" ref="F68:J71" si="17">E92</f>
        <v>0</v>
      </c>
      <c r="G68" s="139">
        <f t="shared" si="17"/>
        <v>23991.643730886852</v>
      </c>
      <c r="H68" s="139">
        <f t="shared" si="17"/>
        <v>24042.449836949258</v>
      </c>
      <c r="I68" s="139">
        <f t="shared" si="17"/>
        <v>24079.439284543743</v>
      </c>
      <c r="J68" s="139">
        <f t="shared" si="17"/>
        <v>24103.758664250432</v>
      </c>
      <c r="K68" s="148"/>
      <c r="L68" s="36"/>
      <c r="M68" s="36"/>
    </row>
    <row r="69" spans="1:13">
      <c r="A69" s="149">
        <v>3</v>
      </c>
      <c r="C69" s="149" t="s">
        <v>483</v>
      </c>
      <c r="E69" s="135">
        <v>0</v>
      </c>
      <c r="F69" s="139">
        <f t="shared" si="17"/>
        <v>0</v>
      </c>
      <c r="G69" s="139">
        <f t="shared" si="17"/>
        <v>0</v>
      </c>
      <c r="H69" s="139">
        <f t="shared" si="17"/>
        <v>26258.990825688074</v>
      </c>
      <c r="I69" s="139">
        <f t="shared" si="17"/>
        <v>26312.652550942945</v>
      </c>
      <c r="J69" s="139">
        <f t="shared" si="17"/>
        <v>26353.13471849266</v>
      </c>
      <c r="K69" s="148"/>
      <c r="L69" s="36"/>
      <c r="M69" s="36"/>
    </row>
    <row r="70" spans="1:13">
      <c r="A70" s="149">
        <v>4</v>
      </c>
      <c r="C70" s="149" t="s">
        <v>484</v>
      </c>
      <c r="E70" s="135">
        <v>0</v>
      </c>
      <c r="F70" s="139">
        <f t="shared" si="17"/>
        <v>0</v>
      </c>
      <c r="G70" s="139">
        <f t="shared" si="17"/>
        <v>0</v>
      </c>
      <c r="H70" s="139">
        <f t="shared" si="17"/>
        <v>0</v>
      </c>
      <c r="I70" s="139">
        <f t="shared" si="17"/>
        <v>22977.831038428056</v>
      </c>
      <c r="J70" s="139">
        <f t="shared" si="17"/>
        <v>23024.787529038149</v>
      </c>
      <c r="K70" s="148"/>
      <c r="L70" s="36"/>
      <c r="M70" s="36"/>
    </row>
    <row r="71" spans="1:13">
      <c r="A71" s="149">
        <v>5</v>
      </c>
      <c r="C71" s="149" t="s">
        <v>485</v>
      </c>
      <c r="E71" s="135">
        <v>0</v>
      </c>
      <c r="F71" s="139">
        <f t="shared" si="17"/>
        <v>0</v>
      </c>
      <c r="G71" s="139">
        <f t="shared" si="17"/>
        <v>0</v>
      </c>
      <c r="H71" s="139">
        <f t="shared" si="17"/>
        <v>0</v>
      </c>
      <c r="I71" s="139">
        <f t="shared" si="17"/>
        <v>0</v>
      </c>
      <c r="J71" s="139">
        <f t="shared" si="17"/>
        <v>27042.31697382373</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429.88532231160224</v>
      </c>
      <c r="G79" s="139">
        <f t="shared" si="20"/>
        <v>526.8539377851979</v>
      </c>
      <c r="H79" s="139">
        <f t="shared" si="20"/>
        <v>526.09696671960887</v>
      </c>
      <c r="I79" s="139">
        <f t="shared" si="20"/>
        <v>526.62830599811127</v>
      </c>
      <c r="J79" s="139">
        <f t="shared" si="20"/>
        <v>526.86858262694273</v>
      </c>
      <c r="K79" s="148"/>
      <c r="L79" s="36"/>
      <c r="M79" s="36"/>
    </row>
    <row r="80" spans="1:13">
      <c r="A80" s="149">
        <v>2</v>
      </c>
      <c r="C80" s="149" t="s">
        <v>488</v>
      </c>
      <c r="E80" s="139">
        <f t="shared" ref="E80:J84" si="21">E68*E$38</f>
        <v>0</v>
      </c>
      <c r="F80" s="139">
        <f t="shared" si="21"/>
        <v>0</v>
      </c>
      <c r="G80" s="139">
        <f t="shared" si="21"/>
        <v>583.95374452655813</v>
      </c>
      <c r="H80" s="139">
        <f t="shared" si="21"/>
        <v>583.4087620706066</v>
      </c>
      <c r="I80" s="139">
        <f t="shared" si="21"/>
        <v>584.3063398123561</v>
      </c>
      <c r="J80" s="139">
        <f t="shared" si="21"/>
        <v>584.89646849330268</v>
      </c>
      <c r="K80" s="148"/>
      <c r="L80" s="36"/>
      <c r="M80" s="36"/>
    </row>
    <row r="81" spans="1:13">
      <c r="A81" s="149">
        <v>3</v>
      </c>
      <c r="C81" s="149" t="s">
        <v>489</v>
      </c>
      <c r="E81" s="139">
        <f t="shared" si="21"/>
        <v>0</v>
      </c>
      <c r="F81" s="139">
        <f t="shared" si="21"/>
        <v>0</v>
      </c>
      <c r="G81" s="139">
        <f t="shared" si="21"/>
        <v>0</v>
      </c>
      <c r="H81" s="139">
        <f t="shared" si="21"/>
        <v>637.19485471460632</v>
      </c>
      <c r="I81" s="139">
        <f t="shared" si="21"/>
        <v>638.49699825296591</v>
      </c>
      <c r="J81" s="139">
        <f t="shared" si="21"/>
        <v>639.47932956347233</v>
      </c>
      <c r="K81" s="148"/>
      <c r="L81" s="36"/>
      <c r="M81" s="36"/>
    </row>
    <row r="82" spans="1:13">
      <c r="A82" s="149">
        <v>4</v>
      </c>
      <c r="C82" s="149" t="s">
        <v>490</v>
      </c>
      <c r="E82" s="139">
        <f t="shared" si="21"/>
        <v>0</v>
      </c>
      <c r="F82" s="139">
        <f t="shared" si="21"/>
        <v>0</v>
      </c>
      <c r="G82" s="139">
        <f t="shared" si="21"/>
        <v>0</v>
      </c>
      <c r="H82" s="139">
        <f t="shared" si="21"/>
        <v>0</v>
      </c>
      <c r="I82" s="139">
        <f t="shared" si="21"/>
        <v>557.57495813071807</v>
      </c>
      <c r="J82" s="139">
        <f t="shared" si="21"/>
        <v>558.71439393047228</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656.20287350972217</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482.17777777777781</v>
      </c>
      <c r="G85" s="216">
        <f t="shared" si="22"/>
        <v>491.94789873940505</v>
      </c>
      <c r="H85" s="216">
        <f t="shared" si="22"/>
        <v>504.20031589720037</v>
      </c>
      <c r="I85" s="216">
        <f t="shared" si="22"/>
        <v>516.72643415242908</v>
      </c>
      <c r="J85" s="216">
        <f t="shared" si="22"/>
        <v>529.57102698165136</v>
      </c>
      <c r="K85" s="148"/>
      <c r="L85" s="36"/>
      <c r="M85" s="36"/>
    </row>
    <row r="86" spans="1:13">
      <c r="A86" s="149">
        <v>2</v>
      </c>
      <c r="C86" s="149" t="s">
        <v>494</v>
      </c>
      <c r="E86" s="216">
        <f t="shared" si="22"/>
        <v>0</v>
      </c>
      <c r="F86" s="216">
        <f t="shared" si="22"/>
        <v>0</v>
      </c>
      <c r="G86" s="216">
        <f t="shared" si="22"/>
        <v>533.14763846415224</v>
      </c>
      <c r="H86" s="216">
        <f t="shared" si="22"/>
        <v>546.41931447611944</v>
      </c>
      <c r="I86" s="216">
        <f t="shared" si="22"/>
        <v>559.98696010566846</v>
      </c>
      <c r="J86" s="216">
        <f t="shared" si="22"/>
        <v>573.89901581548645</v>
      </c>
      <c r="K86" s="148"/>
      <c r="L86" s="36"/>
      <c r="M86" s="36"/>
    </row>
    <row r="87" spans="1:13">
      <c r="A87" s="149">
        <v>3</v>
      </c>
      <c r="C87" s="149" t="s">
        <v>495</v>
      </c>
      <c r="E87" s="216">
        <f t="shared" si="22"/>
        <v>0</v>
      </c>
      <c r="F87" s="216">
        <f t="shared" si="22"/>
        <v>0</v>
      </c>
      <c r="G87" s="216">
        <f t="shared" si="22"/>
        <v>0</v>
      </c>
      <c r="H87" s="216">
        <f t="shared" si="22"/>
        <v>583.53312945973494</v>
      </c>
      <c r="I87" s="216">
        <f t="shared" si="22"/>
        <v>598.01483070324878</v>
      </c>
      <c r="J87" s="216">
        <f t="shared" si="22"/>
        <v>612.8635981044805</v>
      </c>
      <c r="K87" s="148"/>
      <c r="L87" s="36"/>
      <c r="M87" s="36"/>
    </row>
    <row r="88" spans="1:13">
      <c r="A88" s="149">
        <v>4</v>
      </c>
      <c r="C88" s="149" t="s">
        <v>496</v>
      </c>
      <c r="E88" s="216">
        <f t="shared" si="22"/>
        <v>0</v>
      </c>
      <c r="F88" s="216">
        <f t="shared" si="22"/>
        <v>0</v>
      </c>
      <c r="G88" s="216">
        <f t="shared" si="22"/>
        <v>0</v>
      </c>
      <c r="H88" s="216">
        <f t="shared" si="22"/>
        <v>0</v>
      </c>
      <c r="I88" s="216">
        <f t="shared" si="22"/>
        <v>510.61846752062348</v>
      </c>
      <c r="J88" s="216">
        <f t="shared" si="22"/>
        <v>523.29062565995798</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600.94037719608286</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21698</v>
      </c>
      <c r="F91" s="139">
        <f t="shared" si="23"/>
        <v>21645.707544533823</v>
      </c>
      <c r="G91" s="139">
        <f t="shared" si="23"/>
        <v>21680.613583579616</v>
      </c>
      <c r="H91" s="139">
        <f t="shared" si="23"/>
        <v>21702.510234402023</v>
      </c>
      <c r="I91" s="139">
        <f t="shared" si="23"/>
        <v>21712.412106247706</v>
      </c>
      <c r="J91" s="216">
        <f t="shared" si="23"/>
        <v>21709.709661892997</v>
      </c>
      <c r="K91" s="148"/>
      <c r="L91" s="36"/>
      <c r="M91" s="36"/>
    </row>
    <row r="92" spans="1:13">
      <c r="A92" s="149">
        <v>2</v>
      </c>
      <c r="C92" s="149" t="s">
        <v>500</v>
      </c>
      <c r="E92" s="139">
        <f t="shared" si="23"/>
        <v>0</v>
      </c>
      <c r="F92" s="139">
        <f t="shared" si="23"/>
        <v>23991.643730886852</v>
      </c>
      <c r="G92" s="139">
        <f t="shared" si="23"/>
        <v>24042.449836949258</v>
      </c>
      <c r="H92" s="139">
        <f t="shared" si="23"/>
        <v>24079.439284543743</v>
      </c>
      <c r="I92" s="139">
        <f t="shared" si="23"/>
        <v>24103.758664250432</v>
      </c>
      <c r="J92" s="216">
        <f t="shared" si="23"/>
        <v>24114.756116928249</v>
      </c>
      <c r="K92" s="148"/>
      <c r="L92" s="36"/>
      <c r="M92" s="36"/>
    </row>
    <row r="93" spans="1:13">
      <c r="A93" s="149">
        <v>3</v>
      </c>
      <c r="C93" s="149" t="s">
        <v>501</v>
      </c>
      <c r="E93" s="139">
        <f t="shared" si="23"/>
        <v>0</v>
      </c>
      <c r="F93" s="139">
        <f t="shared" si="23"/>
        <v>0</v>
      </c>
      <c r="G93" s="139">
        <f t="shared" si="23"/>
        <v>26258.990825688074</v>
      </c>
      <c r="H93" s="139">
        <f t="shared" si="23"/>
        <v>26312.652550942945</v>
      </c>
      <c r="I93" s="139">
        <f t="shared" si="23"/>
        <v>26353.13471849266</v>
      </c>
      <c r="J93" s="216">
        <f t="shared" si="23"/>
        <v>26379.750449951654</v>
      </c>
      <c r="K93" s="148"/>
      <c r="L93" s="36"/>
      <c r="M93" s="36"/>
    </row>
    <row r="94" spans="1:13">
      <c r="A94" s="149">
        <v>4</v>
      </c>
      <c r="C94" s="149" t="s">
        <v>502</v>
      </c>
      <c r="E94" s="139">
        <f t="shared" si="23"/>
        <v>0</v>
      </c>
      <c r="F94" s="139">
        <f t="shared" si="23"/>
        <v>0</v>
      </c>
      <c r="G94" s="139">
        <f t="shared" si="23"/>
        <v>0</v>
      </c>
      <c r="H94" s="139">
        <f t="shared" si="23"/>
        <v>22977.831038428056</v>
      </c>
      <c r="I94" s="139">
        <f t="shared" si="23"/>
        <v>23024.787529038149</v>
      </c>
      <c r="J94" s="216">
        <f t="shared" si="23"/>
        <v>23060.211297308666</v>
      </c>
      <c r="K94" s="148"/>
      <c r="L94" s="36"/>
      <c r="M94" s="36"/>
    </row>
    <row r="95" spans="1:13">
      <c r="A95" s="149">
        <v>5</v>
      </c>
      <c r="C95" s="149" t="s">
        <v>503</v>
      </c>
      <c r="E95" s="139">
        <f t="shared" si="23"/>
        <v>0</v>
      </c>
      <c r="F95" s="139">
        <f t="shared" si="23"/>
        <v>0</v>
      </c>
      <c r="G95" s="139">
        <f t="shared" si="23"/>
        <v>0</v>
      </c>
      <c r="H95" s="139">
        <f t="shared" si="23"/>
        <v>0</v>
      </c>
      <c r="I95" s="139">
        <f t="shared" si="23"/>
        <v>27042.31697382373</v>
      </c>
      <c r="J95" s="216">
        <f t="shared" si="23"/>
        <v>27097.579470137371</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26150.190820407312</v>
      </c>
      <c r="K96" s="148"/>
      <c r="L96" s="36"/>
      <c r="M96" s="36"/>
    </row>
    <row r="97" spans="1:13">
      <c r="C97" s="149" t="s">
        <v>260</v>
      </c>
      <c r="E97" s="139">
        <f t="shared" ref="E97:J97" si="24">SUM(E67:E72)</f>
        <v>0</v>
      </c>
      <c r="F97" s="139">
        <f t="shared" si="24"/>
        <v>21698</v>
      </c>
      <c r="G97" s="139">
        <f t="shared" si="24"/>
        <v>45637.351275420675</v>
      </c>
      <c r="H97" s="139">
        <f t="shared" si="24"/>
        <v>71982.054246216954</v>
      </c>
      <c r="I97" s="139">
        <f t="shared" si="24"/>
        <v>95072.433108316764</v>
      </c>
      <c r="J97" s="216">
        <f t="shared" si="24"/>
        <v>122236.40999185268</v>
      </c>
      <c r="K97" s="148"/>
      <c r="L97" s="36"/>
      <c r="M97" s="36"/>
    </row>
    <row r="98" spans="1:13">
      <c r="C98" s="149" t="s">
        <v>261</v>
      </c>
      <c r="E98" s="139">
        <f t="shared" ref="E98:J98" si="25">SUM(E79:E84)</f>
        <v>0</v>
      </c>
      <c r="F98" s="139">
        <f t="shared" si="25"/>
        <v>429.88532231160224</v>
      </c>
      <c r="G98" s="139">
        <f t="shared" si="25"/>
        <v>1110.807682311756</v>
      </c>
      <c r="H98" s="139">
        <f t="shared" si="25"/>
        <v>1746.7005835048217</v>
      </c>
      <c r="I98" s="139">
        <f t="shared" si="25"/>
        <v>2307.0066021941516</v>
      </c>
      <c r="J98" s="216">
        <f t="shared" si="25"/>
        <v>2966.1616481239125</v>
      </c>
      <c r="K98" s="148"/>
      <c r="L98" s="36"/>
      <c r="M98" s="36"/>
    </row>
    <row r="99" spans="1:13">
      <c r="C99" s="149" t="s">
        <v>75</v>
      </c>
      <c r="E99" s="139">
        <f t="shared" ref="E99:J99" si="26">SUM(E85:E90)</f>
        <v>0</v>
      </c>
      <c r="F99" s="139">
        <f t="shared" si="26"/>
        <v>482.17777777777781</v>
      </c>
      <c r="G99" s="139">
        <f t="shared" si="26"/>
        <v>1025.0955372035573</v>
      </c>
      <c r="H99" s="139">
        <f t="shared" si="26"/>
        <v>1634.1527598330547</v>
      </c>
      <c r="I99" s="216">
        <f t="shared" si="26"/>
        <v>2185.34669248197</v>
      </c>
      <c r="J99" s="216">
        <f t="shared" si="26"/>
        <v>2840.5646437576593</v>
      </c>
      <c r="K99" s="148"/>
      <c r="L99" s="36"/>
      <c r="M99" s="36"/>
    </row>
    <row r="100" spans="1:13">
      <c r="C100" s="149" t="s">
        <v>262</v>
      </c>
      <c r="E100" s="139">
        <f t="shared" ref="E100:J100" si="27">SUM(E91:E96)</f>
        <v>21698</v>
      </c>
      <c r="F100" s="139">
        <f t="shared" si="27"/>
        <v>45637.351275420675</v>
      </c>
      <c r="G100" s="139">
        <f t="shared" si="27"/>
        <v>71982.054246216954</v>
      </c>
      <c r="H100" s="139">
        <f t="shared" si="27"/>
        <v>95072.433108316764</v>
      </c>
      <c r="I100" s="216">
        <f t="shared" si="27"/>
        <v>122236.40999185268</v>
      </c>
      <c r="J100" s="216">
        <f t="shared" si="27"/>
        <v>148512.19781662623</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21698</v>
      </c>
      <c r="F104" s="139">
        <f t="shared" ref="F104:J104" si="28">F$25</f>
        <v>23991.643730886852</v>
      </c>
      <c r="G104" s="139">
        <f t="shared" si="28"/>
        <v>26258.990825688074</v>
      </c>
      <c r="H104" s="139">
        <f t="shared" si="28"/>
        <v>22977.831038428056</v>
      </c>
      <c r="I104" s="139">
        <f t="shared" si="28"/>
        <v>27042.31697382373</v>
      </c>
      <c r="J104" s="139">
        <f t="shared" si="28"/>
        <v>26150.190820407312</v>
      </c>
      <c r="K104" s="148"/>
      <c r="L104" s="36"/>
      <c r="M104" s="36"/>
    </row>
    <row r="105" spans="1:13">
      <c r="A105" s="149">
        <v>1</v>
      </c>
      <c r="C105" s="149" t="s">
        <v>457</v>
      </c>
      <c r="E105" s="135">
        <v>0</v>
      </c>
      <c r="F105" s="139">
        <f>E123</f>
        <v>21698</v>
      </c>
      <c r="G105" s="139">
        <f t="shared" ref="G105:J105" si="29">F123</f>
        <v>21215.822222222221</v>
      </c>
      <c r="H105" s="139">
        <f t="shared" si="29"/>
        <v>20733.644444444442</v>
      </c>
      <c r="I105" s="139">
        <f t="shared" si="29"/>
        <v>20251.466666666664</v>
      </c>
      <c r="J105" s="139">
        <f t="shared" si="29"/>
        <v>19769.288888888885</v>
      </c>
      <c r="K105" s="148"/>
      <c r="L105" s="36"/>
      <c r="M105" s="36"/>
    </row>
    <row r="106" spans="1:13">
      <c r="A106" s="149">
        <v>2</v>
      </c>
      <c r="C106" s="149" t="s">
        <v>458</v>
      </c>
      <c r="E106" s="135">
        <v>0</v>
      </c>
      <c r="F106" s="139">
        <f t="shared" ref="F106:J109" si="30">E124</f>
        <v>0</v>
      </c>
      <c r="G106" s="139">
        <f t="shared" si="30"/>
        <v>23991.643730886852</v>
      </c>
      <c r="H106" s="139">
        <f t="shared" si="30"/>
        <v>23458.496092422698</v>
      </c>
      <c r="I106" s="139">
        <f t="shared" si="30"/>
        <v>22925.348453958544</v>
      </c>
      <c r="J106" s="139">
        <f t="shared" si="30"/>
        <v>22392.200815494391</v>
      </c>
      <c r="K106" s="148"/>
      <c r="L106" s="36"/>
      <c r="M106" s="36"/>
    </row>
    <row r="107" spans="1:13">
      <c r="A107" s="149">
        <v>3</v>
      </c>
      <c r="C107" s="149" t="s">
        <v>459</v>
      </c>
      <c r="E107" s="135">
        <v>0</v>
      </c>
      <c r="F107" s="139">
        <f t="shared" si="30"/>
        <v>0</v>
      </c>
      <c r="G107" s="139">
        <f t="shared" si="30"/>
        <v>0</v>
      </c>
      <c r="H107" s="139">
        <f t="shared" si="30"/>
        <v>26258.990825688074</v>
      </c>
      <c r="I107" s="139">
        <f t="shared" si="30"/>
        <v>25675.457696228339</v>
      </c>
      <c r="J107" s="139">
        <f t="shared" si="30"/>
        <v>25091.924566768605</v>
      </c>
      <c r="K107" s="148"/>
      <c r="L107" s="36"/>
      <c r="M107" s="36"/>
    </row>
    <row r="108" spans="1:13">
      <c r="A108" s="149">
        <v>4</v>
      </c>
      <c r="C108" s="149" t="s">
        <v>460</v>
      </c>
      <c r="E108" s="135">
        <v>0</v>
      </c>
      <c r="F108" s="139">
        <f t="shared" si="30"/>
        <v>0</v>
      </c>
      <c r="G108" s="139">
        <f t="shared" si="30"/>
        <v>0</v>
      </c>
      <c r="H108" s="139">
        <f t="shared" si="30"/>
        <v>0</v>
      </c>
      <c r="I108" s="139">
        <f t="shared" si="30"/>
        <v>22977.831038428056</v>
      </c>
      <c r="J108" s="139">
        <f t="shared" si="30"/>
        <v>22467.212570907432</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27042.31697382373</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482.17777777777781</v>
      </c>
      <c r="G117" s="139">
        <f t="shared" si="33"/>
        <v>482.17777777777775</v>
      </c>
      <c r="H117" s="139">
        <f t="shared" si="33"/>
        <v>482.17777777777775</v>
      </c>
      <c r="I117" s="139">
        <f t="shared" si="33"/>
        <v>482.17777777777769</v>
      </c>
      <c r="J117" s="139">
        <f t="shared" si="33"/>
        <v>482.17777777777769</v>
      </c>
      <c r="K117" s="148"/>
      <c r="L117" s="36"/>
      <c r="M117" s="36"/>
    </row>
    <row r="118" spans="1:13">
      <c r="A118" s="149">
        <v>2</v>
      </c>
      <c r="C118" s="149" t="s">
        <v>470</v>
      </c>
      <c r="E118" s="139">
        <f t="shared" si="33"/>
        <v>0</v>
      </c>
      <c r="F118" s="139">
        <f t="shared" si="33"/>
        <v>0</v>
      </c>
      <c r="G118" s="139">
        <f t="shared" si="33"/>
        <v>533.14763846415224</v>
      </c>
      <c r="H118" s="139">
        <f t="shared" si="33"/>
        <v>533.14763846415224</v>
      </c>
      <c r="I118" s="139">
        <f t="shared" si="33"/>
        <v>533.14763846415224</v>
      </c>
      <c r="J118" s="139">
        <f t="shared" si="33"/>
        <v>533.14763846415212</v>
      </c>
      <c r="K118" s="148"/>
      <c r="L118" s="36"/>
      <c r="M118" s="36"/>
    </row>
    <row r="119" spans="1:13">
      <c r="A119" s="149">
        <v>3</v>
      </c>
      <c r="C119" s="149" t="s">
        <v>471</v>
      </c>
      <c r="E119" s="139">
        <f t="shared" si="33"/>
        <v>0</v>
      </c>
      <c r="F119" s="139">
        <f t="shared" si="33"/>
        <v>0</v>
      </c>
      <c r="G119" s="139">
        <f t="shared" si="33"/>
        <v>0</v>
      </c>
      <c r="H119" s="139">
        <f t="shared" si="33"/>
        <v>583.53312945973494</v>
      </c>
      <c r="I119" s="139">
        <f t="shared" si="33"/>
        <v>583.53312945973494</v>
      </c>
      <c r="J119" s="139">
        <f t="shared" si="33"/>
        <v>583.53312945973494</v>
      </c>
      <c r="K119" s="148"/>
      <c r="L119" s="36"/>
      <c r="M119" s="36"/>
    </row>
    <row r="120" spans="1:13">
      <c r="A120" s="149">
        <v>4</v>
      </c>
      <c r="C120" s="149" t="s">
        <v>472</v>
      </c>
      <c r="E120" s="139">
        <f t="shared" si="33"/>
        <v>0</v>
      </c>
      <c r="F120" s="139">
        <f t="shared" si="33"/>
        <v>0</v>
      </c>
      <c r="G120" s="139">
        <f t="shared" si="33"/>
        <v>0</v>
      </c>
      <c r="H120" s="139">
        <f t="shared" si="33"/>
        <v>0</v>
      </c>
      <c r="I120" s="139">
        <f t="shared" si="33"/>
        <v>510.61846752062348</v>
      </c>
      <c r="J120" s="139">
        <f t="shared" si="33"/>
        <v>510.61846752062343</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600.94037719608286</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21698</v>
      </c>
      <c r="F123" s="139">
        <f t="shared" ref="F123:J123" si="34">F105-F117+IF($A123=F$103,F$104,0)</f>
        <v>21215.822222222221</v>
      </c>
      <c r="G123" s="139">
        <f t="shared" si="34"/>
        <v>20733.644444444442</v>
      </c>
      <c r="H123" s="139">
        <f t="shared" si="34"/>
        <v>20251.466666666664</v>
      </c>
      <c r="I123" s="139">
        <f t="shared" si="34"/>
        <v>19769.288888888885</v>
      </c>
      <c r="J123" s="139">
        <f t="shared" si="34"/>
        <v>19287.111111111106</v>
      </c>
      <c r="K123" s="148"/>
      <c r="L123" s="36"/>
      <c r="M123" s="36"/>
    </row>
    <row r="124" spans="1:13">
      <c r="A124" s="149">
        <v>2</v>
      </c>
      <c r="C124" s="149" t="s">
        <v>476</v>
      </c>
      <c r="E124" s="139">
        <f t="shared" ref="E124:J128" si="35">E106-E118+IF($A124=E$103,E$104,0)</f>
        <v>0</v>
      </c>
      <c r="F124" s="139">
        <f t="shared" si="35"/>
        <v>23991.643730886852</v>
      </c>
      <c r="G124" s="139">
        <f t="shared" si="35"/>
        <v>23458.496092422698</v>
      </c>
      <c r="H124" s="139">
        <f t="shared" si="35"/>
        <v>22925.348453958544</v>
      </c>
      <c r="I124" s="139">
        <f t="shared" si="35"/>
        <v>22392.200815494391</v>
      </c>
      <c r="J124" s="139">
        <f t="shared" si="35"/>
        <v>21859.053177030237</v>
      </c>
      <c r="K124" s="148"/>
      <c r="L124" s="36"/>
      <c r="M124" s="36"/>
    </row>
    <row r="125" spans="1:13">
      <c r="A125" s="149">
        <v>3</v>
      </c>
      <c r="C125" s="149" t="s">
        <v>477</v>
      </c>
      <c r="E125" s="139">
        <f t="shared" si="35"/>
        <v>0</v>
      </c>
      <c r="F125" s="139">
        <f t="shared" si="35"/>
        <v>0</v>
      </c>
      <c r="G125" s="139">
        <f t="shared" si="35"/>
        <v>26258.990825688074</v>
      </c>
      <c r="H125" s="139">
        <f t="shared" si="35"/>
        <v>25675.457696228339</v>
      </c>
      <c r="I125" s="139">
        <f t="shared" si="35"/>
        <v>25091.924566768605</v>
      </c>
      <c r="J125" s="139">
        <f t="shared" si="35"/>
        <v>24508.39143730887</v>
      </c>
      <c r="K125" s="148"/>
      <c r="L125" s="36"/>
      <c r="M125" s="36"/>
    </row>
    <row r="126" spans="1:13">
      <c r="A126" s="149">
        <v>4</v>
      </c>
      <c r="C126" s="149" t="s">
        <v>478</v>
      </c>
      <c r="E126" s="139">
        <f t="shared" si="35"/>
        <v>0</v>
      </c>
      <c r="F126" s="139">
        <f t="shared" si="35"/>
        <v>0</v>
      </c>
      <c r="G126" s="139">
        <f t="shared" si="35"/>
        <v>0</v>
      </c>
      <c r="H126" s="139">
        <f t="shared" si="35"/>
        <v>22977.831038428056</v>
      </c>
      <c r="I126" s="139">
        <f t="shared" si="35"/>
        <v>22467.212570907432</v>
      </c>
      <c r="J126" s="139">
        <f t="shared" si="35"/>
        <v>21956.594103386808</v>
      </c>
      <c r="K126" s="148"/>
      <c r="L126" s="36"/>
      <c r="M126" s="36"/>
    </row>
    <row r="127" spans="1:13">
      <c r="A127" s="149">
        <v>5</v>
      </c>
      <c r="C127" s="149" t="s">
        <v>479</v>
      </c>
      <c r="E127" s="139">
        <f t="shared" si="35"/>
        <v>0</v>
      </c>
      <c r="F127" s="139">
        <f t="shared" si="35"/>
        <v>0</v>
      </c>
      <c r="G127" s="139">
        <f t="shared" si="35"/>
        <v>0</v>
      </c>
      <c r="H127" s="139">
        <f t="shared" si="35"/>
        <v>0</v>
      </c>
      <c r="I127" s="139">
        <f t="shared" si="35"/>
        <v>27042.31697382373</v>
      </c>
      <c r="J127" s="139">
        <f t="shared" si="35"/>
        <v>26441.376596627648</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26150.190820407312</v>
      </c>
      <c r="K128" s="148"/>
      <c r="L128" s="36"/>
      <c r="M128" s="36"/>
    </row>
    <row r="129" spans="3:13">
      <c r="C129" s="149" t="s">
        <v>72</v>
      </c>
      <c r="E129" s="139">
        <f>SUM(E105:E110)</f>
        <v>0</v>
      </c>
      <c r="F129" s="139">
        <f t="shared" ref="F129:J129" si="36">SUM(F105:F110)</f>
        <v>21698</v>
      </c>
      <c r="G129" s="139">
        <f t="shared" si="36"/>
        <v>45207.465953109073</v>
      </c>
      <c r="H129" s="139">
        <f t="shared" si="36"/>
        <v>70451.131362555214</v>
      </c>
      <c r="I129" s="139">
        <f t="shared" si="36"/>
        <v>91830.103855281603</v>
      </c>
      <c r="J129" s="139">
        <f t="shared" si="36"/>
        <v>116762.94381588305</v>
      </c>
      <c r="K129" s="148"/>
      <c r="L129" s="36"/>
      <c r="M129" s="36"/>
    </row>
    <row r="130" spans="3:13">
      <c r="C130" s="149" t="s">
        <v>67</v>
      </c>
      <c r="E130" s="139">
        <f>SUM(E117:E122)</f>
        <v>0</v>
      </c>
      <c r="F130" s="139">
        <f t="shared" ref="F130:J130" si="37">SUM(F117:F122)</f>
        <v>482.17777777777781</v>
      </c>
      <c r="G130" s="139">
        <f t="shared" si="37"/>
        <v>1015.32541624193</v>
      </c>
      <c r="H130" s="139">
        <f t="shared" si="37"/>
        <v>1598.858545701665</v>
      </c>
      <c r="I130" s="139">
        <f t="shared" si="37"/>
        <v>2109.4770132222884</v>
      </c>
      <c r="J130" s="139">
        <f t="shared" si="37"/>
        <v>2710.4173904183713</v>
      </c>
      <c r="K130" s="148"/>
      <c r="L130" s="36"/>
      <c r="M130" s="36"/>
    </row>
    <row r="131" spans="3:13" s="36" customFormat="1">
      <c r="C131" s="36" t="s">
        <v>73</v>
      </c>
      <c r="E131" s="139">
        <f>SUM(E123:E128)</f>
        <v>21698</v>
      </c>
      <c r="F131" s="139">
        <f t="shared" ref="F131:J131" si="38">SUM(F123:F128)</f>
        <v>45207.465953109073</v>
      </c>
      <c r="G131" s="139">
        <f t="shared" si="38"/>
        <v>70451.131362555214</v>
      </c>
      <c r="H131" s="139">
        <f t="shared" si="38"/>
        <v>91830.103855281603</v>
      </c>
      <c r="I131" s="139">
        <f t="shared" si="38"/>
        <v>116762.94381588305</v>
      </c>
      <c r="J131" s="139">
        <f t="shared" si="38"/>
        <v>140202.71724587196</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278819</v>
      </c>
      <c r="F134" s="139">
        <f>E137</f>
        <v>270581</v>
      </c>
      <c r="G134" s="139">
        <f t="shared" ref="G134:J134" si="39">F137</f>
        <v>262807.98466238426</v>
      </c>
      <c r="H134" s="139">
        <f t="shared" si="39"/>
        <v>255034.96932476855</v>
      </c>
      <c r="I134" s="139">
        <f t="shared" si="39"/>
        <v>247261.95398715284</v>
      </c>
      <c r="J134" s="139">
        <f t="shared" si="39"/>
        <v>239488.93864953713</v>
      </c>
      <c r="K134" s="148"/>
      <c r="L134" s="36"/>
      <c r="M134" s="36"/>
    </row>
    <row r="135" spans="3:13">
      <c r="C135" s="149" t="s">
        <v>41</v>
      </c>
      <c r="E135" s="139">
        <f t="shared" ref="E135:J135" si="40">E55</f>
        <v>452</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7786</v>
      </c>
      <c r="F136" s="139">
        <f t="shared" si="41"/>
        <v>7773.0153376157141</v>
      </c>
      <c r="G136" s="139">
        <f t="shared" si="41"/>
        <v>7773.0153376157141</v>
      </c>
      <c r="H136" s="139">
        <f t="shared" si="41"/>
        <v>7773.0153376157141</v>
      </c>
      <c r="I136" s="139">
        <f t="shared" si="41"/>
        <v>7773.0153376157141</v>
      </c>
      <c r="J136" s="139">
        <f t="shared" si="41"/>
        <v>7773.0153376157141</v>
      </c>
      <c r="K136" s="148"/>
      <c r="L136" s="36"/>
      <c r="M136" s="36"/>
    </row>
    <row r="137" spans="3:13">
      <c r="C137" s="149" t="s">
        <v>66</v>
      </c>
      <c r="E137" s="139">
        <f t="shared" ref="E137:J137" si="42">E134-E135-E136</f>
        <v>270581</v>
      </c>
      <c r="F137" s="139">
        <f t="shared" si="42"/>
        <v>262807.98466238426</v>
      </c>
      <c r="G137" s="139">
        <f t="shared" si="42"/>
        <v>255034.96932476855</v>
      </c>
      <c r="H137" s="139">
        <f t="shared" si="42"/>
        <v>247261.95398715284</v>
      </c>
      <c r="I137" s="139">
        <f t="shared" si="42"/>
        <v>239488.93864953713</v>
      </c>
      <c r="J137" s="139">
        <f t="shared" si="42"/>
        <v>231715.92331192142</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278819</v>
      </c>
      <c r="F140" s="139">
        <f t="shared" si="43"/>
        <v>297076.33512913308</v>
      </c>
      <c r="G140" s="139">
        <f t="shared" si="43"/>
        <v>318560.71067572583</v>
      </c>
      <c r="H140" s="139">
        <f t="shared" si="43"/>
        <v>343476.14003098267</v>
      </c>
      <c r="I140" s="139">
        <f t="shared" si="43"/>
        <v>364879.87410798226</v>
      </c>
      <c r="J140" s="139">
        <f t="shared" si="43"/>
        <v>390109.17524786596</v>
      </c>
      <c r="K140" s="148"/>
      <c r="L140" s="36"/>
      <c r="M140" s="36"/>
    </row>
    <row r="141" spans="3:13">
      <c r="C141" s="149" t="s">
        <v>268</v>
      </c>
      <c r="E141" s="139">
        <f t="shared" ref="E141:J143" si="44">E60+E98</f>
        <v>4797.3351291330891</v>
      </c>
      <c r="F141" s="139">
        <f t="shared" si="44"/>
        <v>5885.7385970198602</v>
      </c>
      <c r="G141" s="139">
        <f t="shared" si="44"/>
        <v>7753.72967124563</v>
      </c>
      <c r="H141" s="139">
        <f t="shared" si="44"/>
        <v>8334.7159301671636</v>
      </c>
      <c r="I141" s="139">
        <f t="shared" si="44"/>
        <v>8854.0942001120256</v>
      </c>
      <c r="J141" s="139">
        <f t="shared" si="44"/>
        <v>9466.3028329987374</v>
      </c>
      <c r="K141" s="148"/>
      <c r="L141" s="36"/>
      <c r="M141" s="36"/>
    </row>
    <row r="142" spans="3:13">
      <c r="C142" s="149" t="s">
        <v>267</v>
      </c>
      <c r="E142" s="139">
        <f>E61+E99</f>
        <v>7786</v>
      </c>
      <c r="F142" s="139">
        <f t="shared" si="44"/>
        <v>8393.0067813139885</v>
      </c>
      <c r="G142" s="139">
        <f t="shared" si="44"/>
        <v>9097.2911416768311</v>
      </c>
      <c r="H142" s="139">
        <f t="shared" si="44"/>
        <v>9908.8128915955767</v>
      </c>
      <c r="I142" s="139">
        <f t="shared" si="44"/>
        <v>10667.110034052155</v>
      </c>
      <c r="J142" s="139">
        <f t="shared" si="44"/>
        <v>11534.824698546829</v>
      </c>
      <c r="K142" s="148"/>
      <c r="L142" s="36"/>
      <c r="M142" s="36"/>
    </row>
    <row r="143" spans="3:13">
      <c r="C143" s="149" t="s">
        <v>270</v>
      </c>
      <c r="E143" s="139">
        <f t="shared" si="44"/>
        <v>297076.33512913308</v>
      </c>
      <c r="F143" s="139">
        <f t="shared" si="44"/>
        <v>318560.71067572583</v>
      </c>
      <c r="G143" s="139">
        <f t="shared" si="44"/>
        <v>343476.14003098267</v>
      </c>
      <c r="H143" s="139">
        <f t="shared" si="44"/>
        <v>364879.87410798226</v>
      </c>
      <c r="I143" s="139">
        <f t="shared" si="44"/>
        <v>390109.17524786596</v>
      </c>
      <c r="J143" s="216">
        <f t="shared" si="44"/>
        <v>414190.8442027251</v>
      </c>
      <c r="K143" s="148"/>
      <c r="L143" s="36"/>
      <c r="M143" s="36"/>
    </row>
    <row r="144" spans="3:13">
      <c r="C144" s="149" t="s">
        <v>46</v>
      </c>
      <c r="E144" s="139">
        <f t="shared" ref="E144:J144" si="45">E130+E136</f>
        <v>7786</v>
      </c>
      <c r="F144" s="139">
        <f t="shared" si="45"/>
        <v>8255.1931153934911</v>
      </c>
      <c r="G144" s="139">
        <f t="shared" si="45"/>
        <v>8788.3407538576448</v>
      </c>
      <c r="H144" s="139">
        <f t="shared" si="45"/>
        <v>9371.8738833173793</v>
      </c>
      <c r="I144" s="139">
        <f t="shared" si="45"/>
        <v>9882.4923508380016</v>
      </c>
      <c r="J144" s="139">
        <f t="shared" si="45"/>
        <v>10483.432728034086</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1.0654809576432491</v>
      </c>
      <c r="G148" s="308">
        <f t="shared" ref="G148:J148" si="46">G140/$E140</f>
        <v>1.1425358769514482</v>
      </c>
      <c r="H148" s="308">
        <f t="shared" si="46"/>
        <v>1.2318964634080987</v>
      </c>
      <c r="I148" s="308">
        <f t="shared" si="46"/>
        <v>1.3086621575573483</v>
      </c>
      <c r="J148" s="308">
        <f t="shared" si="46"/>
        <v>1.3991484627943791</v>
      </c>
      <c r="K148" s="148"/>
      <c r="L148" s="36"/>
      <c r="M148" s="36"/>
    </row>
    <row r="149" spans="1:13">
      <c r="C149" s="149" t="s">
        <v>98</v>
      </c>
      <c r="E149" s="135">
        <f>IF(E18&gt;0,E18,0)</f>
        <v>9.5059008825002653</v>
      </c>
      <c r="F149" s="139">
        <f>$E149*F148</f>
        <v>10.12835637554819</v>
      </c>
      <c r="G149" s="139">
        <f t="shared" ref="G149:J149" si="47">$E149*G148</f>
        <v>10.860832801000987</v>
      </c>
      <c r="H149" s="139">
        <f t="shared" si="47"/>
        <v>11.71028567866</v>
      </c>
      <c r="I149" s="139">
        <f t="shared" si="47"/>
        <v>12.440012758419098</v>
      </c>
      <c r="J149" s="139">
        <f t="shared" si="47"/>
        <v>13.300166607225979</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9.1377868623989597E-2</v>
      </c>
      <c r="E152" s="36"/>
      <c r="F152" s="36"/>
      <c r="G152" s="36"/>
      <c r="H152" s="36"/>
      <c r="I152" s="36"/>
      <c r="J152" s="36"/>
      <c r="K152" s="148"/>
      <c r="L152" s="36"/>
      <c r="M152" s="36"/>
    </row>
    <row r="153" spans="1:13">
      <c r="C153" s="149" t="s">
        <v>282</v>
      </c>
      <c r="E153" s="135">
        <f>E16</f>
        <v>150682</v>
      </c>
      <c r="F153" s="139">
        <f>E157</f>
        <v>158159</v>
      </c>
      <c r="G153" s="139">
        <f t="shared" ref="G153:J153" si="48">F157</f>
        <v>167698.41140718528</v>
      </c>
      <c r="H153" s="139">
        <f t="shared" si="48"/>
        <v>178633.47882685583</v>
      </c>
      <c r="I153" s="139">
        <f t="shared" si="48"/>
        <v>185288.16330519723</v>
      </c>
      <c r="J153" s="139">
        <f t="shared" si="48"/>
        <v>195399.24283493831</v>
      </c>
      <c r="K153" s="148"/>
      <c r="L153" s="36"/>
      <c r="M153" s="36"/>
    </row>
    <row r="154" spans="1:13">
      <c r="C154" s="149" t="s">
        <v>35</v>
      </c>
      <c r="E154" s="135">
        <f>E15</f>
        <v>13769</v>
      </c>
      <c r="F154" s="139">
        <f t="shared" ref="F154:J154" si="49">F153*$D152</f>
        <v>14452.23232370157</v>
      </c>
      <c r="G154" s="139">
        <f t="shared" si="49"/>
        <v>15323.923406017535</v>
      </c>
      <c r="H154" s="139">
        <f t="shared" si="49"/>
        <v>16323.14656008666</v>
      </c>
      <c r="I154" s="139">
        <f t="shared" si="49"/>
        <v>16931.237444082642</v>
      </c>
      <c r="J154" s="139">
        <f t="shared" si="49"/>
        <v>17855.166340998032</v>
      </c>
      <c r="K154" s="148"/>
      <c r="L154" s="36"/>
      <c r="M154" s="36"/>
    </row>
    <row r="155" spans="1:13">
      <c r="C155" s="149" t="s">
        <v>124</v>
      </c>
      <c r="E155" s="139">
        <f t="shared" ref="E155:J155" si="50">E25</f>
        <v>21698</v>
      </c>
      <c r="F155" s="139">
        <f t="shared" si="50"/>
        <v>23991.643730886852</v>
      </c>
      <c r="G155" s="139">
        <f t="shared" si="50"/>
        <v>26258.990825688074</v>
      </c>
      <c r="H155" s="139">
        <f t="shared" si="50"/>
        <v>22977.831038428056</v>
      </c>
      <c r="I155" s="139">
        <f t="shared" si="50"/>
        <v>27042.31697382373</v>
      </c>
      <c r="J155" s="139">
        <f t="shared" si="50"/>
        <v>26150.190820407312</v>
      </c>
      <c r="K155" s="148"/>
      <c r="L155" s="309"/>
      <c r="M155" s="36"/>
    </row>
    <row r="156" spans="1:13">
      <c r="C156" s="149" t="s">
        <v>41</v>
      </c>
      <c r="E156" s="139">
        <f>E55</f>
        <v>452</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158159</v>
      </c>
      <c r="F157" s="139">
        <f t="shared" ref="F157:J157" si="52">F153-F154+F155-F156</f>
        <v>167698.41140718528</v>
      </c>
      <c r="G157" s="139">
        <f t="shared" si="52"/>
        <v>178633.47882685583</v>
      </c>
      <c r="H157" s="139">
        <f t="shared" si="52"/>
        <v>185288.16330519723</v>
      </c>
      <c r="I157" s="139">
        <f t="shared" si="52"/>
        <v>195399.24283493831</v>
      </c>
      <c r="J157" s="139">
        <f t="shared" si="52"/>
        <v>203694.26731434761</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-5983</v>
      </c>
      <c r="F160" s="139">
        <f t="shared" si="53"/>
        <v>-6197.0392083080787</v>
      </c>
      <c r="G160" s="139">
        <f t="shared" si="53"/>
        <v>-6535.5826521598901</v>
      </c>
      <c r="H160" s="139">
        <f t="shared" si="53"/>
        <v>-6951.2726767692802</v>
      </c>
      <c r="I160" s="139">
        <f t="shared" si="53"/>
        <v>-7048.7450932446409</v>
      </c>
      <c r="J160" s="139">
        <f t="shared" si="53"/>
        <v>-7371.7336129639461</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-3219.1719525750282</v>
      </c>
      <c r="G163" s="310">
        <f t="shared" ref="G163:J163" si="54">F166</f>
        <v>-6502.5556676424794</v>
      </c>
      <c r="H163" s="310">
        <f t="shared" si="54"/>
        <v>-9661.8392993172747</v>
      </c>
      <c r="I163" s="310">
        <f t="shared" si="54"/>
        <v>-12937.5161378827</v>
      </c>
      <c r="J163" s="310">
        <f t="shared" si="54"/>
        <v>-16240.485253061226</v>
      </c>
      <c r="K163" s="148"/>
      <c r="L163" s="36"/>
      <c r="M163" s="36"/>
    </row>
    <row r="164" spans="3:13">
      <c r="C164" s="149" t="s">
        <v>238</v>
      </c>
      <c r="E164" s="139">
        <f t="shared" ref="E164:J164" si="55">E160</f>
        <v>-5983</v>
      </c>
      <c r="F164" s="139">
        <f t="shared" si="55"/>
        <v>-6197.0392083080787</v>
      </c>
      <c r="G164" s="139">
        <f t="shared" si="55"/>
        <v>-6535.5826521598901</v>
      </c>
      <c r="H164" s="139">
        <f t="shared" si="55"/>
        <v>-6951.2726767692802</v>
      </c>
      <c r="I164" s="139">
        <f t="shared" si="55"/>
        <v>-7048.7450932446409</v>
      </c>
      <c r="J164" s="139">
        <f t="shared" si="55"/>
        <v>-7371.7336129639461</v>
      </c>
      <c r="K164" s="148"/>
      <c r="L164" s="36"/>
      <c r="M164" s="36"/>
    </row>
    <row r="165" spans="3:13">
      <c r="C165" s="149" t="s">
        <v>49</v>
      </c>
      <c r="E165" s="135">
        <f>(E11-E16)/E17</f>
        <v>4747.5731752500933</v>
      </c>
      <c r="F165" s="139">
        <f>E165</f>
        <v>4747.5731752500933</v>
      </c>
      <c r="G165" s="139">
        <f t="shared" ref="G165:J165" si="56">F165</f>
        <v>4747.5731752500933</v>
      </c>
      <c r="H165" s="139">
        <f t="shared" si="56"/>
        <v>4747.5731752500933</v>
      </c>
      <c r="I165" s="139">
        <f t="shared" si="56"/>
        <v>4747.5731752500933</v>
      </c>
      <c r="J165" s="139">
        <f t="shared" si="56"/>
        <v>4747.5731752500933</v>
      </c>
      <c r="K165" s="148"/>
      <c r="L165" s="36"/>
      <c r="M165" s="36"/>
    </row>
    <row r="166" spans="3:13">
      <c r="C166" s="149" t="s">
        <v>266</v>
      </c>
      <c r="E166" s="310">
        <f t="shared" ref="E166:J166" si="57">E163+(E164-E165)*E52</f>
        <v>-3219.1719525750282</v>
      </c>
      <c r="F166" s="310">
        <f t="shared" si="57"/>
        <v>-6502.5556676424794</v>
      </c>
      <c r="G166" s="310">
        <f t="shared" si="57"/>
        <v>-9661.8392993172747</v>
      </c>
      <c r="H166" s="310">
        <f t="shared" si="57"/>
        <v>-12937.5161378827</v>
      </c>
      <c r="I166" s="310">
        <f t="shared" si="57"/>
        <v>-16240.485253061226</v>
      </c>
      <c r="J166" s="310">
        <f t="shared" si="57"/>
        <v>-19633.891153761157</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278819</v>
      </c>
      <c r="F169" s="139">
        <f t="shared" si="58"/>
        <v>293857.16317655804</v>
      </c>
      <c r="G169" s="139">
        <f t="shared" si="58"/>
        <v>312058.15500808333</v>
      </c>
      <c r="H169" s="139">
        <f t="shared" si="58"/>
        <v>333814.3007316654</v>
      </c>
      <c r="I169" s="139">
        <f t="shared" si="58"/>
        <v>351942.35797009955</v>
      </c>
      <c r="J169" s="139">
        <f t="shared" si="58"/>
        <v>373868.68999480474</v>
      </c>
      <c r="K169" s="148"/>
      <c r="L169" s="36"/>
      <c r="M169" s="36"/>
    </row>
    <row r="170" spans="3:13">
      <c r="C170" s="149" t="s">
        <v>124</v>
      </c>
      <c r="E170" s="139">
        <f t="shared" ref="E170:J170" si="59">E25</f>
        <v>21698</v>
      </c>
      <c r="F170" s="139">
        <f t="shared" si="59"/>
        <v>23991.643730886852</v>
      </c>
      <c r="G170" s="139">
        <f t="shared" si="59"/>
        <v>26258.990825688074</v>
      </c>
      <c r="H170" s="139">
        <f t="shared" si="59"/>
        <v>22977.831038428056</v>
      </c>
      <c r="I170" s="139">
        <f t="shared" si="59"/>
        <v>27042.31697382373</v>
      </c>
      <c r="J170" s="139">
        <f t="shared" si="59"/>
        <v>26150.190820407312</v>
      </c>
      <c r="K170" s="148"/>
      <c r="L170" s="36"/>
      <c r="M170" s="36"/>
    </row>
    <row r="171" spans="3:13">
      <c r="C171" s="149" t="s">
        <v>222</v>
      </c>
      <c r="E171" s="95">
        <f t="shared" ref="E171:J171" si="60">E149</f>
        <v>9.5059008825002653</v>
      </c>
      <c r="F171" s="95">
        <f t="shared" si="60"/>
        <v>10.12835637554819</v>
      </c>
      <c r="G171" s="95">
        <f t="shared" si="60"/>
        <v>10.860832801000987</v>
      </c>
      <c r="H171" s="95">
        <f t="shared" si="60"/>
        <v>11.71028567866</v>
      </c>
      <c r="I171" s="95">
        <f t="shared" si="60"/>
        <v>12.440012758419098</v>
      </c>
      <c r="J171" s="95">
        <f t="shared" si="60"/>
        <v>13.300166607225979</v>
      </c>
      <c r="K171" s="148"/>
      <c r="L171" s="36"/>
      <c r="M171" s="36"/>
    </row>
    <row r="172" spans="3:13">
      <c r="C172" s="149" t="s">
        <v>45</v>
      </c>
      <c r="E172" s="95">
        <f t="shared" ref="E172:J172" si="61">E141</f>
        <v>4797.3351291330891</v>
      </c>
      <c r="F172" s="95">
        <f t="shared" si="61"/>
        <v>5885.7385970198602</v>
      </c>
      <c r="G172" s="95">
        <f t="shared" si="61"/>
        <v>7753.72967124563</v>
      </c>
      <c r="H172" s="95">
        <f t="shared" si="61"/>
        <v>8334.7159301671636</v>
      </c>
      <c r="I172" s="95">
        <f t="shared" si="61"/>
        <v>8854.0942001120256</v>
      </c>
      <c r="J172" s="95">
        <f t="shared" si="61"/>
        <v>9466.3028329987374</v>
      </c>
      <c r="K172" s="148"/>
      <c r="L172" s="36"/>
      <c r="M172" s="36"/>
    </row>
    <row r="173" spans="3:13">
      <c r="C173" s="149" t="s">
        <v>334</v>
      </c>
      <c r="E173" s="139">
        <f t="shared" ref="E173:J173" si="62">E169*WACC+E170*($D$46-1)+E171-E172</f>
        <v>20593.455346661773</v>
      </c>
      <c r="F173" s="139">
        <f t="shared" si="62"/>
        <v>20922.708633511749</v>
      </c>
      <c r="G173" s="139">
        <f t="shared" si="62"/>
        <v>20748.738689126258</v>
      </c>
      <c r="H173" s="139">
        <f t="shared" si="62"/>
        <v>21936.154418681319</v>
      </c>
      <c r="I173" s="139">
        <f t="shared" si="62"/>
        <v>23181.330937250874</v>
      </c>
      <c r="J173" s="139">
        <f t="shared" si="62"/>
        <v>24454.73121728719</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9738.0584488825007</v>
      </c>
      <c r="F176" s="310">
        <f t="shared" si="63"/>
        <v>10263.392493932011</v>
      </c>
      <c r="G176" s="310">
        <f t="shared" si="63"/>
        <v>10899.193977343044</v>
      </c>
      <c r="H176" s="310">
        <f t="shared" si="63"/>
        <v>11659.158866807928</v>
      </c>
      <c r="I176" s="310">
        <f t="shared" si="63"/>
        <v>12292.412767051133</v>
      </c>
      <c r="J176" s="310">
        <f t="shared" si="63"/>
        <v>13058.326497905953</v>
      </c>
      <c r="K176" s="148"/>
      <c r="L176" s="36"/>
      <c r="M176" s="36"/>
    </row>
    <row r="177" spans="3:13">
      <c r="C177" s="149" t="s">
        <v>52</v>
      </c>
      <c r="E177" s="310">
        <f t="shared" ref="E177:J177" si="64">E142-E144</f>
        <v>0</v>
      </c>
      <c r="F177" s="310">
        <f t="shared" si="64"/>
        <v>137.81366592049744</v>
      </c>
      <c r="G177" s="310">
        <f t="shared" si="64"/>
        <v>308.95038781918629</v>
      </c>
      <c r="H177" s="310">
        <f t="shared" si="64"/>
        <v>536.93900827819743</v>
      </c>
      <c r="I177" s="310">
        <f t="shared" si="64"/>
        <v>784.61768321415366</v>
      </c>
      <c r="J177" s="310">
        <f t="shared" si="64"/>
        <v>1051.3919705127428</v>
      </c>
      <c r="K177" s="148"/>
      <c r="L177" s="36"/>
      <c r="M177" s="36"/>
    </row>
    <row r="178" spans="3:13">
      <c r="C178" s="149" t="s">
        <v>53</v>
      </c>
      <c r="E178" s="310">
        <f t="shared" ref="E178:J178" si="65">E165+E177-E176</f>
        <v>-4990.4852736324074</v>
      </c>
      <c r="F178" s="310">
        <f t="shared" si="65"/>
        <v>-5378.0056527614206</v>
      </c>
      <c r="G178" s="310">
        <f t="shared" si="65"/>
        <v>-5842.6704142737644</v>
      </c>
      <c r="H178" s="310">
        <f t="shared" si="65"/>
        <v>-6374.6466832796368</v>
      </c>
      <c r="I178" s="310">
        <f t="shared" si="65"/>
        <v>-6760.2219085868865</v>
      </c>
      <c r="J178" s="310">
        <f t="shared" si="65"/>
        <v>-7259.3613521431171</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7786</v>
      </c>
      <c r="F181" s="139">
        <f t="shared" si="66"/>
        <v>8393.0067813139885</v>
      </c>
      <c r="G181" s="139">
        <f t="shared" si="66"/>
        <v>9097.2911416768311</v>
      </c>
      <c r="H181" s="139">
        <f t="shared" si="66"/>
        <v>9908.8128915955767</v>
      </c>
      <c r="I181" s="139">
        <f t="shared" si="66"/>
        <v>10667.110034052155</v>
      </c>
      <c r="J181" s="139">
        <f t="shared" si="66"/>
        <v>11534.824698546829</v>
      </c>
      <c r="K181" s="148"/>
      <c r="L181" s="36"/>
      <c r="M181" s="36"/>
    </row>
    <row r="182" spans="3:13">
      <c r="C182" s="149" t="s">
        <v>275</v>
      </c>
      <c r="E182" s="139">
        <f>E55</f>
        <v>452</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8238</v>
      </c>
      <c r="F183" s="95">
        <f>F181+F182</f>
        <v>8393.0067813139885</v>
      </c>
      <c r="G183" s="95">
        <f t="shared" ref="G183:J183" si="68">G181+G182</f>
        <v>9097.2911416768311</v>
      </c>
      <c r="H183" s="95">
        <f t="shared" si="68"/>
        <v>9908.8128915955767</v>
      </c>
      <c r="I183" s="95">
        <f t="shared" si="68"/>
        <v>10667.110034052155</v>
      </c>
      <c r="J183" s="95">
        <f t="shared" si="68"/>
        <v>11534.824698546829</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601.36555605184185</v>
      </c>
      <c r="F186" s="139">
        <f t="shared" ref="F186:J186" si="69">F40</f>
        <v>628.22691634950843</v>
      </c>
      <c r="G186" s="139">
        <f t="shared" si="69"/>
        <v>638.09435482620233</v>
      </c>
      <c r="H186" s="139">
        <f t="shared" si="69"/>
        <v>650.15455740882805</v>
      </c>
      <c r="I186" s="139">
        <f t="shared" si="69"/>
        <v>663.85933307090284</v>
      </c>
      <c r="J186" s="139">
        <f t="shared" si="69"/>
        <v>678.66049078594369</v>
      </c>
      <c r="K186" s="148"/>
      <c r="L186" s="36"/>
      <c r="M186" s="36"/>
    </row>
    <row r="187" spans="3:13">
      <c r="E187" s="36"/>
      <c r="F187" s="95"/>
      <c r="G187" s="95"/>
      <c r="H187" s="95"/>
      <c r="I187" s="95"/>
      <c r="J187" s="95"/>
      <c r="K187" s="148"/>
      <c r="L187" s="36"/>
      <c r="M187" s="36"/>
    </row>
    <row r="188" spans="3:13" ht="15.75">
      <c r="C188" s="5" t="s">
        <v>297</v>
      </c>
      <c r="E188" s="139">
        <f t="shared" ref="E188:J188" si="70">E24</f>
        <v>19106</v>
      </c>
      <c r="F188" s="139">
        <f t="shared" si="70"/>
        <v>19891.659413721864</v>
      </c>
      <c r="G188" s="139">
        <f t="shared" si="70"/>
        <v>20597.478172211682</v>
      </c>
      <c r="H188" s="139">
        <f t="shared" si="70"/>
        <v>21328.462699784573</v>
      </c>
      <c r="I188" s="139">
        <f t="shared" si="70"/>
        <v>22111.51585626309</v>
      </c>
      <c r="J188" s="139">
        <f t="shared" si="70"/>
        <v>22928.015389831518</v>
      </c>
      <c r="K188" s="148"/>
      <c r="L188" s="309"/>
      <c r="M188" s="36"/>
    </row>
    <row r="189" spans="3:13">
      <c r="C189" s="149" t="s">
        <v>298</v>
      </c>
      <c r="E189" s="139">
        <f t="shared" ref="E189:J189" si="71">E188*$D$44</f>
        <v>19923.898709580404</v>
      </c>
      <c r="F189" s="139">
        <f t="shared" si="71"/>
        <v>20743.191004106873</v>
      </c>
      <c r="G189" s="139">
        <f t="shared" si="71"/>
        <v>21479.224786765353</v>
      </c>
      <c r="H189" s="139">
        <f t="shared" si="71"/>
        <v>22241.501646685421</v>
      </c>
      <c r="I189" s="139">
        <f t="shared" si="71"/>
        <v>23058.076114072377</v>
      </c>
      <c r="J189" s="139">
        <f t="shared" si="71"/>
        <v>23909.528746922631</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-3219.1719525750282</v>
      </c>
      <c r="F192" s="310">
        <f t="shared" si="72"/>
        <v>-3283.3837150674512</v>
      </c>
      <c r="G192" s="310">
        <f t="shared" si="72"/>
        <v>-3159.2836316747953</v>
      </c>
      <c r="H192" s="310">
        <f t="shared" si="72"/>
        <v>-3275.676838565425</v>
      </c>
      <c r="I192" s="310">
        <f t="shared" si="72"/>
        <v>-3302.9691151785264</v>
      </c>
      <c r="J192" s="310">
        <f t="shared" si="72"/>
        <v>-3393.4059006999305</v>
      </c>
      <c r="K192" s="148"/>
      <c r="L192" s="309"/>
      <c r="M192" s="36"/>
    </row>
    <row r="193" spans="2:15">
      <c r="C193" s="149" t="s">
        <v>285</v>
      </c>
      <c r="E193" s="36"/>
      <c r="F193" s="310">
        <f>(F173+F183+F189+((F186-F188-F142+F178)*F52+F192)*$D45-F192-F186*$D47)/($D48-F52*$D45)</f>
        <v>53930.357300272444</v>
      </c>
      <c r="G193" s="310">
        <f>(G173+G183+G189+((G186-G188-G142+G178)*G52+G192)*$D45-G192-G186*$D47)/($D48-G52*$D45)</f>
        <v>54308.762056681619</v>
      </c>
      <c r="H193" s="310">
        <f>(H173+H183+H189+((H186-H188-H142+H178)*H52+H192)*$D45-H192-H186*$D47)/($D48-H52*$D45)</f>
        <v>57192.147760056592</v>
      </c>
      <c r="I193" s="310">
        <f>(I173+I183+I189+((I186-I188-I142+I178)*I52+I192)*$D45-I192-I186*$D47)/($D48-I52*$D45)</f>
        <v>60216.235775552646</v>
      </c>
      <c r="J193" s="310">
        <f>(J173+J183+J189+((J186-J188-J142+J178)*J52+J192)*$D45-J192-J186*$D47)/($D48-J52*$D45)</f>
        <v>63367.052137834849</v>
      </c>
      <c r="K193" s="148"/>
      <c r="L193" s="309"/>
      <c r="M193" s="36"/>
    </row>
    <row r="194" spans="2:15">
      <c r="C194" s="149" t="s">
        <v>293</v>
      </c>
      <c r="E194" s="36"/>
      <c r="F194" s="310">
        <f>(F193+F186-F188-F181+F178)*F52</f>
        <v>6268.7737106474024</v>
      </c>
      <c r="G194" s="310">
        <f>(G193+G186-G188-G181+G178)*G52</f>
        <v>5434.6366713367515</v>
      </c>
      <c r="H194" s="310">
        <f>(H193+H186-H188-H181+H178)*H52</f>
        <v>5664.5064119855779</v>
      </c>
      <c r="I194" s="310">
        <f>(I193+I186-I188-I181+I178)*I52</f>
        <v>5975.5492467219983</v>
      </c>
      <c r="J194" s="310">
        <f>(J193+J186-J188-J181+J178)*J52</f>
        <v>6250.5831326678126</v>
      </c>
      <c r="K194" s="148"/>
      <c r="L194" s="309"/>
      <c r="M194" s="36"/>
    </row>
    <row r="195" spans="2:15">
      <c r="C195" s="149" t="s">
        <v>277</v>
      </c>
      <c r="E195" s="36"/>
      <c r="F195" s="310">
        <f>IF(F194&lt;0,#N/A,F194)</f>
        <v>6268.7737106474024</v>
      </c>
      <c r="G195" s="310">
        <f t="shared" ref="G195:J195" si="73">IF(G194&lt;0,#N/A,G194)</f>
        <v>5434.6366713367515</v>
      </c>
      <c r="H195" s="310">
        <f t="shared" si="73"/>
        <v>5664.5064119855779</v>
      </c>
      <c r="I195" s="310">
        <f>IF(I194&lt;0,#N/A,I194)</f>
        <v>5975.5492467219983</v>
      </c>
      <c r="J195" s="310">
        <f t="shared" si="73"/>
        <v>6250.5831326678126</v>
      </c>
      <c r="K195" s="148"/>
      <c r="L195" s="309"/>
      <c r="M195" s="36"/>
    </row>
    <row r="196" spans="2:15">
      <c r="C196" s="149" t="s">
        <v>286</v>
      </c>
      <c r="E196" s="36"/>
      <c r="F196" s="310">
        <f>F173+F183+F189+(F195+F192)*$D$45-F192-F186*$D$47</f>
        <v>55800.359768279872</v>
      </c>
      <c r="G196" s="310">
        <f>G173+G183+G189+(G195+G192)*$D$45-G192-G186*$D$47</f>
        <v>56191.88548037735</v>
      </c>
      <c r="H196" s="310">
        <f>H173+H183+H189+(H195+H192)*$D$45-H192-H186*$D$47</f>
        <v>59175.250836242063</v>
      </c>
      <c r="I196" s="310">
        <f>I173+I183+I189+(I195+I192)*$D$45-I192-I186*$D$47</f>
        <v>62304.197271662226</v>
      </c>
      <c r="J196" s="310">
        <f>J173+J183+J189+(J195+J192)*$D$45-J192-J186*$D$47</f>
        <v>65564.266282520446</v>
      </c>
      <c r="K196" s="148"/>
      <c r="L196" s="309"/>
      <c r="M196" s="36"/>
    </row>
    <row r="197" spans="2:15">
      <c r="C197" s="149" t="s">
        <v>287</v>
      </c>
      <c r="E197" s="36"/>
      <c r="F197" s="310">
        <f>F196/$D$48</f>
        <v>53930.357300272444</v>
      </c>
      <c r="G197" s="310">
        <f t="shared" ref="G197:J197" si="74">G196/$D$48</f>
        <v>54308.762056681626</v>
      </c>
      <c r="H197" s="310">
        <f t="shared" si="74"/>
        <v>57192.1477600566</v>
      </c>
      <c r="I197" s="310">
        <f t="shared" si="74"/>
        <v>60216.235775552654</v>
      </c>
      <c r="J197" s="310">
        <f t="shared" si="74"/>
        <v>63367.052137834849</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2985.3899955799511</v>
      </c>
      <c r="G199" s="310">
        <f t="shared" ref="G199:J199" si="75">G195+G192</f>
        <v>2275.3530396619562</v>
      </c>
      <c r="H199" s="310">
        <f t="shared" si="75"/>
        <v>2388.8295734201529</v>
      </c>
      <c r="I199" s="310">
        <f t="shared" si="75"/>
        <v>2672.5801315434719</v>
      </c>
      <c r="J199" s="310">
        <f t="shared" si="75"/>
        <v>2857.1772319678821</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59175.250836242063</v>
      </c>
      <c r="I204" s="310">
        <f>I196</f>
        <v>62304.197271662226</v>
      </c>
      <c r="J204" s="310">
        <f>J196</f>
        <v>65564.266282520446</v>
      </c>
      <c r="K204" s="148"/>
      <c r="L204" s="36"/>
      <c r="M204" s="36"/>
    </row>
    <row r="205" spans="2:15">
      <c r="B205" s="149" t="s">
        <v>247</v>
      </c>
      <c r="C205" s="149" t="s">
        <v>249</v>
      </c>
      <c r="D205" s="155"/>
      <c r="E205" s="36"/>
      <c r="F205" s="310"/>
      <c r="G205" s="310"/>
      <c r="H205" s="310">
        <f>H204/(1+WACC)^H$203</f>
        <v>54404.018420742912</v>
      </c>
      <c r="I205" s="310">
        <f>I204/(1+WACC)^I$203</f>
        <v>52662.206034550589</v>
      </c>
      <c r="J205" s="310">
        <f>J204/(1+WACC)^J$203</f>
        <v>50949.487507263591</v>
      </c>
      <c r="K205" s="148"/>
      <c r="L205" s="36"/>
      <c r="M205" s="36"/>
    </row>
    <row r="206" spans="2:15">
      <c r="B206" s="149" t="s">
        <v>247</v>
      </c>
      <c r="C206" s="149" t="s">
        <v>159</v>
      </c>
      <c r="D206" s="92">
        <f>SUM(H205:J205)</f>
        <v>158015.71196255711</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158015.71196255711</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1.028133564340217</v>
      </c>
      <c r="J211" s="316">
        <f>I211*(1+J$31)*(1+J$26)*(1-X_industry_wide)</f>
        <v>1.0572969264843708</v>
      </c>
      <c r="K211" s="148"/>
      <c r="L211" s="36" t="s">
        <v>509</v>
      </c>
      <c r="M211" s="36"/>
    </row>
    <row r="212" spans="1:13">
      <c r="C212" s="149" t="s">
        <v>160</v>
      </c>
      <c r="D212" s="155"/>
      <c r="E212" s="36"/>
      <c r="F212" s="317"/>
      <c r="G212" s="316"/>
      <c r="H212" s="316">
        <f>H211/(1+WACC)^H$203</f>
        <v>0.91937115013330895</v>
      </c>
      <c r="I212" s="316">
        <f>I211/(1+WACC)^I$203</f>
        <v>0.86902301879022137</v>
      </c>
      <c r="J212" s="316">
        <f>J211/(1+WACC)^J$203</f>
        <v>0.8216173168972859</v>
      </c>
      <c r="K212" s="148"/>
      <c r="L212" s="36" t="s">
        <v>280</v>
      </c>
      <c r="M212" s="36"/>
    </row>
    <row r="213" spans="1:13">
      <c r="C213" s="149" t="s">
        <v>99</v>
      </c>
      <c r="D213" s="140">
        <f>SUM(H212:J212)</f>
        <v>2.6100114858208161</v>
      </c>
      <c r="E213" s="36"/>
      <c r="F213" s="317"/>
      <c r="G213" s="316"/>
      <c r="H213" s="316"/>
      <c r="I213" s="316"/>
      <c r="J213" s="316"/>
      <c r="K213" s="148"/>
      <c r="L213" s="36" t="s">
        <v>510</v>
      </c>
      <c r="M213" s="36"/>
    </row>
    <row r="214" spans="1:13">
      <c r="C214" s="149" t="s">
        <v>256</v>
      </c>
      <c r="D214" s="26">
        <f>D210/D213</f>
        <v>60542.151948754021</v>
      </c>
      <c r="E214" s="36"/>
      <c r="F214" s="317"/>
      <c r="G214" s="316"/>
      <c r="H214" s="310"/>
      <c r="I214" s="310"/>
      <c r="J214" s="310"/>
      <c r="K214" s="148"/>
      <c r="L214" s="36"/>
      <c r="M214" s="36"/>
    </row>
    <row r="215" spans="1:13">
      <c r="C215" s="149" t="s">
        <v>252</v>
      </c>
      <c r="D215" s="26"/>
      <c r="E215" s="36"/>
      <c r="F215" s="317"/>
      <c r="G215" s="316"/>
      <c r="H215" s="310">
        <f t="shared" ref="H215:J215" si="76">$D214*H211</f>
        <v>60542.151948754021</v>
      </c>
      <c r="I215" s="310">
        <f t="shared" si="76"/>
        <v>62245.418475899482</v>
      </c>
      <c r="J215" s="310">
        <f t="shared" si="76"/>
        <v>64011.031178167388</v>
      </c>
      <c r="K215" s="148"/>
      <c r="L215" s="36" t="s">
        <v>243</v>
      </c>
      <c r="M215" s="36"/>
    </row>
    <row r="216" spans="1:13">
      <c r="C216" s="149" t="s">
        <v>253</v>
      </c>
      <c r="D216" s="26"/>
      <c r="E216" s="36"/>
      <c r="F216" s="317"/>
      <c r="G216" s="316"/>
      <c r="H216" s="247">
        <f t="shared" ref="H216:J216" si="77">H215/$D$48</f>
        <v>58513.240772682926</v>
      </c>
      <c r="I216" s="247">
        <f t="shared" si="77"/>
        <v>60159.426796715808</v>
      </c>
      <c r="J216" s="247">
        <f t="shared" si="77"/>
        <v>61865.869627597633</v>
      </c>
      <c r="K216" s="148"/>
      <c r="L216" s="36" t="s">
        <v>245</v>
      </c>
      <c r="M216" s="36"/>
    </row>
    <row r="217" spans="1:13">
      <c r="C217" s="149" t="s">
        <v>252</v>
      </c>
      <c r="D217" s="26"/>
      <c r="E217" s="36"/>
      <c r="F217" s="317"/>
      <c r="G217" s="316"/>
      <c r="H217" s="247">
        <f>H216*$D$48</f>
        <v>60542.151948754021</v>
      </c>
      <c r="I217" s="247">
        <f t="shared" ref="I217:J217" si="78">I216*$D$48</f>
        <v>62245.418475899482</v>
      </c>
      <c r="J217" s="247">
        <f t="shared" si="78"/>
        <v>64011.031178167388</v>
      </c>
      <c r="K217" s="148"/>
      <c r="L217" s="36" t="s">
        <v>299</v>
      </c>
      <c r="M217" s="36"/>
    </row>
    <row r="218" spans="1:13">
      <c r="C218" s="149" t="s">
        <v>254</v>
      </c>
      <c r="D218" s="155"/>
      <c r="E218" s="36"/>
      <c r="F218" s="317"/>
      <c r="G218" s="316"/>
      <c r="H218" s="310">
        <f>H215/(1+WACC)^H$203</f>
        <v>55660.707868671532</v>
      </c>
      <c r="I218" s="310">
        <f>I215/(1+WACC)^I$203</f>
        <v>52612.5236505625</v>
      </c>
      <c r="J218" s="310">
        <f>J215/(1+WACC)^J$203</f>
        <v>49742.480443323067</v>
      </c>
      <c r="K218" s="148"/>
      <c r="L218" s="36" t="s">
        <v>246</v>
      </c>
      <c r="M218" s="36"/>
    </row>
    <row r="219" spans="1:13">
      <c r="C219" s="149" t="s">
        <v>255</v>
      </c>
      <c r="D219" s="26">
        <f>SUM(H218:J218)</f>
        <v>158015.71196255711</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102355.00409388557</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2.2829016416224663E-2</v>
      </c>
      <c r="G226" s="204">
        <f t="shared" ref="G226:J226" si="80">G$26</f>
        <v>-3.5616863500501056E-2</v>
      </c>
      <c r="H226" s="204">
        <f t="shared" si="80"/>
        <v>2.3863732238332399E-3</v>
      </c>
      <c r="I226" s="204">
        <f t="shared" si="80"/>
        <v>3.5938071562825582E-3</v>
      </c>
      <c r="J226" s="204">
        <f t="shared" si="80"/>
        <v>4.0024430312851885E-3</v>
      </c>
      <c r="K226" s="148"/>
      <c r="L226" s="36"/>
      <c r="M226" s="36"/>
    </row>
    <row r="227" spans="1:14">
      <c r="A227" s="19"/>
      <c r="B227" s="19" t="s">
        <v>263</v>
      </c>
      <c r="C227" s="149" t="s">
        <v>411</v>
      </c>
      <c r="E227" s="163">
        <f>E$8-E$9-E$10</f>
        <v>51113</v>
      </c>
      <c r="F227" s="247">
        <f>E227*(1+F225)*(1+F226)*(1-X_industry_wide)</f>
        <v>53568.578499176241</v>
      </c>
      <c r="G227" s="247">
        <f>F227*(1+G225)*(1+G226)*(1-X_industry_wide)</f>
        <v>52580.797710794097</v>
      </c>
      <c r="H227" s="320">
        <f>G227*(1+H225)*(1+H226)*(1-X_industry_wide)</f>
        <v>55125.972294435487</v>
      </c>
      <c r="I227" s="247">
        <f>H227*(1+I225)*(1+I226)*(1-X_industry_wide)</f>
        <v>56676.862382798005</v>
      </c>
      <c r="J227" s="247">
        <f>I227*(1+J225)*(1+J226)*(1-X_industry_wide)</f>
        <v>58284.521076369223</v>
      </c>
      <c r="K227" s="148"/>
      <c r="L227" s="300"/>
      <c r="M227" s="36"/>
    </row>
    <row r="228" spans="1:14">
      <c r="A228" s="19"/>
      <c r="B228" s="19"/>
      <c r="C228" s="149" t="s">
        <v>358</v>
      </c>
      <c r="E228" s="215"/>
      <c r="F228" s="247"/>
      <c r="G228" s="320">
        <f>G227*$D$48</f>
        <v>54404.005017608797</v>
      </c>
      <c r="H228" s="320">
        <f>H227*$D$48</f>
        <v>57037.431988053773</v>
      </c>
      <c r="I228" s="320">
        <f>I227*$D$48</f>
        <v>58642.098250690433</v>
      </c>
      <c r="J228" s="320">
        <f>J227*$D$48</f>
        <v>60305.501535530595</v>
      </c>
      <c r="K228" s="148"/>
      <c r="L228" s="300"/>
      <c r="M228" s="36"/>
    </row>
    <row r="229" spans="1:14">
      <c r="A229" s="19"/>
      <c r="B229" s="19" t="s">
        <v>263</v>
      </c>
      <c r="C229" s="149" t="s">
        <v>335</v>
      </c>
      <c r="D229" s="92">
        <f>H227</f>
        <v>55125.972294435487</v>
      </c>
      <c r="E229" s="36"/>
      <c r="F229" s="247"/>
      <c r="G229" s="310"/>
      <c r="H229" s="310"/>
      <c r="I229" s="310"/>
      <c r="J229" s="310"/>
      <c r="K229" s="148"/>
      <c r="L229" s="300"/>
      <c r="M229" s="36"/>
    </row>
    <row r="230" spans="1:14">
      <c r="B230" s="19" t="s">
        <v>263</v>
      </c>
      <c r="C230" s="149" t="s">
        <v>336</v>
      </c>
      <c r="D230" s="92">
        <f>D214/D48</f>
        <v>58513.240772682926</v>
      </c>
      <c r="E230" s="36"/>
      <c r="F230" s="321"/>
      <c r="G230" s="310"/>
      <c r="H230" s="310"/>
      <c r="I230" s="310"/>
      <c r="J230" s="310"/>
      <c r="K230" s="148"/>
      <c r="L230" s="36"/>
      <c r="M230" s="36"/>
    </row>
    <row r="231" spans="1:14">
      <c r="B231" s="19" t="s">
        <v>263</v>
      </c>
      <c r="C231" s="149" t="s">
        <v>329</v>
      </c>
      <c r="D231" s="32">
        <f>(D230-D229)/D229</f>
        <v>6.144596344089074E-2</v>
      </c>
      <c r="E231" s="36"/>
      <c r="F231" s="247"/>
      <c r="G231" s="310"/>
      <c r="H231" s="310"/>
      <c r="I231" s="310"/>
      <c r="J231" s="310"/>
      <c r="K231" s="310"/>
      <c r="L231" s="310"/>
      <c r="M231" s="310"/>
      <c r="N231" s="19"/>
    </row>
    <row r="232" spans="1:14">
      <c r="C232" s="149" t="s">
        <v>452</v>
      </c>
      <c r="D232" s="125">
        <f>NPV(WACC,H228:J228)</f>
        <v>148868.35261054398</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3387.2684782474389</v>
      </c>
      <c r="F235" s="36"/>
      <c r="G235" s="36"/>
      <c r="H235" s="36"/>
      <c r="I235" s="310"/>
      <c r="J235" s="310"/>
      <c r="K235" s="148"/>
      <c r="L235" s="36"/>
      <c r="M235" s="36"/>
    </row>
    <row r="236" spans="1:14">
      <c r="C236" s="149" t="s">
        <v>341</v>
      </c>
      <c r="D236" s="94"/>
      <c r="E236" s="310">
        <f>H217-H228</f>
        <v>3504.7199607002476</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102355.00409388557</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1.0283653439160592</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0.79913480640479007</v>
      </c>
      <c r="K245" s="148"/>
      <c r="L245" s="36" t="s">
        <v>280</v>
      </c>
      <c r="M245" s="36"/>
    </row>
    <row r="246" spans="1:13">
      <c r="A246" s="155"/>
      <c r="B246" s="155" t="s">
        <v>264</v>
      </c>
      <c r="C246" s="149" t="s">
        <v>99</v>
      </c>
      <c r="D246" s="140">
        <f>SUM(I245:J245)</f>
        <v>1.6443781181022334</v>
      </c>
      <c r="E246" s="36"/>
      <c r="F246" s="317"/>
      <c r="G246" s="316"/>
      <c r="H246" s="316"/>
      <c r="I246" s="316"/>
      <c r="J246" s="316"/>
      <c r="K246" s="148"/>
      <c r="L246" s="36" t="s">
        <v>510</v>
      </c>
      <c r="M246" s="36"/>
    </row>
    <row r="247" spans="1:13">
      <c r="A247" s="155"/>
      <c r="B247" s="155" t="s">
        <v>264</v>
      </c>
      <c r="C247" s="149" t="s">
        <v>256</v>
      </c>
      <c r="D247" s="26">
        <f>D242/D246</f>
        <v>62245.418475899474</v>
      </c>
      <c r="E247" s="36"/>
      <c r="F247" s="317"/>
      <c r="G247" s="316"/>
      <c r="H247" s="310"/>
      <c r="I247" s="310"/>
      <c r="J247" s="310"/>
      <c r="K247" s="148"/>
      <c r="L247" s="36"/>
      <c r="M247" s="36"/>
    </row>
    <row r="248" spans="1:13">
      <c r="A248" s="155"/>
      <c r="B248" s="155" t="s">
        <v>264</v>
      </c>
      <c r="C248" s="149" t="s">
        <v>252</v>
      </c>
      <c r="D248" s="26"/>
      <c r="E248" s="36"/>
      <c r="F248" s="317"/>
      <c r="G248" s="316"/>
      <c r="H248" s="163">
        <f>H215</f>
        <v>60542.151948754021</v>
      </c>
      <c r="I248" s="310">
        <f t="shared" ref="I248:J248" si="81">$D247*I244</f>
        <v>62245.418475899474</v>
      </c>
      <c r="J248" s="310">
        <f t="shared" si="81"/>
        <v>64011.031178167388</v>
      </c>
      <c r="K248" s="148"/>
      <c r="L248" s="36" t="s">
        <v>243</v>
      </c>
      <c r="M248" s="36"/>
    </row>
    <row r="249" spans="1:13">
      <c r="A249" s="155"/>
      <c r="B249" s="155" t="s">
        <v>264</v>
      </c>
      <c r="C249" s="149" t="s">
        <v>253</v>
      </c>
      <c r="D249" s="26"/>
      <c r="E249" s="36"/>
      <c r="F249" s="317"/>
      <c r="G249" s="316"/>
      <c r="H249" s="247">
        <f>H248/$D$48</f>
        <v>58513.240772682926</v>
      </c>
      <c r="I249" s="247">
        <f>I248/$D$48</f>
        <v>60159.426796715801</v>
      </c>
      <c r="J249" s="247">
        <f>J248/$D$48</f>
        <v>61865.869627597633</v>
      </c>
      <c r="K249" s="148"/>
      <c r="L249" s="36" t="s">
        <v>245</v>
      </c>
      <c r="M249" s="36"/>
    </row>
    <row r="250" spans="1:13">
      <c r="A250" s="155"/>
      <c r="B250" s="155" t="s">
        <v>264</v>
      </c>
      <c r="C250" s="149" t="s">
        <v>370</v>
      </c>
      <c r="D250" s="155"/>
      <c r="E250" s="36"/>
      <c r="F250" s="317"/>
      <c r="G250" s="316"/>
      <c r="H250" s="310"/>
      <c r="I250" s="310">
        <f>I248/(1+WACC)^I$203</f>
        <v>52612.523650562493</v>
      </c>
      <c r="J250" s="310">
        <f>J248/(1+WACC)^J$203</f>
        <v>49742.480443323067</v>
      </c>
      <c r="K250" s="148"/>
      <c r="L250" s="36" t="s">
        <v>299</v>
      </c>
      <c r="M250" s="36"/>
    </row>
    <row r="251" spans="1:13">
      <c r="A251" s="155"/>
      <c r="B251" s="155" t="s">
        <v>264</v>
      </c>
      <c r="C251" s="149" t="s">
        <v>255</v>
      </c>
      <c r="D251" s="26">
        <f>SUM(I250:J250)</f>
        <v>102355.00409388557</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6034.4124555209537</v>
      </c>
      <c r="I253" s="324">
        <f>(I249+I186-I$188-I$181+I$178)*I$52</f>
        <v>5959.6427326476814</v>
      </c>
      <c r="J253" s="324">
        <f>(J249+J186-J$188-J$181+J$178)*J$52</f>
        <v>5830.2520298013915</v>
      </c>
      <c r="K253" s="247"/>
      <c r="L253" s="36"/>
      <c r="M253" s="36"/>
    </row>
    <row r="254" spans="1:13">
      <c r="A254" s="155"/>
      <c r="B254" s="214" t="s">
        <v>264</v>
      </c>
      <c r="C254" s="143" t="s">
        <v>325</v>
      </c>
      <c r="D254" s="214"/>
      <c r="E254" s="36"/>
      <c r="F254" s="322"/>
      <c r="G254" s="323"/>
      <c r="H254" s="324">
        <f>H253+H192</f>
        <v>2758.7356169555287</v>
      </c>
      <c r="I254" s="324">
        <f>I253+I192</f>
        <v>2656.673617469155</v>
      </c>
      <c r="J254" s="324">
        <f>J253+J192</f>
        <v>2436.846129101461</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56860.151415217115</v>
      </c>
      <c r="G257" s="138">
        <f>H257/((1+H32)*(1+H26)*(1+X_industry_wide))</f>
        <v>55811.675484624429</v>
      </c>
      <c r="H257" s="310">
        <f>H249</f>
        <v>58513.240772682926</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1.0059887565452852</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57037.431988053773</v>
      </c>
      <c r="I266" s="334">
        <f>H266*(1+I$225)*(1+I$226)*(1+$E265)</f>
        <v>67438.412988294003</v>
      </c>
      <c r="J266" s="247">
        <f>I266*(1+J$225)*(1+J$226)*(1-$J243)</f>
        <v>69351.326765860184</v>
      </c>
      <c r="K266" s="36"/>
      <c r="L266" s="36"/>
      <c r="M266" s="36"/>
    </row>
    <row r="267" spans="3:14">
      <c r="C267" s="149" t="s">
        <v>409</v>
      </c>
      <c r="D267" s="94"/>
      <c r="E267" s="36"/>
      <c r="F267" s="36"/>
      <c r="G267" s="36"/>
      <c r="H267" s="247">
        <f>H266/$D$48</f>
        <v>55125.972294435487</v>
      </c>
      <c r="I267" s="247">
        <f t="shared" ref="I267:J267" si="82">I266/$D$48</f>
        <v>65178.39174021771</v>
      </c>
      <c r="J267" s="247">
        <f t="shared" si="82"/>
        <v>67027.199237824607</v>
      </c>
      <c r="K267" s="36"/>
      <c r="L267" s="36"/>
      <c r="M267" s="36"/>
    </row>
    <row r="268" spans="3:14">
      <c r="C268" s="149" t="s">
        <v>347</v>
      </c>
      <c r="D268" s="94"/>
      <c r="E268" s="36"/>
      <c r="F268" s="36"/>
      <c r="G268" s="36"/>
      <c r="H268" s="247">
        <f>H266/(1+WACC)^H$203</f>
        <v>52438.569447507383</v>
      </c>
      <c r="I268" s="247">
        <f>I266/(1+WACC)^I$203</f>
        <v>57001.867529845498</v>
      </c>
      <c r="J268" s="247">
        <f>J266/(1+WACC)^J$203</f>
        <v>53892.383107646601</v>
      </c>
      <c r="K268" s="36"/>
      <c r="L268" s="36"/>
      <c r="M268" s="36"/>
    </row>
    <row r="269" spans="3:14">
      <c r="C269" s="149" t="s">
        <v>348</v>
      </c>
      <c r="D269" s="94"/>
      <c r="E269" s="310">
        <f>SUM(H268:J268)</f>
        <v>163332.82008499949</v>
      </c>
      <c r="F269" s="36"/>
      <c r="G269" s="36"/>
      <c r="H269" s="36"/>
      <c r="I269" s="36"/>
      <c r="J269" s="36"/>
      <c r="K269" s="36"/>
      <c r="L269" s="36"/>
      <c r="M269" s="36"/>
    </row>
    <row r="270" spans="3:14">
      <c r="C270" s="149" t="str">
        <f>C206</f>
        <v>PV of BBAR before tax over the PV period</v>
      </c>
      <c r="E270" s="310">
        <f>D206</f>
        <v>158015.71196255711</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56860.151415217115</v>
      </c>
      <c r="G274" s="247">
        <f t="shared" ref="G274:H274" si="83">G257</f>
        <v>55811.675484624429</v>
      </c>
      <c r="H274" s="333">
        <f t="shared" si="83"/>
        <v>58513.240772682926</v>
      </c>
      <c r="I274" s="310">
        <f>I249</f>
        <v>60159.426796715801</v>
      </c>
      <c r="J274" s="310">
        <f>J249</f>
        <v>61865.869627597633</v>
      </c>
      <c r="K274" s="36"/>
      <c r="L274" s="36"/>
      <c r="M274" s="36"/>
    </row>
    <row r="275" spans="3:13">
      <c r="C275" s="149" t="s">
        <v>407</v>
      </c>
      <c r="D275" s="94"/>
      <c r="E275" s="36"/>
      <c r="F275" s="247">
        <f>F274</f>
        <v>56860.151415217115</v>
      </c>
      <c r="G275" s="247">
        <f t="shared" ref="G275:H275" si="84">G274</f>
        <v>55811.675484624429</v>
      </c>
      <c r="H275" s="333">
        <f t="shared" si="84"/>
        <v>58513.240772682926</v>
      </c>
      <c r="I275" s="247">
        <f>I267</f>
        <v>65178.39174021771</v>
      </c>
      <c r="J275" s="247">
        <f>J267</f>
        <v>67027.199237824607</v>
      </c>
      <c r="K275" s="36"/>
      <c r="L275" s="36"/>
      <c r="M275" s="36"/>
    </row>
    <row r="276" spans="3:13">
      <c r="C276" s="149" t="s">
        <v>408</v>
      </c>
      <c r="D276" s="94"/>
      <c r="E276" s="36"/>
      <c r="F276" s="247">
        <f>IF($E$22=-15%,F275,F274)</f>
        <v>56860.151415217115</v>
      </c>
      <c r="G276" s="247">
        <f t="shared" ref="G276:J276" si="85">IF($E$22=-15%,G275,G274)</f>
        <v>55811.675484624429</v>
      </c>
      <c r="H276" s="247">
        <f t="shared" si="85"/>
        <v>58513.240772682926</v>
      </c>
      <c r="I276" s="247">
        <f t="shared" si="85"/>
        <v>60159.426796715801</v>
      </c>
      <c r="J276" s="247">
        <f t="shared" si="85"/>
        <v>61865.869627597633</v>
      </c>
      <c r="K276" s="36"/>
      <c r="L276" s="36"/>
      <c r="M276" s="36"/>
    </row>
    <row r="277" spans="3:13">
      <c r="C277" s="149" t="s">
        <v>449</v>
      </c>
      <c r="D277" s="94"/>
      <c r="E277" s="328">
        <f>(I276/H267)/((1+I225)*(1+I226))-1</f>
        <v>6.1445963440890594E-2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56676.862382798005</v>
      </c>
      <c r="E281" s="36"/>
      <c r="F281" s="313"/>
      <c r="G281" s="36"/>
      <c r="H281" s="36"/>
      <c r="I281" s="36"/>
      <c r="J281" s="36"/>
      <c r="K281" s="36"/>
      <c r="L281" s="36"/>
      <c r="M281" s="36"/>
    </row>
    <row r="282" spans="3:13">
      <c r="C282" s="149" t="s">
        <v>443</v>
      </c>
      <c r="D282" s="19">
        <f>I276</f>
        <v>60159.426796715801</v>
      </c>
      <c r="E282" s="36"/>
      <c r="F282" s="313"/>
      <c r="G282" s="36"/>
      <c r="H282" s="36"/>
      <c r="I282" s="36"/>
      <c r="J282" s="36"/>
      <c r="K282" s="36"/>
      <c r="L282" s="36"/>
      <c r="M282" s="36"/>
    </row>
    <row r="283" spans="3:13">
      <c r="C283" s="149" t="s">
        <v>445</v>
      </c>
      <c r="D283" s="152">
        <f>(D282-D281)/D281</f>
        <v>6.144596344089065E-2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148868.35261054398</v>
      </c>
      <c r="G286" s="36"/>
      <c r="H286" s="36"/>
      <c r="I286" s="36"/>
      <c r="J286" s="36"/>
      <c r="K286" s="36"/>
      <c r="L286" s="36"/>
      <c r="M286" s="36"/>
    </row>
    <row r="287" spans="3:13">
      <c r="C287" s="149" t="str">
        <f>C206</f>
        <v>PV of BBAR before tax over the PV period</v>
      </c>
      <c r="E287" s="36"/>
      <c r="F287" s="310">
        <f>D206</f>
        <v>158015.71196255711</v>
      </c>
      <c r="G287" s="36"/>
      <c r="H287" s="36"/>
      <c r="I287" s="36"/>
      <c r="J287" s="36"/>
      <c r="K287" s="36"/>
      <c r="L287" s="36"/>
      <c r="M287" s="36"/>
    </row>
    <row r="288" spans="3:13">
      <c r="C288" s="149" t="s">
        <v>405</v>
      </c>
      <c r="D288" s="94"/>
      <c r="E288" s="36"/>
      <c r="F288" s="247">
        <f>F286-F287</f>
        <v>-9147.3593520131253</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-333814.3007316654</v>
      </c>
      <c r="F293" s="247"/>
      <c r="G293" s="310"/>
      <c r="H293" s="310"/>
      <c r="I293" s="310"/>
      <c r="J293" s="310"/>
      <c r="K293" s="310"/>
      <c r="L293" s="36"/>
      <c r="M293" s="36"/>
      <c r="N293" s="19">
        <f>J$143+J$166</f>
        <v>394556.95304896391</v>
      </c>
    </row>
    <row r="294" spans="3:14">
      <c r="C294" s="149" t="s">
        <v>57</v>
      </c>
      <c r="D294" s="19"/>
      <c r="E294" s="90"/>
      <c r="F294" s="247"/>
      <c r="G294" s="138">
        <f>H$249</f>
        <v>58513.240772682926</v>
      </c>
      <c r="H294" s="36">
        <v>0</v>
      </c>
      <c r="I294" s="36">
        <v>0</v>
      </c>
      <c r="J294" s="164">
        <f>I$249</f>
        <v>60159.426796715801</v>
      </c>
      <c r="K294" s="310">
        <v>0</v>
      </c>
      <c r="L294" s="138">
        <v>0</v>
      </c>
      <c r="M294" s="310">
        <f>J$249</f>
        <v>61865.869627597633</v>
      </c>
    </row>
    <row r="295" spans="3:14">
      <c r="C295" s="149" t="s">
        <v>234</v>
      </c>
      <c r="D295" s="19"/>
      <c r="E295" s="299"/>
      <c r="F295" s="320">
        <f>H186</f>
        <v>650.15455740882805</v>
      </c>
      <c r="G295" s="215"/>
      <c r="H295" s="300"/>
      <c r="I295" s="216">
        <f>I186</f>
        <v>663.85933307090284</v>
      </c>
      <c r="J295" s="215"/>
      <c r="K295" s="215"/>
      <c r="L295" s="215">
        <f>J186</f>
        <v>678.66049078594369</v>
      </c>
      <c r="M295" s="215"/>
    </row>
    <row r="296" spans="3:14">
      <c r="C296" s="149" t="s">
        <v>54</v>
      </c>
      <c r="D296" s="19"/>
      <c r="E296" s="299"/>
      <c r="F296" s="320">
        <f>-H$24</f>
        <v>-21328.462699784573</v>
      </c>
      <c r="G296" s="300"/>
      <c r="H296" s="215"/>
      <c r="I296" s="215">
        <f>-I$24</f>
        <v>-22111.51585626309</v>
      </c>
      <c r="J296" s="300"/>
      <c r="K296" s="215"/>
      <c r="L296" s="215">
        <f>-J$24</f>
        <v>-22928.015389831518</v>
      </c>
      <c r="M296" s="300"/>
    </row>
    <row r="297" spans="3:14">
      <c r="C297" s="149" t="s">
        <v>125</v>
      </c>
      <c r="D297" s="19"/>
      <c r="E297" s="299"/>
      <c r="F297" s="320">
        <f>-H$25</f>
        <v>-22977.831038428056</v>
      </c>
      <c r="G297" s="300"/>
      <c r="H297" s="215"/>
      <c r="I297" s="215">
        <f>-I$25</f>
        <v>-27042.31697382373</v>
      </c>
      <c r="J297" s="300"/>
      <c r="K297" s="215"/>
      <c r="L297" s="215">
        <f>-J$25</f>
        <v>-26150.190820407312</v>
      </c>
      <c r="M297" s="300"/>
    </row>
    <row r="298" spans="3:14">
      <c r="C298" s="149" t="s">
        <v>295</v>
      </c>
      <c r="D298" s="19"/>
      <c r="E298" s="299"/>
      <c r="F298" s="36"/>
      <c r="G298" s="36"/>
      <c r="H298" s="320">
        <f>-H$149</f>
        <v>-11.71028567866</v>
      </c>
      <c r="I298" s="36"/>
      <c r="J298" s="36"/>
      <c r="K298" s="215">
        <f>-I$149</f>
        <v>-12.440012758419098</v>
      </c>
      <c r="L298" s="36"/>
      <c r="M298" s="36"/>
      <c r="N298" s="92">
        <f>-J$149</f>
        <v>-13.300166607225979</v>
      </c>
    </row>
    <row r="299" spans="3:14">
      <c r="C299" s="149" t="s">
        <v>56</v>
      </c>
      <c r="D299" s="19"/>
      <c r="E299" s="299"/>
      <c r="F299" s="335">
        <f>-H$254</f>
        <v>-2758.7356169555287</v>
      </c>
      <c r="G299" s="300">
        <v>0</v>
      </c>
      <c r="H299" s="300">
        <v>0</v>
      </c>
      <c r="I299" s="336">
        <f>-I$254</f>
        <v>-2656.673617469155</v>
      </c>
      <c r="J299" s="215">
        <v>0</v>
      </c>
      <c r="K299" s="163">
        <v>0</v>
      </c>
      <c r="L299" s="215">
        <f>-J$254</f>
        <v>-2436.846129101461</v>
      </c>
      <c r="M299" s="300"/>
    </row>
    <row r="300" spans="3:14" ht="15.75" thickBot="1">
      <c r="C300" s="149" t="s">
        <v>217</v>
      </c>
      <c r="D300" s="19"/>
      <c r="E300" s="332">
        <f>SUM(E293:E299)</f>
        <v>-333814.3007316654</v>
      </c>
      <c r="F300" s="332">
        <f t="shared" ref="F300:K300" si="87">SUM(F293:F299)</f>
        <v>-46414.87479775933</v>
      </c>
      <c r="G300" s="332">
        <f t="shared" si="87"/>
        <v>58513.240772682926</v>
      </c>
      <c r="H300" s="332">
        <f t="shared" si="87"/>
        <v>-11.71028567866</v>
      </c>
      <c r="I300" s="332">
        <f t="shared" si="87"/>
        <v>-51146.647114485073</v>
      </c>
      <c r="J300" s="332">
        <f t="shared" si="87"/>
        <v>60159.426796715801</v>
      </c>
      <c r="K300" s="332">
        <f t="shared" si="87"/>
        <v>-12.440012758419098</v>
      </c>
      <c r="L300" s="332">
        <f>SUM(L293:L299)</f>
        <v>-50836.391848554347</v>
      </c>
      <c r="M300" s="332">
        <f>SUM(M293:M299)</f>
        <v>61865.869627597633</v>
      </c>
      <c r="N300" s="129">
        <f>SUM(N293:N299)</f>
        <v>394543.65288235666</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5.8207660913467407E-11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4"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25">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Centralines </v>
      </c>
      <c r="D1" s="2"/>
      <c r="E1" s="2"/>
      <c r="F1" s="6" t="s">
        <v>169</v>
      </c>
      <c r="G1" s="7">
        <v>3</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8632</v>
      </c>
    </row>
    <row r="9" spans="1:16">
      <c r="A9" s="9">
        <f>A8+1</f>
        <v>2</v>
      </c>
      <c r="B9" s="9"/>
      <c r="C9" s="149" t="str">
        <f>Inputs!B21</f>
        <v>Pass-through costs</v>
      </c>
      <c r="E9" s="1">
        <f t="shared" si="0"/>
        <v>63</v>
      </c>
    </row>
    <row r="10" spans="1:16">
      <c r="A10" s="9">
        <f t="shared" ref="A10:A22" si="1">A9+1</f>
        <v>3</v>
      </c>
      <c r="B10" s="9"/>
      <c r="C10" s="149" t="str">
        <f>Inputs!B22</f>
        <v>Recoverable costs</v>
      </c>
      <c r="E10" s="1">
        <f t="shared" si="0"/>
        <v>2257</v>
      </c>
    </row>
    <row r="11" spans="1:16">
      <c r="A11" s="9">
        <f t="shared" si="1"/>
        <v>4</v>
      </c>
      <c r="B11" s="9"/>
      <c r="C11" s="155" t="str">
        <f>Inputs!B23</f>
        <v>Opening RAB</v>
      </c>
      <c r="E11" s="1">
        <f t="shared" si="0"/>
        <v>42857</v>
      </c>
      <c r="L11" s="13"/>
    </row>
    <row r="12" spans="1:16">
      <c r="A12" s="9">
        <f t="shared" si="1"/>
        <v>5</v>
      </c>
      <c r="B12" s="9"/>
      <c r="C12" s="155" t="str">
        <f>Inputs!B24</f>
        <v>Total Depreciation</v>
      </c>
      <c r="E12" s="1">
        <f t="shared" si="0"/>
        <v>2022.9880000000001</v>
      </c>
      <c r="F12" s="161"/>
      <c r="G12" s="337" t="s">
        <v>511</v>
      </c>
    </row>
    <row r="13" spans="1:16">
      <c r="A13" s="9">
        <f t="shared" si="1"/>
        <v>6</v>
      </c>
      <c r="B13" s="9"/>
      <c r="C13" s="155" t="str">
        <f>Inputs!B25</f>
        <v>RAB of disposed assets</v>
      </c>
      <c r="E13" s="1">
        <f t="shared" si="0"/>
        <v>0</v>
      </c>
      <c r="G13" s="23" t="s">
        <v>512</v>
      </c>
    </row>
    <row r="14" spans="1:16">
      <c r="A14" s="9">
        <f t="shared" si="1"/>
        <v>7</v>
      </c>
      <c r="B14" s="9"/>
      <c r="C14" s="155" t="str">
        <f>Inputs!B26</f>
        <v>Discretionary discounts &amp;  rebates</v>
      </c>
      <c r="E14" s="1">
        <f t="shared" si="0"/>
        <v>772</v>
      </c>
      <c r="G14" s="23" t="s">
        <v>513</v>
      </c>
    </row>
    <row r="15" spans="1:16">
      <c r="A15" s="9">
        <f t="shared" si="1"/>
        <v>8</v>
      </c>
      <c r="B15" s="9"/>
      <c r="C15" s="155" t="str">
        <f>Inputs!B27</f>
        <v>Tax Depreciation</v>
      </c>
      <c r="E15" s="1">
        <f t="shared" si="0"/>
        <v>1623</v>
      </c>
      <c r="G15" s="23" t="s">
        <v>514</v>
      </c>
    </row>
    <row r="16" spans="1:16">
      <c r="A16" s="9">
        <f t="shared" si="1"/>
        <v>9</v>
      </c>
      <c r="B16" s="9"/>
      <c r="C16" s="155" t="str">
        <f>Inputs!B28</f>
        <v>Opening regulatory tax asset value</v>
      </c>
      <c r="E16" s="1">
        <f t="shared" si="0"/>
        <v>16845.659</v>
      </c>
    </row>
    <row r="17" spans="1:21">
      <c r="A17" s="9">
        <f t="shared" si="1"/>
        <v>10</v>
      </c>
      <c r="B17" s="9"/>
      <c r="C17" s="155" t="str">
        <f>Inputs!B29</f>
        <v>Weighted Average Remaining Life at year-end</v>
      </c>
      <c r="E17" s="1">
        <f t="shared" si="0"/>
        <v>26.827782749565365</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238.18700000000001</v>
      </c>
    </row>
    <row r="20" spans="1:21">
      <c r="A20" s="9">
        <f t="shared" si="1"/>
        <v>13</v>
      </c>
      <c r="B20" s="9"/>
      <c r="C20" s="155" t="str">
        <f>Inputs!B32</f>
        <v>Operating expenditure 2009/10</v>
      </c>
      <c r="E20" s="1">
        <f t="shared" si="0"/>
        <v>2559</v>
      </c>
    </row>
    <row r="21" spans="1:21">
      <c r="A21" s="9">
        <f t="shared" si="1"/>
        <v>14</v>
      </c>
      <c r="B21" s="9"/>
      <c r="C21" s="155" t="str">
        <f>Inputs!B33</f>
        <v>Other regulated income</v>
      </c>
      <c r="E21" s="1">
        <f t="shared" si="0"/>
        <v>23.558760919341299</v>
      </c>
      <c r="K21" s="90"/>
    </row>
    <row r="22" spans="1:21">
      <c r="A22" s="9">
        <f t="shared" si="1"/>
        <v>15</v>
      </c>
      <c r="C22" s="155" t="str">
        <f>Inputs!B34</f>
        <v>Alternate X value to 2014/15</v>
      </c>
      <c r="D22" s="90"/>
      <c r="E22" s="126">
        <f t="shared" si="0"/>
        <v>-0.15</v>
      </c>
      <c r="K22" s="90"/>
    </row>
    <row r="23" spans="1:21">
      <c r="C23" s="155"/>
      <c r="K23" s="90"/>
    </row>
    <row r="24" spans="1:21">
      <c r="A24" s="9"/>
      <c r="B24" s="9"/>
      <c r="C24" s="149" t="s">
        <v>31</v>
      </c>
      <c r="E24" s="161">
        <f>E20</f>
        <v>2559</v>
      </c>
      <c r="F24" s="39">
        <f>INDEX(OpexBlock,F7-1,$G$1)</f>
        <v>2650.2954923736065</v>
      </c>
      <c r="G24" s="39">
        <f>INDEX(OpexBlock,G7-1,$G$1)</f>
        <v>2745.0028593141055</v>
      </c>
      <c r="H24" s="39">
        <f>INDEX(OpexBlock,H7-1,$G$1)</f>
        <v>2853.8675330171586</v>
      </c>
      <c r="I24" s="39">
        <f>INDEX(OpexBlock,I7-1,$G$1)</f>
        <v>2955.4071073712107</v>
      </c>
      <c r="J24" s="39">
        <f>INDEX(OpexBlock,J7-1,$G$1)</f>
        <v>3058.6629907932675</v>
      </c>
      <c r="K24" s="90"/>
      <c r="L24" s="36"/>
      <c r="M24" s="36"/>
    </row>
    <row r="25" spans="1:21">
      <c r="A25" s="9"/>
      <c r="B25" s="9"/>
      <c r="C25" s="149" t="s">
        <v>272</v>
      </c>
      <c r="D25" s="1"/>
      <c r="E25" s="39">
        <f t="shared" ref="E25:J25" si="2">INDEX(CommAssetsBlock,E7,$G$1)</f>
        <v>5196.4477699999998</v>
      </c>
      <c r="F25" s="39">
        <f t="shared" si="2"/>
        <v>6117.2002286057868</v>
      </c>
      <c r="G25" s="39">
        <f t="shared" si="2"/>
        <v>3469.8176344048338</v>
      </c>
      <c r="H25" s="39">
        <f t="shared" si="2"/>
        <v>4280.9032606982018</v>
      </c>
      <c r="I25" s="39">
        <f t="shared" si="2"/>
        <v>3689.0718661015353</v>
      </c>
      <c r="J25" s="39">
        <f t="shared" si="2"/>
        <v>3950.0400752774258</v>
      </c>
      <c r="K25" s="90"/>
      <c r="L25" s="36"/>
      <c r="M25" s="36"/>
    </row>
    <row r="26" spans="1:21">
      <c r="A26" s="9"/>
      <c r="B26" s="9"/>
      <c r="C26" s="149" t="s">
        <v>342</v>
      </c>
      <c r="D26" s="1"/>
      <c r="E26" s="90"/>
      <c r="F26" s="90">
        <f t="shared" ref="F26:J26" si="3">INDEX(ConstPriceRevGrwth,F$7-1,$G$1)</f>
        <v>6.1569151502346708E-3</v>
      </c>
      <c r="G26" s="90">
        <f t="shared" si="3"/>
        <v>-1.7221490488552354E-2</v>
      </c>
      <c r="H26" s="90">
        <f t="shared" si="3"/>
        <v>1.7777998598412872E-3</v>
      </c>
      <c r="I26" s="90">
        <f t="shared" si="3"/>
        <v>1.5755492378383821E-3</v>
      </c>
      <c r="J26" s="90">
        <f t="shared" si="3"/>
        <v>2.2772942000778263E-3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23.558760919341299</v>
      </c>
      <c r="F40" s="295">
        <f>E40*(1+F39)</f>
        <v>24.611066557488723</v>
      </c>
      <c r="G40" s="295">
        <f t="shared" ref="G40:J40" si="5">F40*(1+G39)</f>
        <v>24.997627812318392</v>
      </c>
      <c r="H40" s="295">
        <f t="shared" si="5"/>
        <v>25.470091568221314</v>
      </c>
      <c r="I40" s="295">
        <f t="shared" si="5"/>
        <v>26.006982199929183</v>
      </c>
      <c r="J40" s="295">
        <f t="shared" si="5"/>
        <v>26.586824082173685</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21.184999614431721</v>
      </c>
      <c r="F53" s="45">
        <f>E53-1</f>
        <v>20.184999614431721</v>
      </c>
      <c r="G53" s="45">
        <f t="shared" ref="G53:J53" si="6">F53-1</f>
        <v>19.184999614431721</v>
      </c>
      <c r="H53" s="45">
        <f t="shared" si="6"/>
        <v>18.184999614431721</v>
      </c>
      <c r="I53" s="45">
        <f t="shared" si="6"/>
        <v>17.184999614431721</v>
      </c>
      <c r="J53" s="45">
        <f t="shared" si="6"/>
        <v>16.184999614431721</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0</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42857</v>
      </c>
      <c r="F58" s="216">
        <f>E62</f>
        <v>41572.603110401942</v>
      </c>
      <c r="G58" s="216">
        <f t="shared" ref="G58:J58" si="9">F62</f>
        <v>40336.669145142536</v>
      </c>
      <c r="H58" s="216">
        <f t="shared" si="9"/>
        <v>39215.948043708115</v>
      </c>
      <c r="I58" s="216">
        <f t="shared" si="9"/>
        <v>38011.053751493462</v>
      </c>
      <c r="J58" s="216">
        <f t="shared" si="9"/>
        <v>36721.547566937305</v>
      </c>
      <c r="K58" s="148"/>
      <c r="L58" s="36"/>
      <c r="M58" s="36"/>
    </row>
    <row r="59" spans="3:16">
      <c r="C59" s="149" t="s">
        <v>41</v>
      </c>
      <c r="D59" s="153"/>
      <c r="E59" s="216">
        <f>E55</f>
        <v>0</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738.59111040193989</v>
      </c>
      <c r="F60" s="216">
        <f t="shared" si="11"/>
        <v>823.64512339604823</v>
      </c>
      <c r="G60" s="216">
        <f t="shared" si="11"/>
        <v>981.78971200337014</v>
      </c>
      <c r="H60" s="216">
        <f t="shared" si="11"/>
        <v>951.60550845545947</v>
      </c>
      <c r="I60" s="216">
        <f t="shared" si="11"/>
        <v>922.36781045820385</v>
      </c>
      <c r="J60" s="216">
        <f t="shared" si="11"/>
        <v>891.07693902387416</v>
      </c>
      <c r="K60" s="148"/>
      <c r="L60" s="36"/>
      <c r="M60" s="36"/>
    </row>
    <row r="61" spans="3:16">
      <c r="C61" s="149" t="s">
        <v>43</v>
      </c>
      <c r="E61" s="136">
        <f>E12</f>
        <v>2022.9880000000001</v>
      </c>
      <c r="F61" s="216">
        <f t="shared" ref="F61:J61" si="12">F58/F53</f>
        <v>2059.5790886554523</v>
      </c>
      <c r="G61" s="216">
        <f t="shared" si="12"/>
        <v>2102.5108134377906</v>
      </c>
      <c r="H61" s="216">
        <f t="shared" si="12"/>
        <v>2156.4998006701144</v>
      </c>
      <c r="I61" s="216">
        <f t="shared" si="12"/>
        <v>2211.8739950143677</v>
      </c>
      <c r="J61" s="216">
        <f t="shared" si="12"/>
        <v>2268.8630486091397</v>
      </c>
      <c r="K61" s="148"/>
      <c r="L61" s="36"/>
      <c r="M61" s="36"/>
    </row>
    <row r="62" spans="3:16">
      <c r="C62" s="149" t="s">
        <v>44</v>
      </c>
      <c r="E62" s="139">
        <f>E58-E59+E60-E61</f>
        <v>41572.603110401942</v>
      </c>
      <c r="F62" s="139">
        <f>F58-F59+F60-F61</f>
        <v>40336.669145142536</v>
      </c>
      <c r="G62" s="139">
        <f t="shared" ref="G62:J62" si="13">G58-G59+G60-G61</f>
        <v>39215.948043708115</v>
      </c>
      <c r="H62" s="139">
        <f t="shared" si="13"/>
        <v>38011.053751493462</v>
      </c>
      <c r="I62" s="216">
        <f t="shared" si="13"/>
        <v>36721.547566937305</v>
      </c>
      <c r="J62" s="216">
        <f t="shared" si="13"/>
        <v>35343.761457352033</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5196.4477699999998</v>
      </c>
      <c r="F66" s="139">
        <f t="shared" ref="F66:J66" si="15">F$25</f>
        <v>6117.2002286057868</v>
      </c>
      <c r="G66" s="139">
        <f t="shared" si="15"/>
        <v>3469.8176344048338</v>
      </c>
      <c r="H66" s="139">
        <f t="shared" si="15"/>
        <v>4280.9032606982018</v>
      </c>
      <c r="I66" s="139">
        <f t="shared" si="15"/>
        <v>3689.0718661015353</v>
      </c>
      <c r="J66" s="139">
        <f t="shared" si="15"/>
        <v>3950.0400752774258</v>
      </c>
      <c r="K66" s="148"/>
      <c r="L66" s="36"/>
      <c r="M66" s="36"/>
    </row>
    <row r="67" spans="1:13">
      <c r="A67" s="149">
        <v>1</v>
      </c>
      <c r="C67" s="149" t="s">
        <v>481</v>
      </c>
      <c r="E67" s="135">
        <v>0</v>
      </c>
      <c r="F67" s="139">
        <f>E91</f>
        <v>5196.4477699999998</v>
      </c>
      <c r="G67" s="139">
        <f t="shared" ref="G67:J67" si="16">F91</f>
        <v>5183.9242649029848</v>
      </c>
      <c r="H67" s="139">
        <f t="shared" si="16"/>
        <v>5192.2839021395521</v>
      </c>
      <c r="I67" s="139">
        <f t="shared" si="16"/>
        <v>5197.5279247377903</v>
      </c>
      <c r="J67" s="139">
        <f t="shared" si="16"/>
        <v>5199.899321173928</v>
      </c>
      <c r="K67" s="148"/>
      <c r="L67" s="36"/>
      <c r="M67" s="36"/>
    </row>
    <row r="68" spans="1:13">
      <c r="A68" s="149">
        <v>2</v>
      </c>
      <c r="C68" s="149" t="s">
        <v>482</v>
      </c>
      <c r="E68" s="135">
        <v>0</v>
      </c>
      <c r="F68" s="139">
        <f t="shared" ref="F68:J71" si="17">E92</f>
        <v>0</v>
      </c>
      <c r="G68" s="139">
        <f t="shared" si="17"/>
        <v>6117.2002286057868</v>
      </c>
      <c r="H68" s="139">
        <f t="shared" si="17"/>
        <v>6130.1543691017714</v>
      </c>
      <c r="I68" s="139">
        <f t="shared" si="17"/>
        <v>6139.5856469174587</v>
      </c>
      <c r="J68" s="139">
        <f t="shared" si="17"/>
        <v>6145.7864106821262</v>
      </c>
      <c r="K68" s="148"/>
      <c r="L68" s="36"/>
      <c r="M68" s="36"/>
    </row>
    <row r="69" spans="1:13">
      <c r="A69" s="149">
        <v>3</v>
      </c>
      <c r="C69" s="149" t="s">
        <v>483</v>
      </c>
      <c r="E69" s="135">
        <v>0</v>
      </c>
      <c r="F69" s="139">
        <f t="shared" si="17"/>
        <v>0</v>
      </c>
      <c r="G69" s="139">
        <f t="shared" si="17"/>
        <v>0</v>
      </c>
      <c r="H69" s="139">
        <f t="shared" si="17"/>
        <v>3469.8176344048338</v>
      </c>
      <c r="I69" s="139">
        <f t="shared" si="17"/>
        <v>3476.9084019753755</v>
      </c>
      <c r="J69" s="139">
        <f t="shared" si="17"/>
        <v>3482.2576455839885</v>
      </c>
      <c r="K69" s="148"/>
      <c r="L69" s="36"/>
      <c r="M69" s="36"/>
    </row>
    <row r="70" spans="1:13">
      <c r="A70" s="149">
        <v>4</v>
      </c>
      <c r="C70" s="149" t="s">
        <v>484</v>
      </c>
      <c r="E70" s="135">
        <v>0</v>
      </c>
      <c r="F70" s="139">
        <f t="shared" si="17"/>
        <v>0</v>
      </c>
      <c r="G70" s="139">
        <f t="shared" si="17"/>
        <v>0</v>
      </c>
      <c r="H70" s="139">
        <f t="shared" si="17"/>
        <v>0</v>
      </c>
      <c r="I70" s="139">
        <f t="shared" si="17"/>
        <v>4280.9032606982018</v>
      </c>
      <c r="J70" s="139">
        <f t="shared" si="17"/>
        <v>4289.6515273830564</v>
      </c>
      <c r="K70" s="148"/>
      <c r="L70" s="36"/>
      <c r="M70" s="36"/>
    </row>
    <row r="71" spans="1:13">
      <c r="A71" s="149">
        <v>5</v>
      </c>
      <c r="C71" s="149" t="s">
        <v>485</v>
      </c>
      <c r="E71" s="135">
        <v>0</v>
      </c>
      <c r="F71" s="139">
        <f t="shared" si="17"/>
        <v>0</v>
      </c>
      <c r="G71" s="139">
        <f t="shared" si="17"/>
        <v>0</v>
      </c>
      <c r="H71" s="139">
        <f t="shared" si="17"/>
        <v>0</v>
      </c>
      <c r="I71" s="139">
        <f t="shared" si="17"/>
        <v>0</v>
      </c>
      <c r="J71" s="139">
        <f t="shared" si="17"/>
        <v>3689.0718661015353</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102.95311201409606</v>
      </c>
      <c r="G79" s="139">
        <f t="shared" si="20"/>
        <v>126.1760978025445</v>
      </c>
      <c r="H79" s="139">
        <f t="shared" si="20"/>
        <v>125.99481102008831</v>
      </c>
      <c r="I79" s="139">
        <f t="shared" si="20"/>
        <v>126.12206131084722</v>
      </c>
      <c r="J79" s="139">
        <f t="shared" si="20"/>
        <v>126.17960509147558</v>
      </c>
      <c r="K79" s="148"/>
      <c r="L79" s="36"/>
      <c r="M79" s="36"/>
    </row>
    <row r="80" spans="1:13">
      <c r="A80" s="149">
        <v>2</v>
      </c>
      <c r="C80" s="149" t="s">
        <v>488</v>
      </c>
      <c r="E80" s="139">
        <f t="shared" ref="E80:J84" si="21">E68*E$38</f>
        <v>0</v>
      </c>
      <c r="F80" s="139">
        <f t="shared" si="21"/>
        <v>0</v>
      </c>
      <c r="G80" s="139">
        <f t="shared" si="21"/>
        <v>148.89192335389106</v>
      </c>
      <c r="H80" s="139">
        <f t="shared" si="21"/>
        <v>148.75296802254621</v>
      </c>
      <c r="I80" s="139">
        <f t="shared" si="21"/>
        <v>148.98182532088768</v>
      </c>
      <c r="J80" s="139">
        <f t="shared" si="21"/>
        <v>149.13229168086224</v>
      </c>
      <c r="K80" s="148"/>
      <c r="L80" s="36"/>
      <c r="M80" s="36"/>
    </row>
    <row r="81" spans="1:13">
      <c r="A81" s="149">
        <v>3</v>
      </c>
      <c r="C81" s="149" t="s">
        <v>489</v>
      </c>
      <c r="E81" s="139">
        <f t="shared" si="21"/>
        <v>0</v>
      </c>
      <c r="F81" s="139">
        <f t="shared" si="21"/>
        <v>0</v>
      </c>
      <c r="G81" s="139">
        <f t="shared" si="21"/>
        <v>0</v>
      </c>
      <c r="H81" s="139">
        <f t="shared" si="21"/>
        <v>84.197826112871297</v>
      </c>
      <c r="I81" s="139">
        <f t="shared" si="21"/>
        <v>84.369889108053371</v>
      </c>
      <c r="J81" s="139">
        <f t="shared" si="21"/>
        <v>84.499692668542409</v>
      </c>
      <c r="K81" s="148"/>
      <c r="L81" s="36"/>
      <c r="M81" s="36"/>
    </row>
    <row r="82" spans="1:13">
      <c r="A82" s="149">
        <v>4</v>
      </c>
      <c r="C82" s="149" t="s">
        <v>490</v>
      </c>
      <c r="E82" s="139">
        <f t="shared" si="21"/>
        <v>0</v>
      </c>
      <c r="F82" s="139">
        <f t="shared" si="21"/>
        <v>0</v>
      </c>
      <c r="G82" s="139">
        <f t="shared" si="21"/>
        <v>0</v>
      </c>
      <c r="H82" s="139">
        <f t="shared" si="21"/>
        <v>0</v>
      </c>
      <c r="I82" s="139">
        <f t="shared" si="21"/>
        <v>103.87945025592578</v>
      </c>
      <c r="J82" s="139">
        <f t="shared" si="21"/>
        <v>104.09173375746107</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89.518200731947374</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115.47661711111111</v>
      </c>
      <c r="G85" s="216">
        <f t="shared" si="22"/>
        <v>117.81646056597693</v>
      </c>
      <c r="H85" s="216">
        <f t="shared" si="22"/>
        <v>120.75078842185005</v>
      </c>
      <c r="I85" s="216">
        <f t="shared" si="22"/>
        <v>123.75066487470929</v>
      </c>
      <c r="J85" s="216">
        <f t="shared" si="22"/>
        <v>126.82681271155921</v>
      </c>
      <c r="K85" s="148"/>
      <c r="L85" s="36"/>
      <c r="M85" s="36"/>
    </row>
    <row r="86" spans="1:13">
      <c r="A86" s="149">
        <v>2</v>
      </c>
      <c r="C86" s="149" t="s">
        <v>494</v>
      </c>
      <c r="E86" s="216">
        <f t="shared" si="22"/>
        <v>0</v>
      </c>
      <c r="F86" s="216">
        <f t="shared" si="22"/>
        <v>0</v>
      </c>
      <c r="G86" s="216">
        <f t="shared" si="22"/>
        <v>135.93778285790637</v>
      </c>
      <c r="H86" s="216">
        <f t="shared" si="22"/>
        <v>139.32169020685845</v>
      </c>
      <c r="I86" s="216">
        <f t="shared" si="22"/>
        <v>142.78106155621998</v>
      </c>
      <c r="J86" s="216">
        <f t="shared" si="22"/>
        <v>146.32824787338396</v>
      </c>
      <c r="K86" s="148"/>
      <c r="L86" s="36"/>
      <c r="M86" s="36"/>
    </row>
    <row r="87" spans="1:13">
      <c r="A87" s="149">
        <v>3</v>
      </c>
      <c r="C87" s="149" t="s">
        <v>495</v>
      </c>
      <c r="E87" s="216">
        <f t="shared" si="22"/>
        <v>0</v>
      </c>
      <c r="F87" s="216">
        <f t="shared" si="22"/>
        <v>0</v>
      </c>
      <c r="G87" s="216">
        <f t="shared" si="22"/>
        <v>0</v>
      </c>
      <c r="H87" s="216">
        <f t="shared" si="22"/>
        <v>77.107058542329639</v>
      </c>
      <c r="I87" s="216">
        <f t="shared" si="22"/>
        <v>79.020645499440349</v>
      </c>
      <c r="J87" s="216">
        <f t="shared" si="22"/>
        <v>80.98273594381368</v>
      </c>
      <c r="K87" s="148"/>
      <c r="L87" s="36"/>
      <c r="M87" s="36"/>
    </row>
    <row r="88" spans="1:13">
      <c r="A88" s="149">
        <v>4</v>
      </c>
      <c r="C88" s="149" t="s">
        <v>496</v>
      </c>
      <c r="E88" s="216">
        <f t="shared" si="22"/>
        <v>0</v>
      </c>
      <c r="F88" s="216">
        <f t="shared" si="22"/>
        <v>0</v>
      </c>
      <c r="G88" s="216">
        <f t="shared" si="22"/>
        <v>0</v>
      </c>
      <c r="H88" s="216">
        <f t="shared" si="22"/>
        <v>0</v>
      </c>
      <c r="I88" s="216">
        <f t="shared" si="22"/>
        <v>95.131183571071148</v>
      </c>
      <c r="J88" s="216">
        <f t="shared" si="22"/>
        <v>97.492080167796743</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81.979374802256345</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5196.4477699999998</v>
      </c>
      <c r="F91" s="139">
        <f t="shared" si="23"/>
        <v>5183.9242649029848</v>
      </c>
      <c r="G91" s="139">
        <f t="shared" si="23"/>
        <v>5192.2839021395521</v>
      </c>
      <c r="H91" s="139">
        <f t="shared" si="23"/>
        <v>5197.5279247377903</v>
      </c>
      <c r="I91" s="139">
        <f t="shared" si="23"/>
        <v>5199.899321173928</v>
      </c>
      <c r="J91" s="216">
        <f t="shared" si="23"/>
        <v>5199.2521135538445</v>
      </c>
      <c r="K91" s="148"/>
      <c r="L91" s="36"/>
      <c r="M91" s="36"/>
    </row>
    <row r="92" spans="1:13">
      <c r="A92" s="149">
        <v>2</v>
      </c>
      <c r="C92" s="149" t="s">
        <v>500</v>
      </c>
      <c r="E92" s="139">
        <f t="shared" si="23"/>
        <v>0</v>
      </c>
      <c r="F92" s="139">
        <f t="shared" si="23"/>
        <v>6117.2002286057868</v>
      </c>
      <c r="G92" s="139">
        <f t="shared" si="23"/>
        <v>6130.1543691017714</v>
      </c>
      <c r="H92" s="139">
        <f t="shared" si="23"/>
        <v>6139.5856469174587</v>
      </c>
      <c r="I92" s="139">
        <f t="shared" si="23"/>
        <v>6145.7864106821262</v>
      </c>
      <c r="J92" s="216">
        <f t="shared" si="23"/>
        <v>6148.5904544896048</v>
      </c>
      <c r="K92" s="148"/>
      <c r="L92" s="36"/>
      <c r="M92" s="36"/>
    </row>
    <row r="93" spans="1:13">
      <c r="A93" s="149">
        <v>3</v>
      </c>
      <c r="C93" s="149" t="s">
        <v>501</v>
      </c>
      <c r="E93" s="139">
        <f t="shared" si="23"/>
        <v>0</v>
      </c>
      <c r="F93" s="139">
        <f t="shared" si="23"/>
        <v>0</v>
      </c>
      <c r="G93" s="139">
        <f t="shared" si="23"/>
        <v>3469.8176344048338</v>
      </c>
      <c r="H93" s="139">
        <f t="shared" si="23"/>
        <v>3476.9084019753755</v>
      </c>
      <c r="I93" s="139">
        <f t="shared" si="23"/>
        <v>3482.2576455839885</v>
      </c>
      <c r="J93" s="216">
        <f t="shared" si="23"/>
        <v>3485.7746023087175</v>
      </c>
      <c r="K93" s="148"/>
      <c r="L93" s="36"/>
      <c r="M93" s="36"/>
    </row>
    <row r="94" spans="1:13">
      <c r="A94" s="149">
        <v>4</v>
      </c>
      <c r="C94" s="149" t="s">
        <v>502</v>
      </c>
      <c r="E94" s="139">
        <f t="shared" si="23"/>
        <v>0</v>
      </c>
      <c r="F94" s="139">
        <f t="shared" si="23"/>
        <v>0</v>
      </c>
      <c r="G94" s="139">
        <f t="shared" si="23"/>
        <v>0</v>
      </c>
      <c r="H94" s="139">
        <f t="shared" si="23"/>
        <v>4280.9032606982018</v>
      </c>
      <c r="I94" s="139">
        <f t="shared" si="23"/>
        <v>4289.6515273830564</v>
      </c>
      <c r="J94" s="216">
        <f t="shared" si="23"/>
        <v>4296.2511809727212</v>
      </c>
      <c r="K94" s="148"/>
      <c r="L94" s="36"/>
      <c r="M94" s="36"/>
    </row>
    <row r="95" spans="1:13">
      <c r="A95" s="149">
        <v>5</v>
      </c>
      <c r="C95" s="149" t="s">
        <v>503</v>
      </c>
      <c r="E95" s="139">
        <f t="shared" si="23"/>
        <v>0</v>
      </c>
      <c r="F95" s="139">
        <f t="shared" si="23"/>
        <v>0</v>
      </c>
      <c r="G95" s="139">
        <f t="shared" si="23"/>
        <v>0</v>
      </c>
      <c r="H95" s="139">
        <f t="shared" si="23"/>
        <v>0</v>
      </c>
      <c r="I95" s="139">
        <f t="shared" si="23"/>
        <v>3689.0718661015353</v>
      </c>
      <c r="J95" s="216">
        <f t="shared" si="23"/>
        <v>3696.6106920312263</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3950.0400752774258</v>
      </c>
      <c r="K96" s="148"/>
      <c r="L96" s="36"/>
      <c r="M96" s="36"/>
    </row>
    <row r="97" spans="1:13">
      <c r="C97" s="149" t="s">
        <v>260</v>
      </c>
      <c r="E97" s="139">
        <f t="shared" ref="E97:J97" si="24">SUM(E67:E72)</f>
        <v>0</v>
      </c>
      <c r="F97" s="139">
        <f t="shared" si="24"/>
        <v>5196.4477699999998</v>
      </c>
      <c r="G97" s="139">
        <f t="shared" si="24"/>
        <v>11301.124493508771</v>
      </c>
      <c r="H97" s="139">
        <f t="shared" si="24"/>
        <v>14792.255905646158</v>
      </c>
      <c r="I97" s="139">
        <f t="shared" si="24"/>
        <v>19094.925234328824</v>
      </c>
      <c r="J97" s="216">
        <f t="shared" si="24"/>
        <v>22806.666770924632</v>
      </c>
      <c r="K97" s="148"/>
      <c r="L97" s="36"/>
      <c r="M97" s="36"/>
    </row>
    <row r="98" spans="1:13">
      <c r="C98" s="149" t="s">
        <v>261</v>
      </c>
      <c r="E98" s="139">
        <f t="shared" ref="E98:J98" si="25">SUM(E79:E84)</f>
        <v>0</v>
      </c>
      <c r="F98" s="139">
        <f t="shared" si="25"/>
        <v>102.95311201409606</v>
      </c>
      <c r="G98" s="139">
        <f t="shared" si="25"/>
        <v>275.06802115643558</v>
      </c>
      <c r="H98" s="139">
        <f t="shared" si="25"/>
        <v>358.94560515550586</v>
      </c>
      <c r="I98" s="139">
        <f t="shared" si="25"/>
        <v>463.35322599571407</v>
      </c>
      <c r="J98" s="216">
        <f t="shared" si="25"/>
        <v>553.42152393028869</v>
      </c>
      <c r="K98" s="148"/>
      <c r="L98" s="36"/>
      <c r="M98" s="36"/>
    </row>
    <row r="99" spans="1:13">
      <c r="C99" s="149" t="s">
        <v>75</v>
      </c>
      <c r="E99" s="139">
        <f t="shared" ref="E99:J99" si="26">SUM(E85:E90)</f>
        <v>0</v>
      </c>
      <c r="F99" s="139">
        <f t="shared" si="26"/>
        <v>115.47661711111111</v>
      </c>
      <c r="G99" s="139">
        <f t="shared" si="26"/>
        <v>253.75424342388328</v>
      </c>
      <c r="H99" s="139">
        <f t="shared" si="26"/>
        <v>337.17953717103813</v>
      </c>
      <c r="I99" s="216">
        <f t="shared" si="26"/>
        <v>440.68355550144076</v>
      </c>
      <c r="J99" s="216">
        <f t="shared" si="26"/>
        <v>533.60925149880995</v>
      </c>
      <c r="K99" s="148"/>
      <c r="L99" s="36"/>
      <c r="M99" s="36"/>
    </row>
    <row r="100" spans="1:13">
      <c r="C100" s="149" t="s">
        <v>262</v>
      </c>
      <c r="E100" s="139">
        <f t="shared" ref="E100:J100" si="27">SUM(E91:E96)</f>
        <v>5196.4477699999998</v>
      </c>
      <c r="F100" s="139">
        <f t="shared" si="27"/>
        <v>11301.124493508771</v>
      </c>
      <c r="G100" s="139">
        <f t="shared" si="27"/>
        <v>14792.255905646158</v>
      </c>
      <c r="H100" s="139">
        <f t="shared" si="27"/>
        <v>19094.925234328824</v>
      </c>
      <c r="I100" s="216">
        <f t="shared" si="27"/>
        <v>22806.666770924632</v>
      </c>
      <c r="J100" s="216">
        <f t="shared" si="27"/>
        <v>26776.51911863354</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5196.4477699999998</v>
      </c>
      <c r="F104" s="139">
        <f t="shared" ref="F104:J104" si="28">F$25</f>
        <v>6117.2002286057868</v>
      </c>
      <c r="G104" s="139">
        <f t="shared" si="28"/>
        <v>3469.8176344048338</v>
      </c>
      <c r="H104" s="139">
        <f t="shared" si="28"/>
        <v>4280.9032606982018</v>
      </c>
      <c r="I104" s="139">
        <f t="shared" si="28"/>
        <v>3689.0718661015353</v>
      </c>
      <c r="J104" s="139">
        <f t="shared" si="28"/>
        <v>3950.0400752774258</v>
      </c>
      <c r="K104" s="148"/>
      <c r="L104" s="36"/>
      <c r="M104" s="36"/>
    </row>
    <row r="105" spans="1:13">
      <c r="A105" s="149">
        <v>1</v>
      </c>
      <c r="C105" s="149" t="s">
        <v>457</v>
      </c>
      <c r="E105" s="135">
        <v>0</v>
      </c>
      <c r="F105" s="139">
        <f>E123</f>
        <v>5196.4477699999998</v>
      </c>
      <c r="G105" s="139">
        <f t="shared" ref="G105:J105" si="29">F123</f>
        <v>5080.9711528888884</v>
      </c>
      <c r="H105" s="139">
        <f t="shared" si="29"/>
        <v>4965.4945357777769</v>
      </c>
      <c r="I105" s="139">
        <f t="shared" si="29"/>
        <v>4850.0179186666655</v>
      </c>
      <c r="J105" s="139">
        <f t="shared" si="29"/>
        <v>4734.5413015555541</v>
      </c>
      <c r="K105" s="148"/>
      <c r="L105" s="36"/>
      <c r="M105" s="36"/>
    </row>
    <row r="106" spans="1:13">
      <c r="A106" s="149">
        <v>2</v>
      </c>
      <c r="C106" s="149" t="s">
        <v>458</v>
      </c>
      <c r="E106" s="135">
        <v>0</v>
      </c>
      <c r="F106" s="139">
        <f t="shared" ref="F106:J109" si="30">E124</f>
        <v>0</v>
      </c>
      <c r="G106" s="139">
        <f t="shared" si="30"/>
        <v>6117.2002286057868</v>
      </c>
      <c r="H106" s="139">
        <f t="shared" si="30"/>
        <v>5981.2624457478805</v>
      </c>
      <c r="I106" s="139">
        <f t="shared" si="30"/>
        <v>5845.3246628899742</v>
      </c>
      <c r="J106" s="139">
        <f t="shared" si="30"/>
        <v>5709.3868800320679</v>
      </c>
      <c r="K106" s="148"/>
      <c r="L106" s="36"/>
      <c r="M106" s="36"/>
    </row>
    <row r="107" spans="1:13">
      <c r="A107" s="149">
        <v>3</v>
      </c>
      <c r="C107" s="149" t="s">
        <v>459</v>
      </c>
      <c r="E107" s="135">
        <v>0</v>
      </c>
      <c r="F107" s="139">
        <f t="shared" si="30"/>
        <v>0</v>
      </c>
      <c r="G107" s="139">
        <f t="shared" si="30"/>
        <v>0</v>
      </c>
      <c r="H107" s="139">
        <f t="shared" si="30"/>
        <v>3469.8176344048338</v>
      </c>
      <c r="I107" s="139">
        <f t="shared" si="30"/>
        <v>3392.7105758625044</v>
      </c>
      <c r="J107" s="139">
        <f t="shared" si="30"/>
        <v>3315.6035173201749</v>
      </c>
      <c r="K107" s="148"/>
      <c r="L107" s="36"/>
      <c r="M107" s="36"/>
    </row>
    <row r="108" spans="1:13">
      <c r="A108" s="149">
        <v>4</v>
      </c>
      <c r="C108" s="149" t="s">
        <v>460</v>
      </c>
      <c r="E108" s="135">
        <v>0</v>
      </c>
      <c r="F108" s="139">
        <f t="shared" si="30"/>
        <v>0</v>
      </c>
      <c r="G108" s="139">
        <f t="shared" si="30"/>
        <v>0</v>
      </c>
      <c r="H108" s="139">
        <f t="shared" si="30"/>
        <v>0</v>
      </c>
      <c r="I108" s="139">
        <f t="shared" si="30"/>
        <v>4280.9032606982018</v>
      </c>
      <c r="J108" s="139">
        <f t="shared" si="30"/>
        <v>4185.7720771271306</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3689.0718661015353</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115.47661711111111</v>
      </c>
      <c r="G117" s="139">
        <f t="shared" si="33"/>
        <v>115.4766171111111</v>
      </c>
      <c r="H117" s="139">
        <f t="shared" si="33"/>
        <v>115.4766171111111</v>
      </c>
      <c r="I117" s="139">
        <f t="shared" si="33"/>
        <v>115.47661711111108</v>
      </c>
      <c r="J117" s="139">
        <f t="shared" si="33"/>
        <v>115.47661711111108</v>
      </c>
      <c r="K117" s="148"/>
      <c r="L117" s="36"/>
      <c r="M117" s="36"/>
    </row>
    <row r="118" spans="1:13">
      <c r="A118" s="149">
        <v>2</v>
      </c>
      <c r="C118" s="149" t="s">
        <v>470</v>
      </c>
      <c r="E118" s="139">
        <f t="shared" si="33"/>
        <v>0</v>
      </c>
      <c r="F118" s="139">
        <f t="shared" si="33"/>
        <v>0</v>
      </c>
      <c r="G118" s="139">
        <f t="shared" si="33"/>
        <v>135.93778285790637</v>
      </c>
      <c r="H118" s="139">
        <f t="shared" si="33"/>
        <v>135.93778285790637</v>
      </c>
      <c r="I118" s="139">
        <f t="shared" si="33"/>
        <v>135.93778285790637</v>
      </c>
      <c r="J118" s="139">
        <f t="shared" si="33"/>
        <v>135.93778285790637</v>
      </c>
      <c r="K118" s="148"/>
      <c r="L118" s="36"/>
      <c r="M118" s="36"/>
    </row>
    <row r="119" spans="1:13">
      <c r="A119" s="149">
        <v>3</v>
      </c>
      <c r="C119" s="149" t="s">
        <v>471</v>
      </c>
      <c r="E119" s="139">
        <f t="shared" si="33"/>
        <v>0</v>
      </c>
      <c r="F119" s="139">
        <f t="shared" si="33"/>
        <v>0</v>
      </c>
      <c r="G119" s="139">
        <f t="shared" si="33"/>
        <v>0</v>
      </c>
      <c r="H119" s="139">
        <f t="shared" si="33"/>
        <v>77.107058542329639</v>
      </c>
      <c r="I119" s="139">
        <f t="shared" si="33"/>
        <v>77.107058542329639</v>
      </c>
      <c r="J119" s="139">
        <f t="shared" si="33"/>
        <v>77.107058542329654</v>
      </c>
      <c r="K119" s="148"/>
      <c r="L119" s="36"/>
      <c r="M119" s="36"/>
    </row>
    <row r="120" spans="1:13">
      <c r="A120" s="149">
        <v>4</v>
      </c>
      <c r="C120" s="149" t="s">
        <v>472</v>
      </c>
      <c r="E120" s="139">
        <f t="shared" si="33"/>
        <v>0</v>
      </c>
      <c r="F120" s="139">
        <f t="shared" si="33"/>
        <v>0</v>
      </c>
      <c r="G120" s="139">
        <f t="shared" si="33"/>
        <v>0</v>
      </c>
      <c r="H120" s="139">
        <f t="shared" si="33"/>
        <v>0</v>
      </c>
      <c r="I120" s="139">
        <f t="shared" si="33"/>
        <v>95.131183571071148</v>
      </c>
      <c r="J120" s="139">
        <f t="shared" si="33"/>
        <v>95.131183571071148</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81.979374802256345</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5196.4477699999998</v>
      </c>
      <c r="F123" s="139">
        <f t="shared" ref="F123:J123" si="34">F105-F117+IF($A123=F$103,F$104,0)</f>
        <v>5080.9711528888884</v>
      </c>
      <c r="G123" s="139">
        <f t="shared" si="34"/>
        <v>4965.4945357777769</v>
      </c>
      <c r="H123" s="139">
        <f t="shared" si="34"/>
        <v>4850.0179186666655</v>
      </c>
      <c r="I123" s="139">
        <f t="shared" si="34"/>
        <v>4734.5413015555541</v>
      </c>
      <c r="J123" s="139">
        <f t="shared" si="34"/>
        <v>4619.0646844444427</v>
      </c>
      <c r="K123" s="148"/>
      <c r="L123" s="36"/>
      <c r="M123" s="36"/>
    </row>
    <row r="124" spans="1:13">
      <c r="A124" s="149">
        <v>2</v>
      </c>
      <c r="C124" s="149" t="s">
        <v>476</v>
      </c>
      <c r="E124" s="139">
        <f t="shared" ref="E124:J128" si="35">E106-E118+IF($A124=E$103,E$104,0)</f>
        <v>0</v>
      </c>
      <c r="F124" s="139">
        <f t="shared" si="35"/>
        <v>6117.2002286057868</v>
      </c>
      <c r="G124" s="139">
        <f t="shared" si="35"/>
        <v>5981.2624457478805</v>
      </c>
      <c r="H124" s="139">
        <f t="shared" si="35"/>
        <v>5845.3246628899742</v>
      </c>
      <c r="I124" s="139">
        <f t="shared" si="35"/>
        <v>5709.3868800320679</v>
      </c>
      <c r="J124" s="139">
        <f t="shared" si="35"/>
        <v>5573.4490971741616</v>
      </c>
      <c r="K124" s="148"/>
      <c r="L124" s="36"/>
      <c r="M124" s="36"/>
    </row>
    <row r="125" spans="1:13">
      <c r="A125" s="149">
        <v>3</v>
      </c>
      <c r="C125" s="149" t="s">
        <v>477</v>
      </c>
      <c r="E125" s="139">
        <f t="shared" si="35"/>
        <v>0</v>
      </c>
      <c r="F125" s="139">
        <f t="shared" si="35"/>
        <v>0</v>
      </c>
      <c r="G125" s="139">
        <f t="shared" si="35"/>
        <v>3469.8176344048338</v>
      </c>
      <c r="H125" s="139">
        <f t="shared" si="35"/>
        <v>3392.7105758625044</v>
      </c>
      <c r="I125" s="139">
        <f t="shared" si="35"/>
        <v>3315.6035173201749</v>
      </c>
      <c r="J125" s="139">
        <f t="shared" si="35"/>
        <v>3238.4964587778454</v>
      </c>
      <c r="K125" s="148"/>
      <c r="L125" s="36"/>
      <c r="M125" s="36"/>
    </row>
    <row r="126" spans="1:13">
      <c r="A126" s="149">
        <v>4</v>
      </c>
      <c r="C126" s="149" t="s">
        <v>478</v>
      </c>
      <c r="E126" s="139">
        <f t="shared" si="35"/>
        <v>0</v>
      </c>
      <c r="F126" s="139">
        <f t="shared" si="35"/>
        <v>0</v>
      </c>
      <c r="G126" s="139">
        <f t="shared" si="35"/>
        <v>0</v>
      </c>
      <c r="H126" s="139">
        <f t="shared" si="35"/>
        <v>4280.9032606982018</v>
      </c>
      <c r="I126" s="139">
        <f t="shared" si="35"/>
        <v>4185.7720771271306</v>
      </c>
      <c r="J126" s="139">
        <f t="shared" si="35"/>
        <v>4090.6408935560594</v>
      </c>
      <c r="K126" s="148"/>
      <c r="L126" s="36"/>
      <c r="M126" s="36"/>
    </row>
    <row r="127" spans="1:13">
      <c r="A127" s="149">
        <v>5</v>
      </c>
      <c r="C127" s="149" t="s">
        <v>479</v>
      </c>
      <c r="E127" s="139">
        <f t="shared" si="35"/>
        <v>0</v>
      </c>
      <c r="F127" s="139">
        <f t="shared" si="35"/>
        <v>0</v>
      </c>
      <c r="G127" s="139">
        <f t="shared" si="35"/>
        <v>0</v>
      </c>
      <c r="H127" s="139">
        <f t="shared" si="35"/>
        <v>0</v>
      </c>
      <c r="I127" s="139">
        <f t="shared" si="35"/>
        <v>3689.0718661015353</v>
      </c>
      <c r="J127" s="139">
        <f t="shared" si="35"/>
        <v>3607.0924912992791</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3950.0400752774258</v>
      </c>
      <c r="K128" s="148"/>
      <c r="L128" s="36"/>
      <c r="M128" s="36"/>
    </row>
    <row r="129" spans="3:13">
      <c r="C129" s="149" t="s">
        <v>72</v>
      </c>
      <c r="E129" s="139">
        <f>SUM(E105:E110)</f>
        <v>0</v>
      </c>
      <c r="F129" s="139">
        <f t="shared" ref="F129:J129" si="36">SUM(F105:F110)</f>
        <v>5196.4477699999998</v>
      </c>
      <c r="G129" s="139">
        <f t="shared" si="36"/>
        <v>11198.171381494674</v>
      </c>
      <c r="H129" s="139">
        <f t="shared" si="36"/>
        <v>14416.574615930491</v>
      </c>
      <c r="I129" s="139">
        <f t="shared" si="36"/>
        <v>18368.956418117348</v>
      </c>
      <c r="J129" s="139">
        <f t="shared" si="36"/>
        <v>21634.37564213646</v>
      </c>
      <c r="K129" s="148"/>
      <c r="L129" s="36"/>
      <c r="M129" s="36"/>
    </row>
    <row r="130" spans="3:13">
      <c r="C130" s="149" t="s">
        <v>67</v>
      </c>
      <c r="E130" s="139">
        <f>SUM(E117:E122)</f>
        <v>0</v>
      </c>
      <c r="F130" s="139">
        <f t="shared" ref="F130:J130" si="37">SUM(F117:F122)</f>
        <v>115.47661711111111</v>
      </c>
      <c r="G130" s="139">
        <f t="shared" si="37"/>
        <v>251.41439996901747</v>
      </c>
      <c r="H130" s="139">
        <f t="shared" si="37"/>
        <v>328.52145851134708</v>
      </c>
      <c r="I130" s="139">
        <f t="shared" si="37"/>
        <v>423.6526420824182</v>
      </c>
      <c r="J130" s="139">
        <f t="shared" si="37"/>
        <v>505.63201688467456</v>
      </c>
      <c r="K130" s="148"/>
      <c r="L130" s="36"/>
      <c r="M130" s="36"/>
    </row>
    <row r="131" spans="3:13" s="36" customFormat="1">
      <c r="C131" s="36" t="s">
        <v>73</v>
      </c>
      <c r="E131" s="139">
        <f>SUM(E123:E128)</f>
        <v>5196.4477699999998</v>
      </c>
      <c r="F131" s="139">
        <f t="shared" ref="F131:J131" si="38">SUM(F123:F128)</f>
        <v>11198.171381494674</v>
      </c>
      <c r="G131" s="139">
        <f t="shared" si="38"/>
        <v>14416.574615930491</v>
      </c>
      <c r="H131" s="139">
        <f t="shared" si="38"/>
        <v>18368.956418117348</v>
      </c>
      <c r="I131" s="139">
        <f t="shared" si="38"/>
        <v>21634.37564213646</v>
      </c>
      <c r="J131" s="139">
        <f t="shared" si="38"/>
        <v>25078.783700529213</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42857</v>
      </c>
      <c r="F134" s="139">
        <f>E137</f>
        <v>40834.012000000002</v>
      </c>
      <c r="G134" s="139">
        <f t="shared" ref="G134:J134" si="39">F137</f>
        <v>38811.024000000005</v>
      </c>
      <c r="H134" s="139">
        <f t="shared" si="39"/>
        <v>36788.036000000007</v>
      </c>
      <c r="I134" s="139">
        <f t="shared" si="39"/>
        <v>34765.04800000001</v>
      </c>
      <c r="J134" s="139">
        <f t="shared" si="39"/>
        <v>32742.060000000009</v>
      </c>
      <c r="K134" s="148"/>
      <c r="L134" s="36"/>
      <c r="M134" s="36"/>
    </row>
    <row r="135" spans="3:13">
      <c r="C135" s="149" t="s">
        <v>41</v>
      </c>
      <c r="E135" s="139">
        <f t="shared" ref="E135:J135" si="40">E55</f>
        <v>0</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2022.9880000000001</v>
      </c>
      <c r="F136" s="139">
        <f t="shared" si="41"/>
        <v>2022.9880000000003</v>
      </c>
      <c r="G136" s="139">
        <f t="shared" si="41"/>
        <v>2022.9880000000003</v>
      </c>
      <c r="H136" s="139">
        <f t="shared" si="41"/>
        <v>2022.9880000000005</v>
      </c>
      <c r="I136" s="139">
        <f t="shared" si="41"/>
        <v>2022.9880000000007</v>
      </c>
      <c r="J136" s="139">
        <f t="shared" si="41"/>
        <v>2022.9880000000007</v>
      </c>
      <c r="K136" s="148"/>
      <c r="L136" s="36"/>
      <c r="M136" s="36"/>
    </row>
    <row r="137" spans="3:13">
      <c r="C137" s="149" t="s">
        <v>66</v>
      </c>
      <c r="E137" s="139">
        <f t="shared" ref="E137:J137" si="42">E134-E135-E136</f>
        <v>40834.012000000002</v>
      </c>
      <c r="F137" s="139">
        <f t="shared" si="42"/>
        <v>38811.024000000005</v>
      </c>
      <c r="G137" s="139">
        <f t="shared" si="42"/>
        <v>36788.036000000007</v>
      </c>
      <c r="H137" s="139">
        <f t="shared" si="42"/>
        <v>34765.04800000001</v>
      </c>
      <c r="I137" s="139">
        <f t="shared" si="42"/>
        <v>32742.060000000009</v>
      </c>
      <c r="J137" s="139">
        <f t="shared" si="42"/>
        <v>30719.072000000007</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42857</v>
      </c>
      <c r="F140" s="139">
        <f t="shared" si="43"/>
        <v>46769.050880401941</v>
      </c>
      <c r="G140" s="139">
        <f t="shared" si="43"/>
        <v>51637.793638651303</v>
      </c>
      <c r="H140" s="139">
        <f t="shared" si="43"/>
        <v>54008.203949354269</v>
      </c>
      <c r="I140" s="139">
        <f t="shared" si="43"/>
        <v>57105.978985822287</v>
      </c>
      <c r="J140" s="139">
        <f t="shared" si="43"/>
        <v>59528.214337861937</v>
      </c>
      <c r="K140" s="148"/>
      <c r="L140" s="36"/>
      <c r="M140" s="36"/>
    </row>
    <row r="141" spans="3:13">
      <c r="C141" s="149" t="s">
        <v>268</v>
      </c>
      <c r="E141" s="139">
        <f t="shared" ref="E141:J143" si="44">E60+E98</f>
        <v>738.59111040193989</v>
      </c>
      <c r="F141" s="139">
        <f t="shared" si="44"/>
        <v>926.5982354101443</v>
      </c>
      <c r="G141" s="139">
        <f t="shared" si="44"/>
        <v>1256.8577331598058</v>
      </c>
      <c r="H141" s="139">
        <f t="shared" si="44"/>
        <v>1310.5511136109653</v>
      </c>
      <c r="I141" s="139">
        <f t="shared" si="44"/>
        <v>1385.7210364539178</v>
      </c>
      <c r="J141" s="139">
        <f t="shared" si="44"/>
        <v>1444.4984629541627</v>
      </c>
      <c r="K141" s="148"/>
      <c r="L141" s="36"/>
      <c r="M141" s="36"/>
    </row>
    <row r="142" spans="3:13">
      <c r="C142" s="149" t="s">
        <v>267</v>
      </c>
      <c r="E142" s="139">
        <f>E61+E99</f>
        <v>2022.9880000000001</v>
      </c>
      <c r="F142" s="139">
        <f t="shared" si="44"/>
        <v>2175.0557057665633</v>
      </c>
      <c r="G142" s="139">
        <f t="shared" si="44"/>
        <v>2356.2650568616737</v>
      </c>
      <c r="H142" s="139">
        <f t="shared" si="44"/>
        <v>2493.6793378411526</v>
      </c>
      <c r="I142" s="139">
        <f t="shared" si="44"/>
        <v>2652.5575505158085</v>
      </c>
      <c r="J142" s="139">
        <f t="shared" si="44"/>
        <v>2802.4723001079496</v>
      </c>
      <c r="K142" s="148"/>
      <c r="L142" s="36"/>
      <c r="M142" s="36"/>
    </row>
    <row r="143" spans="3:13">
      <c r="C143" s="149" t="s">
        <v>270</v>
      </c>
      <c r="E143" s="139">
        <f t="shared" si="44"/>
        <v>46769.050880401941</v>
      </c>
      <c r="F143" s="139">
        <f t="shared" si="44"/>
        <v>51637.793638651303</v>
      </c>
      <c r="G143" s="139">
        <f t="shared" si="44"/>
        <v>54008.203949354269</v>
      </c>
      <c r="H143" s="139">
        <f t="shared" si="44"/>
        <v>57105.978985822287</v>
      </c>
      <c r="I143" s="139">
        <f t="shared" si="44"/>
        <v>59528.214337861937</v>
      </c>
      <c r="J143" s="216">
        <f t="shared" si="44"/>
        <v>62120.280575985569</v>
      </c>
      <c r="K143" s="148"/>
      <c r="L143" s="36"/>
      <c r="M143" s="36"/>
    </row>
    <row r="144" spans="3:13">
      <c r="C144" s="149" t="s">
        <v>46</v>
      </c>
      <c r="E144" s="139">
        <f t="shared" ref="E144:J144" si="45">E130+E136</f>
        <v>2022.9880000000001</v>
      </c>
      <c r="F144" s="139">
        <f t="shared" si="45"/>
        <v>2138.4646171111112</v>
      </c>
      <c r="G144" s="139">
        <f t="shared" si="45"/>
        <v>2274.4023999690176</v>
      </c>
      <c r="H144" s="139">
        <f t="shared" si="45"/>
        <v>2351.5094585113475</v>
      </c>
      <c r="I144" s="139">
        <f t="shared" si="45"/>
        <v>2446.6406420824187</v>
      </c>
      <c r="J144" s="139">
        <f t="shared" si="45"/>
        <v>2528.6200168846754</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1.0912814914810169</v>
      </c>
      <c r="G148" s="308">
        <f t="shared" ref="G148:J148" si="46">G140/$E140</f>
        <v>1.2048858678547565</v>
      </c>
      <c r="H148" s="308">
        <f t="shared" si="46"/>
        <v>1.26019562613702</v>
      </c>
      <c r="I148" s="308">
        <f t="shared" si="46"/>
        <v>1.3324772845934687</v>
      </c>
      <c r="J148" s="308">
        <f t="shared" si="46"/>
        <v>1.3889962978711048</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9.6345295841498396E-2</v>
      </c>
      <c r="E152" s="36"/>
      <c r="F152" s="36"/>
      <c r="G152" s="36"/>
      <c r="H152" s="36"/>
      <c r="I152" s="36"/>
      <c r="J152" s="36"/>
      <c r="K152" s="148"/>
      <c r="L152" s="36"/>
      <c r="M152" s="36"/>
    </row>
    <row r="153" spans="1:13">
      <c r="C153" s="149" t="s">
        <v>282</v>
      </c>
      <c r="E153" s="135">
        <f>E16</f>
        <v>16845.659</v>
      </c>
      <c r="F153" s="139">
        <f>E157</f>
        <v>20419.106769999999</v>
      </c>
      <c r="G153" s="139">
        <f t="shared" ref="G153:J153" si="48">F157</f>
        <v>24569.022116030992</v>
      </c>
      <c r="H153" s="139">
        <f t="shared" si="48"/>
        <v>25671.730046130502</v>
      </c>
      <c r="I153" s="139">
        <f t="shared" si="48"/>
        <v>27479.282880771178</v>
      </c>
      <c r="J153" s="139">
        <f t="shared" si="48"/>
        <v>28520.855108212592</v>
      </c>
      <c r="K153" s="148"/>
      <c r="L153" s="36"/>
      <c r="M153" s="36"/>
    </row>
    <row r="154" spans="1:13">
      <c r="C154" s="149" t="s">
        <v>35</v>
      </c>
      <c r="E154" s="135">
        <f>E15</f>
        <v>1623</v>
      </c>
      <c r="F154" s="139">
        <f t="shared" ref="F154:J154" si="49">F153*$D152</f>
        <v>1967.2848825747926</v>
      </c>
      <c r="G154" s="139">
        <f t="shared" si="49"/>
        <v>2367.1097043053228</v>
      </c>
      <c r="H154" s="139">
        <f t="shared" si="49"/>
        <v>2473.3504260575264</v>
      </c>
      <c r="I154" s="139">
        <f t="shared" si="49"/>
        <v>2647.4996386601215</v>
      </c>
      <c r="J154" s="139">
        <f t="shared" si="49"/>
        <v>2747.8502230532531</v>
      </c>
      <c r="K154" s="148"/>
      <c r="L154" s="36"/>
      <c r="M154" s="36"/>
    </row>
    <row r="155" spans="1:13">
      <c r="C155" s="149" t="s">
        <v>124</v>
      </c>
      <c r="E155" s="139">
        <f t="shared" ref="E155:J155" si="50">E25</f>
        <v>5196.4477699999998</v>
      </c>
      <c r="F155" s="139">
        <f t="shared" si="50"/>
        <v>6117.2002286057868</v>
      </c>
      <c r="G155" s="139">
        <f t="shared" si="50"/>
        <v>3469.8176344048338</v>
      </c>
      <c r="H155" s="139">
        <f t="shared" si="50"/>
        <v>4280.9032606982018</v>
      </c>
      <c r="I155" s="139">
        <f t="shared" si="50"/>
        <v>3689.0718661015353</v>
      </c>
      <c r="J155" s="139">
        <f t="shared" si="50"/>
        <v>3950.0400752774258</v>
      </c>
      <c r="K155" s="148"/>
      <c r="L155" s="309"/>
      <c r="M155" s="36"/>
    </row>
    <row r="156" spans="1:13">
      <c r="C156" s="149" t="s">
        <v>41</v>
      </c>
      <c r="E156" s="139">
        <f>E55</f>
        <v>0</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20419.106769999999</v>
      </c>
      <c r="F157" s="139">
        <f t="shared" ref="F157:J157" si="52">F153-F154+F155-F156</f>
        <v>24569.022116030992</v>
      </c>
      <c r="G157" s="139">
        <f t="shared" si="52"/>
        <v>25671.730046130502</v>
      </c>
      <c r="H157" s="139">
        <f t="shared" si="52"/>
        <v>27479.282880771178</v>
      </c>
      <c r="I157" s="139">
        <f t="shared" si="52"/>
        <v>28520.855108212592</v>
      </c>
      <c r="J157" s="139">
        <f t="shared" si="52"/>
        <v>29723.044960436764</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399.98800000000006</v>
      </c>
      <c r="F160" s="139">
        <f t="shared" si="53"/>
        <v>171.17973453631862</v>
      </c>
      <c r="G160" s="139">
        <f t="shared" si="53"/>
        <v>-92.707304336305242</v>
      </c>
      <c r="H160" s="139">
        <f t="shared" si="53"/>
        <v>-121.84096754617894</v>
      </c>
      <c r="I160" s="139">
        <f t="shared" si="53"/>
        <v>-200.85899657770278</v>
      </c>
      <c r="J160" s="139">
        <f t="shared" si="53"/>
        <v>-219.23020616857775</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-170.87379128058288</v>
      </c>
      <c r="G163" s="310">
        <f t="shared" ref="G163:J163" si="54">F166</f>
        <v>-410.39006220027017</v>
      </c>
      <c r="H163" s="310">
        <f t="shared" si="54"/>
        <v>-707.82695260964636</v>
      </c>
      <c r="I163" s="310">
        <f t="shared" si="54"/>
        <v>-1013.4212687177871</v>
      </c>
      <c r="J163" s="310">
        <f t="shared" si="54"/>
        <v>-1341.1406329547547</v>
      </c>
      <c r="K163" s="148"/>
      <c r="L163" s="36"/>
      <c r="M163" s="36"/>
    </row>
    <row r="164" spans="3:13">
      <c r="C164" s="149" t="s">
        <v>238</v>
      </c>
      <c r="E164" s="139">
        <f t="shared" ref="E164:J164" si="55">E160</f>
        <v>399.98800000000006</v>
      </c>
      <c r="F164" s="139">
        <f t="shared" si="55"/>
        <v>171.17973453631862</v>
      </c>
      <c r="G164" s="139">
        <f t="shared" si="55"/>
        <v>-92.707304336305242</v>
      </c>
      <c r="H164" s="139">
        <f t="shared" si="55"/>
        <v>-121.84096754617894</v>
      </c>
      <c r="I164" s="139">
        <f t="shared" si="55"/>
        <v>-200.85899657770278</v>
      </c>
      <c r="J164" s="139">
        <f t="shared" si="55"/>
        <v>-219.23020616857775</v>
      </c>
      <c r="K164" s="148"/>
      <c r="L164" s="36"/>
      <c r="M164" s="36"/>
    </row>
    <row r="165" spans="3:13">
      <c r="C165" s="149" t="s">
        <v>49</v>
      </c>
      <c r="E165" s="135">
        <f>(E11-E16)/E17</f>
        <v>969.56730426860963</v>
      </c>
      <c r="F165" s="139">
        <f>E165</f>
        <v>969.56730426860963</v>
      </c>
      <c r="G165" s="139">
        <f t="shared" ref="G165:J165" si="56">F165</f>
        <v>969.56730426860963</v>
      </c>
      <c r="H165" s="139">
        <f t="shared" si="56"/>
        <v>969.56730426860963</v>
      </c>
      <c r="I165" s="139">
        <f t="shared" si="56"/>
        <v>969.56730426860963</v>
      </c>
      <c r="J165" s="139">
        <f t="shared" si="56"/>
        <v>969.56730426860963</v>
      </c>
      <c r="K165" s="148"/>
      <c r="L165" s="36"/>
      <c r="M165" s="36"/>
    </row>
    <row r="166" spans="3:13">
      <c r="C166" s="149" t="s">
        <v>266</v>
      </c>
      <c r="E166" s="310">
        <f t="shared" ref="E166:J166" si="57">E163+(E164-E165)*E52</f>
        <v>-170.87379128058288</v>
      </c>
      <c r="F166" s="310">
        <f t="shared" si="57"/>
        <v>-410.39006220027017</v>
      </c>
      <c r="G166" s="310">
        <f t="shared" si="57"/>
        <v>-707.82695260964636</v>
      </c>
      <c r="H166" s="310">
        <f t="shared" si="57"/>
        <v>-1013.4212687177871</v>
      </c>
      <c r="I166" s="310">
        <f t="shared" si="57"/>
        <v>-1341.1406329547547</v>
      </c>
      <c r="J166" s="310">
        <f t="shared" si="57"/>
        <v>-1674.0039358771671</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42857</v>
      </c>
      <c r="F169" s="139">
        <f t="shared" si="58"/>
        <v>46598.17708912136</v>
      </c>
      <c r="G169" s="139">
        <f t="shared" si="58"/>
        <v>51227.403576451034</v>
      </c>
      <c r="H169" s="139">
        <f t="shared" si="58"/>
        <v>53300.376996744621</v>
      </c>
      <c r="I169" s="139">
        <f t="shared" si="58"/>
        <v>56092.557717104501</v>
      </c>
      <c r="J169" s="139">
        <f t="shared" si="58"/>
        <v>58187.073704907183</v>
      </c>
      <c r="K169" s="148"/>
      <c r="L169" s="36"/>
      <c r="M169" s="36"/>
    </row>
    <row r="170" spans="3:13">
      <c r="C170" s="149" t="s">
        <v>124</v>
      </c>
      <c r="E170" s="139">
        <f t="shared" ref="E170:J170" si="59">E25</f>
        <v>5196.4477699999998</v>
      </c>
      <c r="F170" s="139">
        <f t="shared" si="59"/>
        <v>6117.2002286057868</v>
      </c>
      <c r="G170" s="139">
        <f t="shared" si="59"/>
        <v>3469.8176344048338</v>
      </c>
      <c r="H170" s="139">
        <f t="shared" si="59"/>
        <v>4280.9032606982018</v>
      </c>
      <c r="I170" s="139">
        <f t="shared" si="59"/>
        <v>3689.0718661015353</v>
      </c>
      <c r="J170" s="139">
        <f t="shared" si="59"/>
        <v>3950.0400752774258</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738.59111040193989</v>
      </c>
      <c r="F172" s="95">
        <f t="shared" si="61"/>
        <v>926.5982354101443</v>
      </c>
      <c r="G172" s="95">
        <f t="shared" si="61"/>
        <v>1256.8577331598058</v>
      </c>
      <c r="H172" s="95">
        <f t="shared" si="61"/>
        <v>1310.5511136109653</v>
      </c>
      <c r="I172" s="95">
        <f t="shared" si="61"/>
        <v>1385.7210364539178</v>
      </c>
      <c r="J172" s="95">
        <f t="shared" si="61"/>
        <v>1444.4984629541627</v>
      </c>
      <c r="K172" s="148"/>
      <c r="L172" s="36"/>
      <c r="M172" s="36"/>
    </row>
    <row r="173" spans="3:13">
      <c r="C173" s="149" t="s">
        <v>334</v>
      </c>
      <c r="E173" s="139">
        <f t="shared" ref="E173:J173" si="62">E169*WACC+E170*($D$46-1)+E171-E172</f>
        <v>3242.4197903038576</v>
      </c>
      <c r="F173" s="139">
        <f t="shared" si="62"/>
        <v>3421.9299039534289</v>
      </c>
      <c r="G173" s="139">
        <f t="shared" si="62"/>
        <v>3384.3231594512486</v>
      </c>
      <c r="H173" s="139">
        <f t="shared" si="62"/>
        <v>3547.1508861313305</v>
      </c>
      <c r="I173" s="139">
        <f t="shared" si="62"/>
        <v>3691.5198134306629</v>
      </c>
      <c r="J173" s="139">
        <f t="shared" si="62"/>
        <v>3827.6030899309358</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1495.366444</v>
      </c>
      <c r="F176" s="310">
        <f t="shared" si="63"/>
        <v>1625.9035949936224</v>
      </c>
      <c r="G176" s="310">
        <f t="shared" si="63"/>
        <v>1787.4265655895294</v>
      </c>
      <c r="H176" s="310">
        <f t="shared" si="63"/>
        <v>1859.7567541704132</v>
      </c>
      <c r="I176" s="310">
        <f t="shared" si="63"/>
        <v>1957.1815238652102</v>
      </c>
      <c r="J176" s="310">
        <f t="shared" si="63"/>
        <v>2030.2633757116212</v>
      </c>
      <c r="K176" s="148"/>
      <c r="L176" s="36"/>
      <c r="M176" s="36"/>
    </row>
    <row r="177" spans="3:13">
      <c r="C177" s="149" t="s">
        <v>52</v>
      </c>
      <c r="E177" s="310">
        <f t="shared" ref="E177:J177" si="64">E142-E144</f>
        <v>0</v>
      </c>
      <c r="F177" s="310">
        <f t="shared" si="64"/>
        <v>36.59108865545204</v>
      </c>
      <c r="G177" s="310">
        <f t="shared" si="64"/>
        <v>81.862656892656105</v>
      </c>
      <c r="H177" s="310">
        <f t="shared" si="64"/>
        <v>142.1698793298051</v>
      </c>
      <c r="I177" s="310">
        <f t="shared" si="64"/>
        <v>205.91690843338984</v>
      </c>
      <c r="J177" s="310">
        <f t="shared" si="64"/>
        <v>273.8522832232743</v>
      </c>
      <c r="K177" s="148"/>
      <c r="L177" s="36"/>
      <c r="M177" s="36"/>
    </row>
    <row r="178" spans="3:13">
      <c r="C178" s="149" t="s">
        <v>53</v>
      </c>
      <c r="E178" s="310">
        <f t="shared" ref="E178:J178" si="65">E165+E177-E176</f>
        <v>-525.79913973139037</v>
      </c>
      <c r="F178" s="310">
        <f t="shared" si="65"/>
        <v>-619.74520206956072</v>
      </c>
      <c r="G178" s="310">
        <f t="shared" si="65"/>
        <v>-735.99660442826371</v>
      </c>
      <c r="H178" s="310">
        <f t="shared" si="65"/>
        <v>-748.01957057199843</v>
      </c>
      <c r="I178" s="310">
        <f t="shared" si="65"/>
        <v>-781.69731116321077</v>
      </c>
      <c r="J178" s="310">
        <f t="shared" si="65"/>
        <v>-786.84378821973723</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2022.9880000000001</v>
      </c>
      <c r="F181" s="139">
        <f t="shared" si="66"/>
        <v>2175.0557057665633</v>
      </c>
      <c r="G181" s="139">
        <f t="shared" si="66"/>
        <v>2356.2650568616737</v>
      </c>
      <c r="H181" s="139">
        <f t="shared" si="66"/>
        <v>2493.6793378411526</v>
      </c>
      <c r="I181" s="139">
        <f t="shared" si="66"/>
        <v>2652.5575505158085</v>
      </c>
      <c r="J181" s="139">
        <f t="shared" si="66"/>
        <v>2802.4723001079496</v>
      </c>
      <c r="K181" s="148"/>
      <c r="L181" s="36"/>
      <c r="M181" s="36"/>
    </row>
    <row r="182" spans="3:13">
      <c r="C182" s="149" t="s">
        <v>275</v>
      </c>
      <c r="E182" s="139">
        <f>E55</f>
        <v>0</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2022.9880000000001</v>
      </c>
      <c r="F183" s="95">
        <f>F181+F182</f>
        <v>2175.0557057665633</v>
      </c>
      <c r="G183" s="95">
        <f t="shared" ref="G183:J183" si="68">G181+G182</f>
        <v>2356.2650568616737</v>
      </c>
      <c r="H183" s="95">
        <f t="shared" si="68"/>
        <v>2493.6793378411526</v>
      </c>
      <c r="I183" s="95">
        <f t="shared" si="68"/>
        <v>2652.5575505158085</v>
      </c>
      <c r="J183" s="95">
        <f t="shared" si="68"/>
        <v>2802.4723001079496</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23.558760919341299</v>
      </c>
      <c r="F186" s="139">
        <f t="shared" ref="F186:J186" si="69">F40</f>
        <v>24.611066557488723</v>
      </c>
      <c r="G186" s="139">
        <f t="shared" si="69"/>
        <v>24.997627812318392</v>
      </c>
      <c r="H186" s="139">
        <f t="shared" si="69"/>
        <v>25.470091568221314</v>
      </c>
      <c r="I186" s="139">
        <f t="shared" si="69"/>
        <v>26.006982199929183</v>
      </c>
      <c r="J186" s="139">
        <f t="shared" si="69"/>
        <v>26.586824082173685</v>
      </c>
      <c r="K186" s="148"/>
      <c r="L186" s="36"/>
      <c r="M186" s="36"/>
    </row>
    <row r="187" spans="3:13">
      <c r="E187" s="36"/>
      <c r="F187" s="95"/>
      <c r="G187" s="95"/>
      <c r="H187" s="95"/>
      <c r="I187" s="95"/>
      <c r="J187" s="95"/>
      <c r="K187" s="148"/>
      <c r="L187" s="36"/>
      <c r="M187" s="36"/>
    </row>
    <row r="188" spans="3:13" ht="15.75">
      <c r="C188" s="5" t="s">
        <v>297</v>
      </c>
      <c r="E188" s="139">
        <f t="shared" ref="E188:J188" si="70">E24</f>
        <v>2559</v>
      </c>
      <c r="F188" s="139">
        <f t="shared" si="70"/>
        <v>2650.2954923736065</v>
      </c>
      <c r="G188" s="139">
        <f t="shared" si="70"/>
        <v>2745.0028593141055</v>
      </c>
      <c r="H188" s="139">
        <f t="shared" si="70"/>
        <v>2853.8675330171586</v>
      </c>
      <c r="I188" s="139">
        <f t="shared" si="70"/>
        <v>2955.4071073712107</v>
      </c>
      <c r="J188" s="139">
        <f t="shared" si="70"/>
        <v>3058.6629907932675</v>
      </c>
      <c r="K188" s="148"/>
      <c r="L188" s="309"/>
      <c r="M188" s="36"/>
    </row>
    <row r="189" spans="3:13">
      <c r="C189" s="149" t="s">
        <v>298</v>
      </c>
      <c r="E189" s="139">
        <f t="shared" ref="E189:J189" si="71">E188*$D$44</f>
        <v>2668.546885680742</v>
      </c>
      <c r="F189" s="139">
        <f t="shared" si="71"/>
        <v>2763.7505987914406</v>
      </c>
      <c r="G189" s="139">
        <f t="shared" si="71"/>
        <v>2862.5122436136726</v>
      </c>
      <c r="H189" s="139">
        <f t="shared" si="71"/>
        <v>2976.0372479008674</v>
      </c>
      <c r="I189" s="139">
        <f t="shared" si="71"/>
        <v>3081.9235765119865</v>
      </c>
      <c r="J189" s="139">
        <f t="shared" si="71"/>
        <v>3189.5996867637036</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-170.87379128058288</v>
      </c>
      <c r="F192" s="310">
        <f t="shared" si="72"/>
        <v>-239.51627091968729</v>
      </c>
      <c r="G192" s="310">
        <f t="shared" si="72"/>
        <v>-297.43689040937619</v>
      </c>
      <c r="H192" s="310">
        <f t="shared" si="72"/>
        <v>-305.59431610814079</v>
      </c>
      <c r="I192" s="310">
        <f t="shared" si="72"/>
        <v>-327.71936423696752</v>
      </c>
      <c r="J192" s="310">
        <f t="shared" si="72"/>
        <v>-332.86330292241246</v>
      </c>
      <c r="K192" s="148"/>
      <c r="L192" s="309"/>
      <c r="M192" s="36"/>
    </row>
    <row r="193" spans="2:15">
      <c r="C193" s="149" t="s">
        <v>285</v>
      </c>
      <c r="E193" s="36"/>
      <c r="F193" s="310">
        <f>(F173+F183+F189+((F186-F188-F142+F178)*F52+F192)*$D45-F192-F186*$D47)/($D48-F52*$D45)</f>
        <v>9183.6621283673667</v>
      </c>
      <c r="G193" s="310">
        <f>(G173+G183+G189+((G186-G188-G142+G178)*G52+G192)*$D45-G192-G186*$D47)/($D48-G52*$D45)</f>
        <v>9246.4089587369162</v>
      </c>
      <c r="H193" s="310">
        <f>(H173+H183+H189+((H186-H188-H142+H178)*H52+H192)*$D45-H192-H186*$D47)/($D48-H52*$D45)</f>
        <v>9701.0311124447653</v>
      </c>
      <c r="I193" s="310">
        <f>(I173+I183+I189+((I186-I188-I142+I178)*I52+I192)*$D45-I192-I186*$D47)/($D48-I52*$D45)</f>
        <v>10134.471970570425</v>
      </c>
      <c r="J193" s="310">
        <f>(J173+J183+J189+((J186-J188-J142+J178)*J52+J192)*$D45-J192-J186*$D47)/($D48-J52*$D45)</f>
        <v>10562.099034595078</v>
      </c>
      <c r="K193" s="148"/>
      <c r="L193" s="309"/>
      <c r="M193" s="36"/>
    </row>
    <row r="194" spans="2:15">
      <c r="C194" s="149" t="s">
        <v>293</v>
      </c>
      <c r="E194" s="36"/>
      <c r="F194" s="310">
        <f>(F193+F186-F188-F181+F178)*F52</f>
        <v>1128.9530384145373</v>
      </c>
      <c r="G194" s="310">
        <f>(G193+G186-G188-G181+G178)*G52</f>
        <v>961.55977846465373</v>
      </c>
      <c r="H194" s="310">
        <f>(H193+H186-H188-H181+H178)*H52</f>
        <v>1016.6617335231492</v>
      </c>
      <c r="I194" s="310">
        <f>(I193+I186-I188-I181+I178)*I52</f>
        <v>1055.8287554416347</v>
      </c>
      <c r="J194" s="310">
        <f>(J193+J186-J188-J181+J178)*J52</f>
        <v>1103.3978982757631</v>
      </c>
      <c r="K194" s="148"/>
      <c r="L194" s="309"/>
      <c r="M194" s="36"/>
    </row>
    <row r="195" spans="2:15">
      <c r="C195" s="149" t="s">
        <v>277</v>
      </c>
      <c r="E195" s="36"/>
      <c r="F195" s="310">
        <f>IF(F194&lt;0,#N/A,F194)</f>
        <v>1128.9530384145373</v>
      </c>
      <c r="G195" s="310">
        <f t="shared" ref="G195:J195" si="73">IF(G194&lt;0,#N/A,G194)</f>
        <v>961.55977846465373</v>
      </c>
      <c r="H195" s="310">
        <f t="shared" si="73"/>
        <v>1016.6617335231492</v>
      </c>
      <c r="I195" s="310">
        <f>IF(I194&lt;0,#N/A,I194)</f>
        <v>1055.8287554416347</v>
      </c>
      <c r="J195" s="310">
        <f t="shared" si="73"/>
        <v>1103.3978982757631</v>
      </c>
      <c r="K195" s="148"/>
      <c r="L195" s="309"/>
      <c r="M195" s="36"/>
    </row>
    <row r="196" spans="2:15">
      <c r="C196" s="149" t="s">
        <v>286</v>
      </c>
      <c r="E196" s="36"/>
      <c r="F196" s="310">
        <f>F173+F183+F189+(F195+F192)*$D$45-F192-F186*$D$47</f>
        <v>9502.1000491431405</v>
      </c>
      <c r="G196" s="310">
        <f>G173+G183+G189+(G195+G192)*$D$45-G192-G186*$D$47</f>
        <v>9567.0225878432939</v>
      </c>
      <c r="H196" s="310">
        <f>H173+H183+H189+(H195+H192)*$D$45-H192-H186*$D$47</f>
        <v>10037.408489317751</v>
      </c>
      <c r="I196" s="310">
        <f>I173+I183+I189+(I195+I192)*$D$45-I192-I186*$D$47</f>
        <v>10485.878646617482</v>
      </c>
      <c r="J196" s="310">
        <f>J173+J183+J189+(J195+J192)*$D$45-J192-J186*$D$47</f>
        <v>10928.333420027786</v>
      </c>
      <c r="K196" s="148"/>
      <c r="L196" s="309"/>
      <c r="M196" s="36"/>
    </row>
    <row r="197" spans="2:15">
      <c r="C197" s="149" t="s">
        <v>287</v>
      </c>
      <c r="E197" s="36"/>
      <c r="F197" s="310">
        <f>F196/$D$48</f>
        <v>9183.6621283673667</v>
      </c>
      <c r="G197" s="310">
        <f t="shared" ref="G197:J197" si="74">G196/$D$48</f>
        <v>9246.4089587369144</v>
      </c>
      <c r="H197" s="310">
        <f t="shared" si="74"/>
        <v>9701.0311124447653</v>
      </c>
      <c r="I197" s="310">
        <f t="shared" si="74"/>
        <v>10134.471970570426</v>
      </c>
      <c r="J197" s="310">
        <f t="shared" si="74"/>
        <v>10562.099034595078</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889.43676749485007</v>
      </c>
      <c r="G199" s="310">
        <f t="shared" ref="G199:J199" si="75">G195+G192</f>
        <v>664.1228880552776</v>
      </c>
      <c r="H199" s="310">
        <f t="shared" si="75"/>
        <v>711.06741741500844</v>
      </c>
      <c r="I199" s="310">
        <f t="shared" si="75"/>
        <v>728.10939120466719</v>
      </c>
      <c r="J199" s="310">
        <f t="shared" si="75"/>
        <v>770.5345953533506</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10037.408489317751</v>
      </c>
      <c r="I204" s="310">
        <f>I196</f>
        <v>10485.878646617482</v>
      </c>
      <c r="J204" s="310">
        <f>J196</f>
        <v>10928.333420027786</v>
      </c>
      <c r="K204" s="148"/>
      <c r="L204" s="36"/>
      <c r="M204" s="36"/>
    </row>
    <row r="205" spans="2:15">
      <c r="B205" s="149" t="s">
        <v>247</v>
      </c>
      <c r="C205" s="149" t="s">
        <v>249</v>
      </c>
      <c r="D205" s="155"/>
      <c r="E205" s="36"/>
      <c r="F205" s="310"/>
      <c r="G205" s="310"/>
      <c r="H205" s="310">
        <f>H204/(1+WACC)^H$203</f>
        <v>9228.103787181899</v>
      </c>
      <c r="I205" s="310">
        <f>I204/(1+WACC)^I$203</f>
        <v>8863.1187933244655</v>
      </c>
      <c r="J205" s="310">
        <f>J204/(1+WACC)^J$203</f>
        <v>8492.3239232124051</v>
      </c>
      <c r="K205" s="148"/>
      <c r="L205" s="36"/>
      <c r="M205" s="36"/>
    </row>
    <row r="206" spans="2:15">
      <c r="B206" s="149" t="s">
        <v>247</v>
      </c>
      <c r="C206" s="149" t="s">
        <v>159</v>
      </c>
      <c r="D206" s="92">
        <f>SUM(H205:J205)</f>
        <v>26583.546503718768</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26583.546503718768</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1.0260659562176364</v>
      </c>
      <c r="J211" s="316">
        <f>I211*(1+J$31)*(1+J$26)*(1-X_industry_wide)</f>
        <v>1.053357600206672</v>
      </c>
      <c r="K211" s="148"/>
      <c r="L211" s="36" t="s">
        <v>509</v>
      </c>
      <c r="M211" s="36"/>
    </row>
    <row r="212" spans="1:13">
      <c r="C212" s="149" t="s">
        <v>160</v>
      </c>
      <c r="D212" s="155"/>
      <c r="E212" s="36"/>
      <c r="F212" s="317"/>
      <c r="G212" s="316"/>
      <c r="H212" s="316">
        <f>H211/(1+WACC)^H$203</f>
        <v>0.91937115013330895</v>
      </c>
      <c r="I212" s="316">
        <f>I211/(1+WACC)^I$203</f>
        <v>0.86727538685339889</v>
      </c>
      <c r="J212" s="316">
        <f>J211/(1+WACC)^J$203</f>
        <v>0.81855609671817509</v>
      </c>
      <c r="K212" s="148"/>
      <c r="L212" s="36" t="s">
        <v>280</v>
      </c>
      <c r="M212" s="36"/>
    </row>
    <row r="213" spans="1:13">
      <c r="C213" s="149" t="s">
        <v>99</v>
      </c>
      <c r="D213" s="140">
        <f>SUM(H212:J212)</f>
        <v>2.6052026337048826</v>
      </c>
      <c r="E213" s="36"/>
      <c r="F213" s="317"/>
      <c r="G213" s="316"/>
      <c r="H213" s="316"/>
      <c r="I213" s="316"/>
      <c r="J213" s="316"/>
      <c r="K213" s="148"/>
      <c r="L213" s="36" t="s">
        <v>510</v>
      </c>
      <c r="M213" s="36"/>
    </row>
    <row r="214" spans="1:13">
      <c r="C214" s="149" t="s">
        <v>256</v>
      </c>
      <c r="D214" s="26">
        <f>D210/D213</f>
        <v>10204.022581504174</v>
      </c>
      <c r="E214" s="36"/>
      <c r="F214" s="317"/>
      <c r="G214" s="316"/>
      <c r="H214" s="310"/>
      <c r="I214" s="310"/>
      <c r="J214" s="310"/>
      <c r="K214" s="148"/>
      <c r="L214" s="36"/>
      <c r="M214" s="36"/>
    </row>
    <row r="215" spans="1:13">
      <c r="C215" s="149" t="s">
        <v>252</v>
      </c>
      <c r="D215" s="26"/>
      <c r="E215" s="36"/>
      <c r="F215" s="317"/>
      <c r="G215" s="316"/>
      <c r="H215" s="310">
        <f t="shared" ref="H215:J215" si="76">$D214*H211</f>
        <v>10204.022581504174</v>
      </c>
      <c r="I215" s="310">
        <f t="shared" si="76"/>
        <v>10470.000187357435</v>
      </c>
      <c r="J215" s="310">
        <f t="shared" si="76"/>
        <v>10748.484738907928</v>
      </c>
      <c r="K215" s="148"/>
      <c r="L215" s="36" t="s">
        <v>243</v>
      </c>
      <c r="M215" s="36"/>
    </row>
    <row r="216" spans="1:13">
      <c r="C216" s="149" t="s">
        <v>253</v>
      </c>
      <c r="D216" s="26"/>
      <c r="E216" s="36"/>
      <c r="F216" s="317"/>
      <c r="G216" s="316"/>
      <c r="H216" s="247">
        <f t="shared" ref="H216:J216" si="77">H215/$D$48</f>
        <v>9862.0615710329948</v>
      </c>
      <c r="I216" s="247">
        <f t="shared" si="77"/>
        <v>10119.125636159175</v>
      </c>
      <c r="J216" s="247">
        <f t="shared" si="77"/>
        <v>10388.277509553756</v>
      </c>
      <c r="K216" s="148"/>
      <c r="L216" s="36" t="s">
        <v>245</v>
      </c>
      <c r="M216" s="36"/>
    </row>
    <row r="217" spans="1:13">
      <c r="C217" s="149" t="s">
        <v>252</v>
      </c>
      <c r="D217" s="26"/>
      <c r="E217" s="36"/>
      <c r="F217" s="317"/>
      <c r="G217" s="316"/>
      <c r="H217" s="247">
        <f>H216*$D$48</f>
        <v>10204.022581504174</v>
      </c>
      <c r="I217" s="247">
        <f t="shared" ref="I217:J217" si="78">I216*$D$48</f>
        <v>10470.000187357435</v>
      </c>
      <c r="J217" s="247">
        <f t="shared" si="78"/>
        <v>10748.484738907928</v>
      </c>
      <c r="K217" s="148"/>
      <c r="L217" s="36" t="s">
        <v>299</v>
      </c>
      <c r="M217" s="36"/>
    </row>
    <row r="218" spans="1:13">
      <c r="C218" s="149" t="s">
        <v>254</v>
      </c>
      <c r="D218" s="155"/>
      <c r="E218" s="36"/>
      <c r="F218" s="317"/>
      <c r="G218" s="316"/>
      <c r="H218" s="310">
        <f>H215/(1+WACC)^H$203</f>
        <v>9381.283976743749</v>
      </c>
      <c r="I218" s="310">
        <f>I215/(1+WACC)^I$203</f>
        <v>8849.6976318348497</v>
      </c>
      <c r="J218" s="310">
        <f>J215/(1+WACC)^J$203</f>
        <v>8352.5648951401745</v>
      </c>
      <c r="K218" s="148"/>
      <c r="L218" s="36" t="s">
        <v>246</v>
      </c>
      <c r="M218" s="36"/>
    </row>
    <row r="219" spans="1:13">
      <c r="C219" s="149" t="s">
        <v>255</v>
      </c>
      <c r="D219" s="26">
        <f>SUM(H218:J218)</f>
        <v>26583.546503718775</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17202.262526975024</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6.1569151502346708E-3</v>
      </c>
      <c r="G226" s="204">
        <f t="shared" ref="G226:J226" si="80">G$26</f>
        <v>-1.7221490488552354E-2</v>
      </c>
      <c r="H226" s="204">
        <f t="shared" si="80"/>
        <v>1.7777998598412872E-3</v>
      </c>
      <c r="I226" s="204">
        <f t="shared" si="80"/>
        <v>1.5755492378383821E-3</v>
      </c>
      <c r="J226" s="204">
        <f t="shared" si="80"/>
        <v>2.2772942000778263E-3</v>
      </c>
      <c r="K226" s="148"/>
      <c r="L226" s="36"/>
      <c r="M226" s="36"/>
    </row>
    <row r="227" spans="1:14">
      <c r="A227" s="19"/>
      <c r="B227" s="19" t="s">
        <v>263</v>
      </c>
      <c r="C227" s="149" t="s">
        <v>411</v>
      </c>
      <c r="E227" s="163">
        <f>E$8-E$9-E$10</f>
        <v>6312</v>
      </c>
      <c r="F227" s="247">
        <f>E227*(1+F225)*(1+F226)*(1-X_industry_wide)</f>
        <v>6507.4136915277222</v>
      </c>
      <c r="G227" s="247">
        <f>F227*(1+G225)*(1+G226)*(1-X_industry_wide)</f>
        <v>6509.2583496529287</v>
      </c>
      <c r="H227" s="320">
        <f>G227*(1+H225)*(1+H226)*(1-X_industry_wide)</f>
        <v>6820.1959088399299</v>
      </c>
      <c r="I227" s="247">
        <f>H227*(1+I225)*(1+I226)*(1-X_industry_wide)</f>
        <v>6997.9708367954545</v>
      </c>
      <c r="J227" s="247">
        <f>I227*(1+J225)*(1+J226)*(1-X_industry_wide)</f>
        <v>7184.105195474991</v>
      </c>
      <c r="K227" s="148"/>
      <c r="L227" s="300"/>
      <c r="M227" s="36"/>
    </row>
    <row r="228" spans="1:14">
      <c r="A228" s="19"/>
      <c r="B228" s="19"/>
      <c r="C228" s="149" t="s">
        <v>358</v>
      </c>
      <c r="E228" s="215"/>
      <c r="F228" s="247"/>
      <c r="G228" s="320">
        <f>G227*$D$48</f>
        <v>6734.9629395738903</v>
      </c>
      <c r="H228" s="320">
        <f>H227*$D$48</f>
        <v>7056.6820702575997</v>
      </c>
      <c r="I228" s="320">
        <f>I227*$D$48</f>
        <v>7240.6212361427142</v>
      </c>
      <c r="J228" s="320">
        <f>J227*$D$48</f>
        <v>7433.2096909479951</v>
      </c>
      <c r="K228" s="148"/>
      <c r="L228" s="300"/>
      <c r="M228" s="36"/>
    </row>
    <row r="229" spans="1:14">
      <c r="A229" s="19"/>
      <c r="B229" s="19" t="s">
        <v>263</v>
      </c>
      <c r="C229" s="149" t="s">
        <v>335</v>
      </c>
      <c r="D229" s="92">
        <f>H227</f>
        <v>6820.1959088399299</v>
      </c>
      <c r="E229" s="36"/>
      <c r="F229" s="247"/>
      <c r="G229" s="310"/>
      <c r="H229" s="310"/>
      <c r="I229" s="310"/>
      <c r="J229" s="310"/>
      <c r="K229" s="148"/>
      <c r="L229" s="300"/>
      <c r="M229" s="36"/>
    </row>
    <row r="230" spans="1:14">
      <c r="B230" s="19" t="s">
        <v>263</v>
      </c>
      <c r="C230" s="149" t="s">
        <v>336</v>
      </c>
      <c r="D230" s="92">
        <f>D214/D48</f>
        <v>9862.0615710329948</v>
      </c>
      <c r="E230" s="36"/>
      <c r="F230" s="321"/>
      <c r="G230" s="310"/>
      <c r="H230" s="310"/>
      <c r="I230" s="310"/>
      <c r="J230" s="310"/>
      <c r="K230" s="148"/>
      <c r="L230" s="36"/>
      <c r="M230" s="36"/>
    </row>
    <row r="231" spans="1:14">
      <c r="B231" s="19" t="s">
        <v>263</v>
      </c>
      <c r="C231" s="149" t="s">
        <v>329</v>
      </c>
      <c r="D231" s="32">
        <f>(D230-D229)/D229</f>
        <v>0.44600854621351577</v>
      </c>
      <c r="E231" s="36"/>
      <c r="F231" s="247"/>
      <c r="G231" s="310"/>
      <c r="H231" s="310"/>
      <c r="I231" s="310"/>
      <c r="J231" s="310"/>
      <c r="K231" s="310"/>
      <c r="L231" s="310"/>
      <c r="M231" s="310"/>
      <c r="N231" s="19"/>
    </row>
    <row r="232" spans="1:14">
      <c r="C232" s="149" t="s">
        <v>452</v>
      </c>
      <c r="D232" s="125">
        <f>NPV(WACC,H228:J228)</f>
        <v>18384.086714653124</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3041.865662193065</v>
      </c>
      <c r="F235" s="36"/>
      <c r="G235" s="36"/>
      <c r="H235" s="36"/>
      <c r="I235" s="310"/>
      <c r="J235" s="310"/>
      <c r="K235" s="148"/>
      <c r="L235" s="36"/>
      <c r="M235" s="36"/>
    </row>
    <row r="236" spans="1:14">
      <c r="C236" s="149" t="s">
        <v>341</v>
      </c>
      <c r="D236" s="94"/>
      <c r="E236" s="310">
        <f>H217-H228</f>
        <v>3147.3405112465744</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17202.262526975024</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-0.15</v>
      </c>
      <c r="K243" s="148"/>
      <c r="L243" s="36"/>
      <c r="M243" s="36"/>
    </row>
    <row r="244" spans="1:13">
      <c r="A244" s="155"/>
      <c r="B244" s="155" t="s">
        <v>264</v>
      </c>
      <c r="C244" s="149" t="s">
        <v>257</v>
      </c>
      <c r="D244" s="155"/>
      <c r="E244" s="36"/>
      <c r="F244" s="317"/>
      <c r="G244" s="316"/>
      <c r="H244" s="316"/>
      <c r="I244" s="162">
        <v>1</v>
      </c>
      <c r="J244" s="316">
        <f>I244*(1+J$31)*(1+J$26)*(1-J243)</f>
        <v>1.1805880829562712</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0.9174259271752272</v>
      </c>
      <c r="K245" s="148"/>
      <c r="L245" s="36" t="s">
        <v>280</v>
      </c>
      <c r="M245" s="36"/>
    </row>
    <row r="246" spans="1:13">
      <c r="A246" s="155"/>
      <c r="B246" s="155" t="s">
        <v>264</v>
      </c>
      <c r="C246" s="149" t="s">
        <v>99</v>
      </c>
      <c r="D246" s="140">
        <f>SUM(I245:J245)</f>
        <v>1.7626692388726704</v>
      </c>
      <c r="E246" s="36"/>
      <c r="F246" s="317"/>
      <c r="G246" s="316"/>
      <c r="H246" s="316"/>
      <c r="I246" s="316"/>
      <c r="J246" s="316"/>
      <c r="K246" s="148"/>
      <c r="L246" s="36" t="s">
        <v>510</v>
      </c>
      <c r="M246" s="36"/>
    </row>
    <row r="247" spans="1:13">
      <c r="A247" s="155"/>
      <c r="B247" s="155" t="s">
        <v>264</v>
      </c>
      <c r="C247" s="149" t="s">
        <v>256</v>
      </c>
      <c r="D247" s="26">
        <f>D242/D246</f>
        <v>9759.2118518939333</v>
      </c>
      <c r="E247" s="36"/>
      <c r="F247" s="317"/>
      <c r="G247" s="316"/>
      <c r="H247" s="310"/>
      <c r="I247" s="310"/>
      <c r="J247" s="310"/>
      <c r="K247" s="148"/>
      <c r="L247" s="36"/>
      <c r="M247" s="36"/>
    </row>
    <row r="248" spans="1:13">
      <c r="A248" s="155"/>
      <c r="B248" s="155" t="s">
        <v>264</v>
      </c>
      <c r="C248" s="149" t="s">
        <v>252</v>
      </c>
      <c r="D248" s="26"/>
      <c r="E248" s="36"/>
      <c r="F248" s="317"/>
      <c r="G248" s="316"/>
      <c r="H248" s="163">
        <f>H215</f>
        <v>10204.022581504174</v>
      </c>
      <c r="I248" s="310">
        <f t="shared" ref="I248:J248" si="81">$D247*I244</f>
        <v>9759.2118518939333</v>
      </c>
      <c r="J248" s="310">
        <f t="shared" si="81"/>
        <v>11521.60921139158</v>
      </c>
      <c r="K248" s="148"/>
      <c r="L248" s="36" t="s">
        <v>243</v>
      </c>
      <c r="M248" s="36"/>
    </row>
    <row r="249" spans="1:13">
      <c r="A249" s="155"/>
      <c r="B249" s="155" t="s">
        <v>264</v>
      </c>
      <c r="C249" s="149" t="s">
        <v>253</v>
      </c>
      <c r="D249" s="26"/>
      <c r="E249" s="36"/>
      <c r="F249" s="317"/>
      <c r="G249" s="316"/>
      <c r="H249" s="247">
        <f>H248/$D$48</f>
        <v>9862.0615710329948</v>
      </c>
      <c r="I249" s="247">
        <f>I248/$D$48</f>
        <v>9432.1575044912624</v>
      </c>
      <c r="J249" s="247">
        <f>J248/$D$48</f>
        <v>11135.492746368947</v>
      </c>
      <c r="K249" s="148"/>
      <c r="L249" s="36" t="s">
        <v>245</v>
      </c>
      <c r="M249" s="36"/>
    </row>
    <row r="250" spans="1:13">
      <c r="A250" s="155"/>
      <c r="B250" s="155" t="s">
        <v>264</v>
      </c>
      <c r="C250" s="149" t="s">
        <v>370</v>
      </c>
      <c r="D250" s="155"/>
      <c r="E250" s="36"/>
      <c r="F250" s="317"/>
      <c r="G250" s="316"/>
      <c r="H250" s="310"/>
      <c r="I250" s="310">
        <f>I248/(1+WACC)^I$203</f>
        <v>8248.9085452517666</v>
      </c>
      <c r="J250" s="310">
        <f>J248/(1+WACC)^J$203</f>
        <v>8953.3539817232577</v>
      </c>
      <c r="K250" s="148"/>
      <c r="L250" s="36" t="s">
        <v>299</v>
      </c>
      <c r="M250" s="36"/>
    </row>
    <row r="251" spans="1:13">
      <c r="A251" s="155"/>
      <c r="B251" s="155" t="s">
        <v>264</v>
      </c>
      <c r="C251" s="149" t="s">
        <v>255</v>
      </c>
      <c r="D251" s="26">
        <f>SUM(I250:J250)</f>
        <v>17202.262526975024</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1061.7502619278534</v>
      </c>
      <c r="I253" s="324">
        <f>(I249+I186-I$188-I$181+I$178)*I$52</f>
        <v>859.18070493946936</v>
      </c>
      <c r="J253" s="324">
        <f>(J249+J186-J$188-J$181+J$178)*J$52</f>
        <v>1263.9481375724465</v>
      </c>
      <c r="K253" s="247"/>
      <c r="L253" s="36"/>
      <c r="M253" s="36"/>
    </row>
    <row r="254" spans="1:13">
      <c r="A254" s="155"/>
      <c r="B254" s="214" t="s">
        <v>264</v>
      </c>
      <c r="C254" s="143" t="s">
        <v>325</v>
      </c>
      <c r="D254" s="214"/>
      <c r="E254" s="36"/>
      <c r="F254" s="322"/>
      <c r="G254" s="323"/>
      <c r="H254" s="324">
        <f>H253+H192</f>
        <v>756.15594581971266</v>
      </c>
      <c r="I254" s="324">
        <f>I253+I192</f>
        <v>531.46134070250184</v>
      </c>
      <c r="J254" s="324">
        <f>J253+J192</f>
        <v>931.08483465003405</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9409.7758116959303</v>
      </c>
      <c r="G257" s="138">
        <f>H257/((1+H32)*(1+H26)*(1+X_industry_wide))</f>
        <v>9412.4432031098204</v>
      </c>
      <c r="H257" s="310">
        <f>H249</f>
        <v>9862.0615710329948</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1.0033561501088941</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7056.6820702575997</v>
      </c>
      <c r="I266" s="334">
        <f>H266*(1+I$225)*(1+I$226)*(1+$E265)</f>
        <v>8326.7144215641201</v>
      </c>
      <c r="J266" s="247">
        <f>I266*(1+J$225)*(1+J$226)*(1-$J243)</f>
        <v>9830.4198162787216</v>
      </c>
      <c r="K266" s="36"/>
      <c r="L266" s="36"/>
      <c r="M266" s="36"/>
    </row>
    <row r="267" spans="3:14">
      <c r="C267" s="149" t="s">
        <v>409</v>
      </c>
      <c r="D267" s="94"/>
      <c r="E267" s="36"/>
      <c r="F267" s="36"/>
      <c r="G267" s="36"/>
      <c r="H267" s="247">
        <f>H266/$D$48</f>
        <v>6820.1959088399299</v>
      </c>
      <c r="I267" s="247">
        <f t="shared" ref="I267:J267" si="82">I266/$D$48</f>
        <v>8047.6664623147717</v>
      </c>
      <c r="J267" s="247">
        <f t="shared" si="82"/>
        <v>9500.9791210156727</v>
      </c>
      <c r="K267" s="36"/>
      <c r="L267" s="36"/>
      <c r="M267" s="36"/>
    </row>
    <row r="268" spans="3:14">
      <c r="C268" s="149" t="s">
        <v>347</v>
      </c>
      <c r="D268" s="94"/>
      <c r="E268" s="36"/>
      <c r="F268" s="36"/>
      <c r="G268" s="36"/>
      <c r="H268" s="247">
        <f>H266/(1+WACC)^H$203</f>
        <v>6487.7099110578292</v>
      </c>
      <c r="I268" s="247">
        <f>I266/(1+WACC)^I$203</f>
        <v>7038.0996732417179</v>
      </c>
      <c r="J268" s="247">
        <f>J266/(1+WACC)^J$203</f>
        <v>7639.1436985267992</v>
      </c>
      <c r="K268" s="36"/>
      <c r="L268" s="36"/>
      <c r="M268" s="36"/>
    </row>
    <row r="269" spans="3:14">
      <c r="C269" s="149" t="s">
        <v>348</v>
      </c>
      <c r="D269" s="94"/>
      <c r="E269" s="310">
        <f>SUM(H268:J268)</f>
        <v>21164.953282826347</v>
      </c>
      <c r="F269" s="36"/>
      <c r="G269" s="36"/>
      <c r="H269" s="36"/>
      <c r="I269" s="36"/>
      <c r="J269" s="36"/>
      <c r="K269" s="36"/>
      <c r="L269" s="36"/>
      <c r="M269" s="36"/>
    </row>
    <row r="270" spans="3:14">
      <c r="C270" s="149" t="str">
        <f>C206</f>
        <v>PV of BBAR before tax over the PV period</v>
      </c>
      <c r="E270" s="310">
        <f>D206</f>
        <v>26583.546503718768</v>
      </c>
      <c r="F270" s="36"/>
      <c r="G270" s="36"/>
      <c r="H270" s="36"/>
      <c r="I270" s="313"/>
      <c r="J270" s="36"/>
      <c r="K270" s="36"/>
      <c r="L270" s="36"/>
      <c r="M270" s="36"/>
    </row>
    <row r="271" spans="3:14">
      <c r="C271" s="152" t="s">
        <v>447</v>
      </c>
      <c r="D271" s="94"/>
      <c r="E271" s="36" t="b">
        <f>E269&lt;E270</f>
        <v>1</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9409.7758116959303</v>
      </c>
      <c r="G274" s="247">
        <f t="shared" ref="G274:H274" si="83">G257</f>
        <v>9412.4432031098204</v>
      </c>
      <c r="H274" s="333">
        <f t="shared" si="83"/>
        <v>9862.0615710329948</v>
      </c>
      <c r="I274" s="310">
        <f>I249</f>
        <v>9432.1575044912624</v>
      </c>
      <c r="J274" s="310">
        <f>J249</f>
        <v>11135.492746368947</v>
      </c>
      <c r="K274" s="36"/>
      <c r="L274" s="36"/>
      <c r="M274" s="36"/>
    </row>
    <row r="275" spans="3:13">
      <c r="C275" s="149" t="s">
        <v>407</v>
      </c>
      <c r="D275" s="94"/>
      <c r="E275" s="36"/>
      <c r="F275" s="247">
        <f>F274</f>
        <v>9409.7758116959303</v>
      </c>
      <c r="G275" s="247">
        <f t="shared" ref="G275:H275" si="84">G274</f>
        <v>9412.4432031098204</v>
      </c>
      <c r="H275" s="333">
        <f t="shared" si="84"/>
        <v>9862.0615710329948</v>
      </c>
      <c r="I275" s="247">
        <f>I267</f>
        <v>8047.6664623147717</v>
      </c>
      <c r="J275" s="247">
        <f>J267</f>
        <v>9500.9791210156727</v>
      </c>
      <c r="K275" s="36"/>
      <c r="L275" s="36"/>
      <c r="M275" s="36"/>
    </row>
    <row r="276" spans="3:13">
      <c r="C276" s="149" t="s">
        <v>408</v>
      </c>
      <c r="D276" s="94"/>
      <c r="E276" s="36"/>
      <c r="F276" s="247">
        <f>IF($E$22=-15%,F275,F274)</f>
        <v>9409.7758116959303</v>
      </c>
      <c r="G276" s="247">
        <f t="shared" ref="G276:J276" si="85">IF($E$22=-15%,G275,G274)</f>
        <v>9412.4432031098204</v>
      </c>
      <c r="H276" s="247">
        <f t="shared" si="85"/>
        <v>9862.0615710329948</v>
      </c>
      <c r="I276" s="247">
        <f t="shared" si="85"/>
        <v>8047.6664623147717</v>
      </c>
      <c r="J276" s="247">
        <f t="shared" si="85"/>
        <v>9500.9791210156727</v>
      </c>
      <c r="K276" s="36"/>
      <c r="L276" s="36"/>
      <c r="M276" s="36"/>
    </row>
    <row r="277" spans="3:13">
      <c r="C277" s="149" t="s">
        <v>449</v>
      </c>
      <c r="D277" s="94"/>
      <c r="E277" s="328">
        <f>(I276/H267)/((1+I225)*(1+I226))-1</f>
        <v>0.14999999999999991</v>
      </c>
      <c r="F277" s="247"/>
      <c r="G277" s="247"/>
      <c r="H277" s="247"/>
      <c r="I277" s="36"/>
      <c r="J277" s="36"/>
      <c r="K277" s="36"/>
      <c r="L277" s="36"/>
      <c r="M277" s="36"/>
    </row>
    <row r="278" spans="3:13">
      <c r="C278" s="149" t="s">
        <v>450</v>
      </c>
      <c r="D278" s="94"/>
      <c r="E278" s="328">
        <f>(J276/I276)/((1+J225)*(1+J226))-1</f>
        <v>0.14999999999999991</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6997.9708367954545</v>
      </c>
      <c r="E281" s="36"/>
      <c r="F281" s="313"/>
      <c r="G281" s="36"/>
      <c r="H281" s="36"/>
      <c r="I281" s="36"/>
      <c r="J281" s="36"/>
      <c r="K281" s="36"/>
      <c r="L281" s="36"/>
      <c r="M281" s="36"/>
    </row>
    <row r="282" spans="3:13">
      <c r="C282" s="149" t="s">
        <v>443</v>
      </c>
      <c r="D282" s="19">
        <f>I276</f>
        <v>8047.6664623147717</v>
      </c>
      <c r="E282" s="36"/>
      <c r="F282" s="313"/>
      <c r="G282" s="36"/>
      <c r="H282" s="36"/>
      <c r="I282" s="36"/>
      <c r="J282" s="36"/>
      <c r="K282" s="36"/>
      <c r="L282" s="36"/>
      <c r="M282" s="36"/>
    </row>
    <row r="283" spans="3:13">
      <c r="C283" s="149" t="s">
        <v>445</v>
      </c>
      <c r="D283" s="152">
        <f>(D282-D281)/D281</f>
        <v>0.14999999999999986</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18384.086714653124</v>
      </c>
      <c r="G286" s="36"/>
      <c r="H286" s="36"/>
      <c r="I286" s="36"/>
      <c r="J286" s="36"/>
      <c r="K286" s="36"/>
      <c r="L286" s="36"/>
      <c r="M286" s="36"/>
    </row>
    <row r="287" spans="3:13">
      <c r="C287" s="149" t="str">
        <f>C206</f>
        <v>PV of BBAR before tax over the PV period</v>
      </c>
      <c r="E287" s="36"/>
      <c r="F287" s="310">
        <f>D206</f>
        <v>26583.546503718768</v>
      </c>
      <c r="G287" s="36"/>
      <c r="H287" s="36"/>
      <c r="I287" s="36"/>
      <c r="J287" s="36"/>
      <c r="K287" s="36"/>
      <c r="L287" s="36"/>
      <c r="M287" s="36"/>
    </row>
    <row r="288" spans="3:13">
      <c r="C288" s="149" t="s">
        <v>405</v>
      </c>
      <c r="D288" s="94"/>
      <c r="E288" s="36"/>
      <c r="F288" s="247">
        <f>F286-F287</f>
        <v>-8199.4597890656441</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-53300.376996744621</v>
      </c>
      <c r="F293" s="247"/>
      <c r="G293" s="310"/>
      <c r="H293" s="310"/>
      <c r="I293" s="310"/>
      <c r="J293" s="310"/>
      <c r="K293" s="310"/>
      <c r="L293" s="36"/>
      <c r="M293" s="36"/>
      <c r="N293" s="19">
        <f>J$143+J$166</f>
        <v>60446.276640108401</v>
      </c>
    </row>
    <row r="294" spans="3:14">
      <c r="C294" s="149" t="s">
        <v>57</v>
      </c>
      <c r="D294" s="19"/>
      <c r="E294" s="90"/>
      <c r="F294" s="247"/>
      <c r="G294" s="138">
        <f>H$249</f>
        <v>9862.0615710329948</v>
      </c>
      <c r="H294" s="36">
        <v>0</v>
      </c>
      <c r="I294" s="36">
        <v>0</v>
      </c>
      <c r="J294" s="164">
        <f>I$249</f>
        <v>9432.1575044912624</v>
      </c>
      <c r="K294" s="310">
        <v>0</v>
      </c>
      <c r="L294" s="138">
        <v>0</v>
      </c>
      <c r="M294" s="310">
        <f>J$249</f>
        <v>11135.492746368947</v>
      </c>
    </row>
    <row r="295" spans="3:14">
      <c r="C295" s="149" t="s">
        <v>234</v>
      </c>
      <c r="D295" s="19"/>
      <c r="E295" s="299"/>
      <c r="F295" s="320">
        <f>H186</f>
        <v>25.470091568221314</v>
      </c>
      <c r="G295" s="215"/>
      <c r="H295" s="300"/>
      <c r="I295" s="216">
        <f>I186</f>
        <v>26.006982199929183</v>
      </c>
      <c r="J295" s="215"/>
      <c r="K295" s="215"/>
      <c r="L295" s="215">
        <f>J186</f>
        <v>26.586824082173685</v>
      </c>
      <c r="M295" s="215"/>
    </row>
    <row r="296" spans="3:14">
      <c r="C296" s="149" t="s">
        <v>54</v>
      </c>
      <c r="D296" s="19"/>
      <c r="E296" s="299"/>
      <c r="F296" s="320">
        <f>-H$24</f>
        <v>-2853.8675330171586</v>
      </c>
      <c r="G296" s="300"/>
      <c r="H296" s="215"/>
      <c r="I296" s="215">
        <f>-I$24</f>
        <v>-2955.4071073712107</v>
      </c>
      <c r="J296" s="300"/>
      <c r="K296" s="215"/>
      <c r="L296" s="215">
        <f>-J$24</f>
        <v>-3058.6629907932675</v>
      </c>
      <c r="M296" s="300"/>
    </row>
    <row r="297" spans="3:14">
      <c r="C297" s="149" t="s">
        <v>125</v>
      </c>
      <c r="D297" s="19"/>
      <c r="E297" s="299"/>
      <c r="F297" s="320">
        <f>-H$25</f>
        <v>-4280.9032606982018</v>
      </c>
      <c r="G297" s="300"/>
      <c r="H297" s="215"/>
      <c r="I297" s="215">
        <f>-I$25</f>
        <v>-3689.0718661015353</v>
      </c>
      <c r="J297" s="300"/>
      <c r="K297" s="215"/>
      <c r="L297" s="215">
        <f>-J$25</f>
        <v>-3950.0400752774258</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-756.15594581971266</v>
      </c>
      <c r="G299" s="300">
        <v>0</v>
      </c>
      <c r="H299" s="300">
        <v>0</v>
      </c>
      <c r="I299" s="336">
        <f>-I$254</f>
        <v>-531.46134070250184</v>
      </c>
      <c r="J299" s="215">
        <v>0</v>
      </c>
      <c r="K299" s="163">
        <v>0</v>
      </c>
      <c r="L299" s="215">
        <f>-J$254</f>
        <v>-931.08483465003405</v>
      </c>
      <c r="M299" s="300"/>
    </row>
    <row r="300" spans="3:14" ht="15.75" thickBot="1">
      <c r="C300" s="149" t="s">
        <v>217</v>
      </c>
      <c r="D300" s="19"/>
      <c r="E300" s="332">
        <f>SUM(E293:E299)</f>
        <v>-53300.376996744621</v>
      </c>
      <c r="F300" s="332">
        <f t="shared" ref="F300:K300" si="87">SUM(F293:F299)</f>
        <v>-7865.4566479668511</v>
      </c>
      <c r="G300" s="332">
        <f t="shared" si="87"/>
        <v>9862.0615710329948</v>
      </c>
      <c r="H300" s="332">
        <f t="shared" si="87"/>
        <v>0</v>
      </c>
      <c r="I300" s="332">
        <f t="shared" si="87"/>
        <v>-7149.9333319753187</v>
      </c>
      <c r="J300" s="332">
        <f t="shared" si="87"/>
        <v>9432.1575044912624</v>
      </c>
      <c r="K300" s="332">
        <f t="shared" si="87"/>
        <v>0</v>
      </c>
      <c r="L300" s="332">
        <f>SUM(L293:L299)</f>
        <v>-7913.2010766385538</v>
      </c>
      <c r="M300" s="332">
        <f>SUM(M293:M299)</f>
        <v>11135.492746368947</v>
      </c>
      <c r="N300" s="129">
        <f>SUM(N293:N299)</f>
        <v>60446.276640108401</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2.1827872842550278E-11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3"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xl/worksheets/sheet9.xml><?xml version="1.0" encoding="utf-8"?>
<worksheet xmlns="http://schemas.openxmlformats.org/spreadsheetml/2006/main" xmlns:r="http://schemas.openxmlformats.org/officeDocument/2006/relationships">
  <sheetPr codeName="Sheet24">
    <tabColor theme="9" tint="0.79998168889431442"/>
    <pageSetUpPr fitToPage="1"/>
  </sheetPr>
  <dimension ref="A1:AA911"/>
  <sheetViews>
    <sheetView zoomScale="85" zoomScaleNormal="85" workbookViewId="0"/>
  </sheetViews>
  <sheetFormatPr defaultRowHeight="15"/>
  <cols>
    <col min="1" max="2" width="4.140625" style="149" customWidth="1"/>
    <col min="3" max="3" width="47.5703125" style="149" customWidth="1"/>
    <col min="4" max="4" width="13.5703125" style="149" customWidth="1"/>
    <col min="5" max="5" width="10.5703125" style="149" customWidth="1"/>
    <col min="6" max="6" width="13.42578125" style="149" customWidth="1"/>
    <col min="7" max="7" width="10.42578125" style="149" customWidth="1"/>
    <col min="8" max="8" width="11.5703125" style="149" customWidth="1"/>
    <col min="9" max="9" width="10.28515625" style="149" customWidth="1"/>
    <col min="10" max="10" width="13.7109375" style="149" customWidth="1"/>
    <col min="11" max="11" width="11.28515625" style="149" customWidth="1"/>
    <col min="12" max="12" width="19.5703125" style="149" bestFit="1" customWidth="1"/>
    <col min="13" max="13" width="11.5703125" style="149" bestFit="1" customWidth="1"/>
    <col min="14" max="16384" width="9.140625" style="149"/>
  </cols>
  <sheetData>
    <row r="1" spans="1:16" ht="23.25">
      <c r="C1" s="2" t="str">
        <f ca="1">OFFSET(Inputs_Anchor,0,G1+1)</f>
        <v xml:space="preserve">Eastland </v>
      </c>
      <c r="D1" s="2"/>
      <c r="E1" s="2"/>
      <c r="F1" s="6" t="s">
        <v>169</v>
      </c>
      <c r="G1" s="7">
        <v>4</v>
      </c>
      <c r="H1" s="2"/>
      <c r="I1" s="2"/>
      <c r="J1" s="2"/>
      <c r="K1" s="2"/>
      <c r="L1" s="2"/>
      <c r="M1" s="2"/>
      <c r="N1" s="2"/>
      <c r="O1" s="2"/>
      <c r="P1" s="2"/>
    </row>
    <row r="2" spans="1:16">
      <c r="C2" s="228" t="s">
        <v>368</v>
      </c>
      <c r="L2" s="153"/>
    </row>
    <row r="3" spans="1:16" ht="23.25">
      <c r="C3" s="2" t="s">
        <v>3</v>
      </c>
      <c r="D3" s="2"/>
      <c r="E3" s="2"/>
      <c r="F3" s="2"/>
      <c r="G3" s="2"/>
      <c r="H3" s="2"/>
      <c r="I3" s="2"/>
      <c r="J3" s="2"/>
      <c r="K3" s="2"/>
      <c r="L3" s="2"/>
      <c r="M3" s="2"/>
      <c r="N3" s="2"/>
      <c r="O3" s="2"/>
      <c r="P3" s="2"/>
    </row>
    <row r="4" spans="1:16">
      <c r="D4" s="14" t="s">
        <v>62</v>
      </c>
      <c r="E4" s="14" t="s">
        <v>63</v>
      </c>
      <c r="H4" s="10" t="s">
        <v>5</v>
      </c>
    </row>
    <row r="5" spans="1:16">
      <c r="D5" s="14" t="s">
        <v>61</v>
      </c>
      <c r="E5" s="14"/>
    </row>
    <row r="6" spans="1:16">
      <c r="C6" s="156" t="s">
        <v>1</v>
      </c>
      <c r="E6" s="156" t="str">
        <f>Inputs!D11</f>
        <v>2009/10</v>
      </c>
      <c r="F6" s="156" t="str">
        <f>Inputs!E11</f>
        <v>2010/11</v>
      </c>
      <c r="G6" s="156" t="str">
        <f>Inputs!F11</f>
        <v>2011/12</v>
      </c>
      <c r="H6" s="156" t="str">
        <f>Inputs!G11</f>
        <v>2012/13</v>
      </c>
      <c r="I6" s="156" t="str">
        <f>Inputs!H11</f>
        <v>2013/14</v>
      </c>
      <c r="J6" s="156" t="str">
        <f>Inputs!I11</f>
        <v>2014/15</v>
      </c>
      <c r="K6" s="156"/>
      <c r="L6" s="156"/>
    </row>
    <row r="7" spans="1:16">
      <c r="C7" s="149" t="s">
        <v>64</v>
      </c>
      <c r="E7" s="13">
        <v>1</v>
      </c>
      <c r="F7" s="13">
        <v>2</v>
      </c>
      <c r="G7" s="13">
        <v>3</v>
      </c>
      <c r="H7" s="13">
        <v>4</v>
      </c>
      <c r="I7" s="13">
        <v>5</v>
      </c>
      <c r="J7" s="13">
        <v>6</v>
      </c>
      <c r="K7" s="13"/>
      <c r="L7" s="156"/>
    </row>
    <row r="8" spans="1:16">
      <c r="A8" s="9">
        <v>1</v>
      </c>
      <c r="B8" s="9"/>
      <c r="C8" s="149" t="str">
        <f>Inputs!B20</f>
        <v>Line Revenue through Prices</v>
      </c>
      <c r="E8" s="1">
        <f t="shared" ref="E8:E22" si="0">INDEX(InputsBlock,A8+1,$G$1+2)</f>
        <v>27635</v>
      </c>
    </row>
    <row r="9" spans="1:16">
      <c r="A9" s="9">
        <f>A8+1</f>
        <v>2</v>
      </c>
      <c r="B9" s="9"/>
      <c r="C9" s="149" t="str">
        <f>Inputs!B21</f>
        <v>Pass-through costs</v>
      </c>
      <c r="E9" s="1">
        <f t="shared" si="0"/>
        <v>112</v>
      </c>
    </row>
    <row r="10" spans="1:16">
      <c r="A10" s="9">
        <f t="shared" ref="A10:A22" si="1">A9+1</f>
        <v>3</v>
      </c>
      <c r="B10" s="9"/>
      <c r="C10" s="149" t="str">
        <f>Inputs!B22</f>
        <v>Recoverable costs</v>
      </c>
      <c r="E10" s="1">
        <f t="shared" si="0"/>
        <v>8729</v>
      </c>
    </row>
    <row r="11" spans="1:16">
      <c r="A11" s="9">
        <f t="shared" si="1"/>
        <v>4</v>
      </c>
      <c r="B11" s="9"/>
      <c r="C11" s="155" t="str">
        <f>Inputs!B23</f>
        <v>Opening RAB</v>
      </c>
      <c r="E11" s="1">
        <f t="shared" si="0"/>
        <v>113965</v>
      </c>
      <c r="L11" s="13"/>
    </row>
    <row r="12" spans="1:16">
      <c r="A12" s="9">
        <f t="shared" si="1"/>
        <v>5</v>
      </c>
      <c r="B12" s="9"/>
      <c r="C12" s="155" t="str">
        <f>Inputs!B24</f>
        <v>Total Depreciation</v>
      </c>
      <c r="E12" s="1">
        <f t="shared" si="0"/>
        <v>4225</v>
      </c>
      <c r="F12" s="161"/>
      <c r="G12" s="337" t="s">
        <v>511</v>
      </c>
    </row>
    <row r="13" spans="1:16">
      <c r="A13" s="9">
        <f t="shared" si="1"/>
        <v>6</v>
      </c>
      <c r="B13" s="9"/>
      <c r="C13" s="155" t="str">
        <f>Inputs!B25</f>
        <v>RAB of disposed assets</v>
      </c>
      <c r="E13" s="1">
        <f t="shared" si="0"/>
        <v>259</v>
      </c>
      <c r="G13" s="23" t="s">
        <v>512</v>
      </c>
    </row>
    <row r="14" spans="1:16">
      <c r="A14" s="9">
        <f t="shared" si="1"/>
        <v>7</v>
      </c>
      <c r="B14" s="9"/>
      <c r="C14" s="155" t="str">
        <f>Inputs!B26</f>
        <v>Discretionary discounts &amp;  rebates</v>
      </c>
      <c r="E14" s="1">
        <f t="shared" si="0"/>
        <v>0</v>
      </c>
      <c r="G14" s="23" t="s">
        <v>513</v>
      </c>
    </row>
    <row r="15" spans="1:16">
      <c r="A15" s="9">
        <f t="shared" si="1"/>
        <v>8</v>
      </c>
      <c r="B15" s="9"/>
      <c r="C15" s="155" t="str">
        <f>Inputs!B27</f>
        <v>Tax Depreciation</v>
      </c>
      <c r="E15" s="1">
        <f t="shared" si="0"/>
        <v>5625</v>
      </c>
      <c r="G15" s="23" t="s">
        <v>514</v>
      </c>
    </row>
    <row r="16" spans="1:16">
      <c r="A16" s="9">
        <f t="shared" si="1"/>
        <v>9</v>
      </c>
      <c r="B16" s="9"/>
      <c r="C16" s="155" t="str">
        <f>Inputs!B28</f>
        <v>Opening regulatory tax asset value</v>
      </c>
      <c r="E16" s="1">
        <f t="shared" si="0"/>
        <v>58604</v>
      </c>
    </row>
    <row r="17" spans="1:21">
      <c r="A17" s="9">
        <f t="shared" si="1"/>
        <v>10</v>
      </c>
      <c r="B17" s="9"/>
      <c r="C17" s="155" t="str">
        <f>Inputs!B29</f>
        <v>Weighted Average Remaining Life at year-end</v>
      </c>
      <c r="E17" s="1">
        <f t="shared" si="0"/>
        <v>34</v>
      </c>
    </row>
    <row r="18" spans="1:21">
      <c r="A18" s="9">
        <f t="shared" si="1"/>
        <v>11</v>
      </c>
      <c r="B18" s="9"/>
      <c r="C18" s="155" t="str">
        <f>Inputs!B30</f>
        <v>Term Credit Spread Differential Allowance</v>
      </c>
      <c r="E18" s="1">
        <f t="shared" si="0"/>
        <v>0</v>
      </c>
    </row>
    <row r="19" spans="1:21">
      <c r="A19" s="9">
        <f t="shared" si="1"/>
        <v>12</v>
      </c>
      <c r="B19" s="9"/>
      <c r="C19" s="155" t="str">
        <f>Inputs!B31</f>
        <v>Other regulated income 2009/10</v>
      </c>
      <c r="E19" s="1">
        <f t="shared" si="0"/>
        <v>770</v>
      </c>
    </row>
    <row r="20" spans="1:21">
      <c r="A20" s="9">
        <f t="shared" si="1"/>
        <v>13</v>
      </c>
      <c r="B20" s="9"/>
      <c r="C20" s="155" t="str">
        <f>Inputs!B32</f>
        <v>Operating expenditure 2009/10</v>
      </c>
      <c r="E20" s="1">
        <f t="shared" si="0"/>
        <v>5979</v>
      </c>
    </row>
    <row r="21" spans="1:21">
      <c r="A21" s="9">
        <f t="shared" si="1"/>
        <v>14</v>
      </c>
      <c r="B21" s="9"/>
      <c r="C21" s="155" t="str">
        <f>Inputs!B33</f>
        <v>Other regulated income</v>
      </c>
      <c r="E21" s="1">
        <f t="shared" si="0"/>
        <v>367.85431128559418</v>
      </c>
      <c r="K21" s="90"/>
    </row>
    <row r="22" spans="1:21">
      <c r="A22" s="9">
        <f t="shared" si="1"/>
        <v>15</v>
      </c>
      <c r="C22" s="155" t="str">
        <f>Inputs!B34</f>
        <v>Alternate X value to 2014/15</v>
      </c>
      <c r="D22" s="90"/>
      <c r="E22" s="126">
        <f t="shared" si="0"/>
        <v>0</v>
      </c>
      <c r="K22" s="90"/>
    </row>
    <row r="23" spans="1:21">
      <c r="C23" s="155"/>
      <c r="K23" s="90"/>
    </row>
    <row r="24" spans="1:21">
      <c r="A24" s="9"/>
      <c r="B24" s="9"/>
      <c r="C24" s="149" t="s">
        <v>31</v>
      </c>
      <c r="E24" s="161">
        <f>E20</f>
        <v>5979</v>
      </c>
      <c r="F24" s="39">
        <f>INDEX(OpexBlock,F7-1,$G$1)</f>
        <v>6141.2910984299133</v>
      </c>
      <c r="G24" s="39">
        <f>INDEX(OpexBlock,G7-1,$G$1)</f>
        <v>6293.2100207806789</v>
      </c>
      <c r="H24" s="39">
        <f>INDEX(OpexBlock,H7-1,$G$1)</f>
        <v>6443.4531760480322</v>
      </c>
      <c r="I24" s="39">
        <f>INDEX(OpexBlock,I7-1,$G$1)</f>
        <v>6605.9117602858123</v>
      </c>
      <c r="J24" s="39">
        <f>INDEX(OpexBlock,J7-1,$G$1)</f>
        <v>6775.86972251306</v>
      </c>
      <c r="K24" s="90"/>
      <c r="L24" s="36"/>
      <c r="M24" s="36"/>
    </row>
    <row r="25" spans="1:21">
      <c r="A25" s="9"/>
      <c r="B25" s="9"/>
      <c r="C25" s="149" t="s">
        <v>272</v>
      </c>
      <c r="D25" s="1"/>
      <c r="E25" s="39">
        <f t="shared" ref="E25:J25" si="2">INDEX(CommAssetsBlock,E7,$G$1)</f>
        <v>5000</v>
      </c>
      <c r="F25" s="39">
        <f t="shared" si="2"/>
        <v>5506.8481688049496</v>
      </c>
      <c r="G25" s="39">
        <f t="shared" si="2"/>
        <v>5913.3770206574563</v>
      </c>
      <c r="H25" s="39">
        <f t="shared" si="2"/>
        <v>5932.4281807107036</v>
      </c>
      <c r="I25" s="39">
        <f t="shared" si="2"/>
        <v>6010.7389768051007</v>
      </c>
      <c r="J25" s="39">
        <f t="shared" si="2"/>
        <v>6175.1246828702624</v>
      </c>
      <c r="K25" s="90"/>
      <c r="L25" s="36"/>
      <c r="M25" s="36"/>
    </row>
    <row r="26" spans="1:21">
      <c r="A26" s="9"/>
      <c r="B26" s="9"/>
      <c r="C26" s="149" t="s">
        <v>342</v>
      </c>
      <c r="D26" s="1"/>
      <c r="E26" s="90"/>
      <c r="F26" s="90">
        <f t="shared" ref="F26:J26" si="3">INDEX(ConstPriceRevGrwth,F$7-1,$G$1)</f>
        <v>6.867196597968939E-3</v>
      </c>
      <c r="G26" s="90">
        <f t="shared" si="3"/>
        <v>-1.7611340750710937E-2</v>
      </c>
      <c r="H26" s="90">
        <f t="shared" si="3"/>
        <v>2.2820106427631727E-3</v>
      </c>
      <c r="I26" s="90">
        <f t="shared" si="3"/>
        <v>2.0702425914689475E-3</v>
      </c>
      <c r="J26" s="90">
        <f t="shared" si="3"/>
        <v>2.8050099889054408E-3</v>
      </c>
      <c r="K26" s="90"/>
      <c r="L26" s="36"/>
      <c r="M26" s="36"/>
    </row>
    <row r="27" spans="1:21" ht="15.75" thickBot="1">
      <c r="A27" s="9"/>
      <c r="B27" s="9"/>
      <c r="D27" s="1"/>
      <c r="E27" s="90"/>
      <c r="F27" s="36"/>
      <c r="G27" s="90"/>
      <c r="H27" s="90"/>
      <c r="I27" s="90"/>
      <c r="J27" s="90"/>
      <c r="K27" s="90"/>
      <c r="L27" s="36"/>
      <c r="M27" s="36"/>
    </row>
    <row r="28" spans="1:21" ht="16.5" thickBot="1">
      <c r="A28" s="9"/>
      <c r="B28" s="9"/>
      <c r="C28" s="154" t="s">
        <v>307</v>
      </c>
      <c r="D28" s="1"/>
      <c r="E28" s="90"/>
      <c r="F28" s="36"/>
      <c r="G28" s="90"/>
      <c r="H28" s="90"/>
      <c r="I28" s="90"/>
      <c r="J28" s="90"/>
      <c r="K28" s="90"/>
      <c r="L28" s="36"/>
      <c r="M28" s="343" t="s">
        <v>455</v>
      </c>
      <c r="N28" s="221"/>
      <c r="O28" s="221"/>
      <c r="P28" s="221"/>
      <c r="Q28" s="221"/>
      <c r="R28" s="221"/>
      <c r="S28" s="221"/>
      <c r="T28" s="221"/>
      <c r="U28" s="222"/>
    </row>
    <row r="29" spans="1:21">
      <c r="A29" s="9"/>
      <c r="B29" s="9"/>
      <c r="C29" s="155" t="str">
        <f>Inputs!B13</f>
        <v>ΔCPI, 2 index, no lag, 2009 basis</v>
      </c>
      <c r="D29" s="1"/>
      <c r="E29" s="90">
        <f>Inputs!D13</f>
        <v>1.7233850022212005E-2</v>
      </c>
      <c r="F29" s="90">
        <f>Inputs!E13</f>
        <v>1.9812209526758329E-2</v>
      </c>
      <c r="G29" s="90">
        <f>Inputs!F13</f>
        <v>2.4339880629970168E-2</v>
      </c>
      <c r="H29" s="90">
        <f>Inputs!G13</f>
        <v>2.426577848876299E-2</v>
      </c>
      <c r="I29" s="90">
        <f>Inputs!H13</f>
        <v>2.426577848876299E-2</v>
      </c>
      <c r="J29" s="90">
        <f>Inputs!I13</f>
        <v>2.426577848876299E-2</v>
      </c>
      <c r="K29" s="36"/>
      <c r="L29" s="36"/>
      <c r="M29" s="342" t="s">
        <v>331</v>
      </c>
      <c r="N29" s="282"/>
      <c r="O29" s="282"/>
      <c r="P29" s="282"/>
      <c r="Q29" s="282"/>
      <c r="R29" s="282"/>
      <c r="S29" s="282"/>
      <c r="T29" s="282"/>
      <c r="U29" s="207"/>
    </row>
    <row r="30" spans="1:21">
      <c r="A30" s="9"/>
      <c r="B30" s="9"/>
      <c r="C30" s="155" t="str">
        <f>Inputs!B14</f>
        <v>ΔCPI, 2 index, no lag, 2012 basis</v>
      </c>
      <c r="D30" s="1"/>
      <c r="E30" s="90">
        <f>Inputs!D14</f>
        <v>2.0465116279069662E-2</v>
      </c>
      <c r="F30" s="90">
        <f>Inputs!E14</f>
        <v>4.4667274384685429E-2</v>
      </c>
      <c r="G30" s="90">
        <f>Inputs!F14</f>
        <v>1.5706806282722585E-2</v>
      </c>
      <c r="H30" s="90">
        <f>Inputs!G14</f>
        <v>1.8900343642611617E-2</v>
      </c>
      <c r="I30" s="90">
        <f>Inputs!H14</f>
        <v>2.1079258010118007E-2</v>
      </c>
      <c r="J30" s="90">
        <f>Inputs!I14</f>
        <v>2.2295623451692892E-2</v>
      </c>
      <c r="K30" s="36"/>
      <c r="L30" s="36"/>
      <c r="M30" s="340" t="s">
        <v>309</v>
      </c>
      <c r="N30" s="36"/>
      <c r="O30" s="36"/>
      <c r="P30" s="36"/>
      <c r="Q30" s="36"/>
      <c r="R30" s="36"/>
      <c r="S30" s="36"/>
      <c r="T30" s="36"/>
      <c r="U30" s="209"/>
    </row>
    <row r="31" spans="1:21">
      <c r="A31" s="9"/>
      <c r="B31" s="9"/>
      <c r="C31" s="155" t="str">
        <f>Inputs!B15</f>
        <v>ΔCPI, 8 index, 18 mth lag, 2009 basis</v>
      </c>
      <c r="D31" s="1"/>
      <c r="E31" s="90">
        <f>Inputs!D15</f>
        <v>3.9162561576354671E-2</v>
      </c>
      <c r="F31" s="90">
        <f>Inputs!E15</f>
        <v>2.465039108793543E-2</v>
      </c>
      <c r="G31" s="90">
        <f>Inputs!F15</f>
        <v>1.6991832174541255E-2</v>
      </c>
      <c r="H31" s="90">
        <f>Inputs!G15</f>
        <v>2.0741514169093644E-2</v>
      </c>
      <c r="I31" s="90">
        <f>Inputs!H15</f>
        <v>2.445188183600755E-2</v>
      </c>
      <c r="J31" s="90">
        <f>Inputs!I15</f>
        <v>2.4265778488762768E-2</v>
      </c>
      <c r="K31" s="36"/>
      <c r="L31" s="39"/>
      <c r="M31" s="340" t="s">
        <v>310</v>
      </c>
      <c r="N31" s="36"/>
      <c r="O31" s="36"/>
      <c r="P31" s="36"/>
      <c r="Q31" s="36"/>
      <c r="R31" s="36"/>
      <c r="S31" s="36"/>
      <c r="T31" s="36"/>
      <c r="U31" s="209"/>
    </row>
    <row r="32" spans="1:21" ht="15.75" thickBot="1">
      <c r="A32" s="9"/>
      <c r="B32" s="9"/>
      <c r="C32" s="155" t="str">
        <f>Inputs!B16</f>
        <v>ΔCPI, 8 index, 18 mth lag, 2012 basis</v>
      </c>
      <c r="E32" s="90">
        <f>Inputs!D16</f>
        <v>3.9162561576354671E-2</v>
      </c>
      <c r="F32" s="90">
        <f>Inputs!E16</f>
        <v>2.465039108793543E-2</v>
      </c>
      <c r="G32" s="90">
        <f>Inputs!F16</f>
        <v>1.7811704834605591E-2</v>
      </c>
      <c r="H32" s="90">
        <f>Inputs!G16</f>
        <v>4.5909090909090899E-2</v>
      </c>
      <c r="I32" s="90">
        <f>Inputs!H16</f>
        <v>1.4341590612777066E-2</v>
      </c>
      <c r="J32" s="90">
        <f>Inputs!I16</f>
        <v>1.9484909073598011E-2</v>
      </c>
      <c r="K32" s="36"/>
      <c r="L32" s="39"/>
      <c r="M32" s="341" t="s">
        <v>308</v>
      </c>
      <c r="N32" s="219"/>
      <c r="O32" s="219"/>
      <c r="P32" s="219"/>
      <c r="Q32" s="219"/>
      <c r="R32" s="219"/>
      <c r="S32" s="219"/>
      <c r="T32" s="219"/>
      <c r="U32" s="220"/>
    </row>
    <row r="33" spans="1:27">
      <c r="A33" s="9"/>
      <c r="B33" s="9"/>
      <c r="D33" s="1"/>
      <c r="E33" s="36"/>
      <c r="F33" s="36"/>
      <c r="G33" s="36"/>
      <c r="H33" s="36"/>
      <c r="I33" s="36"/>
      <c r="J33" s="36"/>
      <c r="K33" s="36"/>
      <c r="L33" s="36"/>
      <c r="M33" s="36"/>
    </row>
    <row r="34" spans="1:27" ht="23.25">
      <c r="C34" s="158" t="s">
        <v>4</v>
      </c>
      <c r="D34" s="159" t="s">
        <v>37</v>
      </c>
      <c r="E34" s="159" t="s">
        <v>36</v>
      </c>
      <c r="F34" s="158"/>
      <c r="G34" s="158"/>
      <c r="H34" s="158"/>
      <c r="I34" s="158"/>
      <c r="J34" s="158"/>
      <c r="K34" s="158"/>
      <c r="L34" s="158"/>
      <c r="M34" s="158"/>
      <c r="N34" s="2"/>
      <c r="O34" s="2"/>
      <c r="P34" s="2"/>
    </row>
    <row r="35" spans="1:27">
      <c r="E35" s="297" t="s">
        <v>316</v>
      </c>
      <c r="F35" s="297" t="s">
        <v>317</v>
      </c>
      <c r="G35" s="297" t="s">
        <v>318</v>
      </c>
      <c r="H35" s="297" t="s">
        <v>319</v>
      </c>
      <c r="I35" s="297" t="s">
        <v>320</v>
      </c>
      <c r="J35" s="297" t="s">
        <v>321</v>
      </c>
      <c r="K35" s="297"/>
      <c r="L35" s="297"/>
      <c r="M35" s="296"/>
    </row>
    <row r="36" spans="1:27">
      <c r="E36" s="90"/>
      <c r="F36" s="90"/>
      <c r="G36" s="90"/>
      <c r="H36" s="90"/>
      <c r="I36" s="90"/>
      <c r="J36" s="90"/>
      <c r="K36" s="90"/>
      <c r="L36" s="39"/>
      <c r="M36" s="36"/>
      <c r="N36" s="150"/>
      <c r="O36" s="150"/>
      <c r="P36" s="150"/>
      <c r="Q36" s="150"/>
      <c r="R36" s="150"/>
      <c r="S36" s="150"/>
      <c r="T36" s="150"/>
      <c r="U36" s="150"/>
      <c r="V36" s="150"/>
      <c r="W36" s="150"/>
      <c r="X36" s="150"/>
      <c r="Y36" s="150"/>
      <c r="Z36" s="150"/>
      <c r="AA36" s="150"/>
    </row>
    <row r="37" spans="1:27">
      <c r="E37" s="298"/>
      <c r="F37" s="298"/>
      <c r="G37" s="298"/>
      <c r="H37" s="298"/>
      <c r="I37" s="298"/>
      <c r="J37" s="298"/>
      <c r="K37" s="298"/>
      <c r="L37" s="39"/>
      <c r="M37" s="36"/>
      <c r="N37" s="150"/>
      <c r="O37" s="150"/>
      <c r="P37" s="150"/>
      <c r="Q37" s="150"/>
      <c r="R37" s="150"/>
      <c r="S37" s="150"/>
      <c r="T37" s="150"/>
      <c r="U37" s="150"/>
      <c r="V37" s="150"/>
      <c r="W37" s="150"/>
      <c r="X37" s="150"/>
      <c r="Y37" s="150"/>
      <c r="Z37" s="150"/>
      <c r="AA37" s="150"/>
    </row>
    <row r="38" spans="1:27">
      <c r="C38" s="149" t="s">
        <v>241</v>
      </c>
      <c r="E38" s="299">
        <f>E29</f>
        <v>1.7233850022212005E-2</v>
      </c>
      <c r="F38" s="299">
        <f t="shared" ref="F38:J39" si="4">F29</f>
        <v>1.9812209526758329E-2</v>
      </c>
      <c r="G38" s="299">
        <f t="shared" si="4"/>
        <v>2.4339880629970168E-2</v>
      </c>
      <c r="H38" s="299">
        <f t="shared" si="4"/>
        <v>2.426577848876299E-2</v>
      </c>
      <c r="I38" s="299">
        <f t="shared" si="4"/>
        <v>2.426577848876299E-2</v>
      </c>
      <c r="J38" s="299">
        <f t="shared" si="4"/>
        <v>2.426577848876299E-2</v>
      </c>
      <c r="K38" s="298"/>
      <c r="L38" s="39"/>
      <c r="M38" s="36"/>
    </row>
    <row r="39" spans="1:27">
      <c r="C39" s="149" t="s">
        <v>278</v>
      </c>
      <c r="E39" s="299">
        <f>E30</f>
        <v>2.0465116279069662E-2</v>
      </c>
      <c r="F39" s="299">
        <f t="shared" si="4"/>
        <v>4.4667274384685429E-2</v>
      </c>
      <c r="G39" s="299">
        <f t="shared" si="4"/>
        <v>1.5706806282722585E-2</v>
      </c>
      <c r="H39" s="299">
        <f t="shared" si="4"/>
        <v>1.8900343642611617E-2</v>
      </c>
      <c r="I39" s="299">
        <f t="shared" si="4"/>
        <v>2.1079258010118007E-2</v>
      </c>
      <c r="J39" s="299">
        <f t="shared" si="4"/>
        <v>2.2295623451692892E-2</v>
      </c>
      <c r="K39" s="298"/>
      <c r="L39" s="39"/>
      <c r="M39" s="36"/>
    </row>
    <row r="40" spans="1:27">
      <c r="C40" s="155" t="s">
        <v>234</v>
      </c>
      <c r="D40" s="155"/>
      <c r="E40" s="161">
        <f>E21</f>
        <v>367.85431128559418</v>
      </c>
      <c r="F40" s="295">
        <f>E40*(1+F39)</f>
        <v>384.2853607413773</v>
      </c>
      <c r="G40" s="295">
        <f t="shared" ref="G40:J40" si="5">F40*(1+G39)</f>
        <v>390.32125645982831</v>
      </c>
      <c r="H40" s="295">
        <f t="shared" si="5"/>
        <v>397.69846233793498</v>
      </c>
      <c r="I40" s="295">
        <f t="shared" si="5"/>
        <v>406.08165083578353</v>
      </c>
      <c r="J40" s="295">
        <f t="shared" si="5"/>
        <v>415.13549441345998</v>
      </c>
      <c r="K40" s="300"/>
      <c r="L40" s="36"/>
      <c r="M40" s="36"/>
    </row>
    <row r="41" spans="1:27">
      <c r="E41" s="298"/>
      <c r="F41" s="298"/>
      <c r="G41" s="298"/>
      <c r="H41" s="298"/>
      <c r="I41" s="298"/>
      <c r="J41" s="298"/>
      <c r="K41" s="298"/>
      <c r="L41" s="39"/>
      <c r="M41" s="36"/>
    </row>
    <row r="42" spans="1:27">
      <c r="E42" s="298"/>
      <c r="F42" s="298"/>
      <c r="G42" s="298"/>
      <c r="H42" s="298"/>
      <c r="I42" s="298"/>
      <c r="J42" s="298"/>
      <c r="K42" s="298"/>
      <c r="L42" s="39"/>
      <c r="M42" s="36"/>
    </row>
    <row r="43" spans="1:27" ht="21">
      <c r="C43" s="3" t="s">
        <v>77</v>
      </c>
      <c r="E43" s="36"/>
      <c r="F43" s="298"/>
      <c r="G43" s="298"/>
      <c r="H43" s="298"/>
      <c r="I43" s="298"/>
      <c r="J43" s="298"/>
      <c r="K43" s="298"/>
      <c r="L43" s="39"/>
      <c r="M43" s="36"/>
    </row>
    <row r="44" spans="1:27" ht="18">
      <c r="C44" s="36" t="s">
        <v>78</v>
      </c>
      <c r="D44" s="16">
        <f>'Timing Assumptions'!C23</f>
        <v>1.0428084742793051</v>
      </c>
      <c r="E44" s="36"/>
      <c r="F44" s="298"/>
      <c r="G44" s="298"/>
      <c r="H44" s="298"/>
      <c r="I44" s="298"/>
      <c r="J44" s="298"/>
      <c r="K44" s="298"/>
      <c r="L44" s="39"/>
      <c r="M44" s="36"/>
    </row>
    <row r="45" spans="1:27" ht="18">
      <c r="C45" s="36" t="s">
        <v>79</v>
      </c>
      <c r="D45" s="16">
        <f>'Timing Assumptions'!C24</f>
        <v>1.0428084742793051</v>
      </c>
      <c r="E45" s="36"/>
      <c r="F45" s="298"/>
      <c r="G45" s="298"/>
      <c r="H45" s="298"/>
      <c r="I45" s="298"/>
      <c r="J45" s="298"/>
      <c r="K45" s="298"/>
      <c r="L45" s="39"/>
      <c r="M45" s="36"/>
    </row>
    <row r="46" spans="1:27" ht="18">
      <c r="C46" s="36" t="s">
        <v>237</v>
      </c>
      <c r="D46" s="16">
        <f>'Timing Assumptions'!C25</f>
        <v>1.0428084742793051</v>
      </c>
      <c r="E46" s="36"/>
      <c r="F46" s="36"/>
      <c r="G46" s="298"/>
      <c r="H46" s="298"/>
      <c r="I46" s="298"/>
      <c r="J46" s="298"/>
      <c r="K46" s="148"/>
      <c r="L46" s="298"/>
      <c r="M46" s="36"/>
    </row>
    <row r="47" spans="1:27" ht="18">
      <c r="C47" s="36" t="s">
        <v>235</v>
      </c>
      <c r="D47" s="16">
        <f>'Timing Assumptions'!C26</f>
        <v>1.0428084742793051</v>
      </c>
      <c r="E47" s="36"/>
      <c r="F47" s="36"/>
      <c r="G47" s="298"/>
      <c r="H47" s="298"/>
      <c r="I47" s="298"/>
      <c r="J47" s="298"/>
      <c r="K47" s="148"/>
      <c r="L47" s="301"/>
      <c r="M47" s="36"/>
    </row>
    <row r="48" spans="1:27" ht="18">
      <c r="C48" s="36" t="s">
        <v>80</v>
      </c>
      <c r="D48" s="16">
        <f>'Timing Assumptions'!C27</f>
        <v>1.0346743941931567</v>
      </c>
      <c r="E48" s="298"/>
      <c r="F48" s="298"/>
      <c r="G48" s="298"/>
      <c r="H48" s="298"/>
      <c r="I48" s="36"/>
      <c r="J48" s="36"/>
      <c r="K48" s="148"/>
      <c r="L48" s="39"/>
      <c r="M48" s="36"/>
    </row>
    <row r="49" spans="3:16">
      <c r="E49" s="36"/>
      <c r="F49" s="36"/>
      <c r="G49" s="36"/>
      <c r="H49" s="36"/>
      <c r="I49" s="36"/>
      <c r="J49" s="36"/>
      <c r="K49" s="148"/>
      <c r="L49" s="36"/>
      <c r="M49" s="36"/>
    </row>
    <row r="50" spans="3:16" ht="21">
      <c r="C50" s="3" t="s">
        <v>165</v>
      </c>
      <c r="D50" s="3"/>
      <c r="E50" s="302"/>
      <c r="F50" s="302"/>
      <c r="G50" s="302"/>
      <c r="H50" s="302"/>
      <c r="I50" s="302"/>
      <c r="J50" s="302"/>
      <c r="K50" s="302"/>
      <c r="L50" s="302"/>
      <c r="M50" s="302"/>
      <c r="N50" s="3"/>
      <c r="O50" s="3"/>
      <c r="P50" s="3"/>
    </row>
    <row r="51" spans="3:16">
      <c r="E51" s="36"/>
      <c r="F51" s="36"/>
      <c r="G51" s="36"/>
      <c r="H51" s="36"/>
      <c r="I51" s="36"/>
      <c r="J51" s="36"/>
      <c r="K51" s="148"/>
      <c r="L51" s="36"/>
      <c r="M51" s="36"/>
    </row>
    <row r="52" spans="3:16" ht="15.75">
      <c r="C52" s="15" t="s">
        <v>38</v>
      </c>
      <c r="E52" s="303">
        <f>Inputs!D12</f>
        <v>0.3</v>
      </c>
      <c r="F52" s="303">
        <f>Inputs!E12</f>
        <v>0.3</v>
      </c>
      <c r="G52" s="303">
        <f>Inputs!F12</f>
        <v>0.28000000000000003</v>
      </c>
      <c r="H52" s="303">
        <f>Inputs!G12</f>
        <v>0.28000000000000003</v>
      </c>
      <c r="I52" s="303">
        <f>Inputs!H12</f>
        <v>0.28000000000000003</v>
      </c>
      <c r="J52" s="303">
        <f>Inputs!I12</f>
        <v>0.28000000000000003</v>
      </c>
      <c r="K52" s="148"/>
      <c r="L52" s="36"/>
      <c r="M52" s="36"/>
    </row>
    <row r="53" spans="3:16">
      <c r="C53" s="149" t="s">
        <v>39</v>
      </c>
      <c r="E53" s="144">
        <f>E11/E12</f>
        <v>26.973964497041422</v>
      </c>
      <c r="F53" s="45">
        <f>E53-1</f>
        <v>25.973964497041422</v>
      </c>
      <c r="G53" s="45">
        <f t="shared" ref="G53:J53" si="6">F53-1</f>
        <v>24.973964497041422</v>
      </c>
      <c r="H53" s="45">
        <f t="shared" si="6"/>
        <v>23.973964497041422</v>
      </c>
      <c r="I53" s="45">
        <f t="shared" si="6"/>
        <v>22.973964497041422</v>
      </c>
      <c r="J53" s="45">
        <f t="shared" si="6"/>
        <v>21.973964497041422</v>
      </c>
      <c r="K53" s="148"/>
      <c r="L53" s="36"/>
      <c r="M53" s="36"/>
    </row>
    <row r="54" spans="3:16">
      <c r="C54" s="149" t="s">
        <v>273</v>
      </c>
      <c r="E54" s="160"/>
      <c r="F54" s="299">
        <f>F30</f>
        <v>4.4667274384685429E-2</v>
      </c>
      <c r="G54" s="299">
        <f t="shared" ref="G54:J54" si="7">G30</f>
        <v>1.5706806282722585E-2</v>
      </c>
      <c r="H54" s="299">
        <f t="shared" si="7"/>
        <v>1.8900343642611617E-2</v>
      </c>
      <c r="I54" s="299">
        <f t="shared" si="7"/>
        <v>2.1079258010118007E-2</v>
      </c>
      <c r="J54" s="299">
        <f t="shared" si="7"/>
        <v>2.2295623451692892E-2</v>
      </c>
      <c r="K54" s="148"/>
      <c r="L54" s="36"/>
      <c r="M54" s="36"/>
    </row>
    <row r="55" spans="3:16">
      <c r="C55" s="149" t="s">
        <v>41</v>
      </c>
      <c r="E55" s="139">
        <f>E13</f>
        <v>259</v>
      </c>
      <c r="F55" s="275">
        <f>E55*(1+F54)*0</f>
        <v>0</v>
      </c>
      <c r="G55" s="216">
        <f t="shared" ref="G55:J55" si="8">F55*(1+G54)</f>
        <v>0</v>
      </c>
      <c r="H55" s="216">
        <f t="shared" si="8"/>
        <v>0</v>
      </c>
      <c r="I55" s="216">
        <f t="shared" si="8"/>
        <v>0</v>
      </c>
      <c r="J55" s="216">
        <f t="shared" si="8"/>
        <v>0</v>
      </c>
      <c r="K55" s="148"/>
      <c r="L55" s="36"/>
      <c r="M55" s="36"/>
    </row>
    <row r="56" spans="3:16">
      <c r="D56" s="150"/>
      <c r="E56" s="36"/>
      <c r="F56" s="36"/>
      <c r="G56" s="36"/>
      <c r="H56" s="36"/>
      <c r="I56" s="36"/>
      <c r="J56" s="36"/>
      <c r="K56" s="148"/>
      <c r="L56" s="36"/>
      <c r="M56" s="36"/>
    </row>
    <row r="57" spans="3:16" ht="15.75">
      <c r="C57" s="5" t="s">
        <v>97</v>
      </c>
      <c r="D57" s="153"/>
      <c r="E57" s="304" t="str">
        <f>Inputs!D11</f>
        <v>2009/10</v>
      </c>
      <c r="F57" s="304" t="str">
        <f>Inputs!E11</f>
        <v>2010/11</v>
      </c>
      <c r="G57" s="304" t="str">
        <f>Inputs!F11</f>
        <v>2011/12</v>
      </c>
      <c r="H57" s="304" t="str">
        <f>Inputs!G11</f>
        <v>2012/13</v>
      </c>
      <c r="I57" s="304" t="str">
        <f>Inputs!H11</f>
        <v>2013/14</v>
      </c>
      <c r="J57" s="304" t="str">
        <f>Inputs!I11</f>
        <v>2014/15</v>
      </c>
      <c r="K57" s="148"/>
      <c r="L57" s="36"/>
      <c r="M57" s="36"/>
    </row>
    <row r="58" spans="3:16">
      <c r="C58" s="149" t="s">
        <v>221</v>
      </c>
      <c r="E58" s="136">
        <f>E11</f>
        <v>113965</v>
      </c>
      <c r="F58" s="216">
        <f>E62</f>
        <v>111440.59215062564</v>
      </c>
      <c r="G58" s="216">
        <f t="shared" ref="G58:J58" si="9">F62</f>
        <v>109358.00355933521</v>
      </c>
      <c r="H58" s="216">
        <f t="shared" si="9"/>
        <v>107640.88391538712</v>
      </c>
      <c r="I58" s="216">
        <f t="shared" si="9"/>
        <v>105762.96622263</v>
      </c>
      <c r="J58" s="216">
        <f t="shared" si="9"/>
        <v>103725.78592067615</v>
      </c>
      <c r="K58" s="148"/>
      <c r="L58" s="36"/>
      <c r="M58" s="36"/>
    </row>
    <row r="59" spans="3:16">
      <c r="C59" s="149" t="s">
        <v>41</v>
      </c>
      <c r="D59" s="153"/>
      <c r="E59" s="216">
        <f>E55</f>
        <v>259</v>
      </c>
      <c r="F59" s="216">
        <f t="shared" ref="F59:J59" si="10">F55</f>
        <v>0</v>
      </c>
      <c r="G59" s="216">
        <f t="shared" si="10"/>
        <v>0</v>
      </c>
      <c r="H59" s="216">
        <f t="shared" si="10"/>
        <v>0</v>
      </c>
      <c r="I59" s="216">
        <f t="shared" si="10"/>
        <v>0</v>
      </c>
      <c r="J59" s="216">
        <f t="shared" si="10"/>
        <v>0</v>
      </c>
      <c r="K59" s="148"/>
      <c r="L59" s="36"/>
      <c r="M59" s="36"/>
    </row>
    <row r="60" spans="3:16">
      <c r="C60" s="149" t="s">
        <v>42</v>
      </c>
      <c r="E60" s="216">
        <f t="shared" ref="E60:J60" si="11">(E58-E59)*E38</f>
        <v>1959.5921506256382</v>
      </c>
      <c r="F60" s="216">
        <f t="shared" si="11"/>
        <v>2207.884361474215</v>
      </c>
      <c r="G60" s="216">
        <f t="shared" si="11"/>
        <v>2661.7607525660715</v>
      </c>
      <c r="H60" s="216">
        <f t="shared" si="11"/>
        <v>2611.9898454254349</v>
      </c>
      <c r="I60" s="216">
        <f t="shared" si="11"/>
        <v>2566.4207106728618</v>
      </c>
      <c r="J60" s="216">
        <f t="shared" si="11"/>
        <v>2516.9869447239785</v>
      </c>
      <c r="K60" s="148"/>
      <c r="L60" s="36"/>
      <c r="M60" s="36"/>
    </row>
    <row r="61" spans="3:16">
      <c r="C61" s="149" t="s">
        <v>43</v>
      </c>
      <c r="E61" s="136">
        <f>E12</f>
        <v>4225</v>
      </c>
      <c r="F61" s="216">
        <f t="shared" ref="F61:J61" si="12">F58/F53</f>
        <v>4290.4729527646559</v>
      </c>
      <c r="G61" s="216">
        <f t="shared" si="12"/>
        <v>4378.8803965141569</v>
      </c>
      <c r="H61" s="216">
        <f t="shared" si="12"/>
        <v>4489.9075381825505</v>
      </c>
      <c r="I61" s="216">
        <f t="shared" si="12"/>
        <v>4603.6010126267111</v>
      </c>
      <c r="J61" s="216">
        <f t="shared" si="12"/>
        <v>4720.3947168769573</v>
      </c>
      <c r="K61" s="148"/>
      <c r="L61" s="36"/>
      <c r="M61" s="36"/>
    </row>
    <row r="62" spans="3:16">
      <c r="C62" s="149" t="s">
        <v>44</v>
      </c>
      <c r="E62" s="139">
        <f>E58-E59+E60-E61</f>
        <v>111440.59215062564</v>
      </c>
      <c r="F62" s="139">
        <f>F58-F59+F60-F61</f>
        <v>109358.00355933521</v>
      </c>
      <c r="G62" s="139">
        <f t="shared" ref="G62:J62" si="13">G58-G59+G60-G61</f>
        <v>107640.88391538712</v>
      </c>
      <c r="H62" s="139">
        <f t="shared" si="13"/>
        <v>105762.96622263</v>
      </c>
      <c r="I62" s="216">
        <f t="shared" si="13"/>
        <v>103725.78592067615</v>
      </c>
      <c r="J62" s="216">
        <f t="shared" si="13"/>
        <v>101522.37814852317</v>
      </c>
      <c r="K62" s="148"/>
      <c r="L62" s="36"/>
      <c r="M62" s="36"/>
    </row>
    <row r="63" spans="3:16">
      <c r="E63" s="36"/>
      <c r="F63" s="36"/>
      <c r="G63" s="36"/>
      <c r="H63" s="36"/>
      <c r="I63" s="36"/>
      <c r="J63" s="36"/>
      <c r="K63" s="148"/>
      <c r="L63" s="36"/>
      <c r="M63" s="36"/>
    </row>
    <row r="64" spans="3:16" ht="15.75">
      <c r="C64" s="5" t="s">
        <v>74</v>
      </c>
      <c r="E64" s="305" t="str">
        <f>Inputs!D$11</f>
        <v>2009/10</v>
      </c>
      <c r="F64" s="305" t="str">
        <f>Inputs!E$11</f>
        <v>2010/11</v>
      </c>
      <c r="G64" s="305" t="str">
        <f>Inputs!F$11</f>
        <v>2011/12</v>
      </c>
      <c r="H64" s="305" t="str">
        <f>Inputs!G$11</f>
        <v>2012/13</v>
      </c>
      <c r="I64" s="305" t="str">
        <f>Inputs!H$11</f>
        <v>2013/14</v>
      </c>
      <c r="J64" s="305" t="str">
        <f>Inputs!I$11</f>
        <v>2014/15</v>
      </c>
      <c r="K64" s="148"/>
      <c r="L64" s="36"/>
      <c r="M64" s="36"/>
    </row>
    <row r="65" spans="1:13">
      <c r="C65" s="18" t="s">
        <v>65</v>
      </c>
      <c r="E65" s="137">
        <v>1</v>
      </c>
      <c r="F65" s="306">
        <f>E65+1</f>
        <v>2</v>
      </c>
      <c r="G65" s="306">
        <f t="shared" ref="G65:J65" si="14">F65+1</f>
        <v>3</v>
      </c>
      <c r="H65" s="306">
        <f t="shared" si="14"/>
        <v>4</v>
      </c>
      <c r="I65" s="306">
        <f t="shared" si="14"/>
        <v>5</v>
      </c>
      <c r="J65" s="306">
        <f t="shared" si="14"/>
        <v>6</v>
      </c>
      <c r="K65" s="148"/>
      <c r="L65" s="36"/>
      <c r="M65" s="36"/>
    </row>
    <row r="66" spans="1:13">
      <c r="C66" s="149" t="s">
        <v>40</v>
      </c>
      <c r="D66" s="153"/>
      <c r="E66" s="139">
        <f>E$25</f>
        <v>5000</v>
      </c>
      <c r="F66" s="139">
        <f t="shared" ref="F66:J66" si="15">F$25</f>
        <v>5506.8481688049496</v>
      </c>
      <c r="G66" s="139">
        <f t="shared" si="15"/>
        <v>5913.3770206574563</v>
      </c>
      <c r="H66" s="139">
        <f t="shared" si="15"/>
        <v>5932.4281807107036</v>
      </c>
      <c r="I66" s="139">
        <f t="shared" si="15"/>
        <v>6010.7389768051007</v>
      </c>
      <c r="J66" s="139">
        <f t="shared" si="15"/>
        <v>6175.1246828702624</v>
      </c>
      <c r="K66" s="148"/>
      <c r="L66" s="36"/>
      <c r="M66" s="36"/>
    </row>
    <row r="67" spans="1:13">
      <c r="A67" s="149">
        <v>1</v>
      </c>
      <c r="C67" s="149" t="s">
        <v>481</v>
      </c>
      <c r="E67" s="135">
        <v>0</v>
      </c>
      <c r="F67" s="139">
        <f>E91</f>
        <v>5000</v>
      </c>
      <c r="G67" s="139">
        <f t="shared" ref="G67:J67" si="16">F91</f>
        <v>4987.9499365226802</v>
      </c>
      <c r="H67" s="139">
        <f t="shared" si="16"/>
        <v>4995.9935440085765</v>
      </c>
      <c r="I67" s="139">
        <f t="shared" si="16"/>
        <v>5001.0393203064859</v>
      </c>
      <c r="J67" s="139">
        <f t="shared" si="16"/>
        <v>5003.3210678974347</v>
      </c>
      <c r="K67" s="148"/>
      <c r="L67" s="36"/>
      <c r="M67" s="36"/>
    </row>
    <row r="68" spans="1:13">
      <c r="A68" s="149">
        <v>2</v>
      </c>
      <c r="C68" s="149" t="s">
        <v>482</v>
      </c>
      <c r="E68" s="135">
        <v>0</v>
      </c>
      <c r="F68" s="139">
        <f t="shared" ref="F68:J71" si="17">E92</f>
        <v>0</v>
      </c>
      <c r="G68" s="139">
        <f t="shared" si="17"/>
        <v>5506.8481688049496</v>
      </c>
      <c r="H68" s="139">
        <f t="shared" si="17"/>
        <v>5518.5097921298102</v>
      </c>
      <c r="I68" s="139">
        <f t="shared" si="17"/>
        <v>5527.0000512398428</v>
      </c>
      <c r="J68" s="139">
        <f t="shared" si="17"/>
        <v>5532.5821252780561</v>
      </c>
      <c r="K68" s="148"/>
      <c r="L68" s="36"/>
      <c r="M68" s="36"/>
    </row>
    <row r="69" spans="1:13">
      <c r="A69" s="149">
        <v>3</v>
      </c>
      <c r="C69" s="149" t="s">
        <v>483</v>
      </c>
      <c r="E69" s="135">
        <v>0</v>
      </c>
      <c r="F69" s="139">
        <f t="shared" si="17"/>
        <v>0</v>
      </c>
      <c r="G69" s="139">
        <f t="shared" si="17"/>
        <v>0</v>
      </c>
      <c r="H69" s="139">
        <f t="shared" si="17"/>
        <v>5913.3770206574563</v>
      </c>
      <c r="I69" s="139">
        <f t="shared" si="17"/>
        <v>5925.461339324439</v>
      </c>
      <c r="J69" s="139">
        <f t="shared" si="17"/>
        <v>5934.5776957344769</v>
      </c>
      <c r="K69" s="148"/>
      <c r="L69" s="36"/>
      <c r="M69" s="36"/>
    </row>
    <row r="70" spans="1:13">
      <c r="A70" s="149">
        <v>4</v>
      </c>
      <c r="C70" s="149" t="s">
        <v>484</v>
      </c>
      <c r="E70" s="135">
        <v>0</v>
      </c>
      <c r="F70" s="139">
        <f t="shared" si="17"/>
        <v>0</v>
      </c>
      <c r="G70" s="139">
        <f t="shared" si="17"/>
        <v>0</v>
      </c>
      <c r="H70" s="139">
        <f t="shared" si="17"/>
        <v>0</v>
      </c>
      <c r="I70" s="139">
        <f t="shared" si="17"/>
        <v>5932.4281807107036</v>
      </c>
      <c r="J70" s="139">
        <f t="shared" si="17"/>
        <v>5944.5514314951988</v>
      </c>
      <c r="K70" s="148"/>
      <c r="L70" s="36"/>
      <c r="M70" s="36"/>
    </row>
    <row r="71" spans="1:13">
      <c r="A71" s="149">
        <v>5</v>
      </c>
      <c r="C71" s="149" t="s">
        <v>485</v>
      </c>
      <c r="E71" s="135">
        <v>0</v>
      </c>
      <c r="F71" s="139">
        <f t="shared" si="17"/>
        <v>0</v>
      </c>
      <c r="G71" s="139">
        <f t="shared" si="17"/>
        <v>0</v>
      </c>
      <c r="H71" s="139">
        <f t="shared" si="17"/>
        <v>0</v>
      </c>
      <c r="I71" s="139">
        <f t="shared" si="17"/>
        <v>0</v>
      </c>
      <c r="J71" s="139">
        <f t="shared" si="17"/>
        <v>6010.7389768051007</v>
      </c>
      <c r="K71" s="148"/>
      <c r="L71" s="36"/>
      <c r="M71" s="36"/>
    </row>
    <row r="72" spans="1:13">
      <c r="A72" s="149">
        <v>6</v>
      </c>
      <c r="C72" s="149" t="s">
        <v>486</v>
      </c>
      <c r="E72" s="135">
        <v>0</v>
      </c>
      <c r="F72" s="139">
        <f>E96</f>
        <v>0</v>
      </c>
      <c r="G72" s="139">
        <f>F96</f>
        <v>0</v>
      </c>
      <c r="H72" s="139">
        <f>G96</f>
        <v>0</v>
      </c>
      <c r="I72" s="139">
        <f>H96</f>
        <v>0</v>
      </c>
      <c r="J72" s="139">
        <f>I96</f>
        <v>0</v>
      </c>
      <c r="K72" s="148"/>
      <c r="L72" s="36"/>
      <c r="M72" s="36"/>
    </row>
    <row r="73" spans="1:13">
      <c r="A73" s="149">
        <v>1</v>
      </c>
      <c r="C73" s="149" t="s">
        <v>463</v>
      </c>
      <c r="E73" s="135">
        <f>Inputs!$C$7+$A73</f>
        <v>46</v>
      </c>
      <c r="F73" s="139">
        <f>E73-1</f>
        <v>45</v>
      </c>
      <c r="G73" s="139">
        <f t="shared" ref="G73:J73" si="18">F73-1</f>
        <v>44</v>
      </c>
      <c r="H73" s="139">
        <f t="shared" si="18"/>
        <v>43</v>
      </c>
      <c r="I73" s="139">
        <f t="shared" si="18"/>
        <v>42</v>
      </c>
      <c r="J73" s="139">
        <f t="shared" si="18"/>
        <v>41</v>
      </c>
      <c r="K73" s="148"/>
      <c r="L73" s="36"/>
      <c r="M73" s="36"/>
    </row>
    <row r="74" spans="1:13">
      <c r="A74" s="149">
        <v>2</v>
      </c>
      <c r="C74" s="149" t="s">
        <v>464</v>
      </c>
      <c r="E74" s="135">
        <f>Inputs!$C$7+$A74</f>
        <v>47</v>
      </c>
      <c r="F74" s="139">
        <f t="shared" ref="F74:J78" si="19">E74-1</f>
        <v>46</v>
      </c>
      <c r="G74" s="139">
        <f t="shared" si="19"/>
        <v>45</v>
      </c>
      <c r="H74" s="139">
        <f t="shared" si="19"/>
        <v>44</v>
      </c>
      <c r="I74" s="139">
        <f t="shared" si="19"/>
        <v>43</v>
      </c>
      <c r="J74" s="139">
        <f t="shared" si="19"/>
        <v>42</v>
      </c>
      <c r="K74" s="148"/>
      <c r="L74" s="36"/>
      <c r="M74" s="36"/>
    </row>
    <row r="75" spans="1:13">
      <c r="A75" s="149">
        <v>3</v>
      </c>
      <c r="C75" s="149" t="s">
        <v>465</v>
      </c>
      <c r="E75" s="135">
        <f>Inputs!$C$7+$A75</f>
        <v>48</v>
      </c>
      <c r="F75" s="139">
        <f t="shared" si="19"/>
        <v>47</v>
      </c>
      <c r="G75" s="139">
        <f t="shared" si="19"/>
        <v>46</v>
      </c>
      <c r="H75" s="139">
        <f t="shared" si="19"/>
        <v>45</v>
      </c>
      <c r="I75" s="139">
        <f t="shared" si="19"/>
        <v>44</v>
      </c>
      <c r="J75" s="139">
        <f t="shared" si="19"/>
        <v>43</v>
      </c>
      <c r="K75" s="148"/>
      <c r="L75" s="36"/>
      <c r="M75" s="36"/>
    </row>
    <row r="76" spans="1:13">
      <c r="A76" s="149">
        <v>4</v>
      </c>
      <c r="C76" s="149" t="s">
        <v>466</v>
      </c>
      <c r="E76" s="135">
        <f>Inputs!$C$7+$A76</f>
        <v>49</v>
      </c>
      <c r="F76" s="139">
        <f t="shared" si="19"/>
        <v>48</v>
      </c>
      <c r="G76" s="139">
        <f t="shared" si="19"/>
        <v>47</v>
      </c>
      <c r="H76" s="139">
        <f t="shared" si="19"/>
        <v>46</v>
      </c>
      <c r="I76" s="139">
        <f t="shared" si="19"/>
        <v>45</v>
      </c>
      <c r="J76" s="139">
        <f t="shared" si="19"/>
        <v>44</v>
      </c>
      <c r="K76" s="148"/>
      <c r="L76" s="36"/>
      <c r="M76" s="36"/>
    </row>
    <row r="77" spans="1:13">
      <c r="A77" s="149">
        <v>5</v>
      </c>
      <c r="C77" s="149" t="s">
        <v>467</v>
      </c>
      <c r="E77" s="135">
        <f>Inputs!$C$7+$A77</f>
        <v>50</v>
      </c>
      <c r="F77" s="139">
        <f t="shared" si="19"/>
        <v>49</v>
      </c>
      <c r="G77" s="139">
        <f t="shared" si="19"/>
        <v>48</v>
      </c>
      <c r="H77" s="139">
        <f t="shared" si="19"/>
        <v>47</v>
      </c>
      <c r="I77" s="139">
        <f t="shared" si="19"/>
        <v>46</v>
      </c>
      <c r="J77" s="139">
        <f t="shared" si="19"/>
        <v>45</v>
      </c>
      <c r="K77" s="148"/>
      <c r="L77" s="36"/>
      <c r="M77" s="36"/>
    </row>
    <row r="78" spans="1:13">
      <c r="A78" s="149">
        <v>6</v>
      </c>
      <c r="C78" s="149" t="s">
        <v>468</v>
      </c>
      <c r="E78" s="135">
        <f>Inputs!$C$7+$A78</f>
        <v>51</v>
      </c>
      <c r="F78" s="139">
        <f t="shared" si="19"/>
        <v>50</v>
      </c>
      <c r="G78" s="139">
        <f t="shared" si="19"/>
        <v>49</v>
      </c>
      <c r="H78" s="139">
        <f t="shared" si="19"/>
        <v>48</v>
      </c>
      <c r="I78" s="139">
        <f t="shared" si="19"/>
        <v>47</v>
      </c>
      <c r="J78" s="139">
        <f t="shared" si="19"/>
        <v>46</v>
      </c>
      <c r="K78" s="148"/>
      <c r="L78" s="36"/>
      <c r="M78" s="36"/>
    </row>
    <row r="79" spans="1:13">
      <c r="A79" s="149">
        <v>1</v>
      </c>
      <c r="C79" s="149" t="s">
        <v>487</v>
      </c>
      <c r="E79" s="139">
        <f>E67*E$38</f>
        <v>0</v>
      </c>
      <c r="F79" s="139">
        <f t="shared" ref="F79:J79" si="20">F67*F$38</f>
        <v>99.061047633791645</v>
      </c>
      <c r="G79" s="139">
        <f t="shared" si="20"/>
        <v>121.40610604322931</v>
      </c>
      <c r="H79" s="139">
        <f t="shared" si="20"/>
        <v>121.23167267020209</v>
      </c>
      <c r="I79" s="139">
        <f t="shared" si="20"/>
        <v>121.35411236015101</v>
      </c>
      <c r="J79" s="139">
        <f t="shared" si="20"/>
        <v>121.40948074176025</v>
      </c>
      <c r="K79" s="148"/>
      <c r="L79" s="36"/>
      <c r="M79" s="36"/>
    </row>
    <row r="80" spans="1:13">
      <c r="A80" s="149">
        <v>2</v>
      </c>
      <c r="C80" s="149" t="s">
        <v>488</v>
      </c>
      <c r="E80" s="139">
        <f t="shared" ref="E80:J84" si="21">E68*E$38</f>
        <v>0</v>
      </c>
      <c r="F80" s="139">
        <f t="shared" si="21"/>
        <v>0</v>
      </c>
      <c r="G80" s="139">
        <f t="shared" si="21"/>
        <v>134.03602707608229</v>
      </c>
      <c r="H80" s="139">
        <f t="shared" si="21"/>
        <v>133.91093620389148</v>
      </c>
      <c r="I80" s="139">
        <f t="shared" si="21"/>
        <v>134.11695895076772</v>
      </c>
      <c r="J80" s="139">
        <f t="shared" si="21"/>
        <v>134.25241232288687</v>
      </c>
      <c r="K80" s="148"/>
      <c r="L80" s="36"/>
      <c r="M80" s="36"/>
    </row>
    <row r="81" spans="1:13">
      <c r="A81" s="149">
        <v>3</v>
      </c>
      <c r="C81" s="149" t="s">
        <v>489</v>
      </c>
      <c r="E81" s="139">
        <f t="shared" si="21"/>
        <v>0</v>
      </c>
      <c r="F81" s="139">
        <f t="shared" si="21"/>
        <v>0</v>
      </c>
      <c r="G81" s="139">
        <f t="shared" si="21"/>
        <v>0</v>
      </c>
      <c r="H81" s="139">
        <f t="shared" si="21"/>
        <v>143.49269690381507</v>
      </c>
      <c r="I81" s="139">
        <f t="shared" si="21"/>
        <v>143.7859323037757</v>
      </c>
      <c r="J81" s="139">
        <f t="shared" si="21"/>
        <v>144.00714778904631</v>
      </c>
      <c r="K81" s="148"/>
      <c r="L81" s="36"/>
      <c r="M81" s="36"/>
    </row>
    <row r="82" spans="1:13">
      <c r="A82" s="149">
        <v>4</v>
      </c>
      <c r="C82" s="149" t="s">
        <v>490</v>
      </c>
      <c r="E82" s="139">
        <f t="shared" si="21"/>
        <v>0</v>
      </c>
      <c r="F82" s="139">
        <f t="shared" si="21"/>
        <v>0</v>
      </c>
      <c r="G82" s="139">
        <f t="shared" si="21"/>
        <v>0</v>
      </c>
      <c r="H82" s="139">
        <f t="shared" si="21"/>
        <v>0</v>
      </c>
      <c r="I82" s="139">
        <f t="shared" si="21"/>
        <v>143.95498813362116</v>
      </c>
      <c r="J82" s="139">
        <f t="shared" si="21"/>
        <v>144.24916825172144</v>
      </c>
      <c r="K82" s="148"/>
      <c r="L82" s="36"/>
      <c r="M82" s="36"/>
    </row>
    <row r="83" spans="1:13">
      <c r="A83" s="149">
        <v>5</v>
      </c>
      <c r="C83" s="149" t="s">
        <v>491</v>
      </c>
      <c r="E83" s="139">
        <f t="shared" si="21"/>
        <v>0</v>
      </c>
      <c r="F83" s="139">
        <f t="shared" si="21"/>
        <v>0</v>
      </c>
      <c r="G83" s="139">
        <f t="shared" si="21"/>
        <v>0</v>
      </c>
      <c r="H83" s="139">
        <f t="shared" si="21"/>
        <v>0</v>
      </c>
      <c r="I83" s="139">
        <f t="shared" si="21"/>
        <v>0</v>
      </c>
      <c r="J83" s="139">
        <f t="shared" si="21"/>
        <v>145.85526056492648</v>
      </c>
      <c r="K83" s="148"/>
      <c r="L83" s="36"/>
      <c r="M83" s="36"/>
    </row>
    <row r="84" spans="1:13">
      <c r="A84" s="149">
        <v>6</v>
      </c>
      <c r="C84" s="149" t="s">
        <v>492</v>
      </c>
      <c r="E84" s="139">
        <f t="shared" si="21"/>
        <v>0</v>
      </c>
      <c r="F84" s="139">
        <f t="shared" si="21"/>
        <v>0</v>
      </c>
      <c r="G84" s="139">
        <f t="shared" si="21"/>
        <v>0</v>
      </c>
      <c r="H84" s="139">
        <f t="shared" si="21"/>
        <v>0</v>
      </c>
      <c r="I84" s="139">
        <f t="shared" si="21"/>
        <v>0</v>
      </c>
      <c r="J84" s="139">
        <f t="shared" si="21"/>
        <v>0</v>
      </c>
      <c r="K84" s="148"/>
      <c r="L84" s="36"/>
      <c r="M84" s="36"/>
    </row>
    <row r="85" spans="1:13">
      <c r="A85" s="149">
        <v>1</v>
      </c>
      <c r="C85" s="149" t="s">
        <v>493</v>
      </c>
      <c r="E85" s="216">
        <f t="shared" ref="E85:J90" si="22">E67/E73</f>
        <v>0</v>
      </c>
      <c r="F85" s="216">
        <f t="shared" si="22"/>
        <v>111.11111111111111</v>
      </c>
      <c r="G85" s="216">
        <f t="shared" si="22"/>
        <v>113.36249855733364</v>
      </c>
      <c r="H85" s="216">
        <f t="shared" si="22"/>
        <v>116.18589637229248</v>
      </c>
      <c r="I85" s="216">
        <f t="shared" si="22"/>
        <v>119.07236476920204</v>
      </c>
      <c r="J85" s="216">
        <f t="shared" si="22"/>
        <v>122.03222116823011</v>
      </c>
      <c r="K85" s="148"/>
      <c r="L85" s="36"/>
      <c r="M85" s="36"/>
    </row>
    <row r="86" spans="1:13">
      <c r="A86" s="149">
        <v>2</v>
      </c>
      <c r="C86" s="149" t="s">
        <v>494</v>
      </c>
      <c r="E86" s="216">
        <f t="shared" si="22"/>
        <v>0</v>
      </c>
      <c r="F86" s="216">
        <f t="shared" si="22"/>
        <v>0</v>
      </c>
      <c r="G86" s="216">
        <f t="shared" si="22"/>
        <v>122.37440375122111</v>
      </c>
      <c r="H86" s="216">
        <f t="shared" si="22"/>
        <v>125.42067709385933</v>
      </c>
      <c r="I86" s="216">
        <f t="shared" si="22"/>
        <v>128.53488491255447</v>
      </c>
      <c r="J86" s="216">
        <f t="shared" si="22"/>
        <v>131.72814583995373</v>
      </c>
      <c r="K86" s="148"/>
      <c r="L86" s="36"/>
      <c r="M86" s="36"/>
    </row>
    <row r="87" spans="1:13">
      <c r="A87" s="149">
        <v>3</v>
      </c>
      <c r="C87" s="149" t="s">
        <v>495</v>
      </c>
      <c r="E87" s="216">
        <f t="shared" si="22"/>
        <v>0</v>
      </c>
      <c r="F87" s="216">
        <f t="shared" si="22"/>
        <v>0</v>
      </c>
      <c r="G87" s="216">
        <f t="shared" si="22"/>
        <v>0</v>
      </c>
      <c r="H87" s="216">
        <f t="shared" si="22"/>
        <v>131.40837823683236</v>
      </c>
      <c r="I87" s="216">
        <f t="shared" si="22"/>
        <v>134.66957589373726</v>
      </c>
      <c r="J87" s="216">
        <f t="shared" si="22"/>
        <v>138.01343478452273</v>
      </c>
      <c r="K87" s="148"/>
      <c r="L87" s="36"/>
      <c r="M87" s="36"/>
    </row>
    <row r="88" spans="1:13">
      <c r="A88" s="149">
        <v>4</v>
      </c>
      <c r="C88" s="149" t="s">
        <v>496</v>
      </c>
      <c r="E88" s="216">
        <f t="shared" si="22"/>
        <v>0</v>
      </c>
      <c r="F88" s="216">
        <f t="shared" si="22"/>
        <v>0</v>
      </c>
      <c r="G88" s="216">
        <f t="shared" si="22"/>
        <v>0</v>
      </c>
      <c r="H88" s="216">
        <f t="shared" si="22"/>
        <v>0</v>
      </c>
      <c r="I88" s="216">
        <f t="shared" si="22"/>
        <v>131.83173734912674</v>
      </c>
      <c r="J88" s="216">
        <f t="shared" si="22"/>
        <v>135.10344162489088</v>
      </c>
      <c r="K88" s="148"/>
      <c r="L88" s="36"/>
      <c r="M88" s="36"/>
    </row>
    <row r="89" spans="1:13">
      <c r="A89" s="149">
        <v>5</v>
      </c>
      <c r="C89" s="149" t="s">
        <v>497</v>
      </c>
      <c r="E89" s="216">
        <f t="shared" si="22"/>
        <v>0</v>
      </c>
      <c r="F89" s="216">
        <f t="shared" si="22"/>
        <v>0</v>
      </c>
      <c r="G89" s="216">
        <f t="shared" si="22"/>
        <v>0</v>
      </c>
      <c r="H89" s="216">
        <f t="shared" si="22"/>
        <v>0</v>
      </c>
      <c r="I89" s="216">
        <f t="shared" si="22"/>
        <v>0</v>
      </c>
      <c r="J89" s="216">
        <f t="shared" si="22"/>
        <v>133.57197726233557</v>
      </c>
      <c r="K89" s="148"/>
      <c r="L89" s="36"/>
      <c r="M89" s="36"/>
    </row>
    <row r="90" spans="1:13">
      <c r="A90" s="149">
        <v>6</v>
      </c>
      <c r="C90" s="149" t="s">
        <v>498</v>
      </c>
      <c r="E90" s="216">
        <f t="shared" si="22"/>
        <v>0</v>
      </c>
      <c r="F90" s="216">
        <f t="shared" si="22"/>
        <v>0</v>
      </c>
      <c r="G90" s="216">
        <f t="shared" si="22"/>
        <v>0</v>
      </c>
      <c r="H90" s="216">
        <f t="shared" si="22"/>
        <v>0</v>
      </c>
      <c r="I90" s="216">
        <f t="shared" si="22"/>
        <v>0</v>
      </c>
      <c r="J90" s="216">
        <f t="shared" si="22"/>
        <v>0</v>
      </c>
      <c r="K90" s="148"/>
      <c r="L90" s="36"/>
      <c r="M90" s="36"/>
    </row>
    <row r="91" spans="1:13">
      <c r="A91" s="149">
        <v>1</v>
      </c>
      <c r="C91" s="149" t="s">
        <v>499</v>
      </c>
      <c r="E91" s="139">
        <f t="shared" ref="E91:J96" si="23">E67+E79-E85+IF($A91=E$65,E$66,0)</f>
        <v>5000</v>
      </c>
      <c r="F91" s="139">
        <f t="shared" si="23"/>
        <v>4987.9499365226802</v>
      </c>
      <c r="G91" s="139">
        <f t="shared" si="23"/>
        <v>4995.9935440085765</v>
      </c>
      <c r="H91" s="139">
        <f t="shared" si="23"/>
        <v>5001.0393203064859</v>
      </c>
      <c r="I91" s="139">
        <f t="shared" si="23"/>
        <v>5003.3210678974347</v>
      </c>
      <c r="J91" s="216">
        <f t="shared" si="23"/>
        <v>5002.6983274709646</v>
      </c>
      <c r="K91" s="148"/>
      <c r="L91" s="36"/>
      <c r="M91" s="36"/>
    </row>
    <row r="92" spans="1:13">
      <c r="A92" s="149">
        <v>2</v>
      </c>
      <c r="C92" s="149" t="s">
        <v>500</v>
      </c>
      <c r="E92" s="139">
        <f t="shared" si="23"/>
        <v>0</v>
      </c>
      <c r="F92" s="139">
        <f t="shared" si="23"/>
        <v>5506.8481688049496</v>
      </c>
      <c r="G92" s="139">
        <f t="shared" si="23"/>
        <v>5518.5097921298102</v>
      </c>
      <c r="H92" s="139">
        <f t="shared" si="23"/>
        <v>5527.0000512398428</v>
      </c>
      <c r="I92" s="139">
        <f t="shared" si="23"/>
        <v>5532.5821252780561</v>
      </c>
      <c r="J92" s="216">
        <f t="shared" si="23"/>
        <v>5535.106391760989</v>
      </c>
      <c r="K92" s="148"/>
      <c r="L92" s="36"/>
      <c r="M92" s="36"/>
    </row>
    <row r="93" spans="1:13">
      <c r="A93" s="149">
        <v>3</v>
      </c>
      <c r="C93" s="149" t="s">
        <v>501</v>
      </c>
      <c r="E93" s="139">
        <f t="shared" si="23"/>
        <v>0</v>
      </c>
      <c r="F93" s="139">
        <f t="shared" si="23"/>
        <v>0</v>
      </c>
      <c r="G93" s="139">
        <f t="shared" si="23"/>
        <v>5913.3770206574563</v>
      </c>
      <c r="H93" s="139">
        <f t="shared" si="23"/>
        <v>5925.461339324439</v>
      </c>
      <c r="I93" s="139">
        <f t="shared" si="23"/>
        <v>5934.5776957344769</v>
      </c>
      <c r="J93" s="216">
        <f t="shared" si="23"/>
        <v>5940.5714087390006</v>
      </c>
      <c r="K93" s="148"/>
      <c r="L93" s="36"/>
      <c r="M93" s="36"/>
    </row>
    <row r="94" spans="1:13">
      <c r="A94" s="149">
        <v>4</v>
      </c>
      <c r="C94" s="149" t="s">
        <v>502</v>
      </c>
      <c r="E94" s="139">
        <f t="shared" si="23"/>
        <v>0</v>
      </c>
      <c r="F94" s="139">
        <f t="shared" si="23"/>
        <v>0</v>
      </c>
      <c r="G94" s="139">
        <f t="shared" si="23"/>
        <v>0</v>
      </c>
      <c r="H94" s="139">
        <f t="shared" si="23"/>
        <v>5932.4281807107036</v>
      </c>
      <c r="I94" s="139">
        <f t="shared" si="23"/>
        <v>5944.5514314951988</v>
      </c>
      <c r="J94" s="216">
        <f t="shared" si="23"/>
        <v>5953.6971581220287</v>
      </c>
      <c r="K94" s="148"/>
      <c r="L94" s="36"/>
      <c r="M94" s="36"/>
    </row>
    <row r="95" spans="1:13">
      <c r="A95" s="149">
        <v>5</v>
      </c>
      <c r="C95" s="149" t="s">
        <v>503</v>
      </c>
      <c r="E95" s="139">
        <f t="shared" si="23"/>
        <v>0</v>
      </c>
      <c r="F95" s="139">
        <f t="shared" si="23"/>
        <v>0</v>
      </c>
      <c r="G95" s="139">
        <f t="shared" si="23"/>
        <v>0</v>
      </c>
      <c r="H95" s="139">
        <f t="shared" si="23"/>
        <v>0</v>
      </c>
      <c r="I95" s="139">
        <f t="shared" si="23"/>
        <v>6010.7389768051007</v>
      </c>
      <c r="J95" s="216">
        <f t="shared" si="23"/>
        <v>6023.0222601076921</v>
      </c>
      <c r="K95" s="148"/>
      <c r="L95" s="36"/>
      <c r="M95" s="36"/>
    </row>
    <row r="96" spans="1:13">
      <c r="A96" s="149">
        <v>6</v>
      </c>
      <c r="C96" s="149" t="s">
        <v>504</v>
      </c>
      <c r="E96" s="139">
        <f t="shared" si="23"/>
        <v>0</v>
      </c>
      <c r="F96" s="139">
        <f t="shared" si="23"/>
        <v>0</v>
      </c>
      <c r="G96" s="139">
        <f t="shared" si="23"/>
        <v>0</v>
      </c>
      <c r="H96" s="139">
        <f t="shared" si="23"/>
        <v>0</v>
      </c>
      <c r="I96" s="139">
        <f t="shared" si="23"/>
        <v>0</v>
      </c>
      <c r="J96" s="216">
        <f t="shared" si="23"/>
        <v>6175.1246828702624</v>
      </c>
      <c r="K96" s="148"/>
      <c r="L96" s="36"/>
      <c r="M96" s="36"/>
    </row>
    <row r="97" spans="1:13">
      <c r="C97" s="149" t="s">
        <v>260</v>
      </c>
      <c r="E97" s="139">
        <f t="shared" ref="E97:J97" si="24">SUM(E67:E72)</f>
        <v>0</v>
      </c>
      <c r="F97" s="139">
        <f t="shared" si="24"/>
        <v>5000</v>
      </c>
      <c r="G97" s="139">
        <f t="shared" si="24"/>
        <v>10494.798105327631</v>
      </c>
      <c r="H97" s="139">
        <f t="shared" si="24"/>
        <v>16427.880356795842</v>
      </c>
      <c r="I97" s="139">
        <f t="shared" si="24"/>
        <v>22385.928891581472</v>
      </c>
      <c r="J97" s="216">
        <f t="shared" si="24"/>
        <v>28425.771297210264</v>
      </c>
      <c r="K97" s="148"/>
      <c r="L97" s="36"/>
      <c r="M97" s="36"/>
    </row>
    <row r="98" spans="1:13">
      <c r="C98" s="149" t="s">
        <v>261</v>
      </c>
      <c r="E98" s="139">
        <f t="shared" ref="E98:J98" si="25">SUM(E79:E84)</f>
        <v>0</v>
      </c>
      <c r="F98" s="139">
        <f t="shared" si="25"/>
        <v>99.061047633791645</v>
      </c>
      <c r="G98" s="139">
        <f t="shared" si="25"/>
        <v>255.44213311931162</v>
      </c>
      <c r="H98" s="139">
        <f t="shared" si="25"/>
        <v>398.63530577790868</v>
      </c>
      <c r="I98" s="139">
        <f t="shared" si="25"/>
        <v>543.21199174831554</v>
      </c>
      <c r="J98" s="216">
        <f t="shared" si="25"/>
        <v>689.77346967034146</v>
      </c>
      <c r="K98" s="148"/>
      <c r="L98" s="36"/>
      <c r="M98" s="36"/>
    </row>
    <row r="99" spans="1:13">
      <c r="C99" s="149" t="s">
        <v>75</v>
      </c>
      <c r="E99" s="139">
        <f t="shared" ref="E99:J99" si="26">SUM(E85:E90)</f>
        <v>0</v>
      </c>
      <c r="F99" s="139">
        <f t="shared" si="26"/>
        <v>111.11111111111111</v>
      </c>
      <c r="G99" s="139">
        <f t="shared" si="26"/>
        <v>235.73690230855476</v>
      </c>
      <c r="H99" s="139">
        <f t="shared" si="26"/>
        <v>373.01495170298415</v>
      </c>
      <c r="I99" s="216">
        <f t="shared" si="26"/>
        <v>514.10856292462051</v>
      </c>
      <c r="J99" s="216">
        <f t="shared" si="26"/>
        <v>660.44922067993298</v>
      </c>
      <c r="K99" s="148"/>
      <c r="L99" s="36"/>
      <c r="M99" s="36"/>
    </row>
    <row r="100" spans="1:13">
      <c r="C100" s="149" t="s">
        <v>262</v>
      </c>
      <c r="E100" s="139">
        <f t="shared" ref="E100:J100" si="27">SUM(E91:E96)</f>
        <v>5000</v>
      </c>
      <c r="F100" s="139">
        <f t="shared" si="27"/>
        <v>10494.798105327631</v>
      </c>
      <c r="G100" s="139">
        <f t="shared" si="27"/>
        <v>16427.880356795842</v>
      </c>
      <c r="H100" s="139">
        <f t="shared" si="27"/>
        <v>22385.928891581472</v>
      </c>
      <c r="I100" s="216">
        <f t="shared" si="27"/>
        <v>28425.771297210264</v>
      </c>
      <c r="J100" s="216">
        <f t="shared" si="27"/>
        <v>34630.220229070939</v>
      </c>
      <c r="K100" s="148"/>
      <c r="L100" s="36"/>
      <c r="M100" s="36"/>
    </row>
    <row r="101" spans="1:13">
      <c r="E101" s="139"/>
      <c r="F101" s="139"/>
      <c r="G101" s="139"/>
      <c r="H101" s="139"/>
      <c r="I101" s="139"/>
      <c r="J101" s="139"/>
      <c r="K101" s="148"/>
      <c r="L101" s="36"/>
      <c r="M101" s="36"/>
    </row>
    <row r="102" spans="1:13" ht="15.75">
      <c r="C102" s="5" t="s">
        <v>233</v>
      </c>
      <c r="E102" s="305" t="str">
        <f>Inputs!D$11</f>
        <v>2009/10</v>
      </c>
      <c r="F102" s="305" t="str">
        <f>Inputs!E$11</f>
        <v>2010/11</v>
      </c>
      <c r="G102" s="305" t="str">
        <f>Inputs!F$11</f>
        <v>2011/12</v>
      </c>
      <c r="H102" s="305" t="str">
        <f>Inputs!G$11</f>
        <v>2012/13</v>
      </c>
      <c r="I102" s="305" t="str">
        <f>Inputs!H$11</f>
        <v>2013/14</v>
      </c>
      <c r="J102" s="305" t="str">
        <f>Inputs!I$11</f>
        <v>2014/15</v>
      </c>
      <c r="K102" s="148"/>
      <c r="L102" s="36"/>
      <c r="M102" s="36"/>
    </row>
    <row r="103" spans="1:13">
      <c r="C103" s="18" t="s">
        <v>65</v>
      </c>
      <c r="E103" s="306">
        <v>1</v>
      </c>
      <c r="F103" s="306">
        <v>2</v>
      </c>
      <c r="G103" s="306">
        <v>3</v>
      </c>
      <c r="H103" s="306">
        <v>4</v>
      </c>
      <c r="I103" s="306">
        <v>5</v>
      </c>
      <c r="J103" s="306">
        <v>6</v>
      </c>
      <c r="K103" s="148"/>
      <c r="L103" s="36"/>
      <c r="M103" s="36"/>
    </row>
    <row r="104" spans="1:13">
      <c r="C104" s="149" t="s">
        <v>40</v>
      </c>
      <c r="D104" s="153"/>
      <c r="E104" s="139">
        <f>E$25</f>
        <v>5000</v>
      </c>
      <c r="F104" s="139">
        <f t="shared" ref="F104:J104" si="28">F$25</f>
        <v>5506.8481688049496</v>
      </c>
      <c r="G104" s="139">
        <f t="shared" si="28"/>
        <v>5913.3770206574563</v>
      </c>
      <c r="H104" s="139">
        <f t="shared" si="28"/>
        <v>5932.4281807107036</v>
      </c>
      <c r="I104" s="139">
        <f t="shared" si="28"/>
        <v>6010.7389768051007</v>
      </c>
      <c r="J104" s="139">
        <f t="shared" si="28"/>
        <v>6175.1246828702624</v>
      </c>
      <c r="K104" s="148"/>
      <c r="L104" s="36"/>
      <c r="M104" s="36"/>
    </row>
    <row r="105" spans="1:13">
      <c r="A105" s="149">
        <v>1</v>
      </c>
      <c r="C105" s="149" t="s">
        <v>457</v>
      </c>
      <c r="E105" s="135">
        <v>0</v>
      </c>
      <c r="F105" s="139">
        <f>E123</f>
        <v>5000</v>
      </c>
      <c r="G105" s="139">
        <f t="shared" ref="G105:J105" si="29">F123</f>
        <v>4888.8888888888887</v>
      </c>
      <c r="H105" s="139">
        <f t="shared" si="29"/>
        <v>4777.7777777777774</v>
      </c>
      <c r="I105" s="139">
        <f t="shared" si="29"/>
        <v>4666.6666666666661</v>
      </c>
      <c r="J105" s="139">
        <f t="shared" si="29"/>
        <v>4555.5555555555547</v>
      </c>
      <c r="K105" s="148"/>
      <c r="L105" s="36"/>
      <c r="M105" s="36"/>
    </row>
    <row r="106" spans="1:13">
      <c r="A106" s="149">
        <v>2</v>
      </c>
      <c r="C106" s="149" t="s">
        <v>458</v>
      </c>
      <c r="E106" s="135">
        <v>0</v>
      </c>
      <c r="F106" s="139">
        <f t="shared" ref="F106:J109" si="30">E124</f>
        <v>0</v>
      </c>
      <c r="G106" s="139">
        <f t="shared" si="30"/>
        <v>5506.8481688049496</v>
      </c>
      <c r="H106" s="139">
        <f t="shared" si="30"/>
        <v>5384.4737650537281</v>
      </c>
      <c r="I106" s="139">
        <f t="shared" si="30"/>
        <v>5262.0993613025066</v>
      </c>
      <c r="J106" s="139">
        <f t="shared" si="30"/>
        <v>5139.7249575512851</v>
      </c>
      <c r="K106" s="148"/>
      <c r="L106" s="36"/>
      <c r="M106" s="36"/>
    </row>
    <row r="107" spans="1:13">
      <c r="A107" s="149">
        <v>3</v>
      </c>
      <c r="C107" s="149" t="s">
        <v>459</v>
      </c>
      <c r="E107" s="135">
        <v>0</v>
      </c>
      <c r="F107" s="139">
        <f t="shared" si="30"/>
        <v>0</v>
      </c>
      <c r="G107" s="139">
        <f t="shared" si="30"/>
        <v>0</v>
      </c>
      <c r="H107" s="139">
        <f t="shared" si="30"/>
        <v>5913.3770206574563</v>
      </c>
      <c r="I107" s="139">
        <f t="shared" si="30"/>
        <v>5781.9686424206238</v>
      </c>
      <c r="J107" s="139">
        <f t="shared" si="30"/>
        <v>5650.5602641837913</v>
      </c>
      <c r="K107" s="148"/>
      <c r="L107" s="36"/>
      <c r="M107" s="36"/>
    </row>
    <row r="108" spans="1:13">
      <c r="A108" s="149">
        <v>4</v>
      </c>
      <c r="C108" s="149" t="s">
        <v>460</v>
      </c>
      <c r="E108" s="135">
        <v>0</v>
      </c>
      <c r="F108" s="139">
        <f t="shared" si="30"/>
        <v>0</v>
      </c>
      <c r="G108" s="139">
        <f t="shared" si="30"/>
        <v>0</v>
      </c>
      <c r="H108" s="139">
        <f t="shared" si="30"/>
        <v>0</v>
      </c>
      <c r="I108" s="139">
        <f t="shared" si="30"/>
        <v>5932.4281807107036</v>
      </c>
      <c r="J108" s="139">
        <f t="shared" si="30"/>
        <v>5800.5964433615773</v>
      </c>
      <c r="K108" s="148"/>
      <c r="L108" s="36"/>
      <c r="M108" s="36"/>
    </row>
    <row r="109" spans="1:13">
      <c r="A109" s="149">
        <v>5</v>
      </c>
      <c r="C109" s="149" t="s">
        <v>461</v>
      </c>
      <c r="E109" s="135">
        <v>0</v>
      </c>
      <c r="F109" s="139">
        <f t="shared" si="30"/>
        <v>0</v>
      </c>
      <c r="G109" s="139">
        <f t="shared" si="30"/>
        <v>0</v>
      </c>
      <c r="H109" s="139">
        <f t="shared" si="30"/>
        <v>0</v>
      </c>
      <c r="I109" s="139">
        <f t="shared" si="30"/>
        <v>0</v>
      </c>
      <c r="J109" s="139">
        <f t="shared" si="30"/>
        <v>6010.7389768051007</v>
      </c>
      <c r="K109" s="148"/>
      <c r="L109" s="36"/>
      <c r="M109" s="36"/>
    </row>
    <row r="110" spans="1:13">
      <c r="A110" s="149">
        <v>6</v>
      </c>
      <c r="C110" s="149" t="s">
        <v>462</v>
      </c>
      <c r="E110" s="135">
        <v>0</v>
      </c>
      <c r="F110" s="139">
        <f>E128</f>
        <v>0</v>
      </c>
      <c r="G110" s="139">
        <f>F128</f>
        <v>0</v>
      </c>
      <c r="H110" s="139">
        <f>G128</f>
        <v>0</v>
      </c>
      <c r="I110" s="139">
        <f>H128</f>
        <v>0</v>
      </c>
      <c r="J110" s="139">
        <f>I128</f>
        <v>0</v>
      </c>
      <c r="K110" s="148"/>
      <c r="L110" s="36"/>
      <c r="M110" s="36"/>
    </row>
    <row r="111" spans="1:13">
      <c r="A111" s="149">
        <v>1</v>
      </c>
      <c r="C111" s="149" t="s">
        <v>463</v>
      </c>
      <c r="E111" s="135">
        <f>Inputs!$C$7+$A111</f>
        <v>46</v>
      </c>
      <c r="F111" s="139">
        <f>E111-1</f>
        <v>45</v>
      </c>
      <c r="G111" s="139">
        <f t="shared" ref="G111:J111" si="31">F111-1</f>
        <v>44</v>
      </c>
      <c r="H111" s="139">
        <f t="shared" si="31"/>
        <v>43</v>
      </c>
      <c r="I111" s="139">
        <f t="shared" si="31"/>
        <v>42</v>
      </c>
      <c r="J111" s="139">
        <f t="shared" si="31"/>
        <v>41</v>
      </c>
      <c r="K111" s="148"/>
      <c r="L111" s="36"/>
      <c r="M111" s="36"/>
    </row>
    <row r="112" spans="1:13">
      <c r="A112" s="149">
        <v>2</v>
      </c>
      <c r="C112" s="149" t="s">
        <v>464</v>
      </c>
      <c r="E112" s="135">
        <f>Inputs!$C$7+$A112</f>
        <v>47</v>
      </c>
      <c r="F112" s="139">
        <f t="shared" ref="F112:J116" si="32">E112-1</f>
        <v>46</v>
      </c>
      <c r="G112" s="139">
        <f t="shared" si="32"/>
        <v>45</v>
      </c>
      <c r="H112" s="139">
        <f t="shared" si="32"/>
        <v>44</v>
      </c>
      <c r="I112" s="139">
        <f t="shared" si="32"/>
        <v>43</v>
      </c>
      <c r="J112" s="139">
        <f t="shared" si="32"/>
        <v>42</v>
      </c>
      <c r="K112" s="148"/>
      <c r="L112" s="36"/>
      <c r="M112" s="36"/>
    </row>
    <row r="113" spans="1:13">
      <c r="A113" s="149">
        <v>3</v>
      </c>
      <c r="C113" s="149" t="s">
        <v>465</v>
      </c>
      <c r="E113" s="135">
        <f>Inputs!$C$7+$A113</f>
        <v>48</v>
      </c>
      <c r="F113" s="139">
        <f t="shared" si="32"/>
        <v>47</v>
      </c>
      <c r="G113" s="139">
        <f t="shared" si="32"/>
        <v>46</v>
      </c>
      <c r="H113" s="139">
        <f t="shared" si="32"/>
        <v>45</v>
      </c>
      <c r="I113" s="139">
        <f t="shared" si="32"/>
        <v>44</v>
      </c>
      <c r="J113" s="139">
        <f t="shared" si="32"/>
        <v>43</v>
      </c>
      <c r="K113" s="148"/>
      <c r="L113" s="36"/>
      <c r="M113" s="36"/>
    </row>
    <row r="114" spans="1:13">
      <c r="A114" s="149">
        <v>4</v>
      </c>
      <c r="C114" s="149" t="s">
        <v>466</v>
      </c>
      <c r="E114" s="135">
        <f>Inputs!$C$7+$A114</f>
        <v>49</v>
      </c>
      <c r="F114" s="139">
        <f t="shared" si="32"/>
        <v>48</v>
      </c>
      <c r="G114" s="139">
        <f t="shared" si="32"/>
        <v>47</v>
      </c>
      <c r="H114" s="139">
        <f t="shared" si="32"/>
        <v>46</v>
      </c>
      <c r="I114" s="139">
        <f t="shared" si="32"/>
        <v>45</v>
      </c>
      <c r="J114" s="139">
        <f t="shared" si="32"/>
        <v>44</v>
      </c>
      <c r="K114" s="148"/>
      <c r="L114" s="36"/>
      <c r="M114" s="36"/>
    </row>
    <row r="115" spans="1:13">
      <c r="A115" s="149">
        <v>5</v>
      </c>
      <c r="C115" s="149" t="s">
        <v>467</v>
      </c>
      <c r="E115" s="135">
        <f>Inputs!$C$7+$A115</f>
        <v>50</v>
      </c>
      <c r="F115" s="139">
        <f t="shared" si="32"/>
        <v>49</v>
      </c>
      <c r="G115" s="139">
        <f t="shared" si="32"/>
        <v>48</v>
      </c>
      <c r="H115" s="139">
        <f t="shared" si="32"/>
        <v>47</v>
      </c>
      <c r="I115" s="139">
        <f t="shared" si="32"/>
        <v>46</v>
      </c>
      <c r="J115" s="139">
        <f t="shared" si="32"/>
        <v>45</v>
      </c>
      <c r="K115" s="148"/>
      <c r="L115" s="36"/>
      <c r="M115" s="36"/>
    </row>
    <row r="116" spans="1:13">
      <c r="A116" s="149">
        <v>6</v>
      </c>
      <c r="C116" s="149" t="s">
        <v>468</v>
      </c>
      <c r="E116" s="135">
        <f>Inputs!$C$7+$A116</f>
        <v>51</v>
      </c>
      <c r="F116" s="139">
        <f t="shared" si="32"/>
        <v>50</v>
      </c>
      <c r="G116" s="139">
        <f t="shared" si="32"/>
        <v>49</v>
      </c>
      <c r="H116" s="139">
        <f t="shared" si="32"/>
        <v>48</v>
      </c>
      <c r="I116" s="139">
        <f t="shared" si="32"/>
        <v>47</v>
      </c>
      <c r="J116" s="139">
        <f t="shared" si="32"/>
        <v>46</v>
      </c>
      <c r="K116" s="148"/>
      <c r="L116" s="36"/>
      <c r="M116" s="36"/>
    </row>
    <row r="117" spans="1:13">
      <c r="A117" s="149">
        <v>1</v>
      </c>
      <c r="C117" s="149" t="s">
        <v>469</v>
      </c>
      <c r="E117" s="139">
        <f t="shared" ref="E117:J122" si="33">E105/E111</f>
        <v>0</v>
      </c>
      <c r="F117" s="139">
        <f t="shared" si="33"/>
        <v>111.11111111111111</v>
      </c>
      <c r="G117" s="139">
        <f t="shared" si="33"/>
        <v>111.1111111111111</v>
      </c>
      <c r="H117" s="139">
        <f t="shared" si="33"/>
        <v>111.1111111111111</v>
      </c>
      <c r="I117" s="139">
        <f t="shared" si="33"/>
        <v>111.1111111111111</v>
      </c>
      <c r="J117" s="139">
        <f t="shared" si="33"/>
        <v>111.11111111111109</v>
      </c>
      <c r="K117" s="148"/>
      <c r="L117" s="36"/>
      <c r="M117" s="36"/>
    </row>
    <row r="118" spans="1:13">
      <c r="A118" s="149">
        <v>2</v>
      </c>
      <c r="C118" s="149" t="s">
        <v>470</v>
      </c>
      <c r="E118" s="139">
        <f t="shared" si="33"/>
        <v>0</v>
      </c>
      <c r="F118" s="139">
        <f t="shared" si="33"/>
        <v>0</v>
      </c>
      <c r="G118" s="139">
        <f t="shared" si="33"/>
        <v>122.37440375122111</v>
      </c>
      <c r="H118" s="139">
        <f t="shared" si="33"/>
        <v>122.3744037512211</v>
      </c>
      <c r="I118" s="139">
        <f t="shared" si="33"/>
        <v>122.37440375122108</v>
      </c>
      <c r="J118" s="139">
        <f t="shared" si="33"/>
        <v>122.37440375122108</v>
      </c>
      <c r="K118" s="148"/>
      <c r="L118" s="36"/>
      <c r="M118" s="36"/>
    </row>
    <row r="119" spans="1:13">
      <c r="A119" s="149">
        <v>3</v>
      </c>
      <c r="C119" s="149" t="s">
        <v>471</v>
      </c>
      <c r="E119" s="139">
        <f t="shared" si="33"/>
        <v>0</v>
      </c>
      <c r="F119" s="139">
        <f t="shared" si="33"/>
        <v>0</v>
      </c>
      <c r="G119" s="139">
        <f t="shared" si="33"/>
        <v>0</v>
      </c>
      <c r="H119" s="139">
        <f t="shared" si="33"/>
        <v>131.40837823683236</v>
      </c>
      <c r="I119" s="139">
        <f t="shared" si="33"/>
        <v>131.40837823683236</v>
      </c>
      <c r="J119" s="139">
        <f t="shared" si="33"/>
        <v>131.40837823683236</v>
      </c>
      <c r="K119" s="148"/>
      <c r="L119" s="36"/>
      <c r="M119" s="36"/>
    </row>
    <row r="120" spans="1:13">
      <c r="A120" s="149">
        <v>4</v>
      </c>
      <c r="C120" s="149" t="s">
        <v>472</v>
      </c>
      <c r="E120" s="139">
        <f t="shared" si="33"/>
        <v>0</v>
      </c>
      <c r="F120" s="139">
        <f t="shared" si="33"/>
        <v>0</v>
      </c>
      <c r="G120" s="139">
        <f t="shared" si="33"/>
        <v>0</v>
      </c>
      <c r="H120" s="139">
        <f t="shared" si="33"/>
        <v>0</v>
      </c>
      <c r="I120" s="139">
        <f t="shared" si="33"/>
        <v>131.83173734912674</v>
      </c>
      <c r="J120" s="139">
        <f t="shared" si="33"/>
        <v>131.83173734912677</v>
      </c>
      <c r="K120" s="148"/>
      <c r="L120" s="36"/>
      <c r="M120" s="36"/>
    </row>
    <row r="121" spans="1:13">
      <c r="A121" s="149">
        <v>5</v>
      </c>
      <c r="C121" s="149" t="s">
        <v>473</v>
      </c>
      <c r="E121" s="139">
        <f t="shared" si="33"/>
        <v>0</v>
      </c>
      <c r="F121" s="139">
        <f t="shared" si="33"/>
        <v>0</v>
      </c>
      <c r="G121" s="139">
        <f t="shared" si="33"/>
        <v>0</v>
      </c>
      <c r="H121" s="139">
        <f t="shared" si="33"/>
        <v>0</v>
      </c>
      <c r="I121" s="139">
        <f t="shared" si="33"/>
        <v>0</v>
      </c>
      <c r="J121" s="139">
        <f t="shared" si="33"/>
        <v>133.57197726233557</v>
      </c>
      <c r="K121" s="148"/>
      <c r="L121" s="36"/>
      <c r="M121" s="36"/>
    </row>
    <row r="122" spans="1:13">
      <c r="A122" s="149">
        <v>6</v>
      </c>
      <c r="C122" s="149" t="s">
        <v>474</v>
      </c>
      <c r="E122" s="139">
        <f t="shared" si="33"/>
        <v>0</v>
      </c>
      <c r="F122" s="139">
        <f t="shared" si="33"/>
        <v>0</v>
      </c>
      <c r="G122" s="139">
        <f t="shared" si="33"/>
        <v>0</v>
      </c>
      <c r="H122" s="139">
        <f t="shared" si="33"/>
        <v>0</v>
      </c>
      <c r="I122" s="139">
        <f t="shared" si="33"/>
        <v>0</v>
      </c>
      <c r="J122" s="139">
        <f t="shared" si="33"/>
        <v>0</v>
      </c>
      <c r="K122" s="148"/>
      <c r="L122" s="36"/>
      <c r="M122" s="36"/>
    </row>
    <row r="123" spans="1:13">
      <c r="A123" s="149">
        <v>1</v>
      </c>
      <c r="C123" s="149" t="s">
        <v>475</v>
      </c>
      <c r="E123" s="139">
        <f>E105-E117+IF($A123=E$103,E$104,0)</f>
        <v>5000</v>
      </c>
      <c r="F123" s="139">
        <f t="shared" ref="F123:J123" si="34">F105-F117+IF($A123=F$103,F$104,0)</f>
        <v>4888.8888888888887</v>
      </c>
      <c r="G123" s="139">
        <f t="shared" si="34"/>
        <v>4777.7777777777774</v>
      </c>
      <c r="H123" s="139">
        <f t="shared" si="34"/>
        <v>4666.6666666666661</v>
      </c>
      <c r="I123" s="139">
        <f t="shared" si="34"/>
        <v>4555.5555555555547</v>
      </c>
      <c r="J123" s="139">
        <f t="shared" si="34"/>
        <v>4444.4444444444434</v>
      </c>
      <c r="K123" s="148"/>
      <c r="L123" s="36"/>
      <c r="M123" s="36"/>
    </row>
    <row r="124" spans="1:13">
      <c r="A124" s="149">
        <v>2</v>
      </c>
      <c r="C124" s="149" t="s">
        <v>476</v>
      </c>
      <c r="E124" s="139">
        <f t="shared" ref="E124:J128" si="35">E106-E118+IF($A124=E$103,E$104,0)</f>
        <v>0</v>
      </c>
      <c r="F124" s="139">
        <f t="shared" si="35"/>
        <v>5506.8481688049496</v>
      </c>
      <c r="G124" s="139">
        <f t="shared" si="35"/>
        <v>5384.4737650537281</v>
      </c>
      <c r="H124" s="139">
        <f t="shared" si="35"/>
        <v>5262.0993613025066</v>
      </c>
      <c r="I124" s="139">
        <f t="shared" si="35"/>
        <v>5139.7249575512851</v>
      </c>
      <c r="J124" s="139">
        <f t="shared" si="35"/>
        <v>5017.3505538000636</v>
      </c>
      <c r="K124" s="148"/>
      <c r="L124" s="36"/>
      <c r="M124" s="36"/>
    </row>
    <row r="125" spans="1:13">
      <c r="A125" s="149">
        <v>3</v>
      </c>
      <c r="C125" s="149" t="s">
        <v>477</v>
      </c>
      <c r="E125" s="139">
        <f t="shared" si="35"/>
        <v>0</v>
      </c>
      <c r="F125" s="139">
        <f t="shared" si="35"/>
        <v>0</v>
      </c>
      <c r="G125" s="139">
        <f t="shared" si="35"/>
        <v>5913.3770206574563</v>
      </c>
      <c r="H125" s="139">
        <f t="shared" si="35"/>
        <v>5781.9686424206238</v>
      </c>
      <c r="I125" s="139">
        <f t="shared" si="35"/>
        <v>5650.5602641837913</v>
      </c>
      <c r="J125" s="139">
        <f t="shared" si="35"/>
        <v>5519.1518859469588</v>
      </c>
      <c r="K125" s="148"/>
      <c r="L125" s="36"/>
      <c r="M125" s="36"/>
    </row>
    <row r="126" spans="1:13">
      <c r="A126" s="149">
        <v>4</v>
      </c>
      <c r="C126" s="149" t="s">
        <v>478</v>
      </c>
      <c r="E126" s="139">
        <f t="shared" si="35"/>
        <v>0</v>
      </c>
      <c r="F126" s="139">
        <f t="shared" si="35"/>
        <v>0</v>
      </c>
      <c r="G126" s="139">
        <f t="shared" si="35"/>
        <v>0</v>
      </c>
      <c r="H126" s="139">
        <f t="shared" si="35"/>
        <v>5932.4281807107036</v>
      </c>
      <c r="I126" s="139">
        <f t="shared" si="35"/>
        <v>5800.5964433615773</v>
      </c>
      <c r="J126" s="139">
        <f t="shared" si="35"/>
        <v>5668.7647060124509</v>
      </c>
      <c r="K126" s="148"/>
      <c r="L126" s="36"/>
      <c r="M126" s="36"/>
    </row>
    <row r="127" spans="1:13">
      <c r="A127" s="149">
        <v>5</v>
      </c>
      <c r="C127" s="149" t="s">
        <v>479</v>
      </c>
      <c r="E127" s="139">
        <f t="shared" si="35"/>
        <v>0</v>
      </c>
      <c r="F127" s="139">
        <f t="shared" si="35"/>
        <v>0</v>
      </c>
      <c r="G127" s="139">
        <f t="shared" si="35"/>
        <v>0</v>
      </c>
      <c r="H127" s="139">
        <f t="shared" si="35"/>
        <v>0</v>
      </c>
      <c r="I127" s="139">
        <f t="shared" si="35"/>
        <v>6010.7389768051007</v>
      </c>
      <c r="J127" s="139">
        <f t="shared" si="35"/>
        <v>5877.1669995427656</v>
      </c>
      <c r="K127" s="148"/>
      <c r="L127" s="36"/>
      <c r="M127" s="36"/>
    </row>
    <row r="128" spans="1:13">
      <c r="A128" s="149">
        <v>6</v>
      </c>
      <c r="C128" s="149" t="s">
        <v>480</v>
      </c>
      <c r="E128" s="139">
        <f t="shared" si="35"/>
        <v>0</v>
      </c>
      <c r="F128" s="139">
        <f t="shared" si="35"/>
        <v>0</v>
      </c>
      <c r="G128" s="139">
        <f t="shared" si="35"/>
        <v>0</v>
      </c>
      <c r="H128" s="139">
        <f t="shared" si="35"/>
        <v>0</v>
      </c>
      <c r="I128" s="139">
        <f t="shared" si="35"/>
        <v>0</v>
      </c>
      <c r="J128" s="139">
        <f t="shared" si="35"/>
        <v>6175.1246828702624</v>
      </c>
      <c r="K128" s="148"/>
      <c r="L128" s="36"/>
      <c r="M128" s="36"/>
    </row>
    <row r="129" spans="3:13">
      <c r="C129" s="149" t="s">
        <v>72</v>
      </c>
      <c r="E129" s="139">
        <f>SUM(E105:E110)</f>
        <v>0</v>
      </c>
      <c r="F129" s="139">
        <f t="shared" ref="F129:J129" si="36">SUM(F105:F110)</f>
        <v>5000</v>
      </c>
      <c r="G129" s="139">
        <f t="shared" si="36"/>
        <v>10395.737057693837</v>
      </c>
      <c r="H129" s="139">
        <f t="shared" si="36"/>
        <v>16075.628563488961</v>
      </c>
      <c r="I129" s="139">
        <f t="shared" si="36"/>
        <v>21643.1628511005</v>
      </c>
      <c r="J129" s="139">
        <f t="shared" si="36"/>
        <v>27157.176197457309</v>
      </c>
      <c r="K129" s="148"/>
      <c r="L129" s="36"/>
      <c r="M129" s="36"/>
    </row>
    <row r="130" spans="3:13">
      <c r="C130" s="149" t="s">
        <v>67</v>
      </c>
      <c r="E130" s="139">
        <f>SUM(E117:E122)</f>
        <v>0</v>
      </c>
      <c r="F130" s="139">
        <f t="shared" ref="F130:J130" si="37">SUM(F117:F122)</f>
        <v>111.11111111111111</v>
      </c>
      <c r="G130" s="139">
        <f t="shared" si="37"/>
        <v>233.4855148623322</v>
      </c>
      <c r="H130" s="139">
        <f t="shared" si="37"/>
        <v>364.89389309916453</v>
      </c>
      <c r="I130" s="139">
        <f t="shared" si="37"/>
        <v>496.72563044829127</v>
      </c>
      <c r="J130" s="139">
        <f t="shared" si="37"/>
        <v>630.29760771062683</v>
      </c>
      <c r="K130" s="148"/>
      <c r="L130" s="36"/>
      <c r="M130" s="36"/>
    </row>
    <row r="131" spans="3:13" s="36" customFormat="1">
      <c r="C131" s="36" t="s">
        <v>73</v>
      </c>
      <c r="E131" s="139">
        <f>SUM(E123:E128)</f>
        <v>5000</v>
      </c>
      <c r="F131" s="139">
        <f t="shared" ref="F131:J131" si="38">SUM(F123:F128)</f>
        <v>10395.737057693837</v>
      </c>
      <c r="G131" s="139">
        <f t="shared" si="38"/>
        <v>16075.628563488961</v>
      </c>
      <c r="H131" s="139">
        <f t="shared" si="38"/>
        <v>21643.1628511005</v>
      </c>
      <c r="I131" s="139">
        <f t="shared" si="38"/>
        <v>27157.176197457309</v>
      </c>
      <c r="J131" s="139">
        <f t="shared" si="38"/>
        <v>32702.003272616945</v>
      </c>
      <c r="K131" s="148"/>
    </row>
    <row r="132" spans="3:13" s="36" customFormat="1">
      <c r="E132" s="139"/>
      <c r="F132" s="139"/>
      <c r="G132" s="139"/>
      <c r="H132" s="139"/>
      <c r="I132" s="139"/>
      <c r="J132" s="139"/>
      <c r="K132" s="148"/>
    </row>
    <row r="133" spans="3:13" ht="15.75">
      <c r="C133" s="5" t="s">
        <v>68</v>
      </c>
      <c r="E133" s="36"/>
      <c r="F133" s="36"/>
      <c r="G133" s="36"/>
      <c r="H133" s="36"/>
      <c r="I133" s="36"/>
      <c r="J133" s="36"/>
      <c r="K133" s="148"/>
      <c r="L133" s="36"/>
      <c r="M133" s="36"/>
    </row>
    <row r="134" spans="3:13">
      <c r="C134" s="149" t="s">
        <v>70</v>
      </c>
      <c r="E134" s="135">
        <f>E58</f>
        <v>113965</v>
      </c>
      <c r="F134" s="139">
        <f>E137</f>
        <v>109481</v>
      </c>
      <c r="G134" s="139">
        <f t="shared" ref="G134:J134" si="39">F137</f>
        <v>105265.97152360124</v>
      </c>
      <c r="H134" s="139">
        <f t="shared" si="39"/>
        <v>101050.94304720248</v>
      </c>
      <c r="I134" s="139">
        <f t="shared" si="39"/>
        <v>96835.914570803725</v>
      </c>
      <c r="J134" s="139">
        <f t="shared" si="39"/>
        <v>92620.886094404967</v>
      </c>
      <c r="K134" s="148"/>
      <c r="L134" s="36"/>
      <c r="M134" s="36"/>
    </row>
    <row r="135" spans="3:13">
      <c r="C135" s="149" t="s">
        <v>41</v>
      </c>
      <c r="E135" s="139">
        <f t="shared" ref="E135:J135" si="40">E55</f>
        <v>259</v>
      </c>
      <c r="F135" s="139">
        <f t="shared" si="40"/>
        <v>0</v>
      </c>
      <c r="G135" s="139">
        <f t="shared" si="40"/>
        <v>0</v>
      </c>
      <c r="H135" s="139">
        <f t="shared" si="40"/>
        <v>0</v>
      </c>
      <c r="I135" s="139">
        <f t="shared" si="40"/>
        <v>0</v>
      </c>
      <c r="J135" s="139">
        <f t="shared" si="40"/>
        <v>0</v>
      </c>
      <c r="K135" s="148"/>
      <c r="L135" s="36"/>
      <c r="M135" s="36"/>
    </row>
    <row r="136" spans="3:13">
      <c r="C136" s="155" t="s">
        <v>69</v>
      </c>
      <c r="E136" s="139">
        <f t="shared" ref="E136:J136" si="41">E134/E$53</f>
        <v>4225</v>
      </c>
      <c r="F136" s="139">
        <f t="shared" si="41"/>
        <v>4215.0284763987602</v>
      </c>
      <c r="G136" s="139">
        <f t="shared" si="41"/>
        <v>4215.0284763987602</v>
      </c>
      <c r="H136" s="139">
        <f t="shared" si="41"/>
        <v>4215.0284763987602</v>
      </c>
      <c r="I136" s="139">
        <f t="shared" si="41"/>
        <v>4215.0284763987611</v>
      </c>
      <c r="J136" s="139">
        <f t="shared" si="41"/>
        <v>4215.0284763987611</v>
      </c>
      <c r="K136" s="148"/>
      <c r="L136" s="36"/>
      <c r="M136" s="36"/>
    </row>
    <row r="137" spans="3:13">
      <c r="C137" s="149" t="s">
        <v>66</v>
      </c>
      <c r="E137" s="139">
        <f t="shared" ref="E137:J137" si="42">E134-E135-E136</f>
        <v>109481</v>
      </c>
      <c r="F137" s="139">
        <f t="shared" si="42"/>
        <v>105265.97152360124</v>
      </c>
      <c r="G137" s="139">
        <f t="shared" si="42"/>
        <v>101050.94304720248</v>
      </c>
      <c r="H137" s="139">
        <f t="shared" si="42"/>
        <v>96835.914570803725</v>
      </c>
      <c r="I137" s="139">
        <f t="shared" si="42"/>
        <v>92620.886094404967</v>
      </c>
      <c r="J137" s="139">
        <f t="shared" si="42"/>
        <v>88405.857618006208</v>
      </c>
      <c r="K137" s="148"/>
      <c r="L137" s="36"/>
      <c r="M137" s="36"/>
    </row>
    <row r="138" spans="3:13">
      <c r="E138" s="139"/>
      <c r="F138" s="139"/>
      <c r="G138" s="139"/>
      <c r="H138" s="139"/>
      <c r="I138" s="139"/>
      <c r="J138" s="139"/>
      <c r="K138" s="148"/>
      <c r="L138" s="36"/>
      <c r="M138" s="36"/>
    </row>
    <row r="139" spans="3:13" ht="15.75">
      <c r="C139" s="5" t="s">
        <v>71</v>
      </c>
      <c r="E139" s="36"/>
      <c r="F139" s="36"/>
      <c r="G139" s="36"/>
      <c r="H139" s="36"/>
      <c r="I139" s="36"/>
      <c r="J139" s="36"/>
      <c r="K139" s="148"/>
      <c r="L139" s="36"/>
      <c r="M139" s="36"/>
    </row>
    <row r="140" spans="3:13">
      <c r="C140" s="149" t="s">
        <v>269</v>
      </c>
      <c r="E140" s="139">
        <f t="shared" ref="E140:J140" si="43">E58+E97</f>
        <v>113965</v>
      </c>
      <c r="F140" s="139">
        <f t="shared" si="43"/>
        <v>116440.59215062564</v>
      </c>
      <c r="G140" s="139">
        <f t="shared" si="43"/>
        <v>119852.80166466284</v>
      </c>
      <c r="H140" s="139">
        <f t="shared" si="43"/>
        <v>124068.76427218296</v>
      </c>
      <c r="I140" s="139">
        <f t="shared" si="43"/>
        <v>128148.89511421147</v>
      </c>
      <c r="J140" s="139">
        <f t="shared" si="43"/>
        <v>132151.55721788641</v>
      </c>
      <c r="K140" s="148"/>
      <c r="L140" s="36"/>
      <c r="M140" s="36"/>
    </row>
    <row r="141" spans="3:13">
      <c r="C141" s="149" t="s">
        <v>268</v>
      </c>
      <c r="E141" s="139">
        <f t="shared" ref="E141:J143" si="44">E60+E98</f>
        <v>1959.5921506256382</v>
      </c>
      <c r="F141" s="139">
        <f t="shared" si="44"/>
        <v>2306.9454091080065</v>
      </c>
      <c r="G141" s="139">
        <f t="shared" si="44"/>
        <v>2917.2028856853831</v>
      </c>
      <c r="H141" s="139">
        <f t="shared" si="44"/>
        <v>3010.6251512033436</v>
      </c>
      <c r="I141" s="139">
        <f t="shared" si="44"/>
        <v>3109.6327024211773</v>
      </c>
      <c r="J141" s="139">
        <f t="shared" si="44"/>
        <v>3206.7604143943199</v>
      </c>
      <c r="K141" s="148"/>
      <c r="L141" s="36"/>
      <c r="M141" s="36"/>
    </row>
    <row r="142" spans="3:13">
      <c r="C142" s="149" t="s">
        <v>267</v>
      </c>
      <c r="E142" s="139">
        <f>E61+E99</f>
        <v>4225</v>
      </c>
      <c r="F142" s="139">
        <f t="shared" si="44"/>
        <v>4401.5840638757672</v>
      </c>
      <c r="G142" s="139">
        <f t="shared" si="44"/>
        <v>4614.6172988227117</v>
      </c>
      <c r="H142" s="139">
        <f t="shared" si="44"/>
        <v>4862.9224898855346</v>
      </c>
      <c r="I142" s="139">
        <f t="shared" si="44"/>
        <v>5117.7095755513319</v>
      </c>
      <c r="J142" s="139">
        <f t="shared" si="44"/>
        <v>5380.8439375568905</v>
      </c>
      <c r="K142" s="148"/>
      <c r="L142" s="36"/>
      <c r="M142" s="36"/>
    </row>
    <row r="143" spans="3:13">
      <c r="C143" s="149" t="s">
        <v>270</v>
      </c>
      <c r="E143" s="139">
        <f t="shared" si="44"/>
        <v>116440.59215062564</v>
      </c>
      <c r="F143" s="139">
        <f t="shared" si="44"/>
        <v>119852.80166466284</v>
      </c>
      <c r="G143" s="139">
        <f t="shared" si="44"/>
        <v>124068.76427218296</v>
      </c>
      <c r="H143" s="139">
        <f t="shared" si="44"/>
        <v>128148.89511421147</v>
      </c>
      <c r="I143" s="139">
        <f t="shared" si="44"/>
        <v>132151.55721788641</v>
      </c>
      <c r="J143" s="216">
        <f t="shared" si="44"/>
        <v>136152.59837759411</v>
      </c>
      <c r="K143" s="148"/>
      <c r="L143" s="36"/>
      <c r="M143" s="36"/>
    </row>
    <row r="144" spans="3:13">
      <c r="C144" s="149" t="s">
        <v>46</v>
      </c>
      <c r="E144" s="139">
        <f t="shared" ref="E144:J144" si="45">E130+E136</f>
        <v>4225</v>
      </c>
      <c r="F144" s="139">
        <f t="shared" si="45"/>
        <v>4326.1395875098715</v>
      </c>
      <c r="G144" s="139">
        <f t="shared" si="45"/>
        <v>4448.5139912610921</v>
      </c>
      <c r="H144" s="139">
        <f t="shared" si="45"/>
        <v>4579.9223694979246</v>
      </c>
      <c r="I144" s="139">
        <f t="shared" si="45"/>
        <v>4711.7541068470528</v>
      </c>
      <c r="J144" s="139">
        <f t="shared" si="45"/>
        <v>4845.3260841093879</v>
      </c>
      <c r="K144" s="148"/>
      <c r="L144" s="36"/>
      <c r="M144" s="36"/>
    </row>
    <row r="145" spans="1:13">
      <c r="C145" s="149" t="s">
        <v>294</v>
      </c>
      <c r="E145" s="36"/>
      <c r="F145" s="307">
        <f>F140+F104+F141-F142-F55-F143</f>
        <v>0</v>
      </c>
      <c r="G145" s="307">
        <f>G140+G104+G141-G142-G55-G143</f>
        <v>0</v>
      </c>
      <c r="H145" s="307">
        <f>H140+H104+H141-H142-H55-H143</f>
        <v>0</v>
      </c>
      <c r="I145" s="307">
        <f>I140+I104+I141-I142-I55-I143</f>
        <v>0</v>
      </c>
      <c r="J145" s="307">
        <f>J140+J104+J141-J142-J55-J143</f>
        <v>0</v>
      </c>
      <c r="K145" s="148"/>
      <c r="L145" s="36"/>
      <c r="M145" s="36"/>
    </row>
    <row r="146" spans="1:13">
      <c r="E146" s="36"/>
      <c r="F146" s="139"/>
      <c r="G146" s="139"/>
      <c r="H146" s="36"/>
      <c r="I146" s="36"/>
      <c r="J146" s="36"/>
      <c r="K146" s="148"/>
      <c r="L146" s="36"/>
      <c r="M146" s="36"/>
    </row>
    <row r="147" spans="1:13" ht="15.75">
      <c r="C147" s="5" t="s">
        <v>98</v>
      </c>
      <c r="E147" s="36"/>
      <c r="F147" s="36"/>
      <c r="G147" s="36"/>
      <c r="H147" s="36"/>
      <c r="I147" s="36"/>
      <c r="J147" s="36"/>
      <c r="K147" s="148"/>
      <c r="L147" s="36"/>
      <c r="M147" s="36"/>
    </row>
    <row r="148" spans="1:13" ht="15.75">
      <c r="C148" s="15" t="s">
        <v>274</v>
      </c>
      <c r="E148" s="139"/>
      <c r="F148" s="308">
        <f>F140/$E140</f>
        <v>1.0217223897742784</v>
      </c>
      <c r="G148" s="308">
        <f t="shared" ref="G148:J148" si="46">G140/$E140</f>
        <v>1.0516632445458065</v>
      </c>
      <c r="H148" s="308">
        <f t="shared" si="46"/>
        <v>1.0886567303310926</v>
      </c>
      <c r="I148" s="308">
        <f t="shared" si="46"/>
        <v>1.1244583434757291</v>
      </c>
      <c r="J148" s="308">
        <f t="shared" si="46"/>
        <v>1.1595801975859819</v>
      </c>
      <c r="K148" s="148"/>
      <c r="L148" s="36"/>
      <c r="M148" s="36"/>
    </row>
    <row r="149" spans="1:13">
      <c r="C149" s="149" t="s">
        <v>98</v>
      </c>
      <c r="E149" s="135">
        <f>IF(E18&gt;0,E18,0)</f>
        <v>0</v>
      </c>
      <c r="F149" s="139">
        <f>$E149*F148</f>
        <v>0</v>
      </c>
      <c r="G149" s="139">
        <f t="shared" ref="G149:J149" si="47">$E149*G148</f>
        <v>0</v>
      </c>
      <c r="H149" s="139">
        <f t="shared" si="47"/>
        <v>0</v>
      </c>
      <c r="I149" s="139">
        <f t="shared" si="47"/>
        <v>0</v>
      </c>
      <c r="J149" s="139">
        <f t="shared" si="47"/>
        <v>0</v>
      </c>
      <c r="K149" s="148"/>
      <c r="L149" s="36"/>
      <c r="M149" s="36"/>
    </row>
    <row r="150" spans="1:13">
      <c r="E150" s="36"/>
      <c r="F150" s="36"/>
      <c r="G150" s="36"/>
      <c r="H150" s="36"/>
      <c r="I150" s="36"/>
      <c r="J150" s="36"/>
      <c r="K150" s="148"/>
      <c r="L150" s="36"/>
      <c r="M150" s="36"/>
    </row>
    <row r="151" spans="1:13" ht="15.75">
      <c r="C151" s="5" t="s">
        <v>47</v>
      </c>
      <c r="E151" s="36"/>
      <c r="F151" s="36"/>
      <c r="G151" s="36"/>
      <c r="H151" s="36"/>
      <c r="I151" s="36"/>
      <c r="J151" s="36"/>
      <c r="K151" s="148"/>
      <c r="L151" s="36"/>
      <c r="M151" s="36"/>
    </row>
    <row r="152" spans="1:13">
      <c r="C152" s="149" t="s">
        <v>271</v>
      </c>
      <c r="D152" s="152">
        <f>E15/E16</f>
        <v>9.5983209337246606E-2</v>
      </c>
      <c r="E152" s="36"/>
      <c r="F152" s="36"/>
      <c r="G152" s="36"/>
      <c r="H152" s="36"/>
      <c r="I152" s="36"/>
      <c r="J152" s="36"/>
      <c r="K152" s="148"/>
      <c r="L152" s="36"/>
      <c r="M152" s="36"/>
    </row>
    <row r="153" spans="1:13">
      <c r="C153" s="149" t="s">
        <v>282</v>
      </c>
      <c r="E153" s="135">
        <f>E16</f>
        <v>58604</v>
      </c>
      <c r="F153" s="139">
        <f>E157</f>
        <v>57720</v>
      </c>
      <c r="G153" s="139">
        <f t="shared" ref="G153:J153" si="48">F157</f>
        <v>57686.697325859073</v>
      </c>
      <c r="H153" s="139">
        <f t="shared" si="48"/>
        <v>58063.120001114214</v>
      </c>
      <c r="I153" s="139">
        <f t="shared" si="48"/>
        <v>58422.463579984302</v>
      </c>
      <c r="J153" s="139">
        <f t="shared" si="48"/>
        <v>58825.627004994101</v>
      </c>
      <c r="K153" s="148"/>
      <c r="L153" s="36"/>
      <c r="M153" s="36"/>
    </row>
    <row r="154" spans="1:13">
      <c r="C154" s="149" t="s">
        <v>35</v>
      </c>
      <c r="E154" s="135">
        <f>E15</f>
        <v>5625</v>
      </c>
      <c r="F154" s="139">
        <f t="shared" ref="F154:J154" si="49">F153*$D152</f>
        <v>5540.1508429458745</v>
      </c>
      <c r="G154" s="139">
        <f t="shared" si="49"/>
        <v>5536.9543454023151</v>
      </c>
      <c r="H154" s="139">
        <f t="shared" si="49"/>
        <v>5573.0846018406155</v>
      </c>
      <c r="I154" s="139">
        <f t="shared" si="49"/>
        <v>5607.5755517952994</v>
      </c>
      <c r="J154" s="139">
        <f t="shared" si="49"/>
        <v>5646.2724712151357</v>
      </c>
      <c r="K154" s="148"/>
      <c r="L154" s="36"/>
      <c r="M154" s="36"/>
    </row>
    <row r="155" spans="1:13">
      <c r="C155" s="149" t="s">
        <v>124</v>
      </c>
      <c r="E155" s="139">
        <f t="shared" ref="E155:J155" si="50">E25</f>
        <v>5000</v>
      </c>
      <c r="F155" s="139">
        <f t="shared" si="50"/>
        <v>5506.8481688049496</v>
      </c>
      <c r="G155" s="139">
        <f t="shared" si="50"/>
        <v>5913.3770206574563</v>
      </c>
      <c r="H155" s="139">
        <f t="shared" si="50"/>
        <v>5932.4281807107036</v>
      </c>
      <c r="I155" s="139">
        <f t="shared" si="50"/>
        <v>6010.7389768051007</v>
      </c>
      <c r="J155" s="139">
        <f t="shared" si="50"/>
        <v>6175.1246828702624</v>
      </c>
      <c r="K155" s="148"/>
      <c r="L155" s="309"/>
      <c r="M155" s="36"/>
    </row>
    <row r="156" spans="1:13">
      <c r="C156" s="149" t="s">
        <v>41</v>
      </c>
      <c r="E156" s="139">
        <f>E55</f>
        <v>259</v>
      </c>
      <c r="F156" s="139">
        <f t="shared" ref="F156:J156" si="51">F55</f>
        <v>0</v>
      </c>
      <c r="G156" s="139">
        <f t="shared" si="51"/>
        <v>0</v>
      </c>
      <c r="H156" s="139">
        <f t="shared" si="51"/>
        <v>0</v>
      </c>
      <c r="I156" s="139">
        <f t="shared" si="51"/>
        <v>0</v>
      </c>
      <c r="J156" s="139">
        <f t="shared" si="51"/>
        <v>0</v>
      </c>
      <c r="K156" s="148"/>
      <c r="L156" s="309"/>
      <c r="M156" s="36"/>
    </row>
    <row r="157" spans="1:13">
      <c r="C157" s="149" t="s">
        <v>239</v>
      </c>
      <c r="E157" s="139">
        <f>E153-E154+E155-E156</f>
        <v>57720</v>
      </c>
      <c r="F157" s="139">
        <f t="shared" ref="F157:J157" si="52">F153-F154+F155-F156</f>
        <v>57686.697325859073</v>
      </c>
      <c r="G157" s="139">
        <f t="shared" si="52"/>
        <v>58063.120001114214</v>
      </c>
      <c r="H157" s="139">
        <f t="shared" si="52"/>
        <v>58422.463579984302</v>
      </c>
      <c r="I157" s="139">
        <f t="shared" si="52"/>
        <v>58825.627004994101</v>
      </c>
      <c r="J157" s="139">
        <f t="shared" si="52"/>
        <v>59354.479216649233</v>
      </c>
      <c r="K157" s="148"/>
      <c r="L157" s="36"/>
      <c r="M157" s="36"/>
    </row>
    <row r="158" spans="1:13">
      <c r="E158" s="36"/>
      <c r="F158" s="36"/>
      <c r="G158" s="36"/>
      <c r="H158" s="36"/>
      <c r="I158" s="36"/>
      <c r="J158" s="36"/>
      <c r="K158" s="148"/>
      <c r="L158" s="309"/>
      <c r="M158" s="36"/>
    </row>
    <row r="159" spans="1:13" ht="15.75">
      <c r="C159" s="5" t="s">
        <v>240</v>
      </c>
      <c r="E159" s="36"/>
      <c r="F159" s="36"/>
      <c r="G159" s="36"/>
      <c r="H159" s="36"/>
      <c r="I159" s="36"/>
      <c r="J159" s="36"/>
      <c r="K159" s="148"/>
      <c r="L159" s="309"/>
      <c r="M159" s="36"/>
    </row>
    <row r="160" spans="1:13">
      <c r="A160" s="155"/>
      <c r="B160" s="155"/>
      <c r="C160" s="149" t="s">
        <v>238</v>
      </c>
      <c r="E160" s="139">
        <f t="shared" ref="E160:J160" si="53">E144-E154</f>
        <v>-1400</v>
      </c>
      <c r="F160" s="139">
        <f t="shared" si="53"/>
        <v>-1214.011255436003</v>
      </c>
      <c r="G160" s="139">
        <f t="shared" si="53"/>
        <v>-1088.440354141223</v>
      </c>
      <c r="H160" s="139">
        <f t="shared" si="53"/>
        <v>-993.16223234269091</v>
      </c>
      <c r="I160" s="139">
        <f t="shared" si="53"/>
        <v>-895.82144494824661</v>
      </c>
      <c r="J160" s="139">
        <f t="shared" si="53"/>
        <v>-800.94638710574782</v>
      </c>
      <c r="K160" s="148"/>
      <c r="L160" s="309"/>
      <c r="M160" s="36"/>
    </row>
    <row r="161" spans="3:13">
      <c r="E161" s="36"/>
      <c r="F161" s="36"/>
      <c r="G161" s="36"/>
      <c r="H161" s="36"/>
      <c r="I161" s="36"/>
      <c r="J161" s="36"/>
      <c r="K161" s="148"/>
      <c r="L161" s="36"/>
      <c r="M161" s="36"/>
    </row>
    <row r="162" spans="3:13" ht="15.75">
      <c r="C162" s="5" t="s">
        <v>48</v>
      </c>
      <c r="E162" s="36"/>
      <c r="F162" s="36"/>
      <c r="G162" s="36"/>
      <c r="H162" s="36"/>
      <c r="I162" s="36"/>
      <c r="J162" s="36"/>
      <c r="K162" s="148"/>
      <c r="L162" s="36"/>
      <c r="M162" s="36"/>
    </row>
    <row r="163" spans="3:13">
      <c r="C163" s="149" t="s">
        <v>265</v>
      </c>
      <c r="E163" s="223">
        <v>0</v>
      </c>
      <c r="F163" s="310">
        <f>E166</f>
        <v>-908.4794117647059</v>
      </c>
      <c r="G163" s="310">
        <f t="shared" ref="G163:J163" si="54">F166</f>
        <v>-1761.1622001602127</v>
      </c>
      <c r="H163" s="310">
        <f t="shared" si="54"/>
        <v>-2521.839616966814</v>
      </c>
      <c r="I163" s="310">
        <f t="shared" si="54"/>
        <v>-3255.8391596698266</v>
      </c>
      <c r="J163" s="310">
        <f t="shared" si="54"/>
        <v>-3962.5832819023944</v>
      </c>
      <c r="K163" s="148"/>
      <c r="L163" s="36"/>
      <c r="M163" s="36"/>
    </row>
    <row r="164" spans="3:13">
      <c r="C164" s="149" t="s">
        <v>238</v>
      </c>
      <c r="E164" s="139">
        <f t="shared" ref="E164:J164" si="55">E160</f>
        <v>-1400</v>
      </c>
      <c r="F164" s="139">
        <f t="shared" si="55"/>
        <v>-1214.011255436003</v>
      </c>
      <c r="G164" s="139">
        <f t="shared" si="55"/>
        <v>-1088.440354141223</v>
      </c>
      <c r="H164" s="139">
        <f t="shared" si="55"/>
        <v>-993.16223234269091</v>
      </c>
      <c r="I164" s="139">
        <f t="shared" si="55"/>
        <v>-895.82144494824661</v>
      </c>
      <c r="J164" s="139">
        <f t="shared" si="55"/>
        <v>-800.94638710574782</v>
      </c>
      <c r="K164" s="148"/>
      <c r="L164" s="36"/>
      <c r="M164" s="36"/>
    </row>
    <row r="165" spans="3:13">
      <c r="C165" s="149" t="s">
        <v>49</v>
      </c>
      <c r="E165" s="135">
        <f>(E11-E16)/E17</f>
        <v>1628.2647058823529</v>
      </c>
      <c r="F165" s="139">
        <f>E165</f>
        <v>1628.2647058823529</v>
      </c>
      <c r="G165" s="139">
        <f t="shared" ref="G165:J165" si="56">F165</f>
        <v>1628.2647058823529</v>
      </c>
      <c r="H165" s="139">
        <f t="shared" si="56"/>
        <v>1628.2647058823529</v>
      </c>
      <c r="I165" s="139">
        <f t="shared" si="56"/>
        <v>1628.2647058823529</v>
      </c>
      <c r="J165" s="139">
        <f t="shared" si="56"/>
        <v>1628.2647058823529</v>
      </c>
      <c r="K165" s="148"/>
      <c r="L165" s="36"/>
      <c r="M165" s="36"/>
    </row>
    <row r="166" spans="3:13">
      <c r="C166" s="149" t="s">
        <v>266</v>
      </c>
      <c r="E166" s="310">
        <f t="shared" ref="E166:J166" si="57">E163+(E164-E165)*E52</f>
        <v>-908.4794117647059</v>
      </c>
      <c r="F166" s="310">
        <f t="shared" si="57"/>
        <v>-1761.1622001602127</v>
      </c>
      <c r="G166" s="310">
        <f t="shared" si="57"/>
        <v>-2521.839616966814</v>
      </c>
      <c r="H166" s="310">
        <f t="shared" si="57"/>
        <v>-3255.8391596698266</v>
      </c>
      <c r="I166" s="310">
        <f t="shared" si="57"/>
        <v>-3962.5832819023944</v>
      </c>
      <c r="J166" s="310">
        <f t="shared" si="57"/>
        <v>-4642.762387939063</v>
      </c>
      <c r="K166" s="148"/>
      <c r="L166" s="36"/>
      <c r="M166" s="36"/>
    </row>
    <row r="167" spans="3:13">
      <c r="E167" s="310"/>
      <c r="F167" s="310"/>
      <c r="G167" s="310"/>
      <c r="H167" s="310"/>
      <c r="I167" s="310"/>
      <c r="J167" s="310"/>
      <c r="K167" s="148"/>
      <c r="L167" s="36"/>
      <c r="M167" s="36"/>
    </row>
    <row r="168" spans="3:13" ht="15.75">
      <c r="C168" s="5" t="s">
        <v>334</v>
      </c>
      <c r="E168" s="36"/>
      <c r="F168" s="36"/>
      <c r="G168" s="36"/>
      <c r="H168" s="36"/>
      <c r="I168" s="36"/>
      <c r="J168" s="36"/>
      <c r="K168" s="148"/>
      <c r="L168" s="36"/>
      <c r="M168" s="36"/>
    </row>
    <row r="169" spans="3:13">
      <c r="C169" s="149" t="s">
        <v>166</v>
      </c>
      <c r="E169" s="139">
        <f t="shared" ref="E169:J169" si="58">E140+E163</f>
        <v>113965</v>
      </c>
      <c r="F169" s="139">
        <f t="shared" si="58"/>
        <v>115532.11273886093</v>
      </c>
      <c r="G169" s="139">
        <f t="shared" si="58"/>
        <v>118091.63946450263</v>
      </c>
      <c r="H169" s="139">
        <f t="shared" si="58"/>
        <v>121546.92465521615</v>
      </c>
      <c r="I169" s="139">
        <f t="shared" si="58"/>
        <v>124893.05595454165</v>
      </c>
      <c r="J169" s="139">
        <f t="shared" si="58"/>
        <v>128188.97393598402</v>
      </c>
      <c r="K169" s="148"/>
      <c r="L169" s="36"/>
      <c r="M169" s="36"/>
    </row>
    <row r="170" spans="3:13">
      <c r="C170" s="149" t="s">
        <v>124</v>
      </c>
      <c r="E170" s="139">
        <f t="shared" ref="E170:J170" si="59">E25</f>
        <v>5000</v>
      </c>
      <c r="F170" s="139">
        <f t="shared" si="59"/>
        <v>5506.8481688049496</v>
      </c>
      <c r="G170" s="139">
        <f t="shared" si="59"/>
        <v>5913.3770206574563</v>
      </c>
      <c r="H170" s="139">
        <f t="shared" si="59"/>
        <v>5932.4281807107036</v>
      </c>
      <c r="I170" s="139">
        <f t="shared" si="59"/>
        <v>6010.7389768051007</v>
      </c>
      <c r="J170" s="139">
        <f t="shared" si="59"/>
        <v>6175.1246828702624</v>
      </c>
      <c r="K170" s="148"/>
      <c r="L170" s="36"/>
      <c r="M170" s="36"/>
    </row>
    <row r="171" spans="3:13">
      <c r="C171" s="149" t="s">
        <v>222</v>
      </c>
      <c r="E171" s="95">
        <f t="shared" ref="E171:J171" si="60">E149</f>
        <v>0</v>
      </c>
      <c r="F171" s="95">
        <f t="shared" si="60"/>
        <v>0</v>
      </c>
      <c r="G171" s="95">
        <f t="shared" si="60"/>
        <v>0</v>
      </c>
      <c r="H171" s="95">
        <f t="shared" si="60"/>
        <v>0</v>
      </c>
      <c r="I171" s="95">
        <f t="shared" si="60"/>
        <v>0</v>
      </c>
      <c r="J171" s="95">
        <f t="shared" si="60"/>
        <v>0</v>
      </c>
      <c r="K171" s="148"/>
      <c r="L171" s="36"/>
      <c r="M171" s="36"/>
    </row>
    <row r="172" spans="3:13">
      <c r="C172" s="149" t="s">
        <v>45</v>
      </c>
      <c r="E172" s="95">
        <f t="shared" ref="E172:J172" si="61">E141</f>
        <v>1959.5921506256382</v>
      </c>
      <c r="F172" s="95">
        <f t="shared" si="61"/>
        <v>2306.9454091080065</v>
      </c>
      <c r="G172" s="95">
        <f t="shared" si="61"/>
        <v>2917.2028856853831</v>
      </c>
      <c r="H172" s="95">
        <f t="shared" si="61"/>
        <v>3010.6251512033436</v>
      </c>
      <c r="I172" s="95">
        <f t="shared" si="61"/>
        <v>3109.6327024211773</v>
      </c>
      <c r="J172" s="95">
        <f t="shared" si="61"/>
        <v>3206.7604143943199</v>
      </c>
      <c r="K172" s="148"/>
      <c r="L172" s="36"/>
      <c r="M172" s="36"/>
    </row>
    <row r="173" spans="3:13">
      <c r="C173" s="149" t="s">
        <v>334</v>
      </c>
      <c r="E173" s="139">
        <f t="shared" ref="E173:J173" si="62">E169*WACC+E170*($D$46-1)+E171-E172</f>
        <v>8249.180720770888</v>
      </c>
      <c r="F173" s="139">
        <f t="shared" si="62"/>
        <v>8060.960646284424</v>
      </c>
      <c r="G173" s="139">
        <f t="shared" si="62"/>
        <v>7692.5765434441473</v>
      </c>
      <c r="H173" s="139">
        <f t="shared" si="62"/>
        <v>7902.9983402468915</v>
      </c>
      <c r="I173" s="139">
        <f t="shared" si="62"/>
        <v>8100.7988696803022</v>
      </c>
      <c r="J173" s="139">
        <f t="shared" si="62"/>
        <v>8299.7602659496333</v>
      </c>
      <c r="K173" s="148"/>
      <c r="L173" s="36"/>
      <c r="M173" s="36"/>
    </row>
    <row r="174" spans="3:13">
      <c r="E174" s="310"/>
      <c r="F174" s="310"/>
      <c r="G174" s="310"/>
      <c r="H174" s="310"/>
      <c r="I174" s="310"/>
      <c r="J174" s="310"/>
      <c r="K174" s="148"/>
      <c r="L174" s="36"/>
      <c r="M174" s="36"/>
    </row>
    <row r="175" spans="3:13" ht="15.75">
      <c r="C175" s="5" t="s">
        <v>50</v>
      </c>
      <c r="E175" s="36"/>
      <c r="F175" s="36"/>
      <c r="G175" s="36"/>
      <c r="H175" s="36"/>
      <c r="I175" s="36"/>
      <c r="J175" s="36"/>
      <c r="K175" s="148"/>
      <c r="L175" s="36"/>
      <c r="M175" s="36"/>
    </row>
    <row r="176" spans="3:13">
      <c r="C176" s="155" t="s">
        <v>51</v>
      </c>
      <c r="E176" s="310">
        <f t="shared" ref="E176:J176" si="63">E169*Leverage*Debt+E149</f>
        <v>3976.4667799999997</v>
      </c>
      <c r="F176" s="310">
        <f t="shared" si="63"/>
        <v>4031.1464776843354</v>
      </c>
      <c r="G176" s="310">
        <f t="shared" si="63"/>
        <v>4120.4534841954255</v>
      </c>
      <c r="H176" s="310">
        <f t="shared" si="63"/>
        <v>4241.0152950698021</v>
      </c>
      <c r="I176" s="310">
        <f t="shared" si="63"/>
        <v>4357.7685083658671</v>
      </c>
      <c r="J176" s="310">
        <f t="shared" si="63"/>
        <v>4472.7696785743537</v>
      </c>
      <c r="K176" s="148"/>
      <c r="L176" s="36"/>
      <c r="M176" s="36"/>
    </row>
    <row r="177" spans="3:13">
      <c r="C177" s="149" t="s">
        <v>52</v>
      </c>
      <c r="E177" s="310">
        <f t="shared" ref="E177:J177" si="64">E142-E144</f>
        <v>0</v>
      </c>
      <c r="F177" s="310">
        <f t="shared" si="64"/>
        <v>75.444476365895753</v>
      </c>
      <c r="G177" s="310">
        <f t="shared" si="64"/>
        <v>166.10330756161966</v>
      </c>
      <c r="H177" s="310">
        <f t="shared" si="64"/>
        <v>283.00012038760997</v>
      </c>
      <c r="I177" s="310">
        <f t="shared" si="64"/>
        <v>405.95546870427916</v>
      </c>
      <c r="J177" s="310">
        <f t="shared" si="64"/>
        <v>535.5178534475026</v>
      </c>
      <c r="K177" s="148"/>
      <c r="L177" s="36"/>
      <c r="M177" s="36"/>
    </row>
    <row r="178" spans="3:13">
      <c r="C178" s="149" t="s">
        <v>53</v>
      </c>
      <c r="E178" s="310">
        <f t="shared" ref="E178:J178" si="65">E165+E177-E176</f>
        <v>-2348.2020741176466</v>
      </c>
      <c r="F178" s="310">
        <f t="shared" si="65"/>
        <v>-2327.437295436087</v>
      </c>
      <c r="G178" s="310">
        <f t="shared" si="65"/>
        <v>-2326.0854707514527</v>
      </c>
      <c r="H178" s="310">
        <f t="shared" si="65"/>
        <v>-2329.7504687998389</v>
      </c>
      <c r="I178" s="310">
        <f t="shared" si="65"/>
        <v>-2323.5483337792348</v>
      </c>
      <c r="J178" s="310">
        <f t="shared" si="65"/>
        <v>-2308.987119244498</v>
      </c>
      <c r="K178" s="148"/>
      <c r="L178" s="36"/>
      <c r="M178" s="36"/>
    </row>
    <row r="179" spans="3:13">
      <c r="E179" s="36"/>
      <c r="F179" s="311"/>
      <c r="G179" s="139"/>
      <c r="H179" s="139"/>
      <c r="I179" s="139"/>
      <c r="J179" s="139"/>
      <c r="K179" s="148"/>
      <c r="L179" s="36"/>
      <c r="M179" s="36"/>
    </row>
    <row r="180" spans="3:13" ht="15.75">
      <c r="C180" s="5" t="s">
        <v>167</v>
      </c>
      <c r="E180" s="36"/>
      <c r="F180" s="311"/>
      <c r="G180" s="139"/>
      <c r="H180" s="139"/>
      <c r="I180" s="139"/>
      <c r="J180" s="139"/>
      <c r="K180" s="148"/>
      <c r="L180" s="36"/>
      <c r="M180" s="36"/>
    </row>
    <row r="181" spans="3:13">
      <c r="C181" s="149" t="s">
        <v>267</v>
      </c>
      <c r="E181" s="139">
        <f t="shared" ref="E181:J181" si="66">E142</f>
        <v>4225</v>
      </c>
      <c r="F181" s="139">
        <f t="shared" si="66"/>
        <v>4401.5840638757672</v>
      </c>
      <c r="G181" s="139">
        <f t="shared" si="66"/>
        <v>4614.6172988227117</v>
      </c>
      <c r="H181" s="139">
        <f t="shared" si="66"/>
        <v>4862.9224898855346</v>
      </c>
      <c r="I181" s="139">
        <f t="shared" si="66"/>
        <v>5117.7095755513319</v>
      </c>
      <c r="J181" s="139">
        <f t="shared" si="66"/>
        <v>5380.8439375568905</v>
      </c>
      <c r="K181" s="148"/>
      <c r="L181" s="36"/>
      <c r="M181" s="36"/>
    </row>
    <row r="182" spans="3:13">
      <c r="C182" s="149" t="s">
        <v>275</v>
      </c>
      <c r="E182" s="139">
        <f>E55</f>
        <v>259</v>
      </c>
      <c r="F182" s="139">
        <f t="shared" ref="F182:J182" si="67">F55</f>
        <v>0</v>
      </c>
      <c r="G182" s="139">
        <f t="shared" si="67"/>
        <v>0</v>
      </c>
      <c r="H182" s="139">
        <f t="shared" si="67"/>
        <v>0</v>
      </c>
      <c r="I182" s="139">
        <f t="shared" si="67"/>
        <v>0</v>
      </c>
      <c r="J182" s="139">
        <f t="shared" si="67"/>
        <v>0</v>
      </c>
      <c r="K182" s="148"/>
      <c r="L182" s="36"/>
      <c r="M182" s="36"/>
    </row>
    <row r="183" spans="3:13">
      <c r="C183" s="149" t="s">
        <v>167</v>
      </c>
      <c r="E183" s="95">
        <f>E181+E182</f>
        <v>4484</v>
      </c>
      <c r="F183" s="95">
        <f>F181+F182</f>
        <v>4401.5840638757672</v>
      </c>
      <c r="G183" s="95">
        <f t="shared" ref="G183:J183" si="68">G181+G182</f>
        <v>4614.6172988227117</v>
      </c>
      <c r="H183" s="95">
        <f t="shared" si="68"/>
        <v>4862.9224898855346</v>
      </c>
      <c r="I183" s="95">
        <f t="shared" si="68"/>
        <v>5117.7095755513319</v>
      </c>
      <c r="J183" s="95">
        <f t="shared" si="68"/>
        <v>5380.8439375568905</v>
      </c>
      <c r="K183" s="148"/>
      <c r="L183" s="36"/>
      <c r="M183" s="36"/>
    </row>
    <row r="184" spans="3:13">
      <c r="E184" s="36"/>
      <c r="F184" s="95"/>
      <c r="G184" s="95"/>
      <c r="H184" s="95"/>
      <c r="I184" s="95"/>
      <c r="J184" s="95"/>
      <c r="K184" s="148"/>
      <c r="L184" s="36"/>
      <c r="M184" s="36"/>
    </row>
    <row r="185" spans="3:13" ht="15.75">
      <c r="C185" s="154" t="s">
        <v>234</v>
      </c>
      <c r="E185" s="36"/>
      <c r="F185" s="95"/>
      <c r="G185" s="95"/>
      <c r="H185" s="95"/>
      <c r="I185" s="95"/>
      <c r="J185" s="95"/>
      <c r="K185" s="148"/>
      <c r="L185" s="36"/>
      <c r="M185" s="36"/>
    </row>
    <row r="186" spans="3:13">
      <c r="C186" s="149" t="s">
        <v>234</v>
      </c>
      <c r="E186" s="139">
        <f>E40</f>
        <v>367.85431128559418</v>
      </c>
      <c r="F186" s="139">
        <f t="shared" ref="F186:J186" si="69">F40</f>
        <v>384.2853607413773</v>
      </c>
      <c r="G186" s="139">
        <f t="shared" si="69"/>
        <v>390.32125645982831</v>
      </c>
      <c r="H186" s="139">
        <f t="shared" si="69"/>
        <v>397.69846233793498</v>
      </c>
      <c r="I186" s="139">
        <f t="shared" si="69"/>
        <v>406.08165083578353</v>
      </c>
      <c r="J186" s="139">
        <f t="shared" si="69"/>
        <v>415.13549441345998</v>
      </c>
      <c r="K186" s="148"/>
      <c r="L186" s="36"/>
      <c r="M186" s="36"/>
    </row>
    <row r="187" spans="3:13">
      <c r="E187" s="36"/>
      <c r="F187" s="95"/>
      <c r="G187" s="95"/>
      <c r="H187" s="95"/>
      <c r="I187" s="95"/>
      <c r="J187" s="95"/>
      <c r="K187" s="148"/>
      <c r="L187" s="36"/>
      <c r="M187" s="36"/>
    </row>
    <row r="188" spans="3:13" ht="15.75">
      <c r="C188" s="5" t="s">
        <v>297</v>
      </c>
      <c r="E188" s="139">
        <f t="shared" ref="E188:J188" si="70">E24</f>
        <v>5979</v>
      </c>
      <c r="F188" s="139">
        <f t="shared" si="70"/>
        <v>6141.2910984299133</v>
      </c>
      <c r="G188" s="139">
        <f t="shared" si="70"/>
        <v>6293.2100207806789</v>
      </c>
      <c r="H188" s="139">
        <f t="shared" si="70"/>
        <v>6443.4531760480322</v>
      </c>
      <c r="I188" s="139">
        <f t="shared" si="70"/>
        <v>6605.9117602858123</v>
      </c>
      <c r="J188" s="139">
        <f t="shared" si="70"/>
        <v>6775.86972251306</v>
      </c>
      <c r="K188" s="148"/>
      <c r="L188" s="309"/>
      <c r="M188" s="36"/>
    </row>
    <row r="189" spans="3:13">
      <c r="C189" s="149" t="s">
        <v>298</v>
      </c>
      <c r="E189" s="139">
        <f t="shared" ref="E189:J189" si="71">E188*$D$44</f>
        <v>6234.9518677159649</v>
      </c>
      <c r="F189" s="139">
        <f t="shared" si="71"/>
        <v>6404.1904004587759</v>
      </c>
      <c r="G189" s="139">
        <f t="shared" si="71"/>
        <v>6562.6127400895339</v>
      </c>
      <c r="H189" s="139">
        <f t="shared" si="71"/>
        <v>6719.2875756047915</v>
      </c>
      <c r="I189" s="139">
        <f t="shared" si="71"/>
        <v>6888.7007639673666</v>
      </c>
      <c r="J189" s="139">
        <f t="shared" si="71"/>
        <v>7065.9343672491823</v>
      </c>
      <c r="K189" s="148"/>
      <c r="L189" s="309"/>
      <c r="M189" s="36"/>
    </row>
    <row r="190" spans="3:13">
      <c r="E190" s="36"/>
      <c r="F190" s="95"/>
      <c r="G190" s="139"/>
      <c r="H190" s="139"/>
      <c r="I190" s="139"/>
      <c r="J190" s="139"/>
      <c r="K190" s="148"/>
      <c r="L190" s="309"/>
      <c r="M190" s="36"/>
    </row>
    <row r="191" spans="3:13" ht="15.75">
      <c r="C191" s="5" t="s">
        <v>456</v>
      </c>
      <c r="E191" s="36"/>
      <c r="F191" s="36"/>
      <c r="G191" s="36"/>
      <c r="H191" s="36"/>
      <c r="I191" s="36"/>
      <c r="J191" s="36"/>
      <c r="K191" s="148"/>
      <c r="L191" s="309"/>
      <c r="M191" s="36"/>
    </row>
    <row r="192" spans="3:13">
      <c r="C192" s="149" t="s">
        <v>284</v>
      </c>
      <c r="E192" s="310">
        <f t="shared" ref="E192:J192" si="72">E166-E163</f>
        <v>-908.4794117647059</v>
      </c>
      <c r="F192" s="310">
        <f t="shared" si="72"/>
        <v>-852.6827883955068</v>
      </c>
      <c r="G192" s="310">
        <f t="shared" si="72"/>
        <v>-760.67741680660129</v>
      </c>
      <c r="H192" s="310">
        <f t="shared" si="72"/>
        <v>-733.99954270301259</v>
      </c>
      <c r="I192" s="310">
        <f t="shared" si="72"/>
        <v>-706.74412223256786</v>
      </c>
      <c r="J192" s="310">
        <f t="shared" si="72"/>
        <v>-680.1791060366686</v>
      </c>
      <c r="K192" s="148"/>
      <c r="L192" s="309"/>
      <c r="M192" s="36"/>
    </row>
    <row r="193" spans="2:15">
      <c r="C193" s="149" t="s">
        <v>285</v>
      </c>
      <c r="E193" s="36"/>
      <c r="F193" s="310">
        <f>(F173+F183+F189+((F186-F188-F142+F178)*F52+F192)*$D45-F192-F186*$D47)/($D48-F52*$D45)</f>
        <v>20120.11042767702</v>
      </c>
      <c r="G193" s="310">
        <f>(G173+G183+G189+((G186-G188-G142+G178)*G52+G192)*$D45-G192-G186*$D47)/($D48-G52*$D45)</f>
        <v>19766.118074100625</v>
      </c>
      <c r="H193" s="310">
        <f>(H173+H183+H189+((H186-H188-H142+H178)*H52+H192)*$D45-H192-H186*$D47)/($D48-H52*$D45)</f>
        <v>20430.682552742128</v>
      </c>
      <c r="I193" s="310">
        <f>(I173+I183+I189+((I186-I188-I142+I178)*I52+I192)*$D45-I192-I186*$D47)/($D48-I52*$D45)</f>
        <v>21099.677013534761</v>
      </c>
      <c r="J193" s="310">
        <f>(J173+J183+J189+((J186-J188-J142+J178)*J52+J192)*$D45-J192-J186*$D47)/($D48-J52*$D45)</f>
        <v>21788.342170572287</v>
      </c>
      <c r="K193" s="148"/>
      <c r="L193" s="309"/>
      <c r="M193" s="36"/>
    </row>
    <row r="194" spans="2:15">
      <c r="C194" s="149" t="s">
        <v>293</v>
      </c>
      <c r="E194" s="36"/>
      <c r="F194" s="310">
        <f>(F193+F186-F188-F181+F178)*F52</f>
        <v>2290.2249992029892</v>
      </c>
      <c r="G194" s="310">
        <f>(G193+G186-G188-G181+G178)*G52</f>
        <v>1938.3074312575709</v>
      </c>
      <c r="H194" s="310">
        <f>(H193+H186-H188-H181+H178)*H52</f>
        <v>2013.8313664970644</v>
      </c>
      <c r="I194" s="310">
        <f>(I193+I186-I188-I181+I178)*I52</f>
        <v>2088.4049185311655</v>
      </c>
      <c r="J194" s="310">
        <f>(J193+J186-J188-J181+J178)*J52</f>
        <v>2166.5775279879631</v>
      </c>
      <c r="K194" s="148"/>
      <c r="L194" s="309"/>
      <c r="M194" s="36"/>
    </row>
    <row r="195" spans="2:15">
      <c r="C195" s="149" t="s">
        <v>277</v>
      </c>
      <c r="E195" s="36"/>
      <c r="F195" s="310">
        <f>IF(F194&lt;0,#N/A,F194)</f>
        <v>2290.2249992029892</v>
      </c>
      <c r="G195" s="310">
        <f t="shared" ref="G195:J195" si="73">IF(G194&lt;0,#N/A,G194)</f>
        <v>1938.3074312575709</v>
      </c>
      <c r="H195" s="310">
        <f t="shared" si="73"/>
        <v>2013.8313664970644</v>
      </c>
      <c r="I195" s="310">
        <f>IF(I194&lt;0,#N/A,I194)</f>
        <v>2088.4049185311655</v>
      </c>
      <c r="J195" s="310">
        <f t="shared" si="73"/>
        <v>2166.5775279879631</v>
      </c>
      <c r="K195" s="148"/>
      <c r="L195" s="309"/>
      <c r="M195" s="36"/>
    </row>
    <row r="196" spans="2:15">
      <c r="C196" s="149" t="s">
        <v>286</v>
      </c>
      <c r="E196" s="36"/>
      <c r="F196" s="310">
        <f>F173+F183+F189+(F195+F192)*$D$45-F192-F186*$D$47</f>
        <v>20817.76306785614</v>
      </c>
      <c r="G196" s="310">
        <f>G173+G183+G189+(G195+G192)*$D$45-G192-G186*$D$47</f>
        <v>20451.496243870468</v>
      </c>
      <c r="H196" s="310">
        <f>H173+H183+H189+(H195+H192)*$D$45-H192-H186*$D$47</f>
        <v>21139.104093211154</v>
      </c>
      <c r="I196" s="310">
        <f>I173+I183+I189+(I195+I192)*$D$45-I192-I186*$D$47</f>
        <v>21831.295531650354</v>
      </c>
      <c r="J196" s="310">
        <f>J173+J183+J189+(J195+J192)*$D$45-J192-J186*$D$47</f>
        <v>22543.839735810085</v>
      </c>
      <c r="K196" s="148"/>
      <c r="L196" s="309"/>
      <c r="M196" s="36"/>
    </row>
    <row r="197" spans="2:15">
      <c r="C197" s="149" t="s">
        <v>287</v>
      </c>
      <c r="E197" s="36"/>
      <c r="F197" s="310">
        <f>F196/$D$48</f>
        <v>20120.110427677024</v>
      </c>
      <c r="G197" s="310">
        <f t="shared" ref="G197:J197" si="74">G196/$D$48</f>
        <v>19766.118074100625</v>
      </c>
      <c r="H197" s="310">
        <f t="shared" si="74"/>
        <v>20430.682552742124</v>
      </c>
      <c r="I197" s="310">
        <f t="shared" si="74"/>
        <v>21099.677013534761</v>
      </c>
      <c r="J197" s="310">
        <f t="shared" si="74"/>
        <v>21788.342170572283</v>
      </c>
      <c r="K197" s="148"/>
      <c r="L197" s="309"/>
      <c r="M197" s="36"/>
    </row>
    <row r="198" spans="2:15">
      <c r="C198" s="149" t="s">
        <v>288</v>
      </c>
      <c r="E198" s="36"/>
      <c r="F198" s="312">
        <f>F193-F197</f>
        <v>0</v>
      </c>
      <c r="G198" s="312">
        <f>G193-G197</f>
        <v>0</v>
      </c>
      <c r="H198" s="312">
        <f>H193-H197</f>
        <v>0</v>
      </c>
      <c r="I198" s="312">
        <f>I193-I197</f>
        <v>0</v>
      </c>
      <c r="J198" s="312">
        <f>J193-J197</f>
        <v>0</v>
      </c>
      <c r="K198" s="148"/>
      <c r="L198" s="309"/>
      <c r="M198" s="36"/>
    </row>
    <row r="199" spans="2:15">
      <c r="C199" s="149" t="s">
        <v>289</v>
      </c>
      <c r="E199" s="36"/>
      <c r="F199" s="310">
        <f>F195+F192</f>
        <v>1437.5422108074824</v>
      </c>
      <c r="G199" s="310">
        <f t="shared" ref="G199:J199" si="75">G195+G192</f>
        <v>1177.6300144509696</v>
      </c>
      <c r="H199" s="310">
        <f t="shared" si="75"/>
        <v>1279.8318237940518</v>
      </c>
      <c r="I199" s="310">
        <f t="shared" si="75"/>
        <v>1381.6607962985977</v>
      </c>
      <c r="J199" s="310">
        <f t="shared" si="75"/>
        <v>1486.3984219512945</v>
      </c>
      <c r="K199" s="148"/>
      <c r="L199" s="300"/>
      <c r="M199" s="36"/>
    </row>
    <row r="200" spans="2:15">
      <c r="E200" s="36"/>
      <c r="F200" s="36"/>
      <c r="G200" s="36"/>
      <c r="H200" s="36"/>
      <c r="I200" s="36"/>
      <c r="J200" s="36"/>
      <c r="K200" s="36"/>
      <c r="L200" s="36"/>
      <c r="M200" s="36"/>
    </row>
    <row r="201" spans="2:15" ht="15.75">
      <c r="C201" s="5" t="s">
        <v>290</v>
      </c>
      <c r="E201" s="36"/>
      <c r="F201" s="310"/>
      <c r="G201" s="310"/>
      <c r="H201" s="310"/>
      <c r="I201" s="310"/>
      <c r="J201" s="36"/>
      <c r="K201" s="148"/>
      <c r="L201" s="36"/>
      <c r="M201" s="36"/>
    </row>
    <row r="202" spans="2:15">
      <c r="C202" s="91" t="s">
        <v>161</v>
      </c>
      <c r="E202" s="36"/>
      <c r="F202" s="310"/>
      <c r="G202" s="310"/>
      <c r="H202" s="310"/>
      <c r="I202" s="310"/>
      <c r="J202" s="36"/>
      <c r="K202" s="148"/>
      <c r="L202" s="36"/>
      <c r="M202" s="36"/>
      <c r="O202" s="16"/>
    </row>
    <row r="203" spans="2:15">
      <c r="C203" s="149" t="s">
        <v>291</v>
      </c>
      <c r="E203" s="36"/>
      <c r="F203" s="36"/>
      <c r="G203" s="36"/>
      <c r="H203" s="310">
        <v>1</v>
      </c>
      <c r="I203" s="310">
        <v>2</v>
      </c>
      <c r="J203" s="310">
        <v>3</v>
      </c>
      <c r="K203" s="148"/>
      <c r="L203" s="36"/>
      <c r="M203" s="36"/>
    </row>
    <row r="204" spans="2:15">
      <c r="B204" s="149" t="s">
        <v>247</v>
      </c>
      <c r="C204" s="149" t="s">
        <v>248</v>
      </c>
      <c r="E204" s="36"/>
      <c r="F204" s="310"/>
      <c r="G204" s="310"/>
      <c r="H204" s="310">
        <f>H196</f>
        <v>21139.104093211154</v>
      </c>
      <c r="I204" s="310">
        <f>I196</f>
        <v>21831.295531650354</v>
      </c>
      <c r="J204" s="310">
        <f>J196</f>
        <v>22543.839735810085</v>
      </c>
      <c r="K204" s="148"/>
      <c r="L204" s="36"/>
      <c r="M204" s="36"/>
    </row>
    <row r="205" spans="2:15">
      <c r="B205" s="149" t="s">
        <v>247</v>
      </c>
      <c r="C205" s="149" t="s">
        <v>249</v>
      </c>
      <c r="D205" s="155"/>
      <c r="E205" s="36"/>
      <c r="F205" s="310"/>
      <c r="G205" s="310"/>
      <c r="H205" s="310">
        <f>H204/(1+WACC)^H$203</f>
        <v>19434.682442963276</v>
      </c>
      <c r="I205" s="310">
        <f>I204/(1+WACC)^I$203</f>
        <v>18452.756533817741</v>
      </c>
      <c r="J205" s="310">
        <f>J204/(1+WACC)^J$203</f>
        <v>17518.644623216449</v>
      </c>
      <c r="K205" s="148"/>
      <c r="L205" s="36"/>
      <c r="M205" s="36"/>
    </row>
    <row r="206" spans="2:15">
      <c r="B206" s="149" t="s">
        <v>247</v>
      </c>
      <c r="C206" s="149" t="s">
        <v>159</v>
      </c>
      <c r="D206" s="92">
        <f>SUM(H205:J205)</f>
        <v>55406.083599997466</v>
      </c>
      <c r="E206" s="36"/>
      <c r="F206" s="310"/>
      <c r="G206" s="310"/>
      <c r="H206" s="310"/>
      <c r="I206" s="310"/>
      <c r="J206" s="310"/>
      <c r="K206" s="148"/>
      <c r="L206" s="36"/>
      <c r="M206" s="36"/>
    </row>
    <row r="207" spans="2:15">
      <c r="D207" s="155"/>
      <c r="E207" s="36"/>
      <c r="F207" s="313"/>
      <c r="G207" s="36"/>
      <c r="H207" s="36"/>
      <c r="I207" s="36"/>
      <c r="J207" s="36"/>
      <c r="K207" s="148"/>
      <c r="L207" s="36"/>
      <c r="M207" s="36"/>
    </row>
    <row r="208" spans="2:15" ht="21">
      <c r="C208" s="3" t="s">
        <v>162</v>
      </c>
      <c r="D208" s="155"/>
      <c r="E208" s="36"/>
      <c r="F208" s="313"/>
      <c r="G208" s="36"/>
      <c r="H208" s="36"/>
      <c r="I208" s="36"/>
      <c r="J208" s="36"/>
      <c r="K208" s="148"/>
      <c r="L208" s="36"/>
      <c r="M208" s="36"/>
    </row>
    <row r="209" spans="1:13" ht="15.75">
      <c r="D209" s="155"/>
      <c r="E209" s="305" t="str">
        <f>Inputs!D$11</f>
        <v>2009/10</v>
      </c>
      <c r="F209" s="314" t="str">
        <f>Inputs!E$11</f>
        <v>2010/11</v>
      </c>
      <c r="G209" s="305" t="str">
        <f>Inputs!F$11</f>
        <v>2011/12</v>
      </c>
      <c r="H209" s="305" t="str">
        <f>Inputs!G$11</f>
        <v>2012/13</v>
      </c>
      <c r="I209" s="305" t="str">
        <f>Inputs!H$11</f>
        <v>2013/14</v>
      </c>
      <c r="J209" s="305" t="str">
        <f>Inputs!I$11</f>
        <v>2014/15</v>
      </c>
      <c r="K209" s="148"/>
      <c r="L209" s="36"/>
      <c r="M209" s="36"/>
    </row>
    <row r="210" spans="1:13">
      <c r="C210" s="149" t="s">
        <v>55</v>
      </c>
      <c r="D210" s="26">
        <f>D206</f>
        <v>55406.083599997466</v>
      </c>
      <c r="E210" s="36"/>
      <c r="F210" s="315"/>
      <c r="G210" s="139"/>
      <c r="H210" s="139"/>
      <c r="I210" s="139"/>
      <c r="J210" s="139"/>
      <c r="K210" s="148"/>
      <c r="L210" s="36"/>
      <c r="M210" s="36"/>
    </row>
    <row r="211" spans="1:13">
      <c r="C211" s="149" t="s">
        <v>257</v>
      </c>
      <c r="D211" s="155"/>
      <c r="E211" s="36"/>
      <c r="F211" s="316"/>
      <c r="G211" s="316"/>
      <c r="H211" s="162">
        <v>1</v>
      </c>
      <c r="I211" s="316">
        <f>H211*(1+I$31)*(1+I$26)*(1-X_industry_wide)</f>
        <v>1.0265727457546949</v>
      </c>
      <c r="J211" s="316">
        <f>I211*(1+J$31)*(1+J$26)*(1-X_industry_wide)</f>
        <v>1.054432753856906</v>
      </c>
      <c r="K211" s="148"/>
      <c r="L211" s="36" t="s">
        <v>509</v>
      </c>
      <c r="M211" s="36"/>
    </row>
    <row r="212" spans="1:13">
      <c r="C212" s="149" t="s">
        <v>160</v>
      </c>
      <c r="D212" s="155"/>
      <c r="E212" s="36"/>
      <c r="F212" s="317"/>
      <c r="G212" s="316"/>
      <c r="H212" s="316">
        <f>H211/(1+WACC)^H$203</f>
        <v>0.91937115013330895</v>
      </c>
      <c r="I212" s="316">
        <f>I211/(1+WACC)^I$203</f>
        <v>0.86770374732003586</v>
      </c>
      <c r="J212" s="316">
        <f>J211/(1+WACC)^J$203</f>
        <v>0.81939159035788034</v>
      </c>
      <c r="K212" s="148"/>
      <c r="L212" s="36" t="s">
        <v>280</v>
      </c>
      <c r="M212" s="36"/>
    </row>
    <row r="213" spans="1:13">
      <c r="C213" s="149" t="s">
        <v>99</v>
      </c>
      <c r="D213" s="140">
        <f>SUM(H212:J212)</f>
        <v>2.6064664878112254</v>
      </c>
      <c r="E213" s="36"/>
      <c r="F213" s="317"/>
      <c r="G213" s="316"/>
      <c r="H213" s="316"/>
      <c r="I213" s="316"/>
      <c r="J213" s="316"/>
      <c r="K213" s="148"/>
      <c r="L213" s="36" t="s">
        <v>510</v>
      </c>
      <c r="M213" s="36"/>
    </row>
    <row r="214" spans="1:13">
      <c r="C214" s="149" t="s">
        <v>256</v>
      </c>
      <c r="D214" s="26">
        <f>D210/D213</f>
        <v>21257.163235781562</v>
      </c>
      <c r="E214" s="36"/>
      <c r="F214" s="317"/>
      <c r="G214" s="316"/>
      <c r="H214" s="310"/>
      <c r="I214" s="310"/>
      <c r="J214" s="310"/>
      <c r="K214" s="148"/>
      <c r="L214" s="36"/>
      <c r="M214" s="36"/>
    </row>
    <row r="215" spans="1:13">
      <c r="C215" s="149" t="s">
        <v>252</v>
      </c>
      <c r="D215" s="26"/>
      <c r="E215" s="36"/>
      <c r="F215" s="317"/>
      <c r="G215" s="316"/>
      <c r="H215" s="310">
        <f t="shared" ref="H215:J215" si="76">$D214*H211</f>
        <v>21257.163235781562</v>
      </c>
      <c r="I215" s="310">
        <f t="shared" si="76"/>
        <v>21822.024429912031</v>
      </c>
      <c r="J215" s="310">
        <f t="shared" si="76"/>
        <v>22414.249169890933</v>
      </c>
      <c r="K215" s="148"/>
      <c r="L215" s="36" t="s">
        <v>243</v>
      </c>
      <c r="M215" s="36"/>
    </row>
    <row r="216" spans="1:13">
      <c r="C216" s="149" t="s">
        <v>253</v>
      </c>
      <c r="D216" s="26"/>
      <c r="E216" s="36"/>
      <c r="F216" s="317"/>
      <c r="G216" s="316"/>
      <c r="H216" s="247">
        <f t="shared" ref="H216:J216" si="77">H215/$D$48</f>
        <v>20544.785253295056</v>
      </c>
      <c r="I216" s="247">
        <f t="shared" si="77"/>
        <v>21090.716608415671</v>
      </c>
      <c r="J216" s="247">
        <f t="shared" si="77"/>
        <v>21663.094492030661</v>
      </c>
      <c r="K216" s="148"/>
      <c r="L216" s="36" t="s">
        <v>245</v>
      </c>
      <c r="M216" s="36"/>
    </row>
    <row r="217" spans="1:13">
      <c r="C217" s="149" t="s">
        <v>252</v>
      </c>
      <c r="D217" s="26"/>
      <c r="E217" s="36"/>
      <c r="F217" s="317"/>
      <c r="G217" s="316"/>
      <c r="H217" s="247">
        <f>H216*$D$48</f>
        <v>21257.163235781562</v>
      </c>
      <c r="I217" s="247">
        <f t="shared" ref="I217:J217" si="78">I216*$D$48</f>
        <v>21822.024429912031</v>
      </c>
      <c r="J217" s="247">
        <f t="shared" si="78"/>
        <v>22414.249169890933</v>
      </c>
      <c r="K217" s="148"/>
      <c r="L217" s="36" t="s">
        <v>299</v>
      </c>
      <c r="M217" s="36"/>
    </row>
    <row r="218" spans="1:13">
      <c r="C218" s="149" t="s">
        <v>254</v>
      </c>
      <c r="D218" s="155"/>
      <c r="E218" s="36"/>
      <c r="F218" s="317"/>
      <c r="G218" s="316"/>
      <c r="H218" s="310">
        <f>H215/(1+WACC)^H$203</f>
        <v>19543.222612651985</v>
      </c>
      <c r="I218" s="310">
        <f>I215/(1+WACC)^I$203</f>
        <v>18444.920197081356</v>
      </c>
      <c r="J218" s="310">
        <f>J215/(1+WACC)^J$203</f>
        <v>17417.940790264121</v>
      </c>
      <c r="K218" s="148"/>
      <c r="L218" s="36" t="s">
        <v>246</v>
      </c>
      <c r="M218" s="36"/>
    </row>
    <row r="219" spans="1:13">
      <c r="C219" s="149" t="s">
        <v>255</v>
      </c>
      <c r="D219" s="26">
        <f>SUM(H218:J218)</f>
        <v>55406.083599997466</v>
      </c>
      <c r="E219" s="36"/>
      <c r="F219" s="317"/>
      <c r="G219" s="316"/>
      <c r="H219" s="310"/>
      <c r="I219" s="310"/>
      <c r="J219" s="310"/>
      <c r="K219" s="148"/>
      <c r="L219" s="36"/>
      <c r="M219" s="36"/>
    </row>
    <row r="220" spans="1:13">
      <c r="C220" s="149" t="s">
        <v>244</v>
      </c>
      <c r="D220" s="147">
        <f>D210-D219</f>
        <v>0</v>
      </c>
      <c r="E220" s="36"/>
      <c r="F220" s="317"/>
      <c r="G220" s="316"/>
      <c r="H220" s="310"/>
      <c r="I220" s="310"/>
      <c r="J220" s="310"/>
      <c r="K220" s="148"/>
      <c r="L220" s="36"/>
      <c r="M220" s="36"/>
    </row>
    <row r="221" spans="1:13">
      <c r="C221" s="149" t="s">
        <v>351</v>
      </c>
      <c r="D221" s="26">
        <f>SUM(I218:J218)</f>
        <v>35862.860987345477</v>
      </c>
      <c r="E221" s="36"/>
      <c r="F221" s="317"/>
      <c r="G221" s="316"/>
      <c r="H221" s="310"/>
      <c r="I221" s="310"/>
      <c r="J221" s="310"/>
      <c r="K221" s="148"/>
      <c r="L221" s="36"/>
      <c r="M221" s="36"/>
    </row>
    <row r="222" spans="1:13">
      <c r="D222" s="92"/>
      <c r="E222" s="36"/>
      <c r="F222" s="313"/>
      <c r="G222" s="36"/>
      <c r="H222" s="36"/>
      <c r="I222" s="36"/>
      <c r="J222" s="36"/>
      <c r="K222" s="148"/>
      <c r="L222" s="36"/>
      <c r="M222" s="36"/>
    </row>
    <row r="223" spans="1:13" ht="21">
      <c r="C223" s="3" t="s">
        <v>251</v>
      </c>
      <c r="D223" s="141"/>
      <c r="E223" s="36"/>
      <c r="F223" s="247"/>
      <c r="G223" s="310"/>
      <c r="H223" s="310"/>
      <c r="I223" s="310"/>
      <c r="J223" s="310"/>
      <c r="K223" s="148"/>
      <c r="L223" s="36"/>
      <c r="M223" s="36"/>
    </row>
    <row r="224" spans="1:13">
      <c r="A224" s="19"/>
      <c r="B224" s="19"/>
      <c r="D224" s="92"/>
      <c r="E224" s="296" t="str">
        <f>Inputs!D$11</f>
        <v>2009/10</v>
      </c>
      <c r="F224" s="318" t="str">
        <f>Inputs!E$11</f>
        <v>2010/11</v>
      </c>
      <c r="G224" s="296" t="str">
        <f>Inputs!F$11</f>
        <v>2011/12</v>
      </c>
      <c r="H224" s="296" t="str">
        <f>Inputs!G$11</f>
        <v>2012/13</v>
      </c>
      <c r="I224" s="296" t="str">
        <f>Inputs!H$11</f>
        <v>2013/14</v>
      </c>
      <c r="J224" s="296" t="str">
        <f>Inputs!I$11</f>
        <v>2014/15</v>
      </c>
      <c r="K224" s="148"/>
      <c r="L224" s="36"/>
      <c r="M224" s="36"/>
    </row>
    <row r="225" spans="1:14">
      <c r="A225" s="19"/>
      <c r="B225" s="19"/>
      <c r="C225" s="149" t="s">
        <v>164</v>
      </c>
      <c r="D225" s="92"/>
      <c r="E225" s="309"/>
      <c r="F225" s="204">
        <f>F$32</f>
        <v>2.465039108793543E-2</v>
      </c>
      <c r="G225" s="204">
        <f t="shared" ref="G225:H225" si="79">G$32</f>
        <v>1.7811704834605591E-2</v>
      </c>
      <c r="H225" s="227">
        <f t="shared" si="79"/>
        <v>4.5909090909090899E-2</v>
      </c>
      <c r="I225" s="204">
        <f>I$31</f>
        <v>2.445188183600755E-2</v>
      </c>
      <c r="J225" s="204">
        <f>J$31</f>
        <v>2.4265778488762768E-2</v>
      </c>
      <c r="K225" s="148"/>
      <c r="L225" s="36"/>
      <c r="M225" s="36"/>
    </row>
    <row r="226" spans="1:14">
      <c r="A226" s="19"/>
      <c r="B226" s="19"/>
      <c r="C226" s="149" t="s">
        <v>342</v>
      </c>
      <c r="D226" s="92"/>
      <c r="E226" s="319"/>
      <c r="F226" s="204">
        <f>F$26</f>
        <v>6.867196597968939E-3</v>
      </c>
      <c r="G226" s="204">
        <f t="shared" ref="G226:J226" si="80">G$26</f>
        <v>-1.7611340750710937E-2</v>
      </c>
      <c r="H226" s="204">
        <f t="shared" si="80"/>
        <v>2.2820106427631727E-3</v>
      </c>
      <c r="I226" s="204">
        <f t="shared" si="80"/>
        <v>2.0702425914689475E-3</v>
      </c>
      <c r="J226" s="204">
        <f t="shared" si="80"/>
        <v>2.8050099889054408E-3</v>
      </c>
      <c r="K226" s="148"/>
      <c r="L226" s="36"/>
      <c r="M226" s="36"/>
    </row>
    <row r="227" spans="1:14">
      <c r="A227" s="19"/>
      <c r="B227" s="19" t="s">
        <v>263</v>
      </c>
      <c r="C227" s="149" t="s">
        <v>411</v>
      </c>
      <c r="E227" s="163">
        <f>E$8-E$9-E$10</f>
        <v>18794</v>
      </c>
      <c r="F227" s="247">
        <f>E227*(1+F225)*(1+F226)*(1-X_industry_wide)</f>
        <v>19389.52297403257</v>
      </c>
      <c r="G227" s="247">
        <f>F227*(1+G225)*(1+G226)*(1-X_industry_wide)</f>
        <v>19387.325677295823</v>
      </c>
      <c r="H227" s="320">
        <f>G227*(1+H225)*(1+H226)*(1-X_industry_wide)</f>
        <v>20323.653371664055</v>
      </c>
      <c r="I227" s="247">
        <f>H227*(1+I225)*(1+I226)*(1-X_industry_wide)</f>
        <v>20863.708645515831</v>
      </c>
      <c r="J227" s="247">
        <f>I227*(1+J225)*(1+J226)*(1-X_industry_wide)</f>
        <v>21429.925793116923</v>
      </c>
      <c r="K227" s="148"/>
      <c r="L227" s="300"/>
      <c r="M227" s="36"/>
    </row>
    <row r="228" spans="1:14">
      <c r="A228" s="19"/>
      <c r="B228" s="19"/>
      <c r="C228" s="149" t="s">
        <v>358</v>
      </c>
      <c r="E228" s="215"/>
      <c r="F228" s="247"/>
      <c r="G228" s="320">
        <f>G227*$D$48</f>
        <v>20059.569450181487</v>
      </c>
      <c r="H228" s="320">
        <f>H227*$D$48</f>
        <v>21028.363740118213</v>
      </c>
      <c r="I228" s="320">
        <f>I227*$D$48</f>
        <v>21587.145103421619</v>
      </c>
      <c r="J228" s="320">
        <f>J227*$D$48</f>
        <v>22172.995487597556</v>
      </c>
      <c r="K228" s="148"/>
      <c r="L228" s="300"/>
      <c r="M228" s="36"/>
    </row>
    <row r="229" spans="1:14">
      <c r="A229" s="19"/>
      <c r="B229" s="19" t="s">
        <v>263</v>
      </c>
      <c r="C229" s="149" t="s">
        <v>335</v>
      </c>
      <c r="D229" s="92">
        <f>H227</f>
        <v>20323.653371664055</v>
      </c>
      <c r="E229" s="36"/>
      <c r="F229" s="247"/>
      <c r="G229" s="310"/>
      <c r="H229" s="310"/>
      <c r="I229" s="310"/>
      <c r="J229" s="310"/>
      <c r="K229" s="148"/>
      <c r="L229" s="300"/>
      <c r="M229" s="36"/>
    </row>
    <row r="230" spans="1:14">
      <c r="B230" s="19" t="s">
        <v>263</v>
      </c>
      <c r="C230" s="149" t="s">
        <v>336</v>
      </c>
      <c r="D230" s="92">
        <f>D214/D48</f>
        <v>20544.785253295056</v>
      </c>
      <c r="E230" s="36"/>
      <c r="F230" s="321"/>
      <c r="G230" s="310"/>
      <c r="H230" s="310"/>
      <c r="I230" s="310"/>
      <c r="J230" s="310"/>
      <c r="K230" s="148"/>
      <c r="L230" s="36"/>
      <c r="M230" s="36"/>
    </row>
    <row r="231" spans="1:14">
      <c r="B231" s="19" t="s">
        <v>263</v>
      </c>
      <c r="C231" s="149" t="s">
        <v>329</v>
      </c>
      <c r="D231" s="32">
        <f>(D230-D229)/D229</f>
        <v>1.0880518260526479E-2</v>
      </c>
      <c r="E231" s="36"/>
      <c r="F231" s="247"/>
      <c r="G231" s="310"/>
      <c r="H231" s="310"/>
      <c r="I231" s="310"/>
      <c r="J231" s="310"/>
      <c r="K231" s="310"/>
      <c r="L231" s="310"/>
      <c r="M231" s="310"/>
      <c r="N231" s="19"/>
    </row>
    <row r="232" spans="1:14">
      <c r="C232" s="149" t="s">
        <v>452</v>
      </c>
      <c r="D232" s="125">
        <f>NPV(WACC,H228:J228)</f>
        <v>54809.72538212283</v>
      </c>
      <c r="E232" s="36"/>
      <c r="F232" s="247"/>
      <c r="G232" s="310"/>
      <c r="H232" s="310"/>
      <c r="I232" s="310"/>
      <c r="J232" s="310"/>
      <c r="K232" s="148"/>
      <c r="L232" s="36"/>
      <c r="M232" s="36"/>
    </row>
    <row r="233" spans="1:14" ht="21">
      <c r="C233" s="3" t="s">
        <v>340</v>
      </c>
      <c r="D233" s="3"/>
      <c r="E233" s="36"/>
      <c r="F233" s="313"/>
      <c r="G233" s="36"/>
      <c r="H233" s="36"/>
      <c r="I233" s="310"/>
      <c r="J233" s="310"/>
      <c r="K233" s="148"/>
      <c r="L233" s="36"/>
      <c r="M233" s="36"/>
    </row>
    <row r="234" spans="1:14">
      <c r="C234" s="23" t="s">
        <v>357</v>
      </c>
      <c r="E234" s="36"/>
      <c r="F234" s="36"/>
      <c r="G234" s="36"/>
      <c r="H234" s="36"/>
      <c r="I234" s="310"/>
      <c r="J234" s="310"/>
      <c r="K234" s="148"/>
      <c r="L234" s="36"/>
      <c r="M234" s="36"/>
    </row>
    <row r="235" spans="1:14">
      <c r="C235" s="149" t="s">
        <v>371</v>
      </c>
      <c r="E235" s="310">
        <f>H216-H227</f>
        <v>221.13188163100131</v>
      </c>
      <c r="F235" s="36"/>
      <c r="G235" s="36"/>
      <c r="H235" s="36"/>
      <c r="I235" s="310"/>
      <c r="J235" s="310"/>
      <c r="K235" s="148"/>
      <c r="L235" s="36"/>
      <c r="M235" s="36"/>
    </row>
    <row r="236" spans="1:14">
      <c r="C236" s="149" t="s">
        <v>341</v>
      </c>
      <c r="D236" s="94"/>
      <c r="E236" s="310">
        <f>H217-H228</f>
        <v>228.79949566334835</v>
      </c>
      <c r="F236" s="313"/>
      <c r="G236" s="310"/>
      <c r="H236" s="36"/>
      <c r="I236" s="310"/>
      <c r="J236" s="310"/>
      <c r="K236" s="148"/>
      <c r="L236" s="36"/>
      <c r="M236" s="36"/>
    </row>
    <row r="237" spans="1:14">
      <c r="D237" s="155"/>
      <c r="E237" s="36"/>
      <c r="F237" s="313"/>
      <c r="G237" s="36"/>
      <c r="H237" s="36"/>
      <c r="I237" s="36"/>
      <c r="J237" s="36"/>
      <c r="K237" s="148"/>
      <c r="L237" s="36"/>
      <c r="M237" s="36"/>
    </row>
    <row r="238" spans="1:14" ht="21">
      <c r="C238" s="3" t="s">
        <v>224</v>
      </c>
      <c r="D238" s="3"/>
      <c r="E238" s="302"/>
      <c r="F238" s="302"/>
      <c r="G238" s="302"/>
      <c r="H238" s="36"/>
      <c r="I238" s="36"/>
      <c r="J238" s="36"/>
      <c r="K238" s="148"/>
      <c r="L238" s="36"/>
      <c r="M238" s="36"/>
    </row>
    <row r="239" spans="1:14" ht="15.75">
      <c r="D239" s="155"/>
      <c r="E239" s="305" t="str">
        <f>Inputs!D$11</f>
        <v>2009/10</v>
      </c>
      <c r="F239" s="314" t="str">
        <f>Inputs!E$11</f>
        <v>2010/11</v>
      </c>
      <c r="G239" s="305" t="str">
        <f>Inputs!F$11</f>
        <v>2011/12</v>
      </c>
      <c r="H239" s="305" t="str">
        <f>Inputs!G$11</f>
        <v>2012/13</v>
      </c>
      <c r="I239" s="305" t="str">
        <f>Inputs!H$11</f>
        <v>2013/14</v>
      </c>
      <c r="J239" s="305" t="str">
        <f>Inputs!I$11</f>
        <v>2014/15</v>
      </c>
      <c r="K239" s="148"/>
      <c r="L239" s="36"/>
      <c r="M239" s="36"/>
    </row>
    <row r="240" spans="1:14" ht="15.75">
      <c r="C240" s="23" t="s">
        <v>353</v>
      </c>
      <c r="D240" s="155"/>
      <c r="E240" s="305"/>
      <c r="F240" s="148"/>
      <c r="G240" s="148"/>
      <c r="H240" s="148"/>
      <c r="I240" s="148"/>
      <c r="J240" s="148"/>
      <c r="K240" s="148"/>
      <c r="L240" s="36"/>
      <c r="M240" s="36"/>
    </row>
    <row r="241" spans="1:13" ht="15.75">
      <c r="C241" s="23" t="s">
        <v>354</v>
      </c>
      <c r="D241" s="155"/>
      <c r="E241" s="305"/>
      <c r="F241" s="148"/>
      <c r="G241" s="148"/>
      <c r="H241" s="148"/>
      <c r="I241" s="148"/>
      <c r="J241" s="148"/>
      <c r="K241" s="148"/>
      <c r="L241" s="36"/>
      <c r="M241" s="36"/>
    </row>
    <row r="242" spans="1:13">
      <c r="A242" s="155"/>
      <c r="B242" s="155" t="s">
        <v>264</v>
      </c>
      <c r="C242" s="149" t="s">
        <v>352</v>
      </c>
      <c r="D242" s="26">
        <f>D221</f>
        <v>35862.860987345477</v>
      </c>
      <c r="E242" s="36"/>
      <c r="F242" s="315"/>
      <c r="G242" s="139"/>
      <c r="H242" s="139"/>
      <c r="I242" s="139"/>
      <c r="J242" s="139"/>
      <c r="K242" s="148"/>
      <c r="L242" s="36"/>
      <c r="M242" s="36"/>
    </row>
    <row r="243" spans="1:13">
      <c r="A243" s="26"/>
      <c r="B243" s="155" t="s">
        <v>264</v>
      </c>
      <c r="C243" s="153" t="s">
        <v>163</v>
      </c>
      <c r="D243" s="26"/>
      <c r="E243" s="139"/>
      <c r="F243" s="90"/>
      <c r="G243" s="90"/>
      <c r="H243" s="90"/>
      <c r="I243" s="90"/>
      <c r="J243" s="90">
        <f>E22</f>
        <v>0</v>
      </c>
      <c r="K243" s="148"/>
      <c r="L243" s="36"/>
      <c r="M243" s="36"/>
    </row>
    <row r="244" spans="1:13">
      <c r="A244" s="155"/>
      <c r="B244" s="155" t="s">
        <v>264</v>
      </c>
      <c r="C244" s="149" t="s">
        <v>257</v>
      </c>
      <c r="D244" s="155"/>
      <c r="E244" s="36"/>
      <c r="F244" s="317"/>
      <c r="G244" s="316"/>
      <c r="H244" s="316"/>
      <c r="I244" s="162">
        <v>1</v>
      </c>
      <c r="J244" s="316">
        <f>I244*(1+J$31)*(1+J$26)*(1-J243)</f>
        <v>1.0271388542287176</v>
      </c>
      <c r="K244" s="148"/>
      <c r="L244" s="36" t="s">
        <v>509</v>
      </c>
      <c r="M244" s="36"/>
    </row>
    <row r="245" spans="1:13">
      <c r="A245" s="155"/>
      <c r="B245" s="155" t="s">
        <v>264</v>
      </c>
      <c r="C245" s="149" t="s">
        <v>160</v>
      </c>
      <c r="D245" s="155"/>
      <c r="E245" s="36"/>
      <c r="F245" s="317"/>
      <c r="G245" s="316"/>
      <c r="H245" s="316"/>
      <c r="I245" s="316">
        <f>I244/(1+WACC)^I$203</f>
        <v>0.84524331169744327</v>
      </c>
      <c r="J245" s="316">
        <f>J244/(1+WACC)^J$203</f>
        <v>0.79818171069357258</v>
      </c>
      <c r="K245" s="148"/>
      <c r="L245" s="36" t="s">
        <v>280</v>
      </c>
      <c r="M245" s="36"/>
    </row>
    <row r="246" spans="1:13">
      <c r="A246" s="155"/>
      <c r="B246" s="155" t="s">
        <v>264</v>
      </c>
      <c r="C246" s="149" t="s">
        <v>99</v>
      </c>
      <c r="D246" s="140">
        <f>SUM(I245:J245)</f>
        <v>1.6434250223910158</v>
      </c>
      <c r="E246" s="36"/>
      <c r="F246" s="317"/>
      <c r="G246" s="316"/>
      <c r="H246" s="316"/>
      <c r="I246" s="316"/>
      <c r="J246" s="316"/>
      <c r="K246" s="148"/>
      <c r="L246" s="36" t="s">
        <v>510</v>
      </c>
      <c r="M246" s="36"/>
    </row>
    <row r="247" spans="1:13">
      <c r="A247" s="155"/>
      <c r="B247" s="155" t="s">
        <v>264</v>
      </c>
      <c r="C247" s="149" t="s">
        <v>256</v>
      </c>
      <c r="D247" s="26">
        <f>D242/D246</f>
        <v>21822.024429912031</v>
      </c>
      <c r="E247" s="36"/>
      <c r="F247" s="317"/>
      <c r="G247" s="316"/>
      <c r="H247" s="310"/>
      <c r="I247" s="310"/>
      <c r="J247" s="310"/>
      <c r="K247" s="148"/>
      <c r="L247" s="36"/>
      <c r="M247" s="36"/>
    </row>
    <row r="248" spans="1:13">
      <c r="A248" s="155"/>
      <c r="B248" s="155" t="s">
        <v>264</v>
      </c>
      <c r="C248" s="149" t="s">
        <v>252</v>
      </c>
      <c r="D248" s="26"/>
      <c r="E248" s="36"/>
      <c r="F248" s="317"/>
      <c r="G248" s="316"/>
      <c r="H248" s="163">
        <f>H215</f>
        <v>21257.163235781562</v>
      </c>
      <c r="I248" s="310">
        <f t="shared" ref="I248:J248" si="81">$D247*I244</f>
        <v>21822.024429912031</v>
      </c>
      <c r="J248" s="310">
        <f t="shared" si="81"/>
        <v>22414.249169890929</v>
      </c>
      <c r="K248" s="148"/>
      <c r="L248" s="36" t="s">
        <v>243</v>
      </c>
      <c r="M248" s="36"/>
    </row>
    <row r="249" spans="1:13">
      <c r="A249" s="155"/>
      <c r="B249" s="155" t="s">
        <v>264</v>
      </c>
      <c r="C249" s="149" t="s">
        <v>253</v>
      </c>
      <c r="D249" s="26"/>
      <c r="E249" s="36"/>
      <c r="F249" s="317"/>
      <c r="G249" s="316"/>
      <c r="H249" s="247">
        <f>H248/$D$48</f>
        <v>20544.785253295056</v>
      </c>
      <c r="I249" s="247">
        <f>I248/$D$48</f>
        <v>21090.716608415671</v>
      </c>
      <c r="J249" s="247">
        <f>J248/$D$48</f>
        <v>21663.094492030657</v>
      </c>
      <c r="K249" s="148"/>
      <c r="L249" s="36" t="s">
        <v>245</v>
      </c>
      <c r="M249" s="36"/>
    </row>
    <row r="250" spans="1:13">
      <c r="A250" s="155"/>
      <c r="B250" s="155" t="s">
        <v>264</v>
      </c>
      <c r="C250" s="149" t="s">
        <v>370</v>
      </c>
      <c r="D250" s="155"/>
      <c r="E250" s="36"/>
      <c r="F250" s="317"/>
      <c r="G250" s="316"/>
      <c r="H250" s="310"/>
      <c r="I250" s="310">
        <f>I248/(1+WACC)^I$203</f>
        <v>18444.920197081356</v>
      </c>
      <c r="J250" s="310">
        <f>J248/(1+WACC)^J$203</f>
        <v>17417.940790264118</v>
      </c>
      <c r="K250" s="148"/>
      <c r="L250" s="36" t="s">
        <v>299</v>
      </c>
      <c r="M250" s="36"/>
    </row>
    <row r="251" spans="1:13">
      <c r="A251" s="155"/>
      <c r="B251" s="155" t="s">
        <v>264</v>
      </c>
      <c r="C251" s="149" t="s">
        <v>255</v>
      </c>
      <c r="D251" s="26">
        <f>SUM(I250:J250)</f>
        <v>35862.86098734547</v>
      </c>
      <c r="E251" s="36"/>
      <c r="F251" s="36"/>
      <c r="G251" s="316"/>
      <c r="H251" s="310"/>
      <c r="I251" s="310"/>
      <c r="J251" s="310"/>
      <c r="K251" s="148"/>
      <c r="L251" s="36" t="s">
        <v>246</v>
      </c>
      <c r="M251" s="36"/>
    </row>
    <row r="252" spans="1:13">
      <c r="A252" s="155"/>
      <c r="B252" s="155" t="s">
        <v>264</v>
      </c>
      <c r="C252" s="149" t="s">
        <v>244</v>
      </c>
      <c r="D252" s="147">
        <f>D242-D251</f>
        <v>0</v>
      </c>
      <c r="E252" s="36"/>
      <c r="F252" s="317"/>
      <c r="G252" s="316"/>
      <c r="H252" s="310"/>
      <c r="I252" s="310"/>
      <c r="J252" s="310"/>
      <c r="K252" s="148"/>
      <c r="L252" s="36"/>
      <c r="M252" s="36"/>
    </row>
    <row r="253" spans="1:13">
      <c r="A253" s="155"/>
      <c r="B253" s="214" t="s">
        <v>264</v>
      </c>
      <c r="C253" s="143" t="s">
        <v>326</v>
      </c>
      <c r="D253" s="214"/>
      <c r="E253" s="36"/>
      <c r="F253" s="322"/>
      <c r="G253" s="323"/>
      <c r="H253" s="324">
        <f>(H249+H186-H$188-H$181+H$178)*H$52</f>
        <v>2045.7801226518843</v>
      </c>
      <c r="I253" s="324">
        <f>(I249+I186-I$188-I$181+I$178)*I$52</f>
        <v>2085.8960050978203</v>
      </c>
      <c r="J253" s="324">
        <f>(J249+J186-J$188-J$181+J$178)*J$52</f>
        <v>2131.508177996307</v>
      </c>
      <c r="K253" s="247"/>
      <c r="L253" s="36"/>
      <c r="M253" s="36"/>
    </row>
    <row r="254" spans="1:13">
      <c r="A254" s="155"/>
      <c r="B254" s="214" t="s">
        <v>264</v>
      </c>
      <c r="C254" s="143" t="s">
        <v>325</v>
      </c>
      <c r="D254" s="214"/>
      <c r="E254" s="36"/>
      <c r="F254" s="322"/>
      <c r="G254" s="323"/>
      <c r="H254" s="324">
        <f>H253+H192</f>
        <v>1311.7805799488717</v>
      </c>
      <c r="I254" s="324">
        <f>I253+I192</f>
        <v>1379.1518828652524</v>
      </c>
      <c r="J254" s="324">
        <f>J253+J192</f>
        <v>1451.3290719596384</v>
      </c>
      <c r="K254" s="148"/>
      <c r="L254" s="36"/>
      <c r="M254" s="36"/>
    </row>
    <row r="255" spans="1:13">
      <c r="A255" s="155"/>
      <c r="B255" s="214"/>
      <c r="C255" s="143"/>
      <c r="D255" s="214"/>
      <c r="E255" s="324"/>
      <c r="F255" s="322"/>
      <c r="G255" s="323"/>
      <c r="H255" s="324"/>
      <c r="I255" s="324"/>
      <c r="J255" s="324"/>
      <c r="K255" s="148"/>
      <c r="L255" s="36"/>
      <c r="M255" s="36"/>
    </row>
    <row r="256" spans="1:13" ht="21">
      <c r="C256" s="3" t="s">
        <v>339</v>
      </c>
      <c r="D256" s="3"/>
      <c r="E256" s="302"/>
      <c r="F256" s="302"/>
      <c r="G256" s="302"/>
      <c r="H256" s="302"/>
      <c r="I256" s="302"/>
      <c r="J256" s="36"/>
      <c r="K256" s="36"/>
      <c r="L256" s="36"/>
      <c r="M256" s="36"/>
    </row>
    <row r="257" spans="3:14">
      <c r="C257" s="149" t="s">
        <v>337</v>
      </c>
      <c r="D257" s="94"/>
      <c r="E257" s="36"/>
      <c r="F257" s="310">
        <f>G257/((1+G32)*(1+G26)*(1+X_industry_wide))</f>
        <v>19600.491032814425</v>
      </c>
      <c r="G257" s="138">
        <f>H257/((1+H32)*(1+H26)*(1+X_industry_wide))</f>
        <v>19598.269828350411</v>
      </c>
      <c r="H257" s="310">
        <f>H249</f>
        <v>20544.785253295056</v>
      </c>
      <c r="I257" s="36"/>
      <c r="J257" s="36"/>
      <c r="K257" s="36"/>
      <c r="L257" s="36"/>
      <c r="M257" s="36"/>
    </row>
    <row r="258" spans="3:14">
      <c r="D258" s="94"/>
      <c r="E258" s="36"/>
      <c r="F258" s="310"/>
      <c r="G258" s="310"/>
      <c r="H258" s="310"/>
      <c r="I258" s="36"/>
      <c r="J258" s="36"/>
      <c r="K258" s="36"/>
      <c r="L258" s="36"/>
      <c r="M258" s="36"/>
    </row>
    <row r="259" spans="3:14" ht="21">
      <c r="C259" s="3" t="s">
        <v>338</v>
      </c>
      <c r="D259" s="94"/>
      <c r="E259" s="36"/>
      <c r="F259" s="313"/>
      <c r="G259" s="36"/>
      <c r="H259" s="36"/>
      <c r="I259" s="36"/>
      <c r="J259" s="36"/>
      <c r="K259" s="36"/>
      <c r="L259" s="36"/>
      <c r="M259" s="36"/>
    </row>
    <row r="260" spans="3:14">
      <c r="C260" s="226" t="s">
        <v>421</v>
      </c>
      <c r="D260" s="94"/>
      <c r="E260" s="325">
        <f>(1+H26)*(1+I26)</f>
        <v>1.0043569775498591</v>
      </c>
      <c r="F260" s="313"/>
      <c r="G260" s="36"/>
      <c r="H260" s="36"/>
      <c r="I260" s="36"/>
      <c r="J260" s="36"/>
      <c r="K260" s="36"/>
      <c r="L260" s="36"/>
      <c r="M260" s="36"/>
    </row>
    <row r="261" spans="3:14">
      <c r="D261" s="94"/>
      <c r="E261" s="36"/>
      <c r="F261" s="313"/>
      <c r="G261" s="36"/>
      <c r="H261" s="36"/>
      <c r="I261" s="36"/>
      <c r="J261" s="36"/>
      <c r="K261" s="36"/>
      <c r="L261" s="36"/>
      <c r="M261" s="36"/>
    </row>
    <row r="262" spans="3:14" ht="21">
      <c r="C262" s="3" t="s">
        <v>349</v>
      </c>
      <c r="D262" s="246" t="s">
        <v>350</v>
      </c>
      <c r="E262" s="36"/>
      <c r="F262" s="313"/>
      <c r="G262" s="36"/>
      <c r="H262" s="36"/>
      <c r="I262" s="36"/>
      <c r="J262" s="36"/>
      <c r="K262" s="36"/>
      <c r="L262" s="36"/>
      <c r="M262" s="36"/>
    </row>
    <row r="263" spans="3:14">
      <c r="D263" s="246" t="s">
        <v>344</v>
      </c>
      <c r="E263" s="36"/>
      <c r="F263" s="313"/>
      <c r="G263" s="36"/>
      <c r="H263" s="36"/>
      <c r="I263" s="36"/>
      <c r="J263" s="36"/>
      <c r="K263" s="36"/>
      <c r="L263" s="36"/>
      <c r="M263" s="36"/>
    </row>
    <row r="264" spans="3:14">
      <c r="D264" s="246" t="s">
        <v>406</v>
      </c>
      <c r="E264" s="36"/>
      <c r="F264" s="313"/>
      <c r="G264" s="36"/>
      <c r="H264" s="36"/>
      <c r="I264" s="36"/>
      <c r="J264" s="36"/>
      <c r="K264" s="36"/>
      <c r="L264" s="36"/>
      <c r="M264" s="36"/>
    </row>
    <row r="265" spans="3:14">
      <c r="C265" s="149" t="s">
        <v>346</v>
      </c>
      <c r="D265" s="94"/>
      <c r="E265" s="326">
        <v>0.15</v>
      </c>
      <c r="F265" s="313"/>
      <c r="G265" s="36"/>
      <c r="H265" s="36"/>
      <c r="I265" s="36"/>
      <c r="J265" s="36"/>
      <c r="K265" s="36"/>
      <c r="L265" s="327"/>
      <c r="M265" s="310"/>
      <c r="N265" s="124"/>
    </row>
    <row r="266" spans="3:14">
      <c r="C266" s="149" t="s">
        <v>345</v>
      </c>
      <c r="D266" s="94"/>
      <c r="E266" s="36"/>
      <c r="F266" s="36"/>
      <c r="G266" s="36"/>
      <c r="H266" s="247">
        <f>H228</f>
        <v>21028.363740118213</v>
      </c>
      <c r="I266" s="334">
        <f>H266*(1+I$225)*(1+I$226)*(1+$E265)</f>
        <v>24825.216868934865</v>
      </c>
      <c r="J266" s="247">
        <f>I266*(1+J$225)*(1+J$226)*(1-$J243)</f>
        <v>25498.944810737194</v>
      </c>
      <c r="K266" s="36"/>
      <c r="L266" s="36"/>
      <c r="M266" s="36"/>
    </row>
    <row r="267" spans="3:14">
      <c r="C267" s="149" t="s">
        <v>409</v>
      </c>
      <c r="D267" s="94"/>
      <c r="E267" s="36"/>
      <c r="F267" s="36"/>
      <c r="G267" s="36"/>
      <c r="H267" s="247">
        <f>H266/$D$48</f>
        <v>20323.653371664055</v>
      </c>
      <c r="I267" s="247">
        <f t="shared" ref="I267:J267" si="82">I266/$D$48</f>
        <v>23993.264942343212</v>
      </c>
      <c r="J267" s="247">
        <f t="shared" si="82"/>
        <v>24644.414662084466</v>
      </c>
      <c r="K267" s="36"/>
      <c r="L267" s="36"/>
      <c r="M267" s="36"/>
    </row>
    <row r="268" spans="3:14">
      <c r="C268" s="149" t="s">
        <v>347</v>
      </c>
      <c r="D268" s="94"/>
      <c r="E268" s="36"/>
      <c r="F268" s="36"/>
      <c r="G268" s="36"/>
      <c r="H268" s="247">
        <f>H266/(1+WACC)^H$203</f>
        <v>19332.870957174051</v>
      </c>
      <c r="I268" s="247">
        <f>I266/(1+WACC)^I$203</f>
        <v>20983.34851990574</v>
      </c>
      <c r="J268" s="247">
        <f>J266/(1+WACC)^J$203</f>
        <v>19815.034068785368</v>
      </c>
      <c r="K268" s="36"/>
      <c r="L268" s="36"/>
      <c r="M268" s="36"/>
    </row>
    <row r="269" spans="3:14">
      <c r="C269" s="149" t="s">
        <v>348</v>
      </c>
      <c r="D269" s="94"/>
      <c r="E269" s="310">
        <f>SUM(H268:J268)</f>
        <v>60131.253545865162</v>
      </c>
      <c r="F269" s="36"/>
      <c r="G269" s="36"/>
      <c r="H269" s="36"/>
      <c r="I269" s="36"/>
      <c r="J269" s="36"/>
      <c r="K269" s="36"/>
      <c r="L269" s="36"/>
      <c r="M269" s="36"/>
    </row>
    <row r="270" spans="3:14">
      <c r="C270" s="149" t="str">
        <f>C206</f>
        <v>PV of BBAR before tax over the PV period</v>
      </c>
      <c r="E270" s="310">
        <f>D206</f>
        <v>55406.083599997466</v>
      </c>
      <c r="F270" s="36"/>
      <c r="G270" s="36"/>
      <c r="H270" s="36"/>
      <c r="I270" s="313"/>
      <c r="J270" s="36"/>
      <c r="K270" s="36"/>
      <c r="L270" s="36"/>
      <c r="M270" s="36"/>
    </row>
    <row r="271" spans="3:14">
      <c r="C271" s="152" t="s">
        <v>447</v>
      </c>
      <c r="D271" s="94"/>
      <c r="E271" s="36" t="b">
        <f>E269&lt;E270</f>
        <v>0</v>
      </c>
      <c r="F271" s="313"/>
      <c r="G271" s="36"/>
      <c r="H271" s="36"/>
      <c r="I271" s="36"/>
      <c r="J271" s="36"/>
      <c r="K271" s="36"/>
      <c r="L271" s="36"/>
      <c r="M271" s="36"/>
    </row>
    <row r="272" spans="3:14">
      <c r="C272" s="152"/>
      <c r="D272" s="94"/>
      <c r="E272" s="36"/>
      <c r="F272" s="313"/>
      <c r="G272" s="36"/>
      <c r="H272" s="36"/>
      <c r="I272" s="36"/>
      <c r="J272" s="36"/>
      <c r="K272" s="36"/>
      <c r="L272" s="36"/>
      <c r="M272" s="36"/>
    </row>
    <row r="273" spans="3:13" ht="21">
      <c r="C273" s="3" t="s">
        <v>410</v>
      </c>
      <c r="D273" s="3"/>
      <c r="E273" s="36"/>
      <c r="F273" s="313"/>
      <c r="G273" s="36"/>
      <c r="H273" s="36"/>
      <c r="I273" s="36"/>
      <c r="J273" s="36"/>
      <c r="K273" s="36"/>
      <c r="L273" s="36"/>
      <c r="M273" s="36"/>
    </row>
    <row r="274" spans="3:13">
      <c r="C274" s="149" t="s">
        <v>448</v>
      </c>
      <c r="D274" s="94"/>
      <c r="E274" s="36"/>
      <c r="F274" s="247">
        <f>F257</f>
        <v>19600.491032814425</v>
      </c>
      <c r="G274" s="247">
        <f t="shared" ref="G274:H274" si="83">G257</f>
        <v>19598.269828350411</v>
      </c>
      <c r="H274" s="333">
        <f t="shared" si="83"/>
        <v>20544.785253295056</v>
      </c>
      <c r="I274" s="310">
        <f>I249</f>
        <v>21090.716608415671</v>
      </c>
      <c r="J274" s="310">
        <f>J249</f>
        <v>21663.094492030657</v>
      </c>
      <c r="K274" s="36"/>
      <c r="L274" s="36"/>
      <c r="M274" s="36"/>
    </row>
    <row r="275" spans="3:13">
      <c r="C275" s="149" t="s">
        <v>407</v>
      </c>
      <c r="D275" s="94"/>
      <c r="E275" s="36"/>
      <c r="F275" s="247">
        <f>F274</f>
        <v>19600.491032814425</v>
      </c>
      <c r="G275" s="247">
        <f t="shared" ref="G275:H275" si="84">G274</f>
        <v>19598.269828350411</v>
      </c>
      <c r="H275" s="333">
        <f t="shared" si="84"/>
        <v>20544.785253295056</v>
      </c>
      <c r="I275" s="247">
        <f>I267</f>
        <v>23993.264942343212</v>
      </c>
      <c r="J275" s="247">
        <f>J267</f>
        <v>24644.414662084466</v>
      </c>
      <c r="K275" s="36"/>
      <c r="L275" s="36"/>
      <c r="M275" s="36"/>
    </row>
    <row r="276" spans="3:13">
      <c r="C276" s="149" t="s">
        <v>408</v>
      </c>
      <c r="D276" s="94"/>
      <c r="E276" s="36"/>
      <c r="F276" s="247">
        <f>IF($E$22=-15%,F275,F274)</f>
        <v>19600.491032814425</v>
      </c>
      <c r="G276" s="247">
        <f t="shared" ref="G276:J276" si="85">IF($E$22=-15%,G275,G274)</f>
        <v>19598.269828350411</v>
      </c>
      <c r="H276" s="247">
        <f t="shared" si="85"/>
        <v>20544.785253295056</v>
      </c>
      <c r="I276" s="247">
        <f t="shared" si="85"/>
        <v>21090.716608415671</v>
      </c>
      <c r="J276" s="247">
        <f t="shared" si="85"/>
        <v>21663.094492030657</v>
      </c>
      <c r="K276" s="36"/>
      <c r="L276" s="36"/>
      <c r="M276" s="36"/>
    </row>
    <row r="277" spans="3:13">
      <c r="C277" s="149" t="s">
        <v>449</v>
      </c>
      <c r="D277" s="94"/>
      <c r="E277" s="328">
        <f>(I276/H267)/((1+I225)*(1+I226))-1</f>
        <v>1.0880518260526495E-2</v>
      </c>
      <c r="F277" s="247"/>
      <c r="G277" s="247"/>
      <c r="H277" s="247"/>
      <c r="I277" s="36"/>
      <c r="J277" s="36"/>
      <c r="K277" s="36"/>
      <c r="L277" s="36"/>
      <c r="M277" s="36"/>
    </row>
    <row r="278" spans="3:13">
      <c r="C278" s="149" t="s">
        <v>450</v>
      </c>
      <c r="D278" s="94"/>
      <c r="E278" s="328">
        <f>(J276/I276)/((1+J225)*(1+J226))-1</f>
        <v>0</v>
      </c>
      <c r="F278" s="247"/>
      <c r="G278" s="247"/>
      <c r="H278" s="247"/>
      <c r="I278" s="328"/>
      <c r="J278" s="328"/>
      <c r="K278" s="36"/>
      <c r="L278" s="36"/>
      <c r="M278" s="36"/>
    </row>
    <row r="279" spans="3:13">
      <c r="D279" s="94"/>
      <c r="E279" s="36"/>
      <c r="F279" s="313"/>
      <c r="G279" s="36"/>
      <c r="H279" s="36"/>
      <c r="I279" s="36"/>
      <c r="J279" s="36"/>
      <c r="K279" s="36"/>
      <c r="L279" s="36"/>
      <c r="M279" s="36"/>
    </row>
    <row r="280" spans="3:13" ht="21">
      <c r="C280" s="3" t="s">
        <v>250</v>
      </c>
      <c r="D280" s="93"/>
      <c r="E280" s="329"/>
      <c r="F280" s="313"/>
      <c r="G280" s="36"/>
      <c r="H280" s="36"/>
      <c r="I280" s="36"/>
      <c r="J280" s="36"/>
      <c r="K280" s="36"/>
      <c r="L280" s="36"/>
      <c r="M280" s="36"/>
    </row>
    <row r="281" spans="3:13">
      <c r="C281" s="149" t="s">
        <v>444</v>
      </c>
      <c r="D281" s="19">
        <f>I227</f>
        <v>20863.708645515831</v>
      </c>
      <c r="E281" s="36"/>
      <c r="F281" s="313"/>
      <c r="G281" s="36"/>
      <c r="H281" s="36"/>
      <c r="I281" s="36"/>
      <c r="J281" s="36"/>
      <c r="K281" s="36"/>
      <c r="L281" s="36"/>
      <c r="M281" s="36"/>
    </row>
    <row r="282" spans="3:13">
      <c r="C282" s="149" t="s">
        <v>443</v>
      </c>
      <c r="D282" s="19">
        <f>I276</f>
        <v>21090.716608415671</v>
      </c>
      <c r="E282" s="36"/>
      <c r="F282" s="313"/>
      <c r="G282" s="36"/>
      <c r="H282" s="36"/>
      <c r="I282" s="36"/>
      <c r="J282" s="36"/>
      <c r="K282" s="36"/>
      <c r="L282" s="36"/>
      <c r="M282" s="36"/>
    </row>
    <row r="283" spans="3:13">
      <c r="C283" s="149" t="s">
        <v>445</v>
      </c>
      <c r="D283" s="152">
        <f>(D282-D281)/D281</f>
        <v>1.0880518260526479E-2</v>
      </c>
      <c r="E283" s="36"/>
      <c r="F283" s="313"/>
      <c r="G283" s="36"/>
      <c r="H283" s="36"/>
      <c r="I283" s="36"/>
      <c r="J283" s="36"/>
      <c r="K283" s="36"/>
      <c r="L283" s="36"/>
      <c r="M283" s="36"/>
    </row>
    <row r="284" spans="3:13">
      <c r="D284" s="94"/>
      <c r="E284" s="36"/>
      <c r="F284" s="313"/>
      <c r="G284" s="36"/>
      <c r="H284" s="36"/>
      <c r="I284" s="36"/>
      <c r="J284" s="36"/>
      <c r="K284" s="36"/>
      <c r="L284" s="36"/>
      <c r="M284" s="36"/>
    </row>
    <row r="285" spans="3:13" ht="21">
      <c r="C285" s="3" t="s">
        <v>372</v>
      </c>
      <c r="D285" s="3"/>
      <c r="E285" s="302"/>
      <c r="F285" s="302"/>
      <c r="G285" s="302"/>
      <c r="H285" s="302"/>
      <c r="I285" s="36"/>
      <c r="J285" s="36"/>
      <c r="K285" s="36"/>
      <c r="L285" s="36"/>
      <c r="M285" s="36"/>
    </row>
    <row r="286" spans="3:13">
      <c r="C286" s="149" t="str">
        <f>C232</f>
        <v>PV of no reset year-end revenues</v>
      </c>
      <c r="E286" s="36"/>
      <c r="F286" s="310">
        <f>D232</f>
        <v>54809.72538212283</v>
      </c>
      <c r="G286" s="36"/>
      <c r="H286" s="36"/>
      <c r="I286" s="36"/>
      <c r="J286" s="36"/>
      <c r="K286" s="36"/>
      <c r="L286" s="36"/>
      <c r="M286" s="36"/>
    </row>
    <row r="287" spans="3:13">
      <c r="C287" s="149" t="str">
        <f>C206</f>
        <v>PV of BBAR before tax over the PV period</v>
      </c>
      <c r="E287" s="36"/>
      <c r="F287" s="310">
        <f>D206</f>
        <v>55406.083599997466</v>
      </c>
      <c r="G287" s="36"/>
      <c r="H287" s="36"/>
      <c r="I287" s="36"/>
      <c r="J287" s="36"/>
      <c r="K287" s="36"/>
      <c r="L287" s="36"/>
      <c r="M287" s="36"/>
    </row>
    <row r="288" spans="3:13">
      <c r="C288" s="149" t="s">
        <v>405</v>
      </c>
      <c r="D288" s="94"/>
      <c r="E288" s="36"/>
      <c r="F288" s="247">
        <f>F286-F287</f>
        <v>-596.35821787463647</v>
      </c>
      <c r="G288" s="36"/>
      <c r="H288" s="36"/>
      <c r="I288" s="36"/>
      <c r="J288" s="36"/>
      <c r="K288" s="36"/>
      <c r="L288" s="36"/>
      <c r="M288" s="36"/>
    </row>
    <row r="289" spans="3:14">
      <c r="D289" s="94"/>
      <c r="E289" s="36"/>
      <c r="F289" s="247"/>
      <c r="G289" s="36"/>
      <c r="H289" s="36"/>
      <c r="I289" s="36"/>
      <c r="J289" s="36"/>
      <c r="K289" s="36"/>
      <c r="L289" s="36"/>
      <c r="M289" s="36"/>
    </row>
    <row r="290" spans="3:14" ht="21">
      <c r="C290" s="3" t="s">
        <v>220</v>
      </c>
      <c r="D290" s="3"/>
      <c r="E290" s="302"/>
      <c r="F290" s="302"/>
      <c r="G290" s="310"/>
      <c r="H290" s="310"/>
      <c r="I290" s="310"/>
      <c r="J290" s="310"/>
      <c r="K290" s="310"/>
      <c r="L290" s="36"/>
      <c r="M290" s="36"/>
    </row>
    <row r="291" spans="3:14">
      <c r="D291" s="19"/>
      <c r="E291" s="90"/>
      <c r="F291" s="247"/>
      <c r="G291" s="310"/>
      <c r="H291" s="310"/>
      <c r="I291" s="310"/>
      <c r="J291" s="310"/>
      <c r="K291" s="310"/>
      <c r="L291" s="36"/>
      <c r="M291" s="36"/>
    </row>
    <row r="292" spans="3:14">
      <c r="D292" s="19"/>
      <c r="E292" s="330">
        <v>40999</v>
      </c>
      <c r="F292" s="331">
        <v>41182</v>
      </c>
      <c r="G292" s="330">
        <v>41216</v>
      </c>
      <c r="H292" s="330">
        <f>E292+365</f>
        <v>41364</v>
      </c>
      <c r="I292" s="330">
        <f t="shared" ref="I292:K292" si="86">F292+365</f>
        <v>41547</v>
      </c>
      <c r="J292" s="330">
        <f t="shared" si="86"/>
        <v>41581</v>
      </c>
      <c r="K292" s="330">
        <f t="shared" si="86"/>
        <v>41729</v>
      </c>
      <c r="L292" s="330">
        <f>I292+365</f>
        <v>41912</v>
      </c>
      <c r="M292" s="330">
        <f>J292+365</f>
        <v>41946</v>
      </c>
      <c r="N292" s="127">
        <f>K292+365</f>
        <v>42094</v>
      </c>
    </row>
    <row r="293" spans="3:14">
      <c r="C293" s="149" t="s">
        <v>218</v>
      </c>
      <c r="D293" s="19"/>
      <c r="E293" s="310">
        <f>-H$140-H$163</f>
        <v>-121546.92465521615</v>
      </c>
      <c r="F293" s="247"/>
      <c r="G293" s="310"/>
      <c r="H293" s="310"/>
      <c r="I293" s="310"/>
      <c r="J293" s="310"/>
      <c r="K293" s="310"/>
      <c r="L293" s="36"/>
      <c r="M293" s="36"/>
      <c r="N293" s="19">
        <f>J$143+J$166</f>
        <v>131509.83598965505</v>
      </c>
    </row>
    <row r="294" spans="3:14">
      <c r="C294" s="149" t="s">
        <v>57</v>
      </c>
      <c r="D294" s="19"/>
      <c r="E294" s="90"/>
      <c r="F294" s="247"/>
      <c r="G294" s="138">
        <f>H$249</f>
        <v>20544.785253295056</v>
      </c>
      <c r="H294" s="36">
        <v>0</v>
      </c>
      <c r="I294" s="36">
        <v>0</v>
      </c>
      <c r="J294" s="164">
        <f>I$249</f>
        <v>21090.716608415671</v>
      </c>
      <c r="K294" s="310">
        <v>0</v>
      </c>
      <c r="L294" s="138">
        <v>0</v>
      </c>
      <c r="M294" s="310">
        <f>J$249</f>
        <v>21663.094492030657</v>
      </c>
    </row>
    <row r="295" spans="3:14">
      <c r="C295" s="149" t="s">
        <v>234</v>
      </c>
      <c r="D295" s="19"/>
      <c r="E295" s="299"/>
      <c r="F295" s="320">
        <f>H186</f>
        <v>397.69846233793498</v>
      </c>
      <c r="G295" s="215"/>
      <c r="H295" s="300"/>
      <c r="I295" s="216">
        <f>I186</f>
        <v>406.08165083578353</v>
      </c>
      <c r="J295" s="215"/>
      <c r="K295" s="215"/>
      <c r="L295" s="215">
        <f>J186</f>
        <v>415.13549441345998</v>
      </c>
      <c r="M295" s="215"/>
    </row>
    <row r="296" spans="3:14">
      <c r="C296" s="149" t="s">
        <v>54</v>
      </c>
      <c r="D296" s="19"/>
      <c r="E296" s="299"/>
      <c r="F296" s="320">
        <f>-H$24</f>
        <v>-6443.4531760480322</v>
      </c>
      <c r="G296" s="300"/>
      <c r="H296" s="215"/>
      <c r="I296" s="215">
        <f>-I$24</f>
        <v>-6605.9117602858123</v>
      </c>
      <c r="J296" s="300"/>
      <c r="K296" s="215"/>
      <c r="L296" s="215">
        <f>-J$24</f>
        <v>-6775.86972251306</v>
      </c>
      <c r="M296" s="300"/>
    </row>
    <row r="297" spans="3:14">
      <c r="C297" s="149" t="s">
        <v>125</v>
      </c>
      <c r="D297" s="19"/>
      <c r="E297" s="299"/>
      <c r="F297" s="320">
        <f>-H$25</f>
        <v>-5932.4281807107036</v>
      </c>
      <c r="G297" s="300"/>
      <c r="H297" s="215"/>
      <c r="I297" s="215">
        <f>-I$25</f>
        <v>-6010.7389768051007</v>
      </c>
      <c r="J297" s="300"/>
      <c r="K297" s="215"/>
      <c r="L297" s="215">
        <f>-J$25</f>
        <v>-6175.1246828702624</v>
      </c>
      <c r="M297" s="300"/>
    </row>
    <row r="298" spans="3:14">
      <c r="C298" s="149" t="s">
        <v>295</v>
      </c>
      <c r="D298" s="19"/>
      <c r="E298" s="299"/>
      <c r="F298" s="36"/>
      <c r="G298" s="36"/>
      <c r="H298" s="320">
        <f>-H$149</f>
        <v>0</v>
      </c>
      <c r="I298" s="36"/>
      <c r="J298" s="36"/>
      <c r="K298" s="215">
        <f>-I$149</f>
        <v>0</v>
      </c>
      <c r="L298" s="36"/>
      <c r="M298" s="36"/>
      <c r="N298" s="92">
        <f>-J$149</f>
        <v>0</v>
      </c>
    </row>
    <row r="299" spans="3:14">
      <c r="C299" s="149" t="s">
        <v>56</v>
      </c>
      <c r="D299" s="19"/>
      <c r="E299" s="299"/>
      <c r="F299" s="335">
        <f>-H$254</f>
        <v>-1311.7805799488717</v>
      </c>
      <c r="G299" s="300">
        <v>0</v>
      </c>
      <c r="H299" s="300">
        <v>0</v>
      </c>
      <c r="I299" s="336">
        <f>-I$254</f>
        <v>-1379.1518828652524</v>
      </c>
      <c r="J299" s="215">
        <v>0</v>
      </c>
      <c r="K299" s="163">
        <v>0</v>
      </c>
      <c r="L299" s="215">
        <f>-J$254</f>
        <v>-1451.3290719596384</v>
      </c>
      <c r="M299" s="300"/>
    </row>
    <row r="300" spans="3:14" ht="15.75" thickBot="1">
      <c r="C300" s="149" t="s">
        <v>217</v>
      </c>
      <c r="D300" s="19"/>
      <c r="E300" s="332">
        <f>SUM(E293:E299)</f>
        <v>-121546.92465521615</v>
      </c>
      <c r="F300" s="332">
        <f t="shared" ref="F300:K300" si="87">SUM(F293:F299)</f>
        <v>-13289.963474369673</v>
      </c>
      <c r="G300" s="332">
        <f t="shared" si="87"/>
        <v>20544.785253295056</v>
      </c>
      <c r="H300" s="332">
        <f t="shared" si="87"/>
        <v>0</v>
      </c>
      <c r="I300" s="332">
        <f t="shared" si="87"/>
        <v>-13589.720969120383</v>
      </c>
      <c r="J300" s="332">
        <f t="shared" si="87"/>
        <v>21090.716608415671</v>
      </c>
      <c r="K300" s="332">
        <f t="shared" si="87"/>
        <v>0</v>
      </c>
      <c r="L300" s="332">
        <f>SUM(L293:L299)</f>
        <v>-13987.187982929501</v>
      </c>
      <c r="M300" s="332">
        <f>SUM(M293:M299)</f>
        <v>21663.094492030657</v>
      </c>
      <c r="N300" s="129">
        <f>SUM(N293:N299)</f>
        <v>131509.83598965505</v>
      </c>
    </row>
    <row r="301" spans="3:14" ht="15.75" thickTop="1">
      <c r="E301" s="36"/>
      <c r="F301" s="313"/>
      <c r="G301" s="36"/>
      <c r="H301" s="36"/>
      <c r="I301" s="36"/>
      <c r="J301" s="36"/>
      <c r="K301" s="36"/>
      <c r="L301" s="36"/>
      <c r="M301" s="36"/>
    </row>
    <row r="302" spans="3:14">
      <c r="C302" s="149" t="s">
        <v>58</v>
      </c>
      <c r="D302" s="152">
        <f>XIRR(E300:N300,E292:N292)</f>
        <v>8.770000040531159E-2</v>
      </c>
      <c r="F302" s="124"/>
    </row>
    <row r="303" spans="3:14">
      <c r="C303" s="126" t="s">
        <v>219</v>
      </c>
      <c r="D303" s="128">
        <f>D302-WACC</f>
        <v>4.0531158984613569E-10</v>
      </c>
      <c r="F303" s="124"/>
    </row>
    <row r="304" spans="3:14">
      <c r="C304" s="126"/>
      <c r="F304" s="124"/>
    </row>
    <row r="305" spans="3:6">
      <c r="C305" s="149" t="s">
        <v>225</v>
      </c>
      <c r="D305" s="130">
        <f>XNPV(WACC,E300:N300,E292:N292)</f>
        <v>1.4551915228366852E-11</v>
      </c>
      <c r="F305" s="124"/>
    </row>
    <row r="306" spans="3:6">
      <c r="D306" s="130"/>
      <c r="F306" s="124"/>
    </row>
    <row r="307" spans="3:6">
      <c r="D307" s="130"/>
      <c r="F307" s="124"/>
    </row>
    <row r="308" spans="3:6">
      <c r="D308" s="130"/>
      <c r="F308" s="124"/>
    </row>
    <row r="309" spans="3:6">
      <c r="D309" s="130"/>
      <c r="F309" s="124"/>
    </row>
    <row r="310" spans="3:6">
      <c r="D310" s="130"/>
      <c r="F310" s="124"/>
    </row>
    <row r="311" spans="3:6">
      <c r="D311" s="130"/>
      <c r="F311" s="124"/>
    </row>
    <row r="312" spans="3:6">
      <c r="D312" s="130"/>
      <c r="F312" s="124"/>
    </row>
    <row r="313" spans="3:6">
      <c r="D313" s="130"/>
      <c r="F313" s="124"/>
    </row>
    <row r="314" spans="3:6">
      <c r="D314" s="130"/>
      <c r="F314" s="124"/>
    </row>
    <row r="315" spans="3:6">
      <c r="D315" s="130"/>
      <c r="F315" s="124"/>
    </row>
    <row r="316" spans="3:6">
      <c r="D316" s="130"/>
      <c r="F316" s="124"/>
    </row>
    <row r="317" spans="3:6">
      <c r="D317" s="130"/>
      <c r="F317" s="124"/>
    </row>
    <row r="318" spans="3:6">
      <c r="D318" s="130"/>
      <c r="F318" s="124"/>
    </row>
    <row r="319" spans="3:6">
      <c r="D319" s="130"/>
      <c r="F319" s="124"/>
    </row>
    <row r="320" spans="3:6">
      <c r="D320" s="130"/>
      <c r="F320" s="124"/>
    </row>
    <row r="321" spans="4:6">
      <c r="D321" s="130"/>
      <c r="F321" s="124"/>
    </row>
    <row r="322" spans="4:6">
      <c r="D322" s="130"/>
      <c r="F322" s="124"/>
    </row>
    <row r="323" spans="4:6">
      <c r="D323" s="130"/>
      <c r="F323" s="124"/>
    </row>
    <row r="324" spans="4:6">
      <c r="D324" s="130"/>
      <c r="F324" s="124"/>
    </row>
    <row r="325" spans="4:6">
      <c r="D325" s="130"/>
      <c r="F325" s="124"/>
    </row>
    <row r="326" spans="4:6">
      <c r="D326" s="130"/>
      <c r="F326" s="124"/>
    </row>
    <row r="327" spans="4:6">
      <c r="D327" s="130"/>
      <c r="F327" s="124"/>
    </row>
    <row r="328" spans="4:6">
      <c r="D328" s="130"/>
      <c r="F328" s="124"/>
    </row>
    <row r="329" spans="4:6">
      <c r="D329" s="130"/>
      <c r="F329" s="124"/>
    </row>
    <row r="330" spans="4:6">
      <c r="D330" s="130"/>
      <c r="F330" s="124"/>
    </row>
    <row r="331" spans="4:6">
      <c r="D331" s="130"/>
      <c r="F331" s="124"/>
    </row>
    <row r="332" spans="4:6">
      <c r="E332" s="126"/>
    </row>
    <row r="333" spans="4:6">
      <c r="E333" s="126"/>
    </row>
    <row r="334" spans="4:6">
      <c r="E334" s="126"/>
    </row>
    <row r="335" spans="4:6">
      <c r="E335" s="126"/>
    </row>
    <row r="336" spans="4:6">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sheetData>
  <conditionalFormatting sqref="G245:G255 F245:F250 F252:F255 F243:J243 H253:K253 F212:J221 I245:J252 H245:H247 E255 H254:J255 H249:H252">
    <cfRule type="expression" dxfId="12" priority="1">
      <formula>#REF!=0</formula>
    </cfRule>
  </conditionalFormatting>
  <printOptions headings="1"/>
  <pageMargins left="0.23622047244094491" right="0.27559055118110237" top="0.74803149606299213" bottom="0.74803149606299213" header="0.31496062992125984" footer="0.31496062992125984"/>
  <pageSetup paperSize="8" scale="2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3</vt:i4>
      </vt:variant>
      <vt:variant>
        <vt:lpstr>Named Ranges</vt:lpstr>
      </vt:variant>
      <vt:variant>
        <vt:i4>11</vt:i4>
      </vt:variant>
    </vt:vector>
  </HeadingPairs>
  <TitlesOfParts>
    <vt:vector size="37" baseType="lpstr">
      <vt:lpstr>Cover</vt:lpstr>
      <vt:lpstr>Inputs</vt:lpstr>
      <vt:lpstr>Results</vt:lpstr>
      <vt:lpstr>Chart Calculations</vt:lpstr>
      <vt:lpstr>Timing Assumptions</vt:lpstr>
      <vt:lpstr>Alp</vt:lpstr>
      <vt:lpstr>Aur</vt:lpstr>
      <vt:lpstr>Ctl</vt:lpstr>
      <vt:lpstr>Est</vt:lpstr>
      <vt:lpstr>Ash</vt:lpstr>
      <vt:lpstr>Inv</vt:lpstr>
      <vt:lpstr>Hoz</vt:lpstr>
      <vt:lpstr>Nel</vt:lpstr>
      <vt:lpstr>Tas</vt:lpstr>
      <vt:lpstr>Ota</vt:lpstr>
      <vt:lpstr>Pco</vt:lpstr>
      <vt:lpstr>TLC</vt:lpstr>
      <vt:lpstr>Top</vt:lpstr>
      <vt:lpstr>Uni</vt:lpstr>
      <vt:lpstr>Vct</vt:lpstr>
      <vt:lpstr>Wel</vt:lpstr>
      <vt:lpstr>CPI 2009</vt:lpstr>
      <vt:lpstr>CPI 2012</vt:lpstr>
      <vt:lpstr>Chart 1 - Revenue</vt:lpstr>
      <vt:lpstr>Chart 2 - Adjustments</vt:lpstr>
      <vt:lpstr>Chart 3 - Profitability</vt:lpstr>
      <vt:lpstr>CommAssetsBlock</vt:lpstr>
      <vt:lpstr>ConstPriceRevGrwth</vt:lpstr>
      <vt:lpstr>Debt</vt:lpstr>
      <vt:lpstr>INDIRECTformula</vt:lpstr>
      <vt:lpstr>Inputs_Anchor</vt:lpstr>
      <vt:lpstr>InputsBlock</vt:lpstr>
      <vt:lpstr>Leverage</vt:lpstr>
      <vt:lpstr>OpexBlock</vt:lpstr>
      <vt:lpstr>ResultsAnchor</vt:lpstr>
      <vt:lpstr>WACC</vt:lpstr>
      <vt:lpstr>X_industry_wide</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Ware</dc:creator>
  <cp:lastModifiedBy>Paul Ware</cp:lastModifiedBy>
  <cp:lastPrinted>2012-08-20T18:03:35Z</cp:lastPrinted>
  <dcterms:created xsi:type="dcterms:W3CDTF">2012-02-27T22:04:54Z</dcterms:created>
  <dcterms:modified xsi:type="dcterms:W3CDTF">2012-08-21T02:12:38Z</dcterms:modified>
</cp:coreProperties>
</file>