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codeName="ThisWorkbook"/>
  <xr:revisionPtr revIDLastSave="0" documentId="8_{6C2B3AE3-0886-480D-AE58-442620B4C3F3}" xr6:coauthVersionLast="45" xr6:coauthVersionMax="45" xr10:uidLastSave="{00000000-0000-0000-0000-000000000000}"/>
  <bookViews>
    <workbookView xWindow="28680" yWindow="-120" windowWidth="29040" windowHeight="15840" tabRatio="909" activeTab="3" xr2:uid="{00000000-000D-0000-FFFF-FFFF00000000}"/>
  </bookViews>
  <sheets>
    <sheet name="Cover Sheet" sheetId="9" r:id="rId1"/>
    <sheet name="Description" sheetId="10" r:id="rId2"/>
    <sheet name="Inputs" sheetId="84" r:id="rId3"/>
    <sheet name="DCF" sheetId="85" r:id="rId4"/>
  </sheets>
  <externalReferences>
    <externalReference r:id="rId5"/>
  </externalReferences>
  <definedNames>
    <definedName name="_xlnm.Print_Area" localSheetId="0">'Cover Sheet'!$A$1:$D$22</definedName>
    <definedName name="_xlnm.Print_Area" localSheetId="3">DCF!$A$1:$Q$106</definedName>
    <definedName name="_xlnm.Print_Area" localSheetId="1">Description!$A$1:$F$11</definedName>
    <definedName name="_xlnm.Print_Area" localSheetId="2">Inputs!$A$1:$Q$76</definedName>
    <definedName name="WACC">'[1]EDB data'!$B$9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5" i="85" l="1"/>
  <c r="M125" i="85"/>
  <c r="L125" i="85"/>
  <c r="K125" i="85"/>
  <c r="J125" i="85"/>
  <c r="I125" i="85"/>
  <c r="H125" i="85"/>
  <c r="G125" i="85"/>
  <c r="F125" i="85"/>
  <c r="E125" i="85"/>
  <c r="D125" i="85"/>
  <c r="D131" i="85" l="1" a="1"/>
  <c r="D131" i="85" s="1"/>
  <c r="D146" i="85" s="1"/>
  <c r="C132" i="85"/>
  <c r="D132" i="85" s="1" a="1"/>
  <c r="D132" i="85" s="1"/>
  <c r="D147" i="85" s="1"/>
  <c r="E129" i="85"/>
  <c r="D130" i="85"/>
  <c r="N114" i="85"/>
  <c r="M114" i="85"/>
  <c r="L114" i="85"/>
  <c r="K114" i="85"/>
  <c r="J114" i="85"/>
  <c r="I114" i="85"/>
  <c r="H114" i="85"/>
  <c r="G114" i="85"/>
  <c r="F114" i="85"/>
  <c r="E114" i="85"/>
  <c r="N113" i="85"/>
  <c r="M113" i="85"/>
  <c r="L113" i="85"/>
  <c r="K113" i="85"/>
  <c r="J113" i="85"/>
  <c r="I113" i="85"/>
  <c r="H113" i="85"/>
  <c r="G113" i="85"/>
  <c r="F113" i="85"/>
  <c r="E113" i="85"/>
  <c r="D114" i="85"/>
  <c r="D113" i="85"/>
  <c r="C179" i="85"/>
  <c r="C180" i="85" s="1"/>
  <c r="E177" i="85"/>
  <c r="E164" i="85"/>
  <c r="C166" i="85"/>
  <c r="E132" i="85" l="1" a="1"/>
  <c r="E132" i="85" s="1"/>
  <c r="E147" i="85" s="1"/>
  <c r="C133" i="85"/>
  <c r="E133" i="85" s="1" a="1"/>
  <c r="E133" i="85" s="1"/>
  <c r="E148" i="85" s="1"/>
  <c r="F129" i="85"/>
  <c r="F177" i="85"/>
  <c r="C167" i="85"/>
  <c r="F164" i="85"/>
  <c r="C181" i="85"/>
  <c r="N110" i="85"/>
  <c r="M110" i="85"/>
  <c r="L110" i="85"/>
  <c r="K110" i="85"/>
  <c r="J110" i="85"/>
  <c r="I110" i="85"/>
  <c r="H110" i="85"/>
  <c r="G110" i="85"/>
  <c r="F110" i="85"/>
  <c r="E110" i="85"/>
  <c r="D110" i="85"/>
  <c r="C110" i="85"/>
  <c r="N109" i="85"/>
  <c r="M109" i="85"/>
  <c r="D109" i="85"/>
  <c r="C109" i="85"/>
  <c r="C111" i="85"/>
  <c r="C134" i="85" l="1"/>
  <c r="D133" i="85" a="1"/>
  <c r="D133" i="85" s="1"/>
  <c r="D148" i="85" s="1"/>
  <c r="N119" i="85"/>
  <c r="N118" i="85"/>
  <c r="D119" i="85"/>
  <c r="D118" i="85"/>
  <c r="M119" i="85"/>
  <c r="M118" i="85"/>
  <c r="G129" i="85"/>
  <c r="F133" i="85" a="1"/>
  <c r="F133" i="85" s="1"/>
  <c r="F148" i="85" s="1"/>
  <c r="K121" i="85"/>
  <c r="K120" i="85"/>
  <c r="E120" i="85"/>
  <c r="E121" i="85"/>
  <c r="L121" i="85"/>
  <c r="L120" i="85"/>
  <c r="H120" i="85"/>
  <c r="H121" i="85"/>
  <c r="M120" i="85"/>
  <c r="M121" i="85"/>
  <c r="I121" i="85"/>
  <c r="I120" i="85"/>
  <c r="F120" i="85"/>
  <c r="F121" i="85"/>
  <c r="G120" i="85"/>
  <c r="G121" i="85"/>
  <c r="J121" i="85"/>
  <c r="J120" i="85"/>
  <c r="E181" i="85" a="1"/>
  <c r="E181" i="85" s="1"/>
  <c r="F181" i="85" a="1"/>
  <c r="F181" i="85" s="1"/>
  <c r="F178" i="85" a="1"/>
  <c r="F178" i="85" s="1"/>
  <c r="E178" i="85" a="1"/>
  <c r="E178" i="85" s="1"/>
  <c r="E179" i="85" a="1"/>
  <c r="E179" i="85" s="1"/>
  <c r="F179" i="85" a="1"/>
  <c r="F179" i="85" s="1"/>
  <c r="F180" i="85" a="1"/>
  <c r="F180" i="85" s="1"/>
  <c r="E180" i="85" a="1"/>
  <c r="E180" i="85" s="1"/>
  <c r="C168" i="85"/>
  <c r="G177" i="85"/>
  <c r="G178" i="85" s="1" a="1"/>
  <c r="G178" i="85" s="1"/>
  <c r="E165" i="85" a="1"/>
  <c r="E165" i="85" s="1"/>
  <c r="G164" i="85"/>
  <c r="F165" i="85" a="1"/>
  <c r="F165" i="85" s="1"/>
  <c r="C182" i="85"/>
  <c r="H7" i="84"/>
  <c r="I7" i="84" s="1"/>
  <c r="N7" i="84" s="1"/>
  <c r="E7" i="84"/>
  <c r="D17" i="85"/>
  <c r="D123" i="85" s="1"/>
  <c r="E112" i="85"/>
  <c r="F112" i="85"/>
  <c r="G112" i="85"/>
  <c r="H112" i="85"/>
  <c r="I112" i="85"/>
  <c r="J112" i="85"/>
  <c r="K112" i="85"/>
  <c r="L112" i="85"/>
  <c r="M112" i="85"/>
  <c r="N112" i="85"/>
  <c r="N162" i="85" s="1"/>
  <c r="D112" i="85"/>
  <c r="D162" i="85" s="1"/>
  <c r="D111" i="85"/>
  <c r="E111" i="85"/>
  <c r="F111" i="85"/>
  <c r="G111" i="85"/>
  <c r="H111" i="85"/>
  <c r="I111" i="85"/>
  <c r="J111" i="85"/>
  <c r="K111" i="85"/>
  <c r="L111" i="85"/>
  <c r="M111" i="85"/>
  <c r="N111" i="85"/>
  <c r="E30" i="84"/>
  <c r="F30" i="84"/>
  <c r="G30" i="84"/>
  <c r="H30" i="84"/>
  <c r="I30" i="84"/>
  <c r="J30" i="84"/>
  <c r="K30" i="84"/>
  <c r="L30" i="84"/>
  <c r="M30" i="84"/>
  <c r="N30" i="84"/>
  <c r="D30" i="84"/>
  <c r="E109" i="85"/>
  <c r="F109" i="85"/>
  <c r="G109" i="85"/>
  <c r="H109" i="85"/>
  <c r="I109" i="85"/>
  <c r="J109" i="85"/>
  <c r="K109" i="85"/>
  <c r="L109" i="85"/>
  <c r="C66" i="84"/>
  <c r="E74" i="84"/>
  <c r="F74" i="84"/>
  <c r="G74" i="84"/>
  <c r="H74" i="84"/>
  <c r="I74" i="84"/>
  <c r="J74" i="84"/>
  <c r="K74" i="84"/>
  <c r="L74" i="84"/>
  <c r="M74" i="84"/>
  <c r="N74" i="84"/>
  <c r="D74" i="84"/>
  <c r="E59" i="84"/>
  <c r="F59" i="84"/>
  <c r="G59" i="84"/>
  <c r="H59" i="84"/>
  <c r="I59" i="84"/>
  <c r="J59" i="84"/>
  <c r="K59" i="84"/>
  <c r="L59" i="84"/>
  <c r="M59" i="84"/>
  <c r="N59" i="84"/>
  <c r="D59" i="84"/>
  <c r="L119" i="85" l="1"/>
  <c r="L118" i="85"/>
  <c r="K118" i="85"/>
  <c r="K119" i="85"/>
  <c r="E119" i="85"/>
  <c r="E118" i="85"/>
  <c r="C135" i="85"/>
  <c r="D134" i="85" a="1"/>
  <c r="D134" i="85" s="1"/>
  <c r="D149" i="85" s="1"/>
  <c r="E134" i="85" a="1"/>
  <c r="E134" i="85" s="1"/>
  <c r="E149" i="85" s="1"/>
  <c r="J118" i="85"/>
  <c r="J119" i="85"/>
  <c r="H118" i="85"/>
  <c r="H119" i="85"/>
  <c r="I118" i="85"/>
  <c r="I119" i="85"/>
  <c r="G119" i="85"/>
  <c r="G118" i="85"/>
  <c r="F134" i="85" a="1"/>
  <c r="F134" i="85" s="1"/>
  <c r="F149" i="85" s="1"/>
  <c r="F119" i="85"/>
  <c r="F118" i="85"/>
  <c r="H129" i="85"/>
  <c r="G134" i="85" a="1"/>
  <c r="G134" i="85" s="1"/>
  <c r="G149" i="85" s="1"/>
  <c r="G135" i="85" a="1"/>
  <c r="G135" i="85" s="1"/>
  <c r="G150" i="85" s="1"/>
  <c r="E167" i="85" a="1"/>
  <c r="E167" i="85" s="1"/>
  <c r="G179" i="85" a="1"/>
  <c r="G179" i="85" s="1"/>
  <c r="G182" i="85" a="1"/>
  <c r="G182" i="85" s="1"/>
  <c r="G181" i="85" a="1"/>
  <c r="G181" i="85" s="1"/>
  <c r="F182" i="85" a="1"/>
  <c r="F182" i="85" s="1"/>
  <c r="E182" i="85" a="1"/>
  <c r="E182" i="85" s="1"/>
  <c r="G180" i="85" a="1"/>
  <c r="G180" i="85" s="1"/>
  <c r="F168" i="85" a="1"/>
  <c r="F168" i="85" s="1"/>
  <c r="F167" i="85" a="1"/>
  <c r="F167" i="85" s="1"/>
  <c r="H164" i="85"/>
  <c r="G165" i="85" a="1"/>
  <c r="G165" i="85" s="1"/>
  <c r="G166" i="85" a="1"/>
  <c r="G166" i="85" s="1"/>
  <c r="G168" i="85" a="1"/>
  <c r="G168" i="85" s="1"/>
  <c r="G167" i="85" a="1"/>
  <c r="G167" i="85" s="1"/>
  <c r="C169" i="85"/>
  <c r="G169" i="85" s="1" a="1"/>
  <c r="G169" i="85" s="1"/>
  <c r="E168" i="85" a="1"/>
  <c r="E168" i="85" s="1"/>
  <c r="E166" i="85" a="1"/>
  <c r="E166" i="85" s="1"/>
  <c r="F166" i="85" a="1"/>
  <c r="F166" i="85" s="1"/>
  <c r="H177" i="85"/>
  <c r="C183" i="85"/>
  <c r="E40" i="85"/>
  <c r="F40" i="85"/>
  <c r="G40" i="85"/>
  <c r="H40" i="85"/>
  <c r="I40" i="85"/>
  <c r="J40" i="85"/>
  <c r="K40" i="85"/>
  <c r="L40" i="85"/>
  <c r="M40" i="85"/>
  <c r="N40" i="85"/>
  <c r="D40" i="85"/>
  <c r="E15" i="85"/>
  <c r="F15" i="85"/>
  <c r="G15" i="85"/>
  <c r="H15" i="85"/>
  <c r="I15" i="85"/>
  <c r="J15" i="85"/>
  <c r="K15" i="85"/>
  <c r="L15" i="85"/>
  <c r="M15" i="85"/>
  <c r="N15" i="85"/>
  <c r="D15" i="85"/>
  <c r="C136" i="85" l="1"/>
  <c r="H136" i="85" s="1" a="1"/>
  <c r="H136" i="85" s="1"/>
  <c r="H151" i="85" s="1"/>
  <c r="D135" i="85" a="1"/>
  <c r="D135" i="85" s="1"/>
  <c r="D150" i="85" s="1"/>
  <c r="E135" i="85" a="1"/>
  <c r="E135" i="85" s="1"/>
  <c r="E150" i="85" s="1"/>
  <c r="F135" i="85" a="1"/>
  <c r="F135" i="85" s="1"/>
  <c r="F150" i="85" s="1"/>
  <c r="I129" i="85"/>
  <c r="H135" i="85" a="1"/>
  <c r="H135" i="85" s="1"/>
  <c r="H150" i="85" s="1"/>
  <c r="N120" i="85"/>
  <c r="N121" i="85"/>
  <c r="D121" i="85"/>
  <c r="D120" i="85"/>
  <c r="G183" i="85" a="1"/>
  <c r="G183" i="85" s="1"/>
  <c r="F183" i="85" a="1"/>
  <c r="F183" i="85" s="1"/>
  <c r="E183" i="85" a="1"/>
  <c r="E183" i="85" s="1"/>
  <c r="H181" i="85" a="1"/>
  <c r="H181" i="85" s="1"/>
  <c r="H182" i="85" a="1"/>
  <c r="H182" i="85" s="1"/>
  <c r="H183" i="85" a="1"/>
  <c r="H183" i="85" s="1"/>
  <c r="H178" i="85" a="1"/>
  <c r="H178" i="85" s="1"/>
  <c r="H180" i="85" a="1"/>
  <c r="H180" i="85" s="1"/>
  <c r="H179" i="85" a="1"/>
  <c r="H179" i="85" s="1"/>
  <c r="D166" i="85" a="1"/>
  <c r="D166" i="85" s="1"/>
  <c r="D182" i="85" a="1"/>
  <c r="D182" i="85" s="1"/>
  <c r="D181" i="85" a="1"/>
  <c r="D181" i="85" s="1"/>
  <c r="D180" i="85" a="1"/>
  <c r="D180" i="85" s="1"/>
  <c r="D179" i="85" a="1"/>
  <c r="D179" i="85" s="1"/>
  <c r="D183" i="85" a="1"/>
  <c r="D183" i="85" s="1"/>
  <c r="I177" i="85"/>
  <c r="I164" i="85"/>
  <c r="H166" i="85" a="1"/>
  <c r="H166" i="85" s="1"/>
  <c r="H168" i="85" a="1"/>
  <c r="H168" i="85" s="1"/>
  <c r="H165" i="85" a="1"/>
  <c r="H165" i="85" s="1"/>
  <c r="H167" i="85" a="1"/>
  <c r="H167" i="85" s="1"/>
  <c r="H169" i="85" a="1"/>
  <c r="H169" i="85" s="1"/>
  <c r="D168" i="85" a="1"/>
  <c r="D168" i="85" s="1"/>
  <c r="D165" i="85" a="1"/>
  <c r="D165" i="85" s="1"/>
  <c r="D167" i="85" a="1"/>
  <c r="D167" i="85" s="1"/>
  <c r="D178" i="85" a="1"/>
  <c r="D178" i="85" s="1"/>
  <c r="D145" i="85" s="1"/>
  <c r="C170" i="85"/>
  <c r="H170" i="85" s="1" a="1"/>
  <c r="H170" i="85" s="1"/>
  <c r="D169" i="85" a="1"/>
  <c r="D169" i="85" s="1"/>
  <c r="E169" i="85" a="1"/>
  <c r="E169" i="85" s="1"/>
  <c r="F169" i="85" a="1"/>
  <c r="F169" i="85" s="1"/>
  <c r="C184" i="85"/>
  <c r="D184" i="85" s="1" a="1"/>
  <c r="D184" i="85" s="1"/>
  <c r="E91" i="85"/>
  <c r="F91" i="85"/>
  <c r="G91" i="85"/>
  <c r="H91" i="85"/>
  <c r="I91" i="85"/>
  <c r="J91" i="85"/>
  <c r="K91" i="85"/>
  <c r="L91" i="85"/>
  <c r="M91" i="85"/>
  <c r="N91" i="85"/>
  <c r="D91" i="85"/>
  <c r="E130" i="85" l="1"/>
  <c r="E145" i="85" s="1"/>
  <c r="C137" i="85"/>
  <c r="I137" i="85" s="1" a="1"/>
  <c r="I137" i="85" s="1"/>
  <c r="I152" i="85" s="1"/>
  <c r="D136" i="85" a="1"/>
  <c r="D136" i="85" s="1"/>
  <c r="D151" i="85" s="1"/>
  <c r="E136" i="85" a="1"/>
  <c r="E136" i="85" s="1"/>
  <c r="E151" i="85" s="1"/>
  <c r="F136" i="85" a="1"/>
  <c r="F136" i="85" s="1"/>
  <c r="F151" i="85" s="1"/>
  <c r="G136" i="85" a="1"/>
  <c r="G136" i="85" s="1"/>
  <c r="G151" i="85" s="1"/>
  <c r="J129" i="85"/>
  <c r="I136" i="85" a="1"/>
  <c r="I136" i="85" s="1"/>
  <c r="I151" i="85" s="1"/>
  <c r="I180" i="85" a="1"/>
  <c r="I180" i="85" s="1"/>
  <c r="I182" i="85" a="1"/>
  <c r="I182" i="85" s="1"/>
  <c r="I183" i="85" a="1"/>
  <c r="I183" i="85" s="1"/>
  <c r="I181" i="85" a="1"/>
  <c r="I181" i="85" s="1"/>
  <c r="I184" i="85" a="1"/>
  <c r="I184" i="85" s="1"/>
  <c r="I178" i="85" a="1"/>
  <c r="I178" i="85" s="1"/>
  <c r="I179" i="85" a="1"/>
  <c r="I179" i="85" s="1"/>
  <c r="E184" i="85" a="1"/>
  <c r="E184" i="85" s="1"/>
  <c r="F184" i="85" a="1"/>
  <c r="F184" i="85" s="1"/>
  <c r="G184" i="85" a="1"/>
  <c r="G184" i="85" s="1"/>
  <c r="H184" i="85" a="1"/>
  <c r="H184" i="85" s="1"/>
  <c r="J177" i="85"/>
  <c r="J164" i="85"/>
  <c r="I165" i="85" a="1"/>
  <c r="I165" i="85" s="1"/>
  <c r="I170" i="85" a="1"/>
  <c r="I170" i="85" s="1"/>
  <c r="I168" i="85" a="1"/>
  <c r="I168" i="85" s="1"/>
  <c r="I167" i="85" a="1"/>
  <c r="I167" i="85" s="1"/>
  <c r="I166" i="85" a="1"/>
  <c r="I166" i="85" s="1"/>
  <c r="I169" i="85" a="1"/>
  <c r="I169" i="85" s="1"/>
  <c r="C171" i="85"/>
  <c r="I171" i="85" s="1" a="1"/>
  <c r="I171" i="85" s="1"/>
  <c r="D170" i="85" a="1"/>
  <c r="D170" i="85" s="1"/>
  <c r="E170" i="85" a="1"/>
  <c r="E170" i="85" s="1"/>
  <c r="F170" i="85" a="1"/>
  <c r="F170" i="85" s="1"/>
  <c r="G170" i="85" a="1"/>
  <c r="G170" i="85" s="1"/>
  <c r="C185" i="85"/>
  <c r="I185" i="85" s="1" a="1"/>
  <c r="I185" i="85" s="1"/>
  <c r="D66" i="85"/>
  <c r="E66" i="85"/>
  <c r="F66" i="85"/>
  <c r="G66" i="85"/>
  <c r="H66" i="85"/>
  <c r="I66" i="85"/>
  <c r="J66" i="85"/>
  <c r="K66" i="85"/>
  <c r="L66" i="85"/>
  <c r="M66" i="85"/>
  <c r="N66" i="85"/>
  <c r="C138" i="85" l="1"/>
  <c r="J138" i="85" s="1" a="1"/>
  <c r="J138" i="85" s="1"/>
  <c r="J153" i="85" s="1"/>
  <c r="D137" i="85" a="1"/>
  <c r="D137" i="85" s="1"/>
  <c r="D152" i="85" s="1"/>
  <c r="E137" i="85" a="1"/>
  <c r="E137" i="85" s="1"/>
  <c r="E152" i="85" s="1"/>
  <c r="F137" i="85" a="1"/>
  <c r="F137" i="85" s="1"/>
  <c r="F152" i="85" s="1"/>
  <c r="G137" i="85" a="1"/>
  <c r="G137" i="85" s="1"/>
  <c r="G152" i="85" s="1"/>
  <c r="H137" i="85" a="1"/>
  <c r="H137" i="85" s="1"/>
  <c r="H152" i="85" s="1"/>
  <c r="F130" i="85"/>
  <c r="F145" i="85" s="1"/>
  <c r="K129" i="85"/>
  <c r="J137" i="85" a="1"/>
  <c r="J137" i="85" s="1"/>
  <c r="J152" i="85" s="1"/>
  <c r="J185" i="85" a="1"/>
  <c r="J185" i="85" s="1"/>
  <c r="J181" i="85" a="1"/>
  <c r="J181" i="85" s="1"/>
  <c r="J182" i="85" a="1"/>
  <c r="J182" i="85" s="1"/>
  <c r="J183" i="85" a="1"/>
  <c r="J183" i="85" s="1"/>
  <c r="J180" i="85" a="1"/>
  <c r="J180" i="85" s="1"/>
  <c r="J184" i="85" a="1"/>
  <c r="J184" i="85" s="1"/>
  <c r="J178" i="85" a="1"/>
  <c r="J178" i="85" s="1"/>
  <c r="J179" i="85" a="1"/>
  <c r="J179" i="85" s="1"/>
  <c r="E185" i="85" a="1"/>
  <c r="E185" i="85" s="1"/>
  <c r="G185" i="85" a="1"/>
  <c r="G185" i="85" s="1"/>
  <c r="F185" i="85" a="1"/>
  <c r="F185" i="85" s="1"/>
  <c r="H185" i="85" a="1"/>
  <c r="H185" i="85" s="1"/>
  <c r="D185" i="85" a="1"/>
  <c r="D185" i="85" s="1"/>
  <c r="K164" i="85"/>
  <c r="J168" i="85" a="1"/>
  <c r="J168" i="85" s="1"/>
  <c r="J167" i="85" a="1"/>
  <c r="J167" i="85" s="1"/>
  <c r="J165" i="85" a="1"/>
  <c r="J165" i="85" s="1"/>
  <c r="J170" i="85" a="1"/>
  <c r="J170" i="85" s="1"/>
  <c r="J171" i="85" a="1"/>
  <c r="J171" i="85" s="1"/>
  <c r="J169" i="85" a="1"/>
  <c r="J169" i="85" s="1"/>
  <c r="J166" i="85" a="1"/>
  <c r="J166" i="85" s="1"/>
  <c r="C172" i="85"/>
  <c r="J172" i="85" s="1" a="1"/>
  <c r="J172" i="85" s="1"/>
  <c r="E171" i="85" a="1"/>
  <c r="E171" i="85" s="1"/>
  <c r="D171" i="85" a="1"/>
  <c r="D171" i="85" s="1"/>
  <c r="F171" i="85" a="1"/>
  <c r="F171" i="85" s="1"/>
  <c r="G171" i="85" a="1"/>
  <c r="G171" i="85" s="1"/>
  <c r="H171" i="85" a="1"/>
  <c r="H171" i="85" s="1"/>
  <c r="K177" i="85"/>
  <c r="C186" i="85"/>
  <c r="I44" i="85"/>
  <c r="E44" i="85"/>
  <c r="F44" i="85"/>
  <c r="G44" i="85"/>
  <c r="C40" i="84"/>
  <c r="C43" i="84" s="1"/>
  <c r="C34" i="84"/>
  <c r="C37" i="84" s="1"/>
  <c r="C139" i="85" l="1"/>
  <c r="D138" i="85" a="1"/>
  <c r="D138" i="85" s="1"/>
  <c r="D153" i="85" s="1"/>
  <c r="E138" i="85" a="1"/>
  <c r="E138" i="85" s="1"/>
  <c r="E153" i="85" s="1"/>
  <c r="F138" i="85" a="1"/>
  <c r="F138" i="85" s="1"/>
  <c r="F153" i="85" s="1"/>
  <c r="G138" i="85" a="1"/>
  <c r="G138" i="85" s="1"/>
  <c r="G153" i="85" s="1"/>
  <c r="H138" i="85" a="1"/>
  <c r="H138" i="85" s="1"/>
  <c r="H153" i="85" s="1"/>
  <c r="I138" i="85" a="1"/>
  <c r="I138" i="85" s="1"/>
  <c r="I153" i="85" s="1"/>
  <c r="G130" i="85"/>
  <c r="G145" i="85" s="1"/>
  <c r="L129" i="85"/>
  <c r="K138" i="85" a="1"/>
  <c r="K138" i="85" s="1"/>
  <c r="K153" i="85" s="1"/>
  <c r="K179" i="85" a="1"/>
  <c r="K179" i="85" s="1"/>
  <c r="K180" i="85" a="1"/>
  <c r="K180" i="85" s="1"/>
  <c r="K178" i="85" a="1"/>
  <c r="K178" i="85" s="1"/>
  <c r="K185" i="85" a="1"/>
  <c r="K185" i="85" s="1"/>
  <c r="K182" i="85" a="1"/>
  <c r="K182" i="85" s="1"/>
  <c r="K181" i="85" a="1"/>
  <c r="K181" i="85" s="1"/>
  <c r="K186" i="85" a="1"/>
  <c r="K186" i="85" s="1"/>
  <c r="K183" i="85" a="1"/>
  <c r="K183" i="85" s="1"/>
  <c r="K184" i="85" a="1"/>
  <c r="K184" i="85" s="1"/>
  <c r="G186" i="85" a="1"/>
  <c r="G186" i="85" s="1"/>
  <c r="E186" i="85" a="1"/>
  <c r="E186" i="85" s="1"/>
  <c r="F186" i="85" a="1"/>
  <c r="F186" i="85" s="1"/>
  <c r="H186" i="85" a="1"/>
  <c r="H186" i="85" s="1"/>
  <c r="D186" i="85" a="1"/>
  <c r="D186" i="85" s="1"/>
  <c r="I186" i="85" a="1"/>
  <c r="I186" i="85" s="1"/>
  <c r="J186" i="85" a="1"/>
  <c r="J186" i="85" s="1"/>
  <c r="L164" i="85"/>
  <c r="K169" i="85" a="1"/>
  <c r="K169" i="85" s="1"/>
  <c r="K165" i="85" a="1"/>
  <c r="K165" i="85" s="1"/>
  <c r="K170" i="85" a="1"/>
  <c r="K170" i="85" s="1"/>
  <c r="K167" i="85" a="1"/>
  <c r="K167" i="85" s="1"/>
  <c r="K172" i="85" a="1"/>
  <c r="K172" i="85" s="1"/>
  <c r="K166" i="85" a="1"/>
  <c r="K166" i="85" s="1"/>
  <c r="K168" i="85" a="1"/>
  <c r="K168" i="85" s="1"/>
  <c r="K171" i="85" a="1"/>
  <c r="K171" i="85" s="1"/>
  <c r="L177" i="85"/>
  <c r="C173" i="85"/>
  <c r="K173" i="85" s="1" a="1"/>
  <c r="K173" i="85" s="1"/>
  <c r="D172" i="85" a="1"/>
  <c r="D172" i="85" s="1"/>
  <c r="E172" i="85" a="1"/>
  <c r="E172" i="85" s="1"/>
  <c r="F172" i="85" a="1"/>
  <c r="F172" i="85" s="1"/>
  <c r="G172" i="85" a="1"/>
  <c r="G172" i="85" s="1"/>
  <c r="H172" i="85" a="1"/>
  <c r="H172" i="85" s="1"/>
  <c r="I172" i="85" a="1"/>
  <c r="I172" i="85" s="1"/>
  <c r="C187" i="85"/>
  <c r="C49" i="84"/>
  <c r="C48" i="84"/>
  <c r="C47" i="85"/>
  <c r="D48" i="85" s="1"/>
  <c r="C44" i="85"/>
  <c r="D15" i="84"/>
  <c r="C40" i="85"/>
  <c r="C15" i="85"/>
  <c r="C5" i="84"/>
  <c r="C28" i="84"/>
  <c r="C64" i="84"/>
  <c r="C65" i="84" s="1"/>
  <c r="C63" i="84"/>
  <c r="D52" i="84"/>
  <c r="C140" i="85" l="1"/>
  <c r="L140" i="85" s="1" a="1"/>
  <c r="L140" i="85" s="1"/>
  <c r="L155" i="85" s="1"/>
  <c r="D139" i="85" a="1"/>
  <c r="D139" i="85" s="1"/>
  <c r="D154" i="85" s="1"/>
  <c r="E139" i="85" a="1"/>
  <c r="E139" i="85" s="1"/>
  <c r="E154" i="85" s="1"/>
  <c r="F139" i="85" a="1"/>
  <c r="F139" i="85" s="1"/>
  <c r="F154" i="85" s="1"/>
  <c r="G139" i="85" a="1"/>
  <c r="G139" i="85" s="1"/>
  <c r="G154" i="85" s="1"/>
  <c r="H139" i="85" a="1"/>
  <c r="H139" i="85" s="1"/>
  <c r="H154" i="85" s="1"/>
  <c r="I139" i="85" a="1"/>
  <c r="I139" i="85" s="1"/>
  <c r="I154" i="85" s="1"/>
  <c r="J139" i="85" a="1"/>
  <c r="J139" i="85" s="1"/>
  <c r="J154" i="85" s="1"/>
  <c r="H130" i="85"/>
  <c r="H145" i="85" s="1"/>
  <c r="K139" i="85" a="1"/>
  <c r="K139" i="85" s="1"/>
  <c r="K154" i="85" s="1"/>
  <c r="M129" i="85"/>
  <c r="L139" i="85" a="1"/>
  <c r="L139" i="85" s="1"/>
  <c r="L154" i="85" s="1"/>
  <c r="G187" i="85" a="1"/>
  <c r="G187" i="85" s="1"/>
  <c r="E187" i="85" a="1"/>
  <c r="E187" i="85" s="1"/>
  <c r="F187" i="85" a="1"/>
  <c r="F187" i="85" s="1"/>
  <c r="D187" i="85" a="1"/>
  <c r="D187" i="85" s="1"/>
  <c r="H187" i="85" a="1"/>
  <c r="H187" i="85" s="1"/>
  <c r="I187" i="85" a="1"/>
  <c r="I187" i="85" s="1"/>
  <c r="J187" i="85" a="1"/>
  <c r="J187" i="85" s="1"/>
  <c r="L178" i="85" a="1"/>
  <c r="L178" i="85" s="1"/>
  <c r="L184" i="85" a="1"/>
  <c r="L184" i="85" s="1"/>
  <c r="L179" i="85" a="1"/>
  <c r="L179" i="85" s="1"/>
  <c r="L185" i="85" a="1"/>
  <c r="L185" i="85" s="1"/>
  <c r="L187" i="85" a="1"/>
  <c r="L187" i="85" s="1"/>
  <c r="L182" i="85" a="1"/>
  <c r="L182" i="85" s="1"/>
  <c r="L181" i="85" a="1"/>
  <c r="L181" i="85" s="1"/>
  <c r="L186" i="85" a="1"/>
  <c r="L186" i="85" s="1"/>
  <c r="L183" i="85" a="1"/>
  <c r="L183" i="85" s="1"/>
  <c r="L180" i="85" a="1"/>
  <c r="L180" i="85" s="1"/>
  <c r="K187" i="85" a="1"/>
  <c r="K187" i="85" s="1"/>
  <c r="M177" i="85"/>
  <c r="C174" i="85"/>
  <c r="E173" i="85" a="1"/>
  <c r="E173" i="85" s="1"/>
  <c r="D173" i="85" a="1"/>
  <c r="D173" i="85" s="1"/>
  <c r="F173" i="85" a="1"/>
  <c r="F173" i="85" s="1"/>
  <c r="G173" i="85" a="1"/>
  <c r="G173" i="85" s="1"/>
  <c r="H173" i="85" a="1"/>
  <c r="H173" i="85" s="1"/>
  <c r="I173" i="85" a="1"/>
  <c r="I173" i="85" s="1"/>
  <c r="J173" i="85" a="1"/>
  <c r="J173" i="85" s="1"/>
  <c r="M164" i="85"/>
  <c r="L170" i="85" a="1"/>
  <c r="L170" i="85" s="1"/>
  <c r="L166" i="85" a="1"/>
  <c r="L166" i="85" s="1"/>
  <c r="L167" i="85" a="1"/>
  <c r="L167" i="85" s="1"/>
  <c r="L172" i="85" a="1"/>
  <c r="L172" i="85" s="1"/>
  <c r="L169" i="85" a="1"/>
  <c r="L169" i="85" s="1"/>
  <c r="L171" i="85" a="1"/>
  <c r="L171" i="85" s="1"/>
  <c r="L173" i="85" a="1"/>
  <c r="L173" i="85" s="1"/>
  <c r="L165" i="85" a="1"/>
  <c r="L165" i="85" s="1"/>
  <c r="L168" i="85" a="1"/>
  <c r="L168" i="85" s="1"/>
  <c r="C188" i="85"/>
  <c r="C54" i="85"/>
  <c r="C22" i="85" s="1"/>
  <c r="I130" i="85" l="1"/>
  <c r="I145" i="85" s="1"/>
  <c r="C141" i="85"/>
  <c r="D140" i="85" a="1"/>
  <c r="D140" i="85" s="1"/>
  <c r="D155" i="85" s="1"/>
  <c r="E140" i="85" a="1"/>
  <c r="E140" i="85" s="1"/>
  <c r="E155" i="85" s="1"/>
  <c r="F140" i="85" a="1"/>
  <c r="F140" i="85" s="1"/>
  <c r="F155" i="85" s="1"/>
  <c r="G140" i="85" a="1"/>
  <c r="G140" i="85" s="1"/>
  <c r="G155" i="85" s="1"/>
  <c r="H140" i="85" a="1"/>
  <c r="H140" i="85" s="1"/>
  <c r="H155" i="85" s="1"/>
  <c r="I140" i="85" a="1"/>
  <c r="I140" i="85" s="1"/>
  <c r="I155" i="85" s="1"/>
  <c r="J140" i="85" a="1"/>
  <c r="J140" i="85" s="1"/>
  <c r="J155" i="85" s="1"/>
  <c r="K140" i="85" a="1"/>
  <c r="K140" i="85" s="1"/>
  <c r="K155" i="85" s="1"/>
  <c r="N129" i="85"/>
  <c r="M140" i="85" a="1"/>
  <c r="M140" i="85" s="1"/>
  <c r="M155" i="85" s="1"/>
  <c r="M141" i="85" a="1"/>
  <c r="M141" i="85" s="1"/>
  <c r="M156" i="85" s="1"/>
  <c r="G188" i="85" a="1"/>
  <c r="G188" i="85" s="1"/>
  <c r="F188" i="85" a="1"/>
  <c r="F188" i="85" s="1"/>
  <c r="E188" i="85" a="1"/>
  <c r="E188" i="85" s="1"/>
  <c r="D188" i="85" a="1"/>
  <c r="D188" i="85" s="1"/>
  <c r="H188" i="85" a="1"/>
  <c r="H188" i="85" s="1"/>
  <c r="I188" i="85" a="1"/>
  <c r="I188" i="85" s="1"/>
  <c r="J188" i="85" a="1"/>
  <c r="J188" i="85" s="1"/>
  <c r="K188" i="85" a="1"/>
  <c r="K188" i="85" s="1"/>
  <c r="L188" i="85" a="1"/>
  <c r="L188" i="85" s="1"/>
  <c r="M181" i="85" a="1"/>
  <c r="M181" i="85" s="1"/>
  <c r="M182" i="85" a="1"/>
  <c r="M182" i="85" s="1"/>
  <c r="M184" i="85" a="1"/>
  <c r="M184" i="85" s="1"/>
  <c r="M183" i="85" a="1"/>
  <c r="M183" i="85" s="1"/>
  <c r="M187" i="85" a="1"/>
  <c r="M187" i="85" s="1"/>
  <c r="M178" i="85" a="1"/>
  <c r="M178" i="85" s="1"/>
  <c r="M179" i="85" a="1"/>
  <c r="M179" i="85" s="1"/>
  <c r="M186" i="85" a="1"/>
  <c r="M186" i="85" s="1"/>
  <c r="M188" i="85" a="1"/>
  <c r="M188" i="85" s="1"/>
  <c r="M180" i="85" a="1"/>
  <c r="M180" i="85" s="1"/>
  <c r="M185" i="85" a="1"/>
  <c r="M185" i="85" s="1"/>
  <c r="N164" i="85"/>
  <c r="M167" i="85" a="1"/>
  <c r="M167" i="85" s="1"/>
  <c r="M169" i="85" a="1"/>
  <c r="M169" i="85" s="1"/>
  <c r="M171" i="85" a="1"/>
  <c r="M171" i="85" s="1"/>
  <c r="M172" i="85" a="1"/>
  <c r="M172" i="85" s="1"/>
  <c r="M174" i="85" a="1"/>
  <c r="M174" i="85" s="1"/>
  <c r="M166" i="85" a="1"/>
  <c r="M166" i="85" s="1"/>
  <c r="M170" i="85" a="1"/>
  <c r="M170" i="85" s="1"/>
  <c r="M173" i="85" a="1"/>
  <c r="M173" i="85" s="1"/>
  <c r="M165" i="85" a="1"/>
  <c r="M165" i="85" s="1"/>
  <c r="M168" i="85" a="1"/>
  <c r="M168" i="85" s="1"/>
  <c r="C175" i="85"/>
  <c r="E174" i="85" a="1"/>
  <c r="E174" i="85" s="1"/>
  <c r="D174" i="85" a="1"/>
  <c r="D174" i="85" s="1"/>
  <c r="F174" i="85" a="1"/>
  <c r="F174" i="85" s="1"/>
  <c r="G174" i="85" a="1"/>
  <c r="G174" i="85" s="1"/>
  <c r="H174" i="85" a="1"/>
  <c r="H174" i="85" s="1"/>
  <c r="I174" i="85" a="1"/>
  <c r="I174" i="85" s="1"/>
  <c r="J174" i="85" a="1"/>
  <c r="J174" i="85" s="1"/>
  <c r="K174" i="85" a="1"/>
  <c r="K174" i="85" s="1"/>
  <c r="L174" i="85" a="1"/>
  <c r="L174" i="85" s="1"/>
  <c r="N177" i="85"/>
  <c r="D55" i="85"/>
  <c r="N141" i="85" l="1" a="1"/>
  <c r="N141" i="85" s="1"/>
  <c r="N156" i="85" s="1"/>
  <c r="O129" i="85"/>
  <c r="J130" i="85"/>
  <c r="J145" i="85" s="1"/>
  <c r="D141" i="85" a="1"/>
  <c r="D141" i="85" s="1"/>
  <c r="D156" i="85" s="1"/>
  <c r="E141" i="85" a="1"/>
  <c r="E141" i="85" s="1"/>
  <c r="E156" i="85" s="1"/>
  <c r="F141" i="85" a="1"/>
  <c r="F141" i="85" s="1"/>
  <c r="F156" i="85" s="1"/>
  <c r="G141" i="85" a="1"/>
  <c r="G141" i="85" s="1"/>
  <c r="G156" i="85" s="1"/>
  <c r="H141" i="85" a="1"/>
  <c r="H141" i="85" s="1"/>
  <c r="H156" i="85" s="1"/>
  <c r="I141" i="85" a="1"/>
  <c r="I141" i="85" s="1"/>
  <c r="I156" i="85" s="1"/>
  <c r="J141" i="85" a="1"/>
  <c r="J141" i="85" s="1"/>
  <c r="J156" i="85" s="1"/>
  <c r="K141" i="85" a="1"/>
  <c r="K141" i="85" s="1"/>
  <c r="K156" i="85" s="1"/>
  <c r="L141" i="85" a="1"/>
  <c r="L141" i="85" s="1"/>
  <c r="L156" i="85" s="1"/>
  <c r="N184" i="85" a="1"/>
  <c r="N184" i="85" s="1"/>
  <c r="N183" i="85" a="1"/>
  <c r="N183" i="85" s="1"/>
  <c r="N179" i="85" a="1"/>
  <c r="N179" i="85" s="1"/>
  <c r="N185" i="85" a="1"/>
  <c r="N185" i="85" s="1"/>
  <c r="N180" i="85" a="1"/>
  <c r="N180" i="85" s="1"/>
  <c r="N178" i="85" a="1"/>
  <c r="N178" i="85" s="1"/>
  <c r="N182" i="85" a="1"/>
  <c r="N182" i="85" s="1"/>
  <c r="N186" i="85" a="1"/>
  <c r="N186" i="85" s="1"/>
  <c r="N188" i="85" a="1"/>
  <c r="N188" i="85" s="1"/>
  <c r="N181" i="85" a="1"/>
  <c r="N181" i="85" s="1"/>
  <c r="N187" i="85" a="1"/>
  <c r="N187" i="85" s="1"/>
  <c r="D175" i="85" a="1"/>
  <c r="D175" i="85" s="1"/>
  <c r="E175" i="85" a="1"/>
  <c r="E175" i="85" s="1"/>
  <c r="F175" i="85" a="1"/>
  <c r="F175" i="85" s="1"/>
  <c r="G175" i="85" a="1"/>
  <c r="G175" i="85" s="1"/>
  <c r="H175" i="85" a="1"/>
  <c r="H175" i="85" s="1"/>
  <c r="I175" i="85" a="1"/>
  <c r="I175" i="85" s="1"/>
  <c r="J175" i="85" a="1"/>
  <c r="J175" i="85" s="1"/>
  <c r="K175" i="85" a="1"/>
  <c r="K175" i="85" s="1"/>
  <c r="L175" i="85" a="1"/>
  <c r="L175" i="85" s="1"/>
  <c r="N172" i="85" a="1"/>
  <c r="N172" i="85" s="1"/>
  <c r="N174" i="85" a="1"/>
  <c r="N174" i="85" s="1"/>
  <c r="N166" i="85" a="1"/>
  <c r="N166" i="85" s="1"/>
  <c r="N171" i="85" a="1"/>
  <c r="N171" i="85" s="1"/>
  <c r="N169" i="85" a="1"/>
  <c r="N169" i="85" s="1"/>
  <c r="N168" i="85" a="1"/>
  <c r="N168" i="85" s="1"/>
  <c r="N173" i="85" a="1"/>
  <c r="N173" i="85" s="1"/>
  <c r="N175" i="85" a="1"/>
  <c r="N175" i="85" s="1"/>
  <c r="N165" i="85" a="1"/>
  <c r="N165" i="85" s="1"/>
  <c r="N167" i="85" a="1"/>
  <c r="N167" i="85" s="1"/>
  <c r="N170" i="85" a="1"/>
  <c r="N170" i="85" s="1"/>
  <c r="M175" i="85" a="1"/>
  <c r="M175" i="85" s="1"/>
  <c r="E94" i="85"/>
  <c r="E193" i="85" s="1"/>
  <c r="F94" i="85"/>
  <c r="F193" i="85" s="1"/>
  <c r="G94" i="85"/>
  <c r="G193" i="85" s="1"/>
  <c r="H94" i="85"/>
  <c r="H193" i="85" s="1"/>
  <c r="I94" i="85"/>
  <c r="I193" i="85" s="1"/>
  <c r="J94" i="85"/>
  <c r="J193" i="85" s="1"/>
  <c r="K94" i="85"/>
  <c r="K193" i="85" s="1"/>
  <c r="L94" i="85"/>
  <c r="L193" i="85" s="1"/>
  <c r="M94" i="85"/>
  <c r="M193" i="85" s="1"/>
  <c r="N94" i="85"/>
  <c r="N193" i="85" s="1"/>
  <c r="D94" i="85"/>
  <c r="D193" i="85" s="1"/>
  <c r="E93" i="85"/>
  <c r="E192" i="85" s="1"/>
  <c r="F93" i="85"/>
  <c r="F192" i="85" s="1"/>
  <c r="G93" i="85"/>
  <c r="G192" i="85" s="1"/>
  <c r="H93" i="85"/>
  <c r="H192" i="85" s="1"/>
  <c r="I93" i="85"/>
  <c r="I192" i="85" s="1"/>
  <c r="J93" i="85"/>
  <c r="J192" i="85" s="1"/>
  <c r="K93" i="85"/>
  <c r="K192" i="85" s="1"/>
  <c r="L93" i="85"/>
  <c r="L192" i="85" s="1"/>
  <c r="M93" i="85"/>
  <c r="M192" i="85" s="1"/>
  <c r="N93" i="85"/>
  <c r="N192" i="85" s="1"/>
  <c r="D93" i="85"/>
  <c r="D192" i="85" s="1"/>
  <c r="E65" i="85"/>
  <c r="E70" i="85" s="1"/>
  <c r="F65" i="85"/>
  <c r="G65" i="85"/>
  <c r="H65" i="85"/>
  <c r="I65" i="85"/>
  <c r="I70" i="85" s="1"/>
  <c r="J65" i="85"/>
  <c r="K65" i="85"/>
  <c r="L65" i="85"/>
  <c r="M65" i="85"/>
  <c r="M70" i="85" s="1"/>
  <c r="N65" i="85"/>
  <c r="D65" i="85"/>
  <c r="E49" i="85"/>
  <c r="E79" i="85" s="1"/>
  <c r="F49" i="85"/>
  <c r="F79" i="85" s="1"/>
  <c r="G49" i="85"/>
  <c r="H49" i="85"/>
  <c r="H79" i="85" s="1"/>
  <c r="I49" i="85"/>
  <c r="I79" i="85" s="1"/>
  <c r="J49" i="85"/>
  <c r="J79" i="85" s="1"/>
  <c r="K49" i="85"/>
  <c r="L49" i="85"/>
  <c r="L79" i="85" s="1"/>
  <c r="M49" i="85"/>
  <c r="M79" i="85" s="1"/>
  <c r="N49" i="85"/>
  <c r="N79" i="85" s="1"/>
  <c r="D49" i="85"/>
  <c r="H44" i="85"/>
  <c r="J44" i="85"/>
  <c r="K44" i="85"/>
  <c r="L44" i="85"/>
  <c r="M44" i="85"/>
  <c r="N44" i="85"/>
  <c r="D44" i="85"/>
  <c r="D43" i="85"/>
  <c r="E42" i="85"/>
  <c r="F42" i="85"/>
  <c r="G42" i="85"/>
  <c r="H42" i="85"/>
  <c r="I42" i="85"/>
  <c r="J42" i="85"/>
  <c r="K42" i="85"/>
  <c r="L42" i="85"/>
  <c r="M42" i="85"/>
  <c r="N42" i="85"/>
  <c r="D42" i="85"/>
  <c r="E28" i="85"/>
  <c r="F28" i="85"/>
  <c r="G28" i="85"/>
  <c r="H28" i="85"/>
  <c r="I28" i="85"/>
  <c r="J28" i="85"/>
  <c r="K28" i="85"/>
  <c r="L28" i="85"/>
  <c r="M28" i="85"/>
  <c r="N28" i="85"/>
  <c r="D28" i="85"/>
  <c r="E17" i="85"/>
  <c r="E123" i="85" s="1"/>
  <c r="F17" i="85"/>
  <c r="F123" i="85" s="1"/>
  <c r="G17" i="85"/>
  <c r="G123" i="85" s="1"/>
  <c r="H17" i="85"/>
  <c r="H123" i="85" s="1"/>
  <c r="I17" i="85"/>
  <c r="I123" i="85" s="1"/>
  <c r="J17" i="85"/>
  <c r="J123" i="85" s="1"/>
  <c r="K17" i="85"/>
  <c r="K123" i="85" s="1"/>
  <c r="L17" i="85"/>
  <c r="L123" i="85" s="1"/>
  <c r="M17" i="85"/>
  <c r="M123" i="85" s="1"/>
  <c r="N17" i="85"/>
  <c r="N123" i="85" s="1"/>
  <c r="D78" i="85"/>
  <c r="K130" i="85" l="1"/>
  <c r="K145" i="85" s="1"/>
  <c r="D56" i="85"/>
  <c r="D26" i="85" s="1"/>
  <c r="D67" i="85"/>
  <c r="E64" i="85" s="1"/>
  <c r="E67" i="85" s="1"/>
  <c r="F64" i="85" s="1"/>
  <c r="F67" i="85" s="1"/>
  <c r="G64" i="85" s="1"/>
  <c r="G67" i="85" s="1"/>
  <c r="H64" i="85" s="1"/>
  <c r="H67" i="85" s="1"/>
  <c r="I64" i="85" s="1"/>
  <c r="I67" i="85" s="1"/>
  <c r="J64" i="85" s="1"/>
  <c r="J67" i="85" s="1"/>
  <c r="K64" i="85" s="1"/>
  <c r="K67" i="85" s="1"/>
  <c r="L64" i="85" s="1"/>
  <c r="L67" i="85" s="1"/>
  <c r="M64" i="85" s="1"/>
  <c r="M67" i="85" s="1"/>
  <c r="N64" i="85" s="1"/>
  <c r="N67" i="85" s="1"/>
  <c r="D70" i="85"/>
  <c r="J70" i="85"/>
  <c r="D80" i="85"/>
  <c r="D86" i="85" s="1"/>
  <c r="D95" i="85" s="1"/>
  <c r="D194" i="85" s="1"/>
  <c r="F70" i="85"/>
  <c r="N70" i="85"/>
  <c r="D50" i="85"/>
  <c r="L70" i="85"/>
  <c r="H70" i="85"/>
  <c r="D84" i="85"/>
  <c r="D79" i="85"/>
  <c r="G70" i="85"/>
  <c r="K70" i="85"/>
  <c r="G79" i="85"/>
  <c r="K79" i="85"/>
  <c r="L130" i="85" l="1"/>
  <c r="L145" i="85" s="1"/>
  <c r="D51" i="85"/>
  <c r="D59" i="85" s="1"/>
  <c r="D58" i="85" s="1"/>
  <c r="D57" i="85"/>
  <c r="N74" i="85"/>
  <c r="D85" i="85"/>
  <c r="D81" i="85"/>
  <c r="M130" i="85" l="1"/>
  <c r="M145" i="85" s="1"/>
  <c r="E48" i="85"/>
  <c r="E50" i="85" s="1"/>
  <c r="D60" i="85"/>
  <c r="D27" i="85"/>
  <c r="D124" i="85" s="1"/>
  <c r="D158" i="85" s="1"/>
  <c r="E78" i="85"/>
  <c r="E80" i="85" s="1"/>
  <c r="D87" i="85"/>
  <c r="D88" i="85" s="1"/>
  <c r="E84" i="85" s="1"/>
  <c r="N130" i="85" l="1"/>
  <c r="N145" i="85" s="1"/>
  <c r="E51" i="85"/>
  <c r="E59" i="85" s="1"/>
  <c r="O130" i="85" l="1"/>
  <c r="F48" i="85"/>
  <c r="F50" i="85" s="1"/>
  <c r="E81" i="85"/>
  <c r="F51" i="85" l="1"/>
  <c r="F78" i="85"/>
  <c r="F80" i="85" s="1"/>
  <c r="F81" i="85" l="1"/>
  <c r="F59" i="85"/>
  <c r="G48" i="85"/>
  <c r="G50" i="85" s="1"/>
  <c r="G51" i="85" l="1"/>
  <c r="G78" i="85"/>
  <c r="G80" i="85" s="1"/>
  <c r="G59" i="85" l="1"/>
  <c r="H48" i="85"/>
  <c r="H50" i="85" s="1"/>
  <c r="H51" i="85" l="1"/>
  <c r="G81" i="85"/>
  <c r="H78" i="85" l="1"/>
  <c r="H80" i="85" s="1"/>
  <c r="H59" i="85"/>
  <c r="I48" i="85"/>
  <c r="I50" i="85" s="1"/>
  <c r="I51" i="85" l="1"/>
  <c r="H81" i="85" l="1"/>
  <c r="I78" i="85" s="1"/>
  <c r="I80" i="85" s="1"/>
  <c r="I59" i="85"/>
  <c r="J48" i="85"/>
  <c r="J50" i="85" s="1"/>
  <c r="J51" i="85" l="1"/>
  <c r="J59" i="85" l="1"/>
  <c r="K48" i="85"/>
  <c r="K50" i="85" s="1"/>
  <c r="I81" i="85"/>
  <c r="J78" i="85" l="1"/>
  <c r="J80" i="85" s="1"/>
  <c r="K51" i="85"/>
  <c r="K59" i="85" l="1"/>
  <c r="L48" i="85"/>
  <c r="L50" i="85" s="1"/>
  <c r="J81" i="85" l="1"/>
  <c r="K78" i="85" s="1"/>
  <c r="K80" i="85" s="1"/>
  <c r="L51" i="85"/>
  <c r="L59" i="85" l="1"/>
  <c r="M48" i="85"/>
  <c r="M50" i="85" s="1"/>
  <c r="M51" i="85" l="1"/>
  <c r="K81" i="85"/>
  <c r="M59" i="85" l="1"/>
  <c r="N48" i="85"/>
  <c r="N50" i="85" s="1"/>
  <c r="L78" i="85"/>
  <c r="L80" i="85" s="1"/>
  <c r="L81" i="85" l="1"/>
  <c r="M78" i="85" s="1"/>
  <c r="M80" i="85" s="1"/>
  <c r="N51" i="85"/>
  <c r="N59" i="85" l="1"/>
  <c r="N8" i="85" s="1"/>
  <c r="M81" i="85" l="1"/>
  <c r="N78" i="85" l="1"/>
  <c r="N80" i="85" s="1"/>
  <c r="N81" i="85" l="1"/>
  <c r="N72" i="84" l="1"/>
  <c r="N73" i="84" s="1"/>
  <c r="M72" i="84"/>
  <c r="M73" i="84" s="1"/>
  <c r="L72" i="84"/>
  <c r="L73" i="84" s="1"/>
  <c r="K72" i="84"/>
  <c r="K73" i="84" s="1"/>
  <c r="J72" i="84"/>
  <c r="J73" i="84" s="1"/>
  <c r="I72" i="84"/>
  <c r="I73" i="84" s="1"/>
  <c r="H72" i="84"/>
  <c r="H73" i="84" s="1"/>
  <c r="G72" i="84"/>
  <c r="G73" i="84" s="1"/>
  <c r="F72" i="84"/>
  <c r="F73" i="84" s="1"/>
  <c r="E72" i="84"/>
  <c r="E73" i="84" s="1"/>
  <c r="D72" i="84"/>
  <c r="D73" i="84" s="1"/>
  <c r="N70" i="84"/>
  <c r="E70" i="84"/>
  <c r="D70" i="84"/>
  <c r="E52" i="84"/>
  <c r="E55" i="84" s="1"/>
  <c r="E56" i="84" s="1"/>
  <c r="E57" i="84" s="1"/>
  <c r="E58" i="84" s="1"/>
  <c r="D55" i="84"/>
  <c r="D56" i="84" s="1"/>
  <c r="D57" i="84" s="1"/>
  <c r="D58" i="84" s="1"/>
  <c r="F51" i="84"/>
  <c r="F70" i="84" s="1"/>
  <c r="N40" i="84"/>
  <c r="N43" i="84" s="1"/>
  <c r="M40" i="84"/>
  <c r="M43" i="84" s="1"/>
  <c r="L40" i="84"/>
  <c r="L43" i="84" s="1"/>
  <c r="K40" i="84"/>
  <c r="K43" i="84" s="1"/>
  <c r="J40" i="84"/>
  <c r="J43" i="84" s="1"/>
  <c r="I40" i="84"/>
  <c r="I43" i="84" s="1"/>
  <c r="H40" i="84"/>
  <c r="H43" i="84" s="1"/>
  <c r="G40" i="84"/>
  <c r="G43" i="84" s="1"/>
  <c r="F40" i="84"/>
  <c r="F43" i="84" s="1"/>
  <c r="E40" i="84"/>
  <c r="E43" i="84" s="1"/>
  <c r="D40" i="84"/>
  <c r="D43" i="84" s="1"/>
  <c r="N34" i="84"/>
  <c r="N37" i="84" s="1"/>
  <c r="N49" i="84" s="1"/>
  <c r="M34" i="84"/>
  <c r="M37" i="84" s="1"/>
  <c r="M49" i="84" s="1"/>
  <c r="L34" i="84"/>
  <c r="L37" i="84" s="1"/>
  <c r="L49" i="84" s="1"/>
  <c r="K34" i="84"/>
  <c r="K37" i="84" s="1"/>
  <c r="K49" i="84" s="1"/>
  <c r="J34" i="84"/>
  <c r="J37" i="84" s="1"/>
  <c r="I34" i="84"/>
  <c r="I37" i="84" s="1"/>
  <c r="H34" i="84"/>
  <c r="H37" i="84" s="1"/>
  <c r="G34" i="84"/>
  <c r="G37" i="84" s="1"/>
  <c r="F34" i="84"/>
  <c r="F37" i="84" s="1"/>
  <c r="F49" i="84" s="1"/>
  <c r="E34" i="84"/>
  <c r="E37" i="84" s="1"/>
  <c r="E49" i="84" s="1"/>
  <c r="D34" i="84"/>
  <c r="D37" i="84" s="1"/>
  <c r="D49" i="84" s="1"/>
  <c r="N28" i="84"/>
  <c r="F28" i="84"/>
  <c r="E28" i="84"/>
  <c r="D28" i="84"/>
  <c r="N15" i="84"/>
  <c r="N43" i="85" s="1"/>
  <c r="N57" i="85" s="1"/>
  <c r="M15" i="84"/>
  <c r="M43" i="85" s="1"/>
  <c r="M57" i="85" s="1"/>
  <c r="L15" i="84"/>
  <c r="L43" i="85" s="1"/>
  <c r="L57" i="85" s="1"/>
  <c r="K15" i="84"/>
  <c r="K43" i="85" s="1"/>
  <c r="K57" i="85" s="1"/>
  <c r="J15" i="84"/>
  <c r="J43" i="85" s="1"/>
  <c r="J57" i="85" s="1"/>
  <c r="I15" i="84"/>
  <c r="I43" i="85" s="1"/>
  <c r="I57" i="85" s="1"/>
  <c r="H15" i="84"/>
  <c r="H43" i="85" s="1"/>
  <c r="H57" i="85" s="1"/>
  <c r="G15" i="84"/>
  <c r="G43" i="85" s="1"/>
  <c r="G57" i="85" s="1"/>
  <c r="F15" i="84"/>
  <c r="F43" i="85" s="1"/>
  <c r="F57" i="85" s="1"/>
  <c r="E15" i="84"/>
  <c r="E43" i="85" s="1"/>
  <c r="E57" i="85" s="1"/>
  <c r="N5" i="84"/>
  <c r="E5" i="84"/>
  <c r="D5" i="84"/>
  <c r="J49" i="84" l="1"/>
  <c r="G49" i="84"/>
  <c r="H49" i="84"/>
  <c r="I49" i="84"/>
  <c r="F5" i="84"/>
  <c r="G51" i="84"/>
  <c r="G52" i="84" s="1"/>
  <c r="G55" i="84" s="1"/>
  <c r="F52" i="84"/>
  <c r="F55" i="84" s="1"/>
  <c r="F56" i="84" s="1"/>
  <c r="F57" i="84" s="1"/>
  <c r="F58" i="84" s="1"/>
  <c r="E85" i="85"/>
  <c r="E56" i="85"/>
  <c r="E26" i="85" s="1"/>
  <c r="E55" i="85"/>
  <c r="E86" i="85"/>
  <c r="E95" i="85" s="1"/>
  <c r="E194" i="85" s="1"/>
  <c r="E87" i="85"/>
  <c r="F56" i="85"/>
  <c r="F26" i="85" s="1"/>
  <c r="F85" i="85"/>
  <c r="F55" i="85"/>
  <c r="F86" i="85"/>
  <c r="F95" i="85" s="1"/>
  <c r="F194" i="85" s="1"/>
  <c r="F87" i="85"/>
  <c r="J56" i="85"/>
  <c r="J26" i="85" s="1"/>
  <c r="J85" i="85"/>
  <c r="J55" i="85"/>
  <c r="J86" i="85"/>
  <c r="J95" i="85" s="1"/>
  <c r="J194" i="85" s="1"/>
  <c r="J87" i="85"/>
  <c r="N56" i="85"/>
  <c r="N26" i="85" s="1"/>
  <c r="N85" i="85"/>
  <c r="N55" i="85"/>
  <c r="N86" i="85"/>
  <c r="N95" i="85" s="1"/>
  <c r="N194" i="85" s="1"/>
  <c r="N87" i="85"/>
  <c r="H51" i="84"/>
  <c r="H70" i="84" s="1"/>
  <c r="I85" i="85"/>
  <c r="I56" i="85"/>
  <c r="I26" i="85" s="1"/>
  <c r="I55" i="85"/>
  <c r="I58" i="85" s="1"/>
  <c r="I86" i="85"/>
  <c r="I95" i="85" s="1"/>
  <c r="I194" i="85" s="1"/>
  <c r="I87" i="85"/>
  <c r="G56" i="85"/>
  <c r="G26" i="85" s="1"/>
  <c r="G85" i="85"/>
  <c r="G55" i="85"/>
  <c r="G86" i="85"/>
  <c r="G95" i="85" s="1"/>
  <c r="G194" i="85" s="1"/>
  <c r="G87" i="85"/>
  <c r="K56" i="85"/>
  <c r="K26" i="85" s="1"/>
  <c r="K85" i="85"/>
  <c r="K55" i="85"/>
  <c r="K86" i="85"/>
  <c r="K95" i="85" s="1"/>
  <c r="K194" i="85" s="1"/>
  <c r="K87" i="85"/>
  <c r="M56" i="85"/>
  <c r="M26" i="85" s="1"/>
  <c r="M85" i="85"/>
  <c r="M55" i="85"/>
  <c r="M86" i="85"/>
  <c r="M95" i="85" s="1"/>
  <c r="M194" i="85" s="1"/>
  <c r="M87" i="85"/>
  <c r="H85" i="85"/>
  <c r="H56" i="85"/>
  <c r="H26" i="85" s="1"/>
  <c r="H55" i="85"/>
  <c r="H86" i="85"/>
  <c r="H95" i="85" s="1"/>
  <c r="H194" i="85" s="1"/>
  <c r="H87" i="85"/>
  <c r="L56" i="85"/>
  <c r="L26" i="85" s="1"/>
  <c r="L85" i="85"/>
  <c r="L55" i="85"/>
  <c r="L86" i="85"/>
  <c r="L95" i="85" s="1"/>
  <c r="L194" i="85" s="1"/>
  <c r="L87" i="85"/>
  <c r="M48" i="84"/>
  <c r="M75" i="84" s="1"/>
  <c r="M18" i="85" s="1"/>
  <c r="M19" i="85" s="1"/>
  <c r="N48" i="84"/>
  <c r="L48" i="84"/>
  <c r="L75" i="84" s="1"/>
  <c r="L18" i="85" s="1"/>
  <c r="L19" i="85" s="1"/>
  <c r="K48" i="84"/>
  <c r="J48" i="84"/>
  <c r="G48" i="84"/>
  <c r="D48" i="84"/>
  <c r="I48" i="84"/>
  <c r="I75" i="84" s="1"/>
  <c r="I18" i="85" s="1"/>
  <c r="I19" i="85" s="1"/>
  <c r="F48" i="84"/>
  <c r="E48" i="84"/>
  <c r="E75" i="84" s="1"/>
  <c r="E18" i="85" s="1"/>
  <c r="E19" i="85" s="1"/>
  <c r="H48" i="84"/>
  <c r="G5" i="84"/>
  <c r="G70" i="84"/>
  <c r="H5" i="84"/>
  <c r="G56" i="84"/>
  <c r="G57" i="84" s="1"/>
  <c r="G58" i="84" s="1"/>
  <c r="L58" i="85" l="1"/>
  <c r="L27" i="85" s="1"/>
  <c r="L124" i="85" s="1"/>
  <c r="J58" i="85"/>
  <c r="J27" i="85" s="1"/>
  <c r="J124" i="85" s="1"/>
  <c r="H58" i="85"/>
  <c r="H27" i="85" s="1"/>
  <c r="H124" i="85" s="1"/>
  <c r="F58" i="85"/>
  <c r="F27" i="85" s="1"/>
  <c r="F124" i="85" s="1"/>
  <c r="G58" i="85"/>
  <c r="G60" i="85" s="1"/>
  <c r="M58" i="85"/>
  <c r="M27" i="85" s="1"/>
  <c r="M124" i="85" s="1"/>
  <c r="K58" i="85"/>
  <c r="K27" i="85" s="1"/>
  <c r="K124" i="85" s="1"/>
  <c r="N58" i="85"/>
  <c r="N27" i="85" s="1"/>
  <c r="N124" i="85" s="1"/>
  <c r="I27" i="85"/>
  <c r="I124" i="85" s="1"/>
  <c r="I60" i="85"/>
  <c r="D60" i="84"/>
  <c r="D31" i="85" s="1"/>
  <c r="C67" i="84"/>
  <c r="C23" i="85" s="1"/>
  <c r="C24" i="85" s="1"/>
  <c r="C35" i="85" s="1"/>
  <c r="G28" i="84"/>
  <c r="H52" i="84"/>
  <c r="H55" i="84" s="1"/>
  <c r="H56" i="84" s="1"/>
  <c r="H57" i="84" s="1"/>
  <c r="H58" i="84" s="1"/>
  <c r="E58" i="85"/>
  <c r="E60" i="85" s="1"/>
  <c r="G75" i="84"/>
  <c r="G18" i="85" s="1"/>
  <c r="G19" i="85" s="1"/>
  <c r="E88" i="85"/>
  <c r="F84" i="85" s="1"/>
  <c r="F88" i="85" s="1"/>
  <c r="G84" i="85" s="1"/>
  <c r="G88" i="85" s="1"/>
  <c r="H84" i="85" s="1"/>
  <c r="H88" i="85" s="1"/>
  <c r="I84" i="85" s="1"/>
  <c r="I88" i="85" s="1"/>
  <c r="J84" i="85" s="1"/>
  <c r="J88" i="85" s="1"/>
  <c r="K84" i="85" s="1"/>
  <c r="K88" i="85" s="1"/>
  <c r="L84" i="85" s="1"/>
  <c r="L88" i="85" s="1"/>
  <c r="M84" i="85" s="1"/>
  <c r="M88" i="85" s="1"/>
  <c r="N84" i="85" s="1"/>
  <c r="N88" i="85" s="1"/>
  <c r="D75" i="84"/>
  <c r="D18" i="85" s="1"/>
  <c r="D19" i="85" s="1"/>
  <c r="F60" i="84"/>
  <c r="I51" i="84"/>
  <c r="H28" i="84"/>
  <c r="N75" i="84"/>
  <c r="N18" i="85" s="1"/>
  <c r="N19" i="85" s="1"/>
  <c r="K75" i="84"/>
  <c r="K18" i="85" s="1"/>
  <c r="K19" i="85" s="1"/>
  <c r="J75" i="84"/>
  <c r="J18" i="85" s="1"/>
  <c r="J19" i="85" s="1"/>
  <c r="F75" i="84"/>
  <c r="F18" i="85" s="1"/>
  <c r="F19" i="85" s="1"/>
  <c r="E60" i="84"/>
  <c r="H60" i="84"/>
  <c r="H75" i="84"/>
  <c r="H18" i="85" s="1"/>
  <c r="H19" i="85" s="1"/>
  <c r="G60" i="84"/>
  <c r="D71" i="85" l="1"/>
  <c r="D72" i="85" s="1"/>
  <c r="G27" i="85"/>
  <c r="G124" i="85" s="1"/>
  <c r="F60" i="85"/>
  <c r="K60" i="85"/>
  <c r="J60" i="85"/>
  <c r="H60" i="85"/>
  <c r="L60" i="85"/>
  <c r="N60" i="85"/>
  <c r="M60" i="85"/>
  <c r="E27" i="85"/>
  <c r="E124" i="85" s="1"/>
  <c r="I52" i="84"/>
  <c r="I55" i="84" s="1"/>
  <c r="I56" i="84" s="1"/>
  <c r="I57" i="84" s="1"/>
  <c r="I58" i="84" s="1"/>
  <c r="I60" i="84" s="1"/>
  <c r="I5" i="84"/>
  <c r="I28" i="84"/>
  <c r="J51" i="84"/>
  <c r="I70" i="84"/>
  <c r="G71" i="85"/>
  <c r="G72" i="85" s="1"/>
  <c r="G31" i="85"/>
  <c r="H31" i="85"/>
  <c r="H71" i="85"/>
  <c r="H72" i="85" s="1"/>
  <c r="E71" i="85"/>
  <c r="E72" i="85" s="1"/>
  <c r="E31" i="85"/>
  <c r="F71" i="85"/>
  <c r="F72" i="85" s="1"/>
  <c r="F31" i="85"/>
  <c r="I71" i="85" l="1"/>
  <c r="I72" i="85" s="1"/>
  <c r="I31" i="85"/>
  <c r="J28" i="84"/>
  <c r="J5" i="84"/>
  <c r="J70" i="84"/>
  <c r="K51" i="84"/>
  <c r="J52" i="84"/>
  <c r="J55" i="84" s="1"/>
  <c r="J56" i="84" s="1"/>
  <c r="J57" i="84" s="1"/>
  <c r="J58" i="84" s="1"/>
  <c r="J60" i="84" s="1"/>
  <c r="J71" i="85" l="1"/>
  <c r="J72" i="85" s="1"/>
  <c r="J31" i="85"/>
  <c r="L51" i="84"/>
  <c r="K70" i="84"/>
  <c r="K52" i="84"/>
  <c r="K55" i="84" s="1"/>
  <c r="K56" i="84" s="1"/>
  <c r="K57" i="84" s="1"/>
  <c r="K58" i="84" s="1"/>
  <c r="K60" i="84" s="1"/>
  <c r="K28" i="84"/>
  <c r="K5" i="84"/>
  <c r="M51" i="84" l="1"/>
  <c r="L52" i="84"/>
  <c r="L55" i="84" s="1"/>
  <c r="L56" i="84" s="1"/>
  <c r="L57" i="84" s="1"/>
  <c r="L58" i="84" s="1"/>
  <c r="L60" i="84" s="1"/>
  <c r="L70" i="84"/>
  <c r="L5" i="84"/>
  <c r="L28" i="84"/>
  <c r="K71" i="85"/>
  <c r="K72" i="85" s="1"/>
  <c r="K31" i="85"/>
  <c r="L71" i="85" l="1"/>
  <c r="L72" i="85" s="1"/>
  <c r="L31" i="85"/>
  <c r="M28" i="84"/>
  <c r="M52" i="84"/>
  <c r="M55" i="84" s="1"/>
  <c r="M56" i="84" s="1"/>
  <c r="M57" i="84" s="1"/>
  <c r="M58" i="84" s="1"/>
  <c r="M60" i="84" s="1"/>
  <c r="M5" i="84"/>
  <c r="M70" i="84"/>
  <c r="N52" i="84"/>
  <c r="N55" i="84" s="1"/>
  <c r="N56" i="84" s="1"/>
  <c r="N57" i="84" s="1"/>
  <c r="N58" i="84" s="1"/>
  <c r="N60" i="84" s="1"/>
  <c r="M31" i="85" l="1"/>
  <c r="M71" i="85"/>
  <c r="M72" i="85" s="1"/>
  <c r="N71" i="85"/>
  <c r="N72" i="85" s="1"/>
  <c r="N31" i="85"/>
  <c r="N73" i="85" l="1"/>
  <c r="N75" i="85" s="1"/>
  <c r="N9" i="85" s="1"/>
  <c r="D96" i="85" l="1"/>
  <c r="D98" i="85" s="1"/>
  <c r="E97" i="85" l="1"/>
  <c r="E103" i="85" s="1"/>
  <c r="D99" i="85"/>
  <c r="D100" i="85" s="1"/>
  <c r="D201" i="85" s="1"/>
  <c r="D195" i="85"/>
  <c r="D29" i="85" l="1"/>
  <c r="D30" i="85" s="1"/>
  <c r="D32" i="85" s="1"/>
  <c r="D35" i="85" s="1"/>
  <c r="D196" i="85" l="1"/>
  <c r="D198" i="85" s="1"/>
  <c r="D127" i="85"/>
  <c r="E131" i="85" s="1" a="1"/>
  <c r="E131" i="85" s="1"/>
  <c r="E146" i="85" s="1"/>
  <c r="E158" i="85" l="1"/>
  <c r="E96" i="85" s="1"/>
  <c r="E197" i="85"/>
  <c r="D199" i="85"/>
  <c r="D200" i="85" s="1"/>
  <c r="D202" i="85" s="1"/>
  <c r="F131" i="85" a="1"/>
  <c r="F131" i="85" s="1"/>
  <c r="F146" i="85" s="1"/>
  <c r="E98" i="85" l="1"/>
  <c r="E195" i="85"/>
  <c r="F97" i="85"/>
  <c r="F103" i="85" s="1"/>
  <c r="E99" i="85"/>
  <c r="E100" i="85" s="1"/>
  <c r="E201" i="85" s="1"/>
  <c r="G131" i="85" a="1"/>
  <c r="G131" i="85" s="1"/>
  <c r="G146" i="85" s="1"/>
  <c r="H131" i="85" l="1" a="1"/>
  <c r="H131" i="85" s="1"/>
  <c r="H146" i="85" s="1"/>
  <c r="I131" i="85" l="1" a="1"/>
  <c r="I131" i="85" s="1"/>
  <c r="I146" i="85" s="1"/>
  <c r="J131" i="85" l="1" a="1"/>
  <c r="J131" i="85" s="1"/>
  <c r="J146" i="85" s="1"/>
  <c r="E196" i="85"/>
  <c r="E198" i="85" s="1"/>
  <c r="E127" i="85"/>
  <c r="F132" i="85" s="1" a="1"/>
  <c r="F132" i="85" s="1"/>
  <c r="F147" i="85" s="1"/>
  <c r="E29" i="85"/>
  <c r="E30" i="85" s="1"/>
  <c r="E32" i="85" s="1"/>
  <c r="E35" i="85" s="1"/>
  <c r="K131" i="85" l="1" a="1"/>
  <c r="K131" i="85" s="1"/>
  <c r="K146" i="85" s="1"/>
  <c r="G132" i="85" a="1"/>
  <c r="G132" i="85" s="1"/>
  <c r="G147" i="85" s="1"/>
  <c r="F158" i="85"/>
  <c r="F96" i="85" s="1"/>
  <c r="F98" i="85" s="1"/>
  <c r="L131" i="85" l="1" a="1"/>
  <c r="L131" i="85" s="1"/>
  <c r="L146" i="85" s="1"/>
  <c r="E199" i="85"/>
  <c r="F197" i="85"/>
  <c r="F195" i="85"/>
  <c r="H132" i="85" a="1"/>
  <c r="H132" i="85" s="1"/>
  <c r="H147" i="85" s="1"/>
  <c r="M131" i="85" l="1" a="1"/>
  <c r="M131" i="85" s="1"/>
  <c r="M146" i="85" s="1"/>
  <c r="E200" i="85"/>
  <c r="E202" i="85" s="1"/>
  <c r="I132" i="85" a="1"/>
  <c r="I132" i="85" s="1"/>
  <c r="I147" i="85" s="1"/>
  <c r="F99" i="85"/>
  <c r="F100" i="85" s="1"/>
  <c r="F201" i="85" s="1"/>
  <c r="G97" i="85"/>
  <c r="G103" i="85" s="1"/>
  <c r="N131" i="85" l="1" a="1"/>
  <c r="N131" i="85" s="1"/>
  <c r="N146" i="85" s="1"/>
  <c r="J132" i="85" a="1"/>
  <c r="J132" i="85" s="1"/>
  <c r="J147" i="85" s="1"/>
  <c r="O131" i="85" l="1" a="1"/>
  <c r="O131" i="85" s="1"/>
  <c r="K132" i="85" a="1"/>
  <c r="K132" i="85" s="1"/>
  <c r="K147" i="85" s="1"/>
  <c r="F196" i="85" l="1"/>
  <c r="F198" i="85" s="1"/>
  <c r="F127" i="85"/>
  <c r="G133" i="85" s="1" a="1"/>
  <c r="G133" i="85" s="1"/>
  <c r="G148" i="85" s="1"/>
  <c r="F29" i="85"/>
  <c r="F30" i="85" s="1"/>
  <c r="F32" i="85" s="1"/>
  <c r="F35" i="85" s="1"/>
  <c r="L132" i="85" a="1"/>
  <c r="L132" i="85" s="1"/>
  <c r="L147" i="85" s="1"/>
  <c r="M132" i="85" l="1" a="1"/>
  <c r="M132" i="85" s="1"/>
  <c r="M147" i="85" s="1"/>
  <c r="G158" i="85"/>
  <c r="G96" i="85" s="1"/>
  <c r="G98" i="85" s="1"/>
  <c r="H133" i="85" a="1"/>
  <c r="H133" i="85" s="1"/>
  <c r="H148" i="85" s="1"/>
  <c r="F199" i="85" l="1"/>
  <c r="G197" i="85"/>
  <c r="I133" i="85" a="1"/>
  <c r="I133" i="85" s="1"/>
  <c r="I148" i="85" s="1"/>
  <c r="G195" i="85"/>
  <c r="N132" i="85" a="1"/>
  <c r="N132" i="85" s="1"/>
  <c r="N147" i="85" s="1"/>
  <c r="F200" i="85" l="1"/>
  <c r="F202" i="85" s="1"/>
  <c r="O132" i="85" a="1"/>
  <c r="O132" i="85" s="1"/>
  <c r="J133" i="85" a="1"/>
  <c r="J133" i="85" s="1"/>
  <c r="J148" i="85" s="1"/>
  <c r="H97" i="85"/>
  <c r="H103" i="85" s="1"/>
  <c r="G99" i="85"/>
  <c r="G100" i="85" s="1"/>
  <c r="G201" i="85" s="1"/>
  <c r="K133" i="85" l="1" a="1"/>
  <c r="K133" i="85" s="1"/>
  <c r="K148" i="85" s="1"/>
  <c r="L133" i="85" l="1" a="1"/>
  <c r="L133" i="85" s="1"/>
  <c r="L148" i="85" s="1"/>
  <c r="G127" i="85"/>
  <c r="H134" i="85" s="1" a="1"/>
  <c r="H134" i="85" s="1"/>
  <c r="H149" i="85" s="1"/>
  <c r="G29" i="85"/>
  <c r="G30" i="85" s="1"/>
  <c r="G32" i="85" s="1"/>
  <c r="G35" i="85" s="1"/>
  <c r="G196" i="85"/>
  <c r="G198" i="85" s="1"/>
  <c r="M133" i="85" l="1" a="1"/>
  <c r="M133" i="85" s="1"/>
  <c r="M148" i="85" s="1"/>
  <c r="H158" i="85"/>
  <c r="H96" i="85" s="1"/>
  <c r="H98" i="85" s="1"/>
  <c r="I134" i="85" a="1"/>
  <c r="I134" i="85" s="1"/>
  <c r="I149" i="85" s="1"/>
  <c r="H197" i="85" l="1"/>
  <c r="G199" i="85"/>
  <c r="H195" i="85"/>
  <c r="N133" i="85" a="1"/>
  <c r="N133" i="85" s="1"/>
  <c r="N148" i="85" s="1"/>
  <c r="J134" i="85" a="1"/>
  <c r="J134" i="85" s="1"/>
  <c r="J149" i="85" s="1"/>
  <c r="G200" i="85" l="1"/>
  <c r="G202" i="85" s="1"/>
  <c r="K134" i="85" a="1"/>
  <c r="K134" i="85" s="1"/>
  <c r="K149" i="85" s="1"/>
  <c r="O133" i="85" a="1"/>
  <c r="O133" i="85" s="1"/>
  <c r="I97" i="85"/>
  <c r="I103" i="85" s="1"/>
  <c r="H99" i="85"/>
  <c r="H100" i="85" s="1"/>
  <c r="H201" i="85" s="1"/>
  <c r="L134" i="85" l="1" a="1"/>
  <c r="L134" i="85" s="1"/>
  <c r="L149" i="85" s="1"/>
  <c r="M134" i="85" l="1" a="1"/>
  <c r="M134" i="85" s="1"/>
  <c r="M149" i="85" s="1"/>
  <c r="H196" i="85" l="1"/>
  <c r="H198" i="85" s="1"/>
  <c r="H127" i="85"/>
  <c r="I135" i="85" s="1" a="1"/>
  <c r="I135" i="85" s="1"/>
  <c r="I150" i="85" s="1"/>
  <c r="H29" i="85"/>
  <c r="H30" i="85" s="1"/>
  <c r="H32" i="85" s="1"/>
  <c r="H35" i="85" s="1"/>
  <c r="N134" i="85" a="1"/>
  <c r="N134" i="85" s="1"/>
  <c r="N149" i="85" s="1"/>
  <c r="I158" i="85" l="1"/>
  <c r="I96" i="85" s="1"/>
  <c r="I98" i="85" s="1"/>
  <c r="J135" i="85" a="1"/>
  <c r="J135" i="85" s="1"/>
  <c r="J150" i="85" s="1"/>
  <c r="O134" i="85" a="1"/>
  <c r="O134" i="85" s="1"/>
  <c r="I197" i="85" l="1"/>
  <c r="H199" i="85"/>
  <c r="K135" i="85" a="1"/>
  <c r="K135" i="85" s="1"/>
  <c r="K150" i="85" s="1"/>
  <c r="I195" i="85"/>
  <c r="H200" i="85" l="1"/>
  <c r="H202" i="85" s="1"/>
  <c r="L135" i="85" a="1"/>
  <c r="L135" i="85" s="1"/>
  <c r="L150" i="85" s="1"/>
  <c r="J97" i="85"/>
  <c r="J103" i="85" s="1"/>
  <c r="I99" i="85"/>
  <c r="I100" i="85" s="1"/>
  <c r="I201" i="85" s="1"/>
  <c r="M135" i="85" l="1" a="1"/>
  <c r="M135" i="85" s="1"/>
  <c r="M150" i="85" s="1"/>
  <c r="N135" i="85" l="1" a="1"/>
  <c r="N135" i="85" s="1"/>
  <c r="N150" i="85" s="1"/>
  <c r="I196" i="85" l="1"/>
  <c r="I198" i="85" s="1"/>
  <c r="I127" i="85"/>
  <c r="J136" i="85" s="1" a="1"/>
  <c r="J136" i="85" s="1"/>
  <c r="J151" i="85" s="1"/>
  <c r="I29" i="85"/>
  <c r="I30" i="85" s="1"/>
  <c r="I32" i="85" s="1"/>
  <c r="I35" i="85" s="1"/>
  <c r="O135" i="85" a="1"/>
  <c r="O135" i="85" s="1"/>
  <c r="J158" i="85" l="1"/>
  <c r="J96" i="85" s="1"/>
  <c r="J98" i="85" s="1"/>
  <c r="K136" i="85" a="1"/>
  <c r="K136" i="85" s="1"/>
  <c r="K151" i="85" s="1"/>
  <c r="J197" i="85" l="1"/>
  <c r="I199" i="85"/>
  <c r="L136" i="85" a="1"/>
  <c r="L136" i="85" s="1"/>
  <c r="L151" i="85" s="1"/>
  <c r="J195" i="85"/>
  <c r="I200" i="85" l="1"/>
  <c r="I202" i="85" s="1"/>
  <c r="M136" i="85" a="1"/>
  <c r="M136" i="85" s="1"/>
  <c r="M151" i="85" s="1"/>
  <c r="K97" i="85"/>
  <c r="K103" i="85" s="1"/>
  <c r="J99" i="85"/>
  <c r="J100" i="85" s="1"/>
  <c r="J201" i="85" s="1"/>
  <c r="N136" i="85" l="1" a="1"/>
  <c r="N136" i="85" s="1"/>
  <c r="N151" i="85" s="1"/>
  <c r="O136" i="85" l="1" a="1"/>
  <c r="O136" i="85" s="1"/>
  <c r="J196" i="85"/>
  <c r="J198" i="85" s="1"/>
  <c r="J29" i="85"/>
  <c r="J30" i="85" s="1"/>
  <c r="J32" i="85" s="1"/>
  <c r="J35" i="85" s="1"/>
  <c r="J127" i="85"/>
  <c r="K137" i="85" s="1" a="1"/>
  <c r="K137" i="85" s="1"/>
  <c r="K152" i="85" s="1"/>
  <c r="K158" i="85" l="1"/>
  <c r="K96" i="85" s="1"/>
  <c r="K98" i="85" s="1"/>
  <c r="L137" i="85" a="1"/>
  <c r="L137" i="85" s="1"/>
  <c r="L152" i="85" s="1"/>
  <c r="K197" i="85" l="1"/>
  <c r="J199" i="85"/>
  <c r="M137" i="85" a="1"/>
  <c r="M137" i="85" s="1"/>
  <c r="M152" i="85" s="1"/>
  <c r="K195" i="85"/>
  <c r="J200" i="85" l="1"/>
  <c r="J202" i="85" s="1"/>
  <c r="L97" i="85"/>
  <c r="L103" i="85" s="1"/>
  <c r="K99" i="85"/>
  <c r="K100" i="85" s="1"/>
  <c r="K201" i="85" s="1"/>
  <c r="N137" i="85" a="1"/>
  <c r="N137" i="85" s="1"/>
  <c r="N152" i="85" s="1"/>
  <c r="O137" i="85" l="1" a="1"/>
  <c r="O137" i="85" s="1"/>
  <c r="K196" i="85" l="1"/>
  <c r="K198" i="85" s="1"/>
  <c r="K127" i="85"/>
  <c r="L138" i="85" s="1" a="1"/>
  <c r="L138" i="85" s="1"/>
  <c r="L153" i="85" s="1"/>
  <c r="K29" i="85"/>
  <c r="K30" i="85" s="1"/>
  <c r="K32" i="85" s="1"/>
  <c r="K35" i="85" s="1"/>
  <c r="L158" i="85" l="1"/>
  <c r="L96" i="85" s="1"/>
  <c r="L98" i="85" s="1"/>
  <c r="M138" i="85" a="1"/>
  <c r="M138" i="85" s="1"/>
  <c r="M153" i="85" s="1"/>
  <c r="K199" i="85" l="1"/>
  <c r="L197" i="85"/>
  <c r="N138" i="85" a="1"/>
  <c r="N138" i="85" s="1"/>
  <c r="N153" i="85" s="1"/>
  <c r="L195" i="85"/>
  <c r="K200" i="85" l="1"/>
  <c r="K202" i="85" s="1"/>
  <c r="O138" i="85" a="1"/>
  <c r="O138" i="85" s="1"/>
  <c r="M97" i="85"/>
  <c r="M103" i="85" s="1"/>
  <c r="L99" i="85"/>
  <c r="L100" i="85" s="1"/>
  <c r="L201" i="85" s="1"/>
  <c r="L196" i="85" l="1"/>
  <c r="L198" i="85" s="1"/>
  <c r="L127" i="85"/>
  <c r="M139" i="85" s="1" a="1"/>
  <c r="M139" i="85" s="1"/>
  <c r="M154" i="85" s="1"/>
  <c r="L29" i="85"/>
  <c r="L30" i="85" s="1"/>
  <c r="L32" i="85" s="1"/>
  <c r="L35" i="85" s="1"/>
  <c r="M158" i="85" l="1"/>
  <c r="M96" i="85" s="1"/>
  <c r="M98" i="85" s="1"/>
  <c r="N139" i="85" a="1"/>
  <c r="N139" i="85" s="1"/>
  <c r="N154" i="85" s="1"/>
  <c r="M197" i="85" l="1"/>
  <c r="L199" i="85"/>
  <c r="O139" i="85" a="1"/>
  <c r="O139" i="85" s="1"/>
  <c r="M195" i="85"/>
  <c r="L200" i="85" l="1"/>
  <c r="L202" i="85" s="1"/>
  <c r="N97" i="85"/>
  <c r="N103" i="85" s="1"/>
  <c r="M99" i="85"/>
  <c r="M100" i="85" s="1"/>
  <c r="M201" i="85" s="1"/>
  <c r="M196" i="85" l="1"/>
  <c r="M198" i="85" s="1"/>
  <c r="M29" i="85"/>
  <c r="M30" i="85" s="1"/>
  <c r="M32" i="85" s="1"/>
  <c r="M35" i="85" s="1"/>
  <c r="M127" i="85"/>
  <c r="N140" i="85" s="1" a="1"/>
  <c r="N140" i="85" s="1"/>
  <c r="N155" i="85" s="1"/>
  <c r="N158" i="85" l="1"/>
  <c r="N96" i="85" s="1"/>
  <c r="N98" i="85" s="1"/>
  <c r="O140" i="85" a="1"/>
  <c r="O140" i="85" s="1"/>
  <c r="N197" i="85" l="1"/>
  <c r="M199" i="85"/>
  <c r="O97" i="85"/>
  <c r="O103" i="85" s="1"/>
  <c r="N195" i="85"/>
  <c r="M200" i="85" l="1"/>
  <c r="M202" i="85" s="1"/>
  <c r="N99" i="85"/>
  <c r="N100" i="85" s="1"/>
  <c r="N201" i="85" s="1"/>
  <c r="N196" i="85" l="1"/>
  <c r="N198" i="85" s="1"/>
  <c r="N127" i="85"/>
  <c r="O141" i="85" s="1" a="1"/>
  <c r="O141" i="85" s="1"/>
  <c r="N29" i="85"/>
  <c r="N30" i="85" s="1"/>
  <c r="N32" i="85" s="1"/>
  <c r="N35" i="85" s="1"/>
  <c r="N36" i="85" s="1"/>
  <c r="N7" i="85" s="1"/>
  <c r="N10" i="85" s="1"/>
  <c r="N12" i="85" s="1"/>
  <c r="P141" i="85" l="1"/>
  <c r="N199" i="85" l="1"/>
  <c r="O197" i="85"/>
  <c r="O202" i="85" s="1"/>
  <c r="N200" i="85" l="1"/>
  <c r="N202" i="8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<sst xmlns="http://schemas.openxmlformats.org/spreadsheetml/2006/main" count="531" uniqueCount="198">
  <si>
    <t>Description</t>
  </si>
  <si>
    <t>Inputs</t>
  </si>
  <si>
    <t>Notes</t>
  </si>
  <si>
    <t>Depreciation</t>
  </si>
  <si>
    <t>Tax depreciation</t>
  </si>
  <si>
    <t>Risk free rate</t>
  </si>
  <si>
    <t>Asset beta</t>
  </si>
  <si>
    <t>Equity beta</t>
  </si>
  <si>
    <t>TAMRP</t>
  </si>
  <si>
    <t>Average investor tax rate</t>
  </si>
  <si>
    <t>Debt risk premium</t>
  </si>
  <si>
    <t>Debt issuance costs</t>
  </si>
  <si>
    <t>Leverage</t>
  </si>
  <si>
    <t>Debt from all sources as a proportion of total financing</t>
  </si>
  <si>
    <t>Days from mid-year to year-end</t>
  </si>
  <si>
    <t>Days from revenue date to year-end</t>
  </si>
  <si>
    <t>Mid-year date</t>
  </si>
  <si>
    <t>Revenue date</t>
  </si>
  <si>
    <t>Telecommunications</t>
  </si>
  <si>
    <t>$000</t>
  </si>
  <si>
    <t>Financial loss asset</t>
  </si>
  <si>
    <t>%</t>
  </si>
  <si>
    <t>Crown financing</t>
  </si>
  <si>
    <t>Crown financing (opening value)</t>
  </si>
  <si>
    <t>UFB costs</t>
  </si>
  <si>
    <t>Weighted average asset life</t>
  </si>
  <si>
    <t>Crown financing (closing value)</t>
  </si>
  <si>
    <t>Cost of debt</t>
  </si>
  <si>
    <t>Index</t>
  </si>
  <si>
    <t>Compounding factors</t>
  </si>
  <si>
    <t>Cost of equity</t>
  </si>
  <si>
    <t>Corporate tax rate</t>
  </si>
  <si>
    <t xml:space="preserve">Tax </t>
  </si>
  <si>
    <t>Regulated provider data</t>
  </si>
  <si>
    <t>Count</t>
  </si>
  <si>
    <t>General description</t>
  </si>
  <si>
    <t>All figures are purely illustrative</t>
  </si>
  <si>
    <t>Cost of capital</t>
  </si>
  <si>
    <t>UFB revenues</t>
  </si>
  <si>
    <t>Tax costs</t>
  </si>
  <si>
    <t>Years</t>
  </si>
  <si>
    <t>Intermediate calculations</t>
  </si>
  <si>
    <t>Roll forward of unallocated UFB fibre assets</t>
  </si>
  <si>
    <t>Roll forward of Crown financing</t>
  </si>
  <si>
    <t>Asset roll forward inputs</t>
  </si>
  <si>
    <t>Weighted average tax asset life</t>
  </si>
  <si>
    <t>Asset-related information</t>
  </si>
  <si>
    <t>Compounding factor step 1</t>
  </si>
  <si>
    <t>Cost of capital (post-tax WACC)</t>
  </si>
  <si>
    <t>Index factor</t>
  </si>
  <si>
    <t>Number of days (for partial year adjustment)</t>
  </si>
  <si>
    <t>Part year adjustment factor</t>
  </si>
  <si>
    <t>Opening tax asset base value</t>
  </si>
  <si>
    <t xml:space="preserve">Tax depreciation </t>
  </si>
  <si>
    <t>Closing tax asset base value</t>
  </si>
  <si>
    <t>Roll forward of allocated tax assets</t>
  </si>
  <si>
    <t>Roll forward of unallocated tax assets</t>
  </si>
  <si>
    <t>Tax calculations</t>
  </si>
  <si>
    <t>Discounted cash flow financial loss asset</t>
  </si>
  <si>
    <t>Cash flow inputs</t>
  </si>
  <si>
    <t>Net cash flows</t>
  </si>
  <si>
    <t>Cash flows</t>
  </si>
  <si>
    <t>Add present value benefit of Crown financing</t>
  </si>
  <si>
    <t>Start date</t>
  </si>
  <si>
    <t>Full year to</t>
  </si>
  <si>
    <t>Date</t>
  </si>
  <si>
    <t>Days from mid-year to implementation date</t>
  </si>
  <si>
    <t>Compounding factor from mid-year</t>
  </si>
  <si>
    <t>Days from revenue date to implementation date</t>
  </si>
  <si>
    <t>Compounding factor from revenue date</t>
  </si>
  <si>
    <t>Revenue date compounding</t>
  </si>
  <si>
    <t>Mid-year date compounding</t>
  </si>
  <si>
    <t>As at</t>
  </si>
  <si>
    <t>Present value benefit of Crown financing</t>
  </si>
  <si>
    <t>Present value of net drawdown of Crown financing</t>
  </si>
  <si>
    <t>Years prior to 31 Dec 2021 for compounding index</t>
  </si>
  <si>
    <t>Net drawdown of Crown financing (nominal values)</t>
  </si>
  <si>
    <t>Tax costs (at corporate tax rate)</t>
  </si>
  <si>
    <t>Revenue date compounding is used for revenue cash flows</t>
  </si>
  <si>
    <t>12 equal monthly transactions can be approximated by a single payment at the mid-year date</t>
  </si>
  <si>
    <t>This model has been prepared and published for consultation purposes only</t>
  </si>
  <si>
    <t>Financial losses</t>
  </si>
  <si>
    <t>1.1.2(2)</t>
  </si>
  <si>
    <t>1.1.2(1)</t>
  </si>
  <si>
    <t>Present value of total net cash flows</t>
  </si>
  <si>
    <t>Present value of annual net cash flows</t>
  </si>
  <si>
    <t>UFB revenues cash flows</t>
  </si>
  <si>
    <t>Present value of UFB revenues cash flows</t>
  </si>
  <si>
    <t>Present value of UFB costs cash flows</t>
  </si>
  <si>
    <t>Sum of UFB costs cash flows</t>
  </si>
  <si>
    <t>UFB value of net commisisoned assets cash flow</t>
  </si>
  <si>
    <t>UFB cost allocation adjustment cash flow</t>
  </si>
  <si>
    <t>UFB operating expenditure cash flow</t>
  </si>
  <si>
    <t>UFB tax costs cash flow</t>
  </si>
  <si>
    <t>1.1.2(2) and (4)</t>
  </si>
  <si>
    <t>1.1.2(2) and (3)</t>
  </si>
  <si>
    <t>1.1.2(3)</t>
  </si>
  <si>
    <t>Opening cost allocator value (start of part or full year)</t>
  </si>
  <si>
    <t>Closing cost allocator value (end of part or full year)</t>
  </si>
  <si>
    <t>Less sum of net drawdowns (nominal value)</t>
  </si>
  <si>
    <t>Sum of present value of net drawdowns</t>
  </si>
  <si>
    <t>1.1.2(4)</t>
  </si>
  <si>
    <t>UFB revenues cash flow</t>
  </si>
  <si>
    <t>Crown financing advanced</t>
  </si>
  <si>
    <t>Crown financing repaid</t>
  </si>
  <si>
    <t>UFB taxable income</t>
  </si>
  <si>
    <t>Information only - not directly used in Schedule B calculation</t>
  </si>
  <si>
    <t>1.1.2(6)</t>
  </si>
  <si>
    <t>Add UFB asset base closing value at implementation date</t>
  </si>
  <si>
    <t>Compounding factor (mid-year date)</t>
  </si>
  <si>
    <t>Compounding factor (revenue date)</t>
  </si>
  <si>
    <t>UFB unallocated opening asset values</t>
  </si>
  <si>
    <t>UFB value of net commissioned assets (allocated)</t>
  </si>
  <si>
    <t>UFB unallocated closing asset values</t>
  </si>
  <si>
    <t>UFB opening asset values</t>
  </si>
  <si>
    <t>UFB value of net commissioned assets (unallocated)</t>
  </si>
  <si>
    <t>UFB closing asset values</t>
  </si>
  <si>
    <t>Adjustment for cost allocation to allow tax allocated roll forward</t>
  </si>
  <si>
    <t xml:space="preserve">Tax loss calculation </t>
  </si>
  <si>
    <t>Opening tax losses</t>
  </si>
  <si>
    <t>Financial loss asset at implementation date</t>
  </si>
  <si>
    <t>Sch B reference</t>
  </si>
  <si>
    <t>7 months to</t>
  </si>
  <si>
    <t>6 months to</t>
  </si>
  <si>
    <t>Start date compounding</t>
  </si>
  <si>
    <t>Days from start date to implementation date</t>
  </si>
  <si>
    <t>Compounding factor from start date</t>
  </si>
  <si>
    <t>Number of days in part or full year</t>
  </si>
  <si>
    <t>UFB unallocated asset base opening value at start date</t>
  </si>
  <si>
    <t>Compounding factor (start date)</t>
  </si>
  <si>
    <t>UFB asset base opening value at start date</t>
  </si>
  <si>
    <t>Present value of UFB asset base opening value</t>
  </si>
  <si>
    <t>UFB value of net commisisoned assets cash flow (opening value at start date)</t>
  </si>
  <si>
    <t>Depreciation (allocated)</t>
  </si>
  <si>
    <t>Roll forward of allocated UFB fibre assets</t>
  </si>
  <si>
    <t>Start date compounding is used for asset base opening cash flow</t>
  </si>
  <si>
    <t>Check allocated roll forward</t>
  </si>
  <si>
    <t>1.1.4(2) of main determination</t>
  </si>
  <si>
    <t>Illustration of DCF financial loss asset calculation</t>
  </si>
  <si>
    <t>Published 13 August 2020</t>
  </si>
  <si>
    <t>1.1.2(2) and (5)</t>
  </si>
  <si>
    <t>1.1.2(2) and 1.1.7</t>
  </si>
  <si>
    <t>1.1.2(2) and (6)</t>
  </si>
  <si>
    <t>1.1.7 - 1.1.9</t>
  </si>
  <si>
    <t>1.1.10 - 1.1.13</t>
  </si>
  <si>
    <t>1.1.2(5)</t>
  </si>
  <si>
    <t>Fibre input methodologies further consultation draft decisions</t>
  </si>
  <si>
    <t xml:space="preserve">This model illustrates the calculation of the financial loss asset in accordance with Schedule B of the '[Further consultation – initial value of financial loss asset] Fibre Input Methodologies Determination 2020' published on 13 August 2020.
</t>
  </si>
  <si>
    <t>Assume revenue inputs relate only to UFB</t>
  </si>
  <si>
    <t>Assume opening asset value input is pre-cost allocation (requiring cost allocation to be applied)</t>
  </si>
  <si>
    <t>Assume commisisoned asset inputs are pre-cost allocation (requiring cost allocation to be applied). Also, are net of disposed assets.</t>
  </si>
  <si>
    <t>Assume opex inputs are post-cost allocation (no need to apply cost allocation)</t>
  </si>
  <si>
    <t>Simplified assumption for illustration only</t>
  </si>
  <si>
    <t>Mid-year date compounding is used for compounding investments, cost allocation adjustments, opex and tax cash flows, and for calculating the benefit of Crown financing</t>
  </si>
  <si>
    <t>12 equal monthly transactions on the 20th of the month following the mid-year date can be approximated by a single payment on the revenue date</t>
  </si>
  <si>
    <t>Financial loss asset will only exist if loss calculation in cell N10 is negative</t>
  </si>
  <si>
    <t>Compounding factor based on post-tax WACC</t>
  </si>
  <si>
    <t>Simplified calculations for illustration only</t>
  </si>
  <si>
    <t>Vanilla WACC</t>
  </si>
  <si>
    <t>Interest Paid</t>
  </si>
  <si>
    <t>Brought forward from Inputs Sheet</t>
  </si>
  <si>
    <t>Net cashflow from year</t>
  </si>
  <si>
    <t>Interest Paid Calculation for Initial RAB and annual netcashflows</t>
  </si>
  <si>
    <t>Interest payment on Initial RAB</t>
  </si>
  <si>
    <t xml:space="preserve">Interest payment on Net cashflow </t>
  </si>
  <si>
    <t>New row put in based on row 107 and below</t>
  </si>
  <si>
    <t>&lt;&lt;&lt;&lt;</t>
  </si>
  <si>
    <t>Accumulating Initial RAB for interest payment (opening value)</t>
  </si>
  <si>
    <t>Vanilla WACC - for full year (annualised)</t>
  </si>
  <si>
    <t>Cost of debt - for full year (annualised)</t>
  </si>
  <si>
    <t>The matrices below just set out the WACC and cost of debt values associated with each year in a more transparent format - it is possible to do this in a much more compact form</t>
  </si>
  <si>
    <t>WACC applied to capitalise the opening RAB of the period in question</t>
  </si>
  <si>
    <t>Proportion of year in period</t>
  </si>
  <si>
    <t>Counter</t>
  </si>
  <si>
    <t>Cost of debt applicable to the opening RAB - mid period payment assumed</t>
  </si>
  <si>
    <t>WACC and cost of debt for cash flow in first year</t>
  </si>
  <si>
    <t>Number of days in period</t>
  </si>
  <si>
    <t>Days from revenue date to end of period</t>
  </si>
  <si>
    <t>Days from cost date to end of period</t>
  </si>
  <si>
    <t>Revenue cash flow</t>
  </si>
  <si>
    <t>Costs cash flow - excluding taxation</t>
  </si>
  <si>
    <t>Year 1 interest - excluding interest on tax cash flow</t>
  </si>
  <si>
    <t>Total cash flow including taxation, capitalised to end of year</t>
  </si>
  <si>
    <t>Vanilla WACC - capitalise from revenue date</t>
  </si>
  <si>
    <t>Vanilla WACC - capitalise from cost date</t>
  </si>
  <si>
    <t>Interest Payments (excluding interest due to tax cash flow</t>
  </si>
  <si>
    <t>The tax calculation below demonstrates that the adjustment for interest associated with tax cash flow is correct</t>
  </si>
  <si>
    <t>Interest payments due to tax cash flow</t>
  </si>
  <si>
    <t>Losses carred forward</t>
  </si>
  <si>
    <t>Tax after considering losses</t>
  </si>
  <si>
    <t>Losses carried forward</t>
  </si>
  <si>
    <t>Tax costs calculated above</t>
  </si>
  <si>
    <t>CHECK</t>
  </si>
  <si>
    <t>&lt;&lt;&lt;No longer needed - losses are calculated and carried forward in the calculation above</t>
  </si>
  <si>
    <t>New row put in to treat losses as negaitve income rather than negative tax - this is needed to make the formula to adjust tax for the interest associated with the tax cash flow to work (it is also possible to revise the adjustment formula to suit the previous losses formula).</t>
  </si>
  <si>
    <t>Cost of debt - remaining period from revenue date, mid period payment</t>
  </si>
  <si>
    <t>Cost of debt - remaining period from cost date, mid period payment</t>
  </si>
  <si>
    <t>&lt;&lt;&lt;This should be the same as the DCF value; the very slight difference is due to DCF using a 365.25 day convention, but a simpler approach being used here for illustrative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</si>
</sst>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 #,##0.00_);_(* \(#,##0.00\);_(* &quot;-&quot;??_);_(@_)"/>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b/>
      <sz val="10"/>
      <color theme="1"/>
      <name val="Calibri"/>
      <family val="2"/>
      <scheme val="minor"/>
    </font>
    <font>
      <u/>
      <sz val="10"/>
      <color theme="11"/>
      <name val="Calibri"/>
      <family val="2"/>
      <scheme val="minor"/>
    </font>
    <font>
      <sz val="10"/>
      <color theme="4"/>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sz val="10"/>
      <color theme="0" tint="-0.14999847407452621"/>
      <name val="Calibri"/>
      <family val="2"/>
      <scheme val="minor"/>
    </font>
    <font>
      <sz val="11"/>
      <color theme="0" tint="-0.14999847407452621"/>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sz val="10"/>
      <color rgb="FF645F3A"/>
      <name val="Calibri"/>
      <family val="2"/>
      <scheme val="minor"/>
    </font>
    <font>
      <b/>
      <sz val="11"/>
      <color rgb="FFC00000"/>
      <name val="Calibri"/>
      <family val="4"/>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b/>
      <sz val="10"/>
      <color theme="6" tint="-0.249977111117893"/>
      <name val="Calibri"/>
      <family val="2"/>
      <scheme val="minor"/>
    </font>
    <font>
      <sz val="10"/>
      <color theme="6" tint="-0.249977111117893"/>
      <name val="Calibri"/>
      <family val="2"/>
      <scheme val="minor"/>
    </font>
    <font>
      <b/>
      <sz val="10"/>
      <color rgb="FFFF0000"/>
      <name val="Calibri"/>
      <family val="2"/>
      <scheme val="minor"/>
    </font>
    <font>
      <sz val="10"/>
      <color rgb="FFFF0000"/>
      <name val="Calibri"/>
      <family val="2"/>
      <scheme val="minor"/>
    </font>
    <font>
      <i/>
      <sz val="10"/>
      <color rgb="FFFF0000"/>
      <name val="Calibri"/>
      <family val="2"/>
      <scheme val="minor"/>
    </font>
    <font>
      <b/>
      <i/>
      <sz val="11"/>
      <color theme="1"/>
      <name val="Calibri"/>
      <family val="2"/>
      <scheme val="minor"/>
    </font>
    <font>
      <i/>
      <sz val="11"/>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s>
  <cellStyleXfs count="79">
    <xf numFmtId="0" fontId="0" fillId="0" borderId="0"/>
    <xf numFmtId="164" fontId="1" fillId="0" borderId="0" applyFont="0" applyFill="0" applyBorder="0" applyAlignment="0" applyProtection="0"/>
    <xf numFmtId="180" fontId="13"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9" fontId="26" fillId="0" borderId="0" applyFill="0" applyAlignment="0"/>
    <xf numFmtId="49" fontId="14" fillId="0" borderId="0" applyFill="0" applyAlignment="0"/>
    <xf numFmtId="49" fontId="15" fillId="0" borderId="0" applyFill="0" applyAlignment="0"/>
    <xf numFmtId="49" fontId="16"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5" fillId="0" borderId="17" applyNumberFormat="0" applyAlignment="0">
      <protection locked="0"/>
    </xf>
    <xf numFmtId="0" fontId="1" fillId="0" borderId="17"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0"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8" fillId="0" borderId="0" applyFont="0" applyFill="0" applyBorder="0" applyAlignment="0" applyProtection="0">
      <alignment horizontal="left"/>
      <protection locked="0"/>
    </xf>
    <xf numFmtId="167" fontId="1" fillId="34" borderId="18" applyNumberFormat="0" applyFont="0" applyFill="0" applyAlignment="0" applyProtection="0"/>
    <xf numFmtId="177" fontId="13" fillId="32" borderId="0" applyFont="0" applyBorder="0"/>
    <xf numFmtId="176" fontId="18" fillId="0" borderId="0" applyFont="0" applyFill="0" applyBorder="0" applyAlignment="0" applyProtection="0">
      <protection locked="0"/>
    </xf>
    <xf numFmtId="175" fontId="13" fillId="0" borderId="0" applyFont="0" applyFill="0" applyBorder="0" applyAlignment="0" applyProtection="0">
      <alignment horizontal="center" vertical="top" wrapText="1"/>
    </xf>
    <xf numFmtId="174" fontId="27" fillId="0" borderId="17" applyNumberFormat="0" applyAlignment="0"/>
    <xf numFmtId="0" fontId="17" fillId="0" borderId="17" applyNumberFormat="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69" fontId="19" fillId="0" borderId="0" applyFont="0" applyFill="0" applyBorder="0" applyAlignment="0" applyProtection="0">
      <alignment horizontal="left"/>
      <protection locked="0"/>
    </xf>
    <xf numFmtId="170" fontId="18" fillId="0" borderId="0" applyFont="0" applyFill="0" applyBorder="0" applyAlignment="0" applyProtection="0">
      <protection locked="0"/>
    </xf>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2"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3" fillId="35" borderId="17" applyNumberFormat="0" applyAlignment="0" applyProtection="0"/>
    <xf numFmtId="49" fontId="20" fillId="0" borderId="0" applyFill="0" applyProtection="0">
      <alignment horizontal="left" indent="1"/>
    </xf>
    <xf numFmtId="16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9" applyNumberFormat="0" applyFill="0" applyAlignment="0" applyProtection="0"/>
    <xf numFmtId="0" fontId="17" fillId="36" borderId="14" applyNumberFormat="0" applyFill="0">
      <alignment horizontal="centerContinuous" wrapText="1"/>
    </xf>
    <xf numFmtId="0" fontId="31" fillId="5" borderId="20" applyNumberFormat="0" applyAlignment="0" applyProtection="0"/>
    <xf numFmtId="174" fontId="32" fillId="37" borderId="14" applyNumberFormat="0" applyFill="0" applyAlignment="0"/>
    <xf numFmtId="167" fontId="1" fillId="0" borderId="0" applyFont="0" applyFill="0" applyBorder="0" applyAlignment="0" applyProtection="0"/>
    <xf numFmtId="169" fontId="18" fillId="0" borderId="0" applyFont="0" applyFill="0" applyBorder="0" applyAlignment="0" applyProtection="0">
      <alignment horizontal="left"/>
      <protection locked="0"/>
    </xf>
    <xf numFmtId="0" fontId="33" fillId="0" borderId="22" applyNumberFormat="0" applyFill="0" applyAlignment="0" applyProtection="0"/>
    <xf numFmtId="170" fontId="1" fillId="34" borderId="23" applyNumberFormat="0" applyFont="0" applyFill="0" applyAlignment="0" applyProtection="0"/>
    <xf numFmtId="0" fontId="34" fillId="38" borderId="1" applyNumberFormat="0" applyAlignment="0" applyProtection="0"/>
  </cellStyleXfs>
  <cellXfs count="204">
    <xf numFmtId="0" fontId="0" fillId="0" borderId="0" xfId="0"/>
    <xf numFmtId="0" fontId="0" fillId="0" borderId="0" xfId="0"/>
    <xf numFmtId="0" fontId="12" fillId="32" borderId="6" xfId="0" applyFont="1" applyFill="1" applyBorder="1"/>
    <xf numFmtId="0" fontId="12" fillId="32" borderId="7" xfId="0" applyFont="1" applyFill="1" applyBorder="1"/>
    <xf numFmtId="0" fontId="12" fillId="32" borderId="8" xfId="0" applyFont="1" applyFill="1" applyBorder="1"/>
    <xf numFmtId="0" fontId="12" fillId="32" borderId="9" xfId="0" applyFont="1" applyFill="1" applyBorder="1" applyAlignment="1">
      <alignment horizontal="centerContinuous"/>
    </xf>
    <xf numFmtId="0" fontId="12" fillId="32" borderId="0" xfId="0" applyFont="1" applyFill="1" applyBorder="1" applyAlignment="1">
      <alignment horizontal="centerContinuous"/>
    </xf>
    <xf numFmtId="0" fontId="12" fillId="32" borderId="9" xfId="0" applyFont="1" applyFill="1" applyBorder="1"/>
    <xf numFmtId="0" fontId="0" fillId="0" borderId="0" xfId="0" applyBorder="1"/>
    <xf numFmtId="0" fontId="12" fillId="32" borderId="10" xfId="0" applyFont="1" applyFill="1" applyBorder="1"/>
    <xf numFmtId="0" fontId="12" fillId="32" borderId="9" xfId="0" applyFont="1" applyFill="1" applyBorder="1" applyAlignment="1"/>
    <xf numFmtId="0" fontId="12" fillId="32" borderId="0" xfId="0" applyFont="1" applyFill="1" applyBorder="1"/>
    <xf numFmtId="49" fontId="26" fillId="0" borderId="0" xfId="5"/>
    <xf numFmtId="169" fontId="0" fillId="0" borderId="0" xfId="56" applyFont="1" applyBorder="1" applyAlignment="1" applyProtection="1"/>
    <xf numFmtId="0" fontId="0" fillId="0" borderId="0" xfId="0" applyFill="1" applyBorder="1"/>
    <xf numFmtId="0" fontId="0" fillId="0" borderId="13" xfId="0" applyFont="1" applyFill="1" applyBorder="1"/>
    <xf numFmtId="0" fontId="0" fillId="0" borderId="12" xfId="0" applyFont="1" applyFill="1" applyBorder="1"/>
    <xf numFmtId="0" fontId="0" fillId="0" borderId="11" xfId="0" applyFont="1" applyFill="1" applyBorder="1"/>
    <xf numFmtId="0" fontId="0" fillId="0" borderId="0" xfId="0" applyFont="1" applyBorder="1"/>
    <xf numFmtId="49" fontId="20" fillId="0" borderId="0" xfId="65" applyAlignment="1">
      <alignment vertical="top"/>
    </xf>
    <xf numFmtId="169" fontId="1" fillId="0" borderId="16" xfId="14" applyNumberFormat="1" applyFill="1" applyBorder="1" applyAlignment="1"/>
    <xf numFmtId="179" fontId="1" fillId="0" borderId="16" xfId="14" applyNumberFormat="1" applyFill="1" applyBorder="1" applyAlignment="1"/>
    <xf numFmtId="0" fontId="24" fillId="0" borderId="16" xfId="58" applyFill="1" applyBorder="1" applyAlignment="1" applyProtection="1"/>
    <xf numFmtId="169" fontId="0" fillId="0" borderId="15" xfId="14" applyNumberFormat="1" applyFont="1" applyFill="1" applyBorder="1" applyAlignment="1"/>
    <xf numFmtId="0" fontId="23" fillId="32" borderId="10" xfId="0" applyFont="1" applyFill="1" applyBorder="1"/>
    <xf numFmtId="49" fontId="26" fillId="0" borderId="0" xfId="5" applyFill="1" applyAlignment="1">
      <alignment horizontal="centerContinuous"/>
    </xf>
    <xf numFmtId="169" fontId="1" fillId="0" borderId="16" xfId="14" applyNumberFormat="1" applyFill="1" applyBorder="1" applyAlignment="1">
      <alignment vertical="top"/>
    </xf>
    <xf numFmtId="169" fontId="1" fillId="0" borderId="0" xfId="14" applyNumberFormat="1" applyFill="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5" fillId="0" borderId="17" xfId="13" applyNumberFormat="1">
      <protection locked="0"/>
    </xf>
    <xf numFmtId="0" fontId="17" fillId="0" borderId="17" xfId="52" applyAlignment="1">
      <alignment horizontal="left" wrapText="1"/>
    </xf>
    <xf numFmtId="0" fontId="1" fillId="0" borderId="17" xfId="14"/>
    <xf numFmtId="3" fontId="1" fillId="0" borderId="17" xfId="14" applyNumberFormat="1"/>
    <xf numFmtId="0" fontId="1" fillId="0" borderId="24" xfId="14" applyBorder="1"/>
    <xf numFmtId="3" fontId="1" fillId="0" borderId="24" xfId="14" applyNumberFormat="1" applyBorder="1"/>
    <xf numFmtId="184" fontId="0" fillId="0" borderId="0" xfId="0" applyNumberFormat="1"/>
    <xf numFmtId="165" fontId="35" fillId="0" borderId="17" xfId="52" quotePrefix="1" applyNumberFormat="1" applyFont="1" applyAlignment="1">
      <alignment horizontal="left" wrapText="1"/>
    </xf>
    <xf numFmtId="49" fontId="16" fillId="0" borderId="0" xfId="8" applyFill="1">
      <alignment horizontal="left"/>
    </xf>
    <xf numFmtId="0" fontId="17" fillId="0" borderId="24" xfId="52" applyBorder="1" applyAlignment="1">
      <alignment horizontal="left" wrapText="1"/>
    </xf>
    <xf numFmtId="49" fontId="20" fillId="0" borderId="0" xfId="20">
      <alignment horizontal="left" indent="1"/>
    </xf>
    <xf numFmtId="0" fontId="17" fillId="0" borderId="0" xfId="52" applyBorder="1" applyAlignment="1">
      <alignment horizontal="left" wrapText="1"/>
    </xf>
    <xf numFmtId="3" fontId="1" fillId="0" borderId="0" xfId="14" applyNumberFormat="1" applyBorder="1"/>
    <xf numFmtId="3" fontId="0" fillId="0" borderId="24" xfId="0" applyNumberFormat="1" applyBorder="1"/>
    <xf numFmtId="0" fontId="17" fillId="0" borderId="25" xfId="52" applyBorder="1" applyAlignment="1">
      <alignment horizontal="left" wrapText="1"/>
    </xf>
    <xf numFmtId="0" fontId="1" fillId="0" borderId="0" xfId="14" applyBorder="1"/>
    <xf numFmtId="3" fontId="1" fillId="0" borderId="17" xfId="14" applyNumberFormat="1" applyBorder="1"/>
    <xf numFmtId="49" fontId="36" fillId="0" borderId="21" xfId="8" applyFont="1" applyFill="1" applyBorder="1">
      <alignment horizontal="left"/>
    </xf>
    <xf numFmtId="9" fontId="25" fillId="0" borderId="0" xfId="67" applyFont="1" applyBorder="1" applyProtection="1">
      <protection locked="0"/>
    </xf>
    <xf numFmtId="186" fontId="25" fillId="0" borderId="17" xfId="13" applyNumberFormat="1">
      <protection locked="0"/>
    </xf>
    <xf numFmtId="0" fontId="17" fillId="0" borderId="26" xfId="52" applyBorder="1" applyAlignment="1">
      <alignment horizontal="left" wrapText="1"/>
    </xf>
    <xf numFmtId="3" fontId="0" fillId="0" borderId="27" xfId="0" applyNumberFormat="1" applyBorder="1"/>
    <xf numFmtId="3" fontId="0" fillId="0" borderId="28" xfId="0" applyNumberFormat="1" applyBorder="1"/>
    <xf numFmtId="2" fontId="17" fillId="0" borderId="17" xfId="52" applyNumberFormat="1" applyAlignment="1">
      <alignment horizontal="left" wrapText="1"/>
    </xf>
    <xf numFmtId="49" fontId="36" fillId="0" borderId="0" xfId="8" applyFont="1" applyFill="1" applyBorder="1">
      <alignment horizontal="left"/>
    </xf>
    <xf numFmtId="9" fontId="1" fillId="0" borderId="17" xfId="67" applyBorder="1"/>
    <xf numFmtId="0" fontId="35" fillId="0" borderId="17" xfId="52" applyFont="1" applyAlignment="1">
      <alignment horizontal="left" wrapText="1"/>
    </xf>
    <xf numFmtId="0" fontId="37" fillId="32" borderId="0" xfId="0" applyFont="1" applyFill="1" applyBorder="1" applyAlignment="1">
      <alignment horizontal="centerContinuous"/>
    </xf>
    <xf numFmtId="0" fontId="38" fillId="0" borderId="0" xfId="0" applyFont="1"/>
    <xf numFmtId="0" fontId="37" fillId="32" borderId="0" xfId="0" applyFont="1" applyFill="1" applyBorder="1"/>
    <xf numFmtId="0" fontId="35" fillId="0" borderId="0" xfId="0" applyFont="1"/>
    <xf numFmtId="184" fontId="25" fillId="0" borderId="0" xfId="13" applyNumberFormat="1" applyBorder="1">
      <protection locked="0"/>
    </xf>
    <xf numFmtId="185" fontId="25" fillId="0" borderId="0" xfId="13" applyNumberFormat="1" applyBorder="1">
      <protection locked="0"/>
    </xf>
    <xf numFmtId="0" fontId="0" fillId="0" borderId="17" xfId="14" applyFont="1"/>
    <xf numFmtId="49" fontId="15" fillId="0" borderId="0" xfId="7" applyFill="1" applyAlignment="1">
      <alignment horizontal="left"/>
    </xf>
    <xf numFmtId="0" fontId="0" fillId="0" borderId="0" xfId="0" applyBorder="1" applyAlignment="1">
      <alignment wrapText="1"/>
    </xf>
    <xf numFmtId="165" fontId="35" fillId="0" borderId="21" xfId="52" quotePrefix="1" applyNumberFormat="1" applyFont="1" applyBorder="1" applyAlignment="1">
      <alignment horizontal="left" wrapText="1"/>
    </xf>
    <xf numFmtId="186" fontId="25" fillId="0" borderId="24" xfId="13" applyNumberFormat="1" applyBorder="1">
      <protection locked="0"/>
    </xf>
    <xf numFmtId="0" fontId="17" fillId="0" borderId="0" xfId="52" applyFill="1" applyBorder="1" applyAlignment="1">
      <alignment horizontal="left" wrapText="1"/>
    </xf>
    <xf numFmtId="9" fontId="25" fillId="0" borderId="17" xfId="67" applyNumberFormat="1" applyFont="1" applyBorder="1" applyProtection="1">
      <protection locked="0"/>
    </xf>
    <xf numFmtId="0" fontId="21" fillId="32" borderId="0" xfId="0" applyFont="1" applyFill="1" applyBorder="1" applyAlignment="1">
      <alignment horizontal="centerContinuous"/>
    </xf>
    <xf numFmtId="49" fontId="26" fillId="0" borderId="0" xfId="5" applyFont="1" applyFill="1" applyAlignment="1">
      <alignment horizontal="centerContinuous"/>
    </xf>
    <xf numFmtId="169" fontId="0" fillId="0" borderId="15" xfId="14" applyNumberFormat="1" applyFont="1" applyFill="1" applyBorder="1" applyAlignment="1">
      <alignment wrapText="1"/>
    </xf>
    <xf numFmtId="49" fontId="14" fillId="0" borderId="16" xfId="6" applyFill="1" applyBorder="1" applyAlignment="1">
      <alignment horizontal="left"/>
    </xf>
    <xf numFmtId="0" fontId="39" fillId="0" borderId="0" xfId="69" applyFont="1" applyAlignment="1">
      <alignment horizontal="left" indent="1"/>
    </xf>
    <xf numFmtId="3" fontId="1" fillId="0" borderId="21" xfId="14" applyNumberFormat="1" applyBorder="1"/>
    <xf numFmtId="49" fontId="14" fillId="0" borderId="0" xfId="6" applyFill="1" applyBorder="1" applyAlignment="1"/>
    <xf numFmtId="0" fontId="21" fillId="0" borderId="10" xfId="0" applyFont="1" applyFill="1" applyBorder="1" applyAlignment="1">
      <alignment horizontal="centerContinuous"/>
    </xf>
    <xf numFmtId="0" fontId="12" fillId="0" borderId="0" xfId="0" applyFont="1" applyFill="1" applyBorder="1" applyAlignment="1">
      <alignment horizontal="centerContinuous"/>
    </xf>
    <xf numFmtId="9" fontId="25" fillId="0" borderId="17" xfId="67" applyFont="1" applyBorder="1" applyProtection="1">
      <protection locked="0"/>
    </xf>
    <xf numFmtId="10" fontId="25" fillId="0" borderId="17" xfId="67" applyNumberFormat="1" applyFont="1" applyBorder="1" applyProtection="1">
      <protection locked="0"/>
    </xf>
    <xf numFmtId="10" fontId="27" fillId="0" borderId="17" xfId="67" applyNumberFormat="1" applyFont="1" applyBorder="1"/>
    <xf numFmtId="10" fontId="0" fillId="0" borderId="0" xfId="0" applyNumberFormat="1"/>
    <xf numFmtId="49" fontId="16" fillId="0" borderId="0" xfId="8" applyFill="1" applyBorder="1">
      <alignment horizontal="left"/>
    </xf>
    <xf numFmtId="173" fontId="40" fillId="0" borderId="17" xfId="13" applyNumberFormat="1" applyFont="1" applyAlignment="1">
      <protection locked="0"/>
    </xf>
    <xf numFmtId="2" fontId="17" fillId="0" borderId="0" xfId="52" applyNumberFormat="1" applyFill="1" applyBorder="1" applyAlignment="1">
      <alignment horizontal="left" wrapText="1"/>
    </xf>
    <xf numFmtId="49" fontId="15" fillId="0" borderId="0" xfId="6" applyFont="1"/>
    <xf numFmtId="0" fontId="41" fillId="0" borderId="0" xfId="0" applyFont="1"/>
    <xf numFmtId="184" fontId="41" fillId="0" borderId="0" xfId="0" applyNumberFormat="1" applyFont="1"/>
    <xf numFmtId="187" fontId="0" fillId="0" borderId="0" xfId="67" applyNumberFormat="1" applyFont="1"/>
    <xf numFmtId="49" fontId="20" fillId="35" borderId="0" xfId="20" applyFill="1">
      <alignment horizontal="left" indent="1"/>
    </xf>
    <xf numFmtId="184" fontId="0" fillId="0" borderId="0" xfId="0" applyNumberFormat="1" applyBorder="1"/>
    <xf numFmtId="10" fontId="1" fillId="0" borderId="0" xfId="67" applyNumberFormat="1" applyFont="1"/>
    <xf numFmtId="2" fontId="17" fillId="0" borderId="21" xfId="52" applyNumberFormat="1" applyBorder="1" applyAlignment="1">
      <alignment horizontal="left" wrapText="1"/>
    </xf>
    <xf numFmtId="2" fontId="17" fillId="0" borderId="29" xfId="52" applyNumberFormat="1" applyBorder="1" applyAlignment="1">
      <alignment horizontal="left" wrapText="1"/>
    </xf>
    <xf numFmtId="0" fontId="1" fillId="0" borderId="21" xfId="14" applyBorder="1"/>
    <xf numFmtId="10" fontId="27" fillId="0" borderId="21" xfId="67" applyNumberFormat="1" applyFont="1" applyBorder="1"/>
    <xf numFmtId="0" fontId="0" fillId="0" borderId="29" xfId="14" applyFont="1" applyBorder="1"/>
    <xf numFmtId="9" fontId="25" fillId="0" borderId="29" xfId="67" applyFont="1" applyBorder="1" applyProtection="1">
      <protection locked="0"/>
    </xf>
    <xf numFmtId="10" fontId="25" fillId="0" borderId="29" xfId="67" applyNumberFormat="1" applyFont="1" applyBorder="1" applyProtection="1">
      <protection locked="0"/>
    </xf>
    <xf numFmtId="2" fontId="35" fillId="0" borderId="17" xfId="52" applyNumberFormat="1" applyFont="1" applyAlignment="1">
      <alignment horizontal="left" wrapText="1"/>
    </xf>
    <xf numFmtId="0" fontId="25" fillId="0" borderId="17" xfId="51" applyNumberFormat="1" applyFont="1"/>
    <xf numFmtId="49" fontId="15" fillId="0" borderId="0" xfId="6" applyFont="1" applyFill="1"/>
    <xf numFmtId="0" fontId="0" fillId="0" borderId="0" xfId="0" applyFill="1"/>
    <xf numFmtId="184" fontId="20" fillId="0" borderId="0" xfId="66" applyNumberFormat="1" applyFont="1" applyAlignment="1">
      <alignment horizontal="left" indent="1"/>
    </xf>
    <xf numFmtId="9" fontId="27" fillId="0" borderId="17" xfId="67" applyNumberFormat="1" applyFont="1" applyBorder="1"/>
    <xf numFmtId="0" fontId="17" fillId="0" borderId="25" xfId="52" applyBorder="1" applyAlignment="1">
      <alignment horizontal="left" wrapText="1" indent="1"/>
    </xf>
    <xf numFmtId="169" fontId="35" fillId="0" borderId="17" xfId="52" applyNumberFormat="1" applyFont="1" applyAlignment="1">
      <alignment horizontal="left" wrapText="1"/>
    </xf>
    <xf numFmtId="1" fontId="27" fillId="0" borderId="17" xfId="67" applyNumberFormat="1" applyFont="1" applyBorder="1"/>
    <xf numFmtId="173" fontId="44" fillId="0" borderId="17" xfId="53" applyFont="1" applyFill="1" applyBorder="1" applyAlignment="1"/>
    <xf numFmtId="2" fontId="27" fillId="0" borderId="17" xfId="67" applyNumberFormat="1" applyFont="1" applyBorder="1"/>
    <xf numFmtId="183" fontId="43" fillId="39" borderId="0" xfId="52" quotePrefix="1" applyNumberFormat="1" applyFont="1" applyFill="1" applyBorder="1" applyAlignment="1">
      <alignment horizontal="center" wrapText="1"/>
    </xf>
    <xf numFmtId="173" fontId="45" fillId="39" borderId="0" xfId="52" applyNumberFormat="1" applyFont="1" applyFill="1" applyBorder="1" applyAlignment="1">
      <alignment horizontal="center" vertical="center" wrapText="1"/>
    </xf>
    <xf numFmtId="173" fontId="42" fillId="39" borderId="0" xfId="52" applyNumberFormat="1" applyFont="1" applyFill="1" applyBorder="1" applyAlignment="1">
      <alignment horizontal="center" vertical="center" wrapText="1"/>
    </xf>
    <xf numFmtId="0" fontId="39" fillId="0" borderId="0" xfId="69" applyFont="1" applyAlignment="1">
      <alignment horizontal="left"/>
    </xf>
    <xf numFmtId="2" fontId="27" fillId="0" borderId="0" xfId="0" applyNumberFormat="1" applyFont="1"/>
    <xf numFmtId="2" fontId="46" fillId="0" borderId="17" xfId="67" applyNumberFormat="1" applyFont="1" applyBorder="1"/>
    <xf numFmtId="3" fontId="47" fillId="0" borderId="17" xfId="14" applyNumberFormat="1" applyFont="1"/>
    <xf numFmtId="9" fontId="0" fillId="0" borderId="0" xfId="67" applyFont="1"/>
    <xf numFmtId="10" fontId="0" fillId="0" borderId="0" xfId="67" applyNumberFormat="1" applyFont="1" applyBorder="1"/>
    <xf numFmtId="2" fontId="25" fillId="0" borderId="17" xfId="13" applyNumberFormat="1">
      <protection locked="0"/>
    </xf>
    <xf numFmtId="3" fontId="48" fillId="0" borderId="17" xfId="14" applyNumberFormat="1" applyFont="1"/>
    <xf numFmtId="2" fontId="48" fillId="0" borderId="0" xfId="0" applyNumberFormat="1" applyFont="1"/>
    <xf numFmtId="9" fontId="48" fillId="0" borderId="17" xfId="14" applyNumberFormat="1" applyFont="1"/>
    <xf numFmtId="3" fontId="48" fillId="0" borderId="29" xfId="14" applyNumberFormat="1" applyFont="1" applyBorder="1"/>
    <xf numFmtId="4" fontId="48" fillId="0" borderId="17" xfId="14" applyNumberFormat="1" applyFont="1"/>
    <xf numFmtId="0" fontId="43" fillId="0" borderId="17" xfId="52" applyFont="1" applyAlignment="1">
      <alignment horizontal="left" wrapText="1"/>
    </xf>
    <xf numFmtId="0" fontId="43" fillId="0" borderId="17" xfId="52" applyFont="1" applyAlignment="1">
      <alignment horizontal="left" wrapText="1" indent="1"/>
    </xf>
    <xf numFmtId="186" fontId="25" fillId="0" borderId="0" xfId="13" applyNumberFormat="1" applyBorder="1">
      <protection locked="0"/>
    </xf>
    <xf numFmtId="2" fontId="13" fillId="0" borderId="17" xfId="67" applyNumberFormat="1" applyFont="1" applyBorder="1"/>
    <xf numFmtId="184" fontId="49" fillId="0" borderId="0" xfId="0" applyNumberFormat="1" applyFont="1"/>
    <xf numFmtId="0" fontId="49" fillId="0" borderId="0" xfId="0" applyFont="1"/>
    <xf numFmtId="0" fontId="50" fillId="0" borderId="17" xfId="52" applyFont="1" applyAlignment="1">
      <alignment horizontal="left" wrapText="1"/>
    </xf>
    <xf numFmtId="165" fontId="51" fillId="0" borderId="17" xfId="52" quotePrefix="1" applyNumberFormat="1" applyFont="1" applyAlignment="1">
      <alignment horizontal="left" wrapText="1"/>
    </xf>
    <xf numFmtId="3" fontId="51" fillId="0" borderId="17" xfId="14" applyNumberFormat="1" applyFont="1" applyAlignment="1">
      <alignment horizontal="right"/>
    </xf>
    <xf numFmtId="0" fontId="10" fillId="40" borderId="0" xfId="0" applyFont="1" applyFill="1"/>
    <xf numFmtId="0" fontId="0" fillId="40" borderId="0" xfId="0" applyFill="1"/>
    <xf numFmtId="10" fontId="10" fillId="40" borderId="0" xfId="67" applyNumberFormat="1" applyFont="1" applyFill="1"/>
    <xf numFmtId="184" fontId="25" fillId="40" borderId="17" xfId="13" applyNumberFormat="1" applyFill="1">
      <protection locked="0"/>
    </xf>
    <xf numFmtId="2" fontId="46" fillId="0" borderId="17" xfId="67" applyNumberFormat="1" applyFont="1" applyFill="1" applyBorder="1"/>
    <xf numFmtId="2" fontId="48" fillId="0" borderId="0" xfId="0" applyNumberFormat="1" applyFont="1" applyFill="1"/>
    <xf numFmtId="2" fontId="52" fillId="40" borderId="17" xfId="52" applyNumberFormat="1" applyFont="1" applyFill="1" applyAlignment="1">
      <alignment horizontal="left" wrapText="1"/>
    </xf>
    <xf numFmtId="169" fontId="53" fillId="40" borderId="17" xfId="52" applyNumberFormat="1" applyFont="1" applyFill="1" applyAlignment="1">
      <alignment horizontal="left" wrapText="1"/>
    </xf>
    <xf numFmtId="188" fontId="10" fillId="40" borderId="17" xfId="67" applyNumberFormat="1" applyFont="1" applyFill="1" applyBorder="1"/>
    <xf numFmtId="3" fontId="48" fillId="0" borderId="17" xfId="14" applyNumberFormat="1" applyFont="1" applyFill="1"/>
    <xf numFmtId="3" fontId="1" fillId="0" borderId="17" xfId="14" applyNumberFormat="1" applyFill="1"/>
    <xf numFmtId="9" fontId="48" fillId="0" borderId="17" xfId="14" applyNumberFormat="1" applyFont="1" applyFill="1"/>
    <xf numFmtId="186" fontId="25" fillId="0" borderId="17" xfId="13" applyNumberFormat="1" applyFill="1">
      <protection locked="0"/>
    </xf>
    <xf numFmtId="0" fontId="0" fillId="0" borderId="0" xfId="0" applyAlignment="1">
      <alignment horizontal="right"/>
    </xf>
    <xf numFmtId="165" fontId="35" fillId="0" borderId="0" xfId="52" applyNumberFormat="1" applyFont="1" applyFill="1" applyBorder="1" applyAlignment="1">
      <alignment horizontal="left" wrapText="1"/>
    </xf>
    <xf numFmtId="164" fontId="0" fillId="0" borderId="0" xfId="66" applyFont="1"/>
    <xf numFmtId="10" fontId="0" fillId="0" borderId="0" xfId="0" applyNumberFormat="1" applyFill="1"/>
    <xf numFmtId="9" fontId="0" fillId="0" borderId="0" xfId="0" applyNumberFormat="1"/>
    <xf numFmtId="3" fontId="1" fillId="0" borderId="27" xfId="14" applyNumberFormat="1" applyFill="1" applyBorder="1"/>
    <xf numFmtId="3" fontId="0" fillId="0" borderId="24" xfId="0" applyNumberFormat="1" applyFill="1" applyBorder="1"/>
    <xf numFmtId="0" fontId="17" fillId="40" borderId="17" xfId="52" applyFill="1" applyAlignment="1">
      <alignment horizontal="left" wrapText="1"/>
    </xf>
    <xf numFmtId="165" fontId="35" fillId="40" borderId="17" xfId="52" quotePrefix="1" applyNumberFormat="1" applyFont="1" applyFill="1" applyAlignment="1">
      <alignment horizontal="left" wrapText="1"/>
    </xf>
    <xf numFmtId="3" fontId="1" fillId="40" borderId="17" xfId="14" applyNumberFormat="1" applyFill="1"/>
    <xf numFmtId="0" fontId="0" fillId="41" borderId="0" xfId="0" applyFill="1"/>
    <xf numFmtId="0" fontId="17" fillId="42" borderId="0" xfId="52" applyFill="1" applyBorder="1" applyAlignment="1">
      <alignment horizontal="left" wrapText="1"/>
    </xf>
    <xf numFmtId="0" fontId="0" fillId="42" borderId="0" xfId="0" applyFill="1"/>
    <xf numFmtId="0" fontId="0" fillId="41" borderId="0" xfId="0" applyFill="1" applyAlignment="1">
      <alignment horizontal="right"/>
    </xf>
    <xf numFmtId="164" fontId="0" fillId="41" borderId="0" xfId="66" applyFont="1" applyFill="1"/>
    <xf numFmtId="10" fontId="27" fillId="0" borderId="21" xfId="67" applyNumberFormat="1" applyFont="1" applyFill="1" applyBorder="1"/>
    <xf numFmtId="164" fontId="0" fillId="43" borderId="0" xfId="66" applyFont="1" applyFill="1"/>
    <xf numFmtId="0" fontId="0" fillId="43" borderId="0" xfId="0" applyFill="1" applyAlignment="1">
      <alignment horizontal="right"/>
    </xf>
    <xf numFmtId="0" fontId="0" fillId="43" borderId="0" xfId="0" applyFill="1"/>
    <xf numFmtId="184" fontId="25" fillId="0" borderId="17" xfId="13" applyNumberFormat="1" applyFill="1">
      <protection locked="0"/>
    </xf>
    <xf numFmtId="164" fontId="0" fillId="44" borderId="0" xfId="66" applyFont="1" applyFill="1"/>
    <xf numFmtId="9" fontId="0" fillId="0" borderId="0" xfId="0" applyNumberFormat="1" applyFill="1"/>
    <xf numFmtId="184" fontId="10" fillId="40" borderId="0" xfId="0" applyNumberFormat="1" applyFont="1" applyFill="1"/>
    <xf numFmtId="49" fontId="54" fillId="40" borderId="0" xfId="20" applyFont="1" applyFill="1">
      <alignment horizontal="left" indent="1"/>
    </xf>
    <xf numFmtId="43" fontId="0" fillId="0" borderId="0" xfId="0" applyNumberFormat="1"/>
    <xf numFmtId="10" fontId="0" fillId="0" borderId="0" xfId="67" applyNumberFormat="1" applyFont="1"/>
    <xf numFmtId="0" fontId="0" fillId="0" borderId="0" xfId="0" applyNumberFormat="1" applyFill="1"/>
    <xf numFmtId="0" fontId="0" fillId="0" borderId="0" xfId="0" applyNumberFormat="1"/>
    <xf numFmtId="9" fontId="0" fillId="40" borderId="0" xfId="0" applyNumberFormat="1" applyFill="1"/>
    <xf numFmtId="1" fontId="0" fillId="0" borderId="0" xfId="0" applyNumberFormat="1" applyFill="1"/>
    <xf numFmtId="189" fontId="0" fillId="0" borderId="0" xfId="0" applyNumberFormat="1" applyFill="1"/>
    <xf numFmtId="0" fontId="2" fillId="43" borderId="0" xfId="0" applyFont="1" applyFill="1"/>
    <xf numFmtId="164" fontId="2" fillId="43" borderId="0" xfId="66" applyFont="1" applyFill="1"/>
    <xf numFmtId="0" fontId="0" fillId="0" borderId="0" xfId="0" applyFill="1" applyAlignment="1">
      <alignment horizontal="right"/>
    </xf>
    <xf numFmtId="3" fontId="0" fillId="0" borderId="0" xfId="0" applyNumberFormat="1" applyFill="1"/>
    <xf numFmtId="164" fontId="55" fillId="43" borderId="0" xfId="66" applyFont="1" applyFill="1"/>
    <xf numFmtId="164" fontId="56" fillId="43" borderId="0" xfId="66" applyFont="1" applyFill="1"/>
    <xf numFmtId="164" fontId="56" fillId="44" borderId="0" xfId="66" applyFont="1" applyFill="1"/>
    <xf numFmtId="164" fontId="55" fillId="0" borderId="0" xfId="0" applyNumberFormat="1" applyFont="1"/>
    <xf numFmtId="165" fontId="43" fillId="32" borderId="0" xfId="52" applyNumberFormat="1" applyFont="1" applyFill="1" applyBorder="1" applyAlignment="1">
      <alignment horizontal="left" wrapText="1"/>
    </xf>
    <xf numFmtId="0" fontId="2" fillId="32" borderId="0" xfId="0" applyFont="1" applyFill="1"/>
    <xf numFmtId="164" fontId="2" fillId="32" borderId="0" xfId="66" applyFont="1" applyFill="1"/>
    <xf numFmtId="0" fontId="9" fillId="45" borderId="0" xfId="0" applyFont="1" applyFill="1"/>
    <xf numFmtId="0" fontId="11" fillId="45" borderId="0" xfId="0" applyFont="1" applyFill="1"/>
    <xf numFmtId="10" fontId="11" fillId="45" borderId="0" xfId="0" applyNumberFormat="1" applyFont="1" applyFill="1"/>
    <xf numFmtId="0" fontId="17" fillId="40" borderId="26" xfId="52" applyFill="1" applyBorder="1" applyAlignment="1">
      <alignment horizontal="left" wrapText="1"/>
    </xf>
    <xf numFmtId="3" fontId="1" fillId="40" borderId="24" xfId="14" applyNumberFormat="1" applyFill="1" applyBorder="1"/>
    <xf numFmtId="3" fontId="1" fillId="40" borderId="27" xfId="14" applyNumberFormat="1" applyFill="1" applyBorder="1"/>
    <xf numFmtId="0" fontId="52" fillId="0" borderId="0" xfId="52" applyFont="1" applyFill="1" applyBorder="1" applyAlignment="1">
      <alignment horizontal="left" wrapText="1"/>
    </xf>
    <xf numFmtId="0" fontId="10" fillId="0" borderId="0" xfId="0" applyFont="1"/>
    <xf numFmtId="0" fontId="10" fillId="0" borderId="0" xfId="0" applyFont="1" applyAlignment="1">
      <alignment horizontal="center"/>
    </xf>
    <xf numFmtId="0" fontId="0" fillId="0" borderId="21" xfId="14" applyFont="1" applyFill="1" applyBorder="1" applyAlignment="1">
      <alignment vertical="top" wrapText="1"/>
    </xf>
    <xf numFmtId="0" fontId="1" fillId="0" borderId="21" xfId="14" applyFill="1" applyBorder="1" applyAlignment="1">
      <alignment wrapText="1"/>
    </xf>
    <xf numFmtId="3" fontId="10" fillId="0" borderId="0" xfId="0" applyNumberFormat="1" applyFont="1"/>
  </cellXfs>
  <cellStyles count="79">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645F3A"/>
      <color rgb="FFC9C4A3"/>
      <color rgb="FFC00000"/>
      <color rgb="FFEAE8DA"/>
      <color rgb="FFB0A9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57150</xdr:rowOff>
    </xdr:from>
    <xdr:to>
      <xdr:col>1</xdr:col>
      <xdr:colOff>815956</xdr:colOff>
      <xdr:row>1</xdr:row>
      <xdr:rowOff>767969</xdr:rowOff>
    </xdr:to>
    <xdr:pic>
      <xdr:nvPicPr>
        <xdr:cNvPr id="4" name="Picture 3">
          <a:extLst>
            <a:ext uri="{FF2B5EF4-FFF2-40B4-BE49-F238E27FC236}">
              <a16:creationId xmlns:a16="http://schemas.microsoft.com/office/drawing/2014/main" id="{176A5812-3E3B-4333-AC41-3E7F165A9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7650"/>
          <a:ext cx="2339956" cy="710819"/>
        </a:xfrm>
        <a:prstGeom prst="rect">
          <a:avLst/>
        </a:prstGeom>
      </xdr:spPr>
    </xdr:pic>
    <xdr:clientData/>
  </xdr:twoCellAnchor>
  <xdr:twoCellAnchor editAs="oneCell">
    <xdr:from>
      <xdr:col>0</xdr:col>
      <xdr:colOff>304800</xdr:colOff>
      <xdr:row>3</xdr:row>
      <xdr:rowOff>247650</xdr:rowOff>
    </xdr:from>
    <xdr:to>
      <xdr:col>4</xdr:col>
      <xdr:colOff>104775</xdr:colOff>
      <xdr:row>21</xdr:row>
      <xdr:rowOff>133350</xdr:rowOff>
    </xdr:to>
    <xdr:pic>
      <xdr:nvPicPr>
        <xdr:cNvPr id="7" name="Picture 6" descr="Fibre Summary Document-cover template">
          <a:extLst>
            <a:ext uri="{FF2B5EF4-FFF2-40B4-BE49-F238E27FC236}">
              <a16:creationId xmlns:a16="http://schemas.microsoft.com/office/drawing/2014/main" id="{382D9398-4058-4A3A-B400-A461A6236EB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04800" y="1952625"/>
          <a:ext cx="8782050" cy="4038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The modelling assumes a 'financial loss year' of 30 June, with part years in 2011/12 and 2021/22</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are entered in the Inputs worksheet. All inputs are illustrative only and not intended to relate to any specific</a:t>
          </a:r>
          <a:r>
            <a:rPr lang="en-NZ" sz="1100" baseline="0">
              <a:latin typeface="Calibri" panose="020F0502020204030204" pitchFamily="34" charset="0"/>
              <a:cs typeface="Calibri" panose="020F0502020204030204" pitchFamily="34" charset="0"/>
            </a:rPr>
            <a:t> regulated provider</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4.   </a:t>
          </a:r>
          <a:r>
            <a:rPr lang="en-NZ" sz="1100" baseline="0">
              <a:latin typeface="Calibri" panose="020F0502020204030204" pitchFamily="34" charset="0"/>
              <a:cs typeface="Calibri" panose="020F0502020204030204" pitchFamily="34" charset="0"/>
            </a:rPr>
            <a:t>The model makes a number of simplifying assumptions. For example:</a:t>
          </a:r>
        </a:p>
        <a:p>
          <a:r>
            <a:rPr lang="en-NZ" sz="1100" baseline="0">
              <a:latin typeface="Calibri" panose="020F0502020204030204" pitchFamily="34" charset="0"/>
              <a:cs typeface="Calibri" panose="020F0502020204030204" pitchFamily="34" charset="0"/>
            </a:rPr>
            <a:t>       - regulatory depreciation and tax depreciation are calculated on a straight-line basis using an illustrative average asset life</a:t>
          </a:r>
        </a:p>
        <a:p>
          <a:r>
            <a:rPr lang="en-NZ" sz="1100" baseline="0">
              <a:latin typeface="Calibri" panose="020F0502020204030204" pitchFamily="34" charset="0"/>
              <a:cs typeface="Calibri" panose="020F0502020204030204" pitchFamily="34" charset="0"/>
            </a:rPr>
            <a:t>       - the present value benefit of Crown financing is calculated using a compounding factor based on the post-tax WACC (not post-tax cost of debt, or cost of equity)</a:t>
          </a:r>
        </a:p>
        <a:p>
          <a:r>
            <a:rPr lang="en-NZ" sz="1100" b="0" baseline="0">
              <a:solidFill>
                <a:schemeClr val="tx1"/>
              </a:solidFill>
              <a:latin typeface="Calibri" panose="020F0502020204030204" pitchFamily="34" charset="0"/>
              <a:cs typeface="Calibri" panose="020F0502020204030204" pitchFamily="34" charset="0"/>
            </a:rPr>
            <a:t>       - WACC inputs are illustrative only and are not intended to reflect observed parameters</a:t>
          </a:r>
        </a:p>
        <a:p>
          <a:r>
            <a:rPr lang="en-NZ" sz="1100">
              <a:latin typeface="Calibri" panose="020F0502020204030204" pitchFamily="34" charset="0"/>
              <a:cs typeface="Calibri" panose="020F0502020204030204" pitchFamily="34" charset="0"/>
            </a:rPr>
            <a:t>       - opening and closing cost allocation values are set to 100% during the loss period. These can be changed on the Inputs</a:t>
          </a:r>
          <a:r>
            <a:rPr lang="en-NZ" sz="1100" baseline="0">
              <a:latin typeface="Calibri" panose="020F0502020204030204" pitchFamily="34" charset="0"/>
              <a:cs typeface="Calibri" panose="020F0502020204030204" pitchFamily="34" charset="0"/>
            </a:rPr>
            <a:t> worksheet (row 16) to observe the effect of changing cost allocation.</a:t>
          </a:r>
        </a:p>
        <a:p>
          <a:r>
            <a:rPr lang="en-NZ" sz="1100" baseline="0">
              <a:latin typeface="Calibri" panose="020F0502020204030204" pitchFamily="34" charset="0"/>
              <a:cs typeface="Calibri" panose="020F0502020204030204" pitchFamily="34" charset="0"/>
            </a:rPr>
            <a:t>        - the value of pre-2011 assets at the start date of 1 December 2011 is set to nil. This can be changed on the Inputs worksheet (cell C8) to observe the effect of including pre-2011 assets.</a:t>
          </a:r>
          <a:endParaRPr lang="en-NZ" sz="1100">
            <a:latin typeface="Calibri" panose="020F0502020204030204" pitchFamily="34" charset="0"/>
            <a:cs typeface="Calibri" panose="020F0502020204030204" pitchFamily="34" charset="0"/>
          </a:endParaRPr>
        </a:p>
        <a:p>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 on the Inputs worksheet.</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on the DCF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DCF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t>
          </a:r>
          <a:endParaRPr lang="en-NZ" sz="1100" b="0">
            <a:latin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r/Documents/Steve/Workplan/Cashflow%20timing/Financial-model-EDB-DPP3-updated-draft-25-Septembe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EDB data"/>
      <sheetName val="TIMING"/>
      <sheetName val="RAB"/>
      <sheetName val="TAX"/>
      <sheetName val="BBAR"/>
      <sheetName val="MAR"/>
      <sheetName val="IRR"/>
      <sheetName val="Outputs"/>
      <sheetName val="Chartbook outputs"/>
    </sheetNames>
    <sheetDataSet>
      <sheetData sheetId="0"/>
      <sheetData sheetId="1"/>
      <sheetData sheetId="2"/>
      <sheetData sheetId="3"/>
      <sheetData sheetId="4">
        <row r="9">
          <cell r="B9">
            <v>4.5699999999999998E-2</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D22"/>
  <sheetViews>
    <sheetView showGridLines="0" view="pageBreakPreview" topLeftCell="A4" zoomScaleNormal="100" zoomScaleSheetLayoutView="100" workbookViewId="0"/>
  </sheetViews>
  <sheetFormatPr defaultColWidth="9.140625" defaultRowHeight="15" x14ac:dyDescent="0.25"/>
  <cols>
    <col min="1" max="1" width="26.5703125" style="1" customWidth="1"/>
    <col min="2" max="2" width="43.140625" style="1" customWidth="1"/>
    <col min="3" max="3" width="32.7109375" style="1" customWidth="1"/>
    <col min="4" max="4" width="32.28515625" style="1" customWidth="1"/>
    <col min="5" max="16384" width="9.140625" style="1"/>
  </cols>
  <sheetData>
    <row r="1" spans="1:4" ht="15" customHeight="1" x14ac:dyDescent="0.25">
      <c r="A1" s="15"/>
      <c r="B1" s="16"/>
      <c r="C1" s="16"/>
      <c r="D1" s="17"/>
    </row>
    <row r="2" spans="1:4" ht="96.75" customHeight="1" x14ac:dyDescent="0.25">
      <c r="A2" s="24"/>
      <c r="B2" s="11"/>
      <c r="C2" s="11"/>
      <c r="D2" s="7"/>
    </row>
    <row r="3" spans="1:4" ht="22.5" customHeight="1" x14ac:dyDescent="0.4">
      <c r="A3" s="73" t="s">
        <v>18</v>
      </c>
      <c r="B3" s="72"/>
      <c r="C3" s="6"/>
      <c r="D3" s="5"/>
    </row>
    <row r="4" spans="1:4" ht="22.5" customHeight="1" x14ac:dyDescent="0.4">
      <c r="A4" s="25" t="s">
        <v>146</v>
      </c>
      <c r="B4" s="6"/>
      <c r="C4" s="6"/>
      <c r="D4" s="5"/>
    </row>
    <row r="5" spans="1:4" ht="22.5" customHeight="1" x14ac:dyDescent="0.4">
      <c r="A5" s="25" t="s">
        <v>138</v>
      </c>
      <c r="B5" s="6"/>
      <c r="C5" s="6"/>
      <c r="D5" s="5"/>
    </row>
    <row r="6" spans="1:4" ht="22.5" customHeight="1" x14ac:dyDescent="0.4">
      <c r="A6" s="25"/>
      <c r="B6" s="6"/>
      <c r="C6" s="6"/>
      <c r="D6" s="5"/>
    </row>
    <row r="7" spans="1:4" ht="22.5" customHeight="1" x14ac:dyDescent="0.4">
      <c r="A7" s="25"/>
      <c r="B7" s="59"/>
      <c r="C7" s="59"/>
      <c r="D7" s="6"/>
    </row>
    <row r="8" spans="1:4" x14ac:dyDescent="0.25">
      <c r="B8" s="60"/>
      <c r="C8" s="60"/>
    </row>
    <row r="9" spans="1:4" x14ac:dyDescent="0.25">
      <c r="B9" s="60"/>
      <c r="C9" s="60"/>
    </row>
    <row r="10" spans="1:4" x14ac:dyDescent="0.25">
      <c r="B10" s="60"/>
      <c r="C10" s="60"/>
    </row>
    <row r="11" spans="1:4" ht="42" customHeight="1" x14ac:dyDescent="0.25">
      <c r="A11" s="24"/>
      <c r="B11" s="61"/>
      <c r="C11" s="61"/>
      <c r="D11" s="7"/>
    </row>
    <row r="12" spans="1:4" ht="15" customHeight="1" x14ac:dyDescent="0.25">
      <c r="A12" s="24"/>
      <c r="B12" s="18"/>
      <c r="C12" s="18"/>
      <c r="D12" s="10"/>
    </row>
    <row r="13" spans="1:4" ht="15" customHeight="1" x14ac:dyDescent="0.25">
      <c r="A13" s="9"/>
      <c r="B13" s="18"/>
      <c r="C13" s="18"/>
      <c r="D13" s="7"/>
    </row>
    <row r="14" spans="1:4" ht="15" customHeight="1" x14ac:dyDescent="0.25">
      <c r="A14" s="9"/>
      <c r="B14" s="18"/>
      <c r="C14" s="18"/>
      <c r="D14" s="7"/>
    </row>
    <row r="15" spans="1:4" ht="15" customHeight="1" x14ac:dyDescent="0.25">
      <c r="A15" s="9"/>
      <c r="B15" s="18"/>
      <c r="C15" s="18"/>
      <c r="D15" s="7"/>
    </row>
    <row r="16" spans="1:4" ht="15" customHeight="1" x14ac:dyDescent="0.25">
      <c r="A16" s="9"/>
      <c r="B16" s="18"/>
      <c r="C16" s="18"/>
      <c r="D16" s="10"/>
    </row>
    <row r="17" spans="1:4" ht="15" customHeight="1" x14ac:dyDescent="0.25">
      <c r="A17" s="9"/>
      <c r="B17" s="18"/>
      <c r="C17" s="18"/>
      <c r="D17" s="10"/>
    </row>
    <row r="18" spans="1:4" ht="15" customHeight="1" x14ac:dyDescent="0.25">
      <c r="A18" s="9"/>
      <c r="B18" s="18"/>
      <c r="C18" s="18"/>
      <c r="D18" s="7"/>
    </row>
    <row r="19" spans="1:4" ht="15" customHeight="1" x14ac:dyDescent="0.25">
      <c r="A19" s="9"/>
      <c r="B19" s="18"/>
      <c r="C19" s="18"/>
      <c r="D19" s="7"/>
    </row>
    <row r="20" spans="1:4" ht="15" customHeight="1" x14ac:dyDescent="0.25">
      <c r="A20" s="9"/>
      <c r="B20" s="18"/>
      <c r="C20" s="18"/>
      <c r="D20" s="7"/>
    </row>
    <row r="21" spans="1:4" ht="15" customHeight="1" x14ac:dyDescent="0.25">
      <c r="A21" s="79" t="s">
        <v>139</v>
      </c>
      <c r="B21" s="80"/>
      <c r="C21" s="80"/>
      <c r="D21" s="5"/>
    </row>
    <row r="22" spans="1:4" ht="15" customHeight="1" x14ac:dyDescent="0.25">
      <c r="A22" s="4"/>
      <c r="B22" s="3"/>
      <c r="C22" s="3"/>
      <c r="D22" s="2"/>
    </row>
  </sheetData>
  <sheetProtection formatColumns="0" formatRows="0"/>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F21"/>
  <sheetViews>
    <sheetView showGridLines="0" view="pageBreakPreview" zoomScaleNormal="100" zoomScaleSheetLayoutView="100" workbookViewId="0"/>
  </sheetViews>
  <sheetFormatPr defaultColWidth="9.140625" defaultRowHeight="15" x14ac:dyDescent="0.25"/>
  <cols>
    <col min="1" max="1" width="2.7109375" style="1" customWidth="1"/>
    <col min="2" max="2" width="34.7109375" style="1" customWidth="1"/>
    <col min="3" max="3" width="100.7109375" style="1" customWidth="1"/>
    <col min="4" max="5" width="14.7109375" style="1" customWidth="1"/>
    <col min="6" max="6" width="2.7109375" style="1" customWidth="1"/>
    <col min="7" max="16384" width="9.140625" style="1"/>
  </cols>
  <sheetData>
    <row r="1" spans="1:6" ht="26.25" x14ac:dyDescent="0.4">
      <c r="A1" s="12" t="s">
        <v>0</v>
      </c>
      <c r="B1" s="8"/>
      <c r="C1" s="8"/>
      <c r="D1" s="8"/>
      <c r="E1" s="8"/>
      <c r="F1" s="8"/>
    </row>
    <row r="2" spans="1:6" x14ac:dyDescent="0.25">
      <c r="A2" s="19" t="s">
        <v>80</v>
      </c>
      <c r="C2" s="8"/>
      <c r="D2" s="8"/>
      <c r="E2" s="8"/>
      <c r="F2" s="8"/>
    </row>
    <row r="3" spans="1:6" x14ac:dyDescent="0.25">
      <c r="A3" s="8"/>
      <c r="B3" s="8"/>
      <c r="C3" s="8"/>
      <c r="D3" s="8"/>
      <c r="E3" s="8"/>
      <c r="F3" s="8"/>
    </row>
    <row r="4" spans="1:6" ht="23.25" x14ac:dyDescent="0.35">
      <c r="A4" s="8"/>
      <c r="B4" s="78" t="s">
        <v>35</v>
      </c>
      <c r="C4" s="8"/>
      <c r="D4" s="8"/>
      <c r="E4" s="8"/>
      <c r="F4" s="8"/>
    </row>
    <row r="5" spans="1:6" ht="34.5" customHeight="1" x14ac:dyDescent="0.25">
      <c r="A5" s="8"/>
      <c r="B5" s="201" t="s">
        <v>147</v>
      </c>
      <c r="C5" s="202"/>
      <c r="D5" s="202"/>
      <c r="E5" s="202"/>
      <c r="F5" s="8"/>
    </row>
    <row r="6" spans="1:6" ht="9" customHeight="1" x14ac:dyDescent="0.25">
      <c r="A6" s="8"/>
      <c r="B6" s="14"/>
      <c r="C6" s="14"/>
      <c r="D6" s="14"/>
      <c r="E6" s="14"/>
      <c r="F6" s="8"/>
    </row>
    <row r="7" spans="1:6" ht="23.25" x14ac:dyDescent="0.35">
      <c r="A7" s="8"/>
      <c r="B7" s="75" t="s">
        <v>2</v>
      </c>
      <c r="C7" s="20"/>
      <c r="D7" s="21"/>
      <c r="E7" s="22"/>
      <c r="F7" s="8"/>
    </row>
    <row r="8" spans="1:6" ht="216" customHeight="1" x14ac:dyDescent="0.25">
      <c r="A8" s="8"/>
      <c r="B8" s="74"/>
      <c r="C8" s="23"/>
      <c r="D8" s="23"/>
      <c r="E8" s="23"/>
      <c r="F8" s="8"/>
    </row>
    <row r="9" spans="1:6" x14ac:dyDescent="0.25">
      <c r="A9" s="8"/>
      <c r="B9" s="27"/>
      <c r="C9" s="27"/>
      <c r="D9" s="27"/>
      <c r="E9" s="27"/>
      <c r="F9" s="8"/>
    </row>
    <row r="10" spans="1:6" x14ac:dyDescent="0.25">
      <c r="A10" s="8"/>
      <c r="B10" s="26"/>
      <c r="C10" s="26"/>
      <c r="D10" s="26"/>
      <c r="E10" s="26"/>
      <c r="F10" s="8"/>
    </row>
    <row r="11" spans="1:6" x14ac:dyDescent="0.25">
      <c r="A11" s="8"/>
      <c r="B11" s="13"/>
      <c r="C11" s="13"/>
      <c r="D11" s="13"/>
      <c r="E11" s="13"/>
      <c r="F11" s="8"/>
    </row>
    <row r="12" spans="1:6" x14ac:dyDescent="0.25">
      <c r="A12" s="8"/>
      <c r="B12" s="8"/>
      <c r="C12" s="8"/>
      <c r="D12" s="8"/>
      <c r="E12" s="8"/>
      <c r="F12" s="8"/>
    </row>
    <row r="13" spans="1:6" x14ac:dyDescent="0.25">
      <c r="A13" s="8"/>
      <c r="B13" s="8"/>
      <c r="C13" s="8"/>
      <c r="D13" s="8"/>
      <c r="E13" s="8"/>
      <c r="F13" s="8"/>
    </row>
    <row r="14" spans="1:6" x14ac:dyDescent="0.25">
      <c r="A14" s="8"/>
      <c r="B14" s="8"/>
      <c r="C14" s="8"/>
      <c r="D14" s="8"/>
      <c r="E14" s="8"/>
      <c r="F14" s="8"/>
    </row>
    <row r="15" spans="1:6" x14ac:dyDescent="0.25">
      <c r="A15" s="8"/>
      <c r="B15" s="8"/>
      <c r="C15" s="8"/>
      <c r="D15" s="8"/>
      <c r="E15" s="8"/>
      <c r="F15" s="8"/>
    </row>
    <row r="16" spans="1:6"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8"/>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6"/>
    <pageSetUpPr fitToPage="1"/>
  </sheetPr>
  <dimension ref="A1:XFB75"/>
  <sheetViews>
    <sheetView showGridLines="0" topLeftCell="A31" zoomScale="85" zoomScaleNormal="85" zoomScaleSheetLayoutView="100" workbookViewId="0">
      <selection activeCell="C46" sqref="C46"/>
    </sheetView>
  </sheetViews>
  <sheetFormatPr defaultColWidth="9.140625" defaultRowHeight="15" x14ac:dyDescent="0.25"/>
  <cols>
    <col min="1" max="1" width="57.42578125" style="31" customWidth="1"/>
    <col min="2" max="3" width="12" style="1" customWidth="1"/>
    <col min="4" max="14" width="13.42578125" style="1" customWidth="1"/>
    <col min="15" max="15" width="3.140625" style="1" customWidth="1"/>
    <col min="16" max="16" width="13.85546875" style="1" customWidth="1"/>
    <col min="17" max="17" width="54.7109375" style="1" customWidth="1"/>
    <col min="18" max="16384" width="9.140625" style="1"/>
  </cols>
  <sheetData>
    <row r="1" spans="1:35" ht="26.25" x14ac:dyDescent="0.4">
      <c r="A1" s="12" t="s">
        <v>1</v>
      </c>
      <c r="D1" s="63"/>
      <c r="E1" s="63"/>
      <c r="F1" s="63"/>
      <c r="G1" s="63"/>
      <c r="H1" s="63"/>
      <c r="I1" s="63"/>
      <c r="J1" s="63"/>
      <c r="K1" s="63"/>
      <c r="L1" s="64"/>
      <c r="M1" s="64"/>
      <c r="N1" s="64"/>
    </row>
    <row r="2" spans="1:35" x14ac:dyDescent="0.25">
      <c r="A2" s="116" t="s">
        <v>36</v>
      </c>
      <c r="D2" s="63"/>
      <c r="E2" s="63"/>
      <c r="F2" s="63"/>
      <c r="G2" s="63"/>
      <c r="H2" s="63"/>
      <c r="I2" s="63"/>
      <c r="J2" s="63"/>
      <c r="K2" s="63"/>
      <c r="L2" s="63"/>
      <c r="M2" s="63"/>
      <c r="N2" s="63"/>
    </row>
    <row r="3" spans="1:35" x14ac:dyDescent="0.25">
      <c r="A3" s="76"/>
      <c r="D3" s="63"/>
      <c r="E3" s="63"/>
      <c r="F3" s="63"/>
      <c r="G3" s="63"/>
      <c r="H3" s="63"/>
      <c r="I3" s="63"/>
      <c r="J3" s="63"/>
      <c r="K3" s="63"/>
      <c r="L3" s="63"/>
      <c r="M3" s="63"/>
      <c r="N3" s="63"/>
      <c r="P3" s="92" t="s">
        <v>121</v>
      </c>
      <c r="Q3" s="92" t="s">
        <v>2</v>
      </c>
    </row>
    <row r="4" spans="1:35" ht="21" x14ac:dyDescent="0.35">
      <c r="A4" s="66" t="s">
        <v>33</v>
      </c>
      <c r="C4" s="113" t="s">
        <v>63</v>
      </c>
      <c r="D4" s="113" t="s">
        <v>122</v>
      </c>
      <c r="E4" s="113" t="s">
        <v>64</v>
      </c>
      <c r="F4" s="113" t="s">
        <v>64</v>
      </c>
      <c r="G4" s="113" t="s">
        <v>64</v>
      </c>
      <c r="H4" s="113" t="s">
        <v>64</v>
      </c>
      <c r="I4" s="113" t="s">
        <v>64</v>
      </c>
      <c r="J4" s="113" t="s">
        <v>64</v>
      </c>
      <c r="K4" s="113" t="s">
        <v>64</v>
      </c>
      <c r="L4" s="113" t="s">
        <v>64</v>
      </c>
      <c r="M4" s="113" t="s">
        <v>64</v>
      </c>
      <c r="N4" s="113" t="s">
        <v>123</v>
      </c>
      <c r="O4" s="63"/>
      <c r="P4" s="63"/>
    </row>
    <row r="5" spans="1:35" ht="18.75" x14ac:dyDescent="0.3">
      <c r="A5" s="85"/>
      <c r="B5" s="85"/>
      <c r="C5" s="115">
        <f>$C$51</f>
        <v>40878</v>
      </c>
      <c r="D5" s="115">
        <f>$D$51</f>
        <v>41090</v>
      </c>
      <c r="E5" s="115">
        <f>$E$51</f>
        <v>41455</v>
      </c>
      <c r="F5" s="115">
        <f>$F$51</f>
        <v>41820</v>
      </c>
      <c r="G5" s="115">
        <f>$G$51</f>
        <v>42185</v>
      </c>
      <c r="H5" s="115">
        <f>$H$51</f>
        <v>42551</v>
      </c>
      <c r="I5" s="115">
        <f>$I$51</f>
        <v>42916</v>
      </c>
      <c r="J5" s="115">
        <f>$J$51</f>
        <v>43281</v>
      </c>
      <c r="K5" s="115">
        <f>$K$51</f>
        <v>43646</v>
      </c>
      <c r="L5" s="115">
        <f>$L$51</f>
        <v>44012</v>
      </c>
      <c r="M5" s="115">
        <f>$M$51</f>
        <v>44377</v>
      </c>
      <c r="N5" s="115">
        <f>N$51</f>
        <v>44561</v>
      </c>
    </row>
    <row r="6" spans="1:35" s="31" customFormat="1" ht="18.75" x14ac:dyDescent="0.3">
      <c r="A6" s="56" t="s">
        <v>59</v>
      </c>
      <c r="O6" s="93"/>
      <c r="P6" s="93"/>
      <c r="Q6" s="8"/>
      <c r="R6" s="8"/>
      <c r="S6" s="8"/>
      <c r="T6" s="8"/>
      <c r="U6" s="8"/>
      <c r="V6" s="8"/>
      <c r="W6" s="8"/>
      <c r="X6" s="8"/>
      <c r="Y6" s="8"/>
      <c r="Z6" s="8"/>
      <c r="AA6" s="8"/>
      <c r="AB6" s="8"/>
      <c r="AC6" s="8"/>
      <c r="AD6" s="8"/>
      <c r="AE6" s="8"/>
      <c r="AF6" s="8"/>
      <c r="AG6" s="8"/>
      <c r="AH6" s="8"/>
      <c r="AI6" s="67"/>
    </row>
    <row r="7" spans="1:35" x14ac:dyDescent="0.25">
      <c r="A7" s="33" t="s">
        <v>102</v>
      </c>
      <c r="B7" s="58" t="s">
        <v>19</v>
      </c>
      <c r="C7" s="32"/>
      <c r="D7" s="32">
        <v>10</v>
      </c>
      <c r="E7" s="32">
        <f>D7+10</f>
        <v>20</v>
      </c>
      <c r="F7" s="32">
        <v>500</v>
      </c>
      <c r="G7" s="32">
        <v>600</v>
      </c>
      <c r="H7" s="32">
        <f t="shared" ref="H7:N7" si="0">G7+10</f>
        <v>610</v>
      </c>
      <c r="I7" s="32">
        <f t="shared" si="0"/>
        <v>620</v>
      </c>
      <c r="J7" s="32">
        <v>65</v>
      </c>
      <c r="K7" s="32">
        <v>70</v>
      </c>
      <c r="L7" s="32">
        <v>75</v>
      </c>
      <c r="M7" s="32">
        <v>80</v>
      </c>
      <c r="N7" s="32">
        <f t="shared" si="0"/>
        <v>90</v>
      </c>
      <c r="O7" s="93"/>
      <c r="P7" s="30" t="s">
        <v>82</v>
      </c>
      <c r="Q7" s="42" t="s">
        <v>148</v>
      </c>
      <c r="R7" s="8"/>
      <c r="S7" s="8"/>
      <c r="T7" s="8"/>
      <c r="U7" s="8"/>
      <c r="V7" s="8"/>
      <c r="W7" s="8"/>
      <c r="X7" s="8"/>
      <c r="Y7" s="8"/>
      <c r="Z7" s="8"/>
      <c r="AA7" s="8"/>
      <c r="AB7" s="8"/>
      <c r="AC7" s="8"/>
      <c r="AD7" s="8"/>
      <c r="AE7" s="8"/>
      <c r="AF7" s="8"/>
      <c r="AG7" s="8"/>
      <c r="AH7" s="8"/>
      <c r="AI7" s="8"/>
    </row>
    <row r="8" spans="1:35" x14ac:dyDescent="0.25">
      <c r="A8" s="33" t="s">
        <v>128</v>
      </c>
      <c r="B8" s="58" t="s">
        <v>19</v>
      </c>
      <c r="C8" s="140">
        <v>1000</v>
      </c>
      <c r="D8" s="32"/>
      <c r="E8" s="32"/>
      <c r="F8" s="32"/>
      <c r="G8" s="32"/>
      <c r="H8" s="32"/>
      <c r="I8" s="32"/>
      <c r="J8" s="32"/>
      <c r="K8" s="32"/>
      <c r="L8" s="32"/>
      <c r="M8" s="32"/>
      <c r="N8" s="32"/>
      <c r="O8" s="93"/>
      <c r="P8" s="30" t="s">
        <v>82</v>
      </c>
      <c r="Q8" s="42" t="s">
        <v>149</v>
      </c>
      <c r="R8" s="8"/>
      <c r="S8" s="8"/>
      <c r="T8" s="8"/>
      <c r="U8" s="8"/>
      <c r="V8" s="8"/>
      <c r="W8" s="8"/>
      <c r="X8" s="8"/>
      <c r="Y8" s="8"/>
      <c r="Z8" s="8"/>
      <c r="AA8" s="8"/>
      <c r="AB8" s="8"/>
      <c r="AC8" s="8"/>
      <c r="AD8" s="8"/>
      <c r="AE8" s="8"/>
      <c r="AF8" s="8"/>
      <c r="AG8" s="8"/>
      <c r="AH8" s="8"/>
      <c r="AI8" s="8"/>
    </row>
    <row r="9" spans="1:35" x14ac:dyDescent="0.25">
      <c r="A9" s="33" t="s">
        <v>90</v>
      </c>
      <c r="B9" s="58" t="s">
        <v>19</v>
      </c>
      <c r="C9" s="32"/>
      <c r="D9" s="169">
        <v>150</v>
      </c>
      <c r="E9" s="32">
        <v>300</v>
      </c>
      <c r="F9" s="32">
        <v>300</v>
      </c>
      <c r="G9" s="32">
        <v>300</v>
      </c>
      <c r="H9" s="32">
        <v>300</v>
      </c>
      <c r="I9" s="32">
        <v>300</v>
      </c>
      <c r="J9" s="32">
        <v>300</v>
      </c>
      <c r="K9" s="32">
        <v>300</v>
      </c>
      <c r="L9" s="32">
        <v>300</v>
      </c>
      <c r="M9" s="32">
        <v>300</v>
      </c>
      <c r="N9" s="32">
        <v>300</v>
      </c>
      <c r="O9" s="93"/>
      <c r="P9" s="30" t="s">
        <v>82</v>
      </c>
      <c r="Q9" s="42" t="s">
        <v>150</v>
      </c>
      <c r="R9" s="8"/>
      <c r="S9" s="8"/>
      <c r="T9" s="8"/>
      <c r="U9" s="8"/>
      <c r="V9" s="8"/>
      <c r="W9" s="8"/>
      <c r="X9" s="8"/>
      <c r="Y9" s="8"/>
      <c r="Z9" s="8"/>
      <c r="AA9" s="8"/>
      <c r="AB9" s="8"/>
      <c r="AC9" s="8"/>
      <c r="AD9" s="8"/>
      <c r="AE9" s="8"/>
      <c r="AF9" s="8"/>
      <c r="AG9" s="8"/>
      <c r="AH9" s="8"/>
      <c r="AI9" s="8"/>
    </row>
    <row r="10" spans="1:35" x14ac:dyDescent="0.25">
      <c r="A10" s="33" t="s">
        <v>92</v>
      </c>
      <c r="B10" s="58" t="s">
        <v>19</v>
      </c>
      <c r="C10" s="32"/>
      <c r="D10" s="32">
        <v>100</v>
      </c>
      <c r="E10" s="32">
        <v>100</v>
      </c>
      <c r="F10" s="32">
        <v>100</v>
      </c>
      <c r="G10" s="32">
        <v>100</v>
      </c>
      <c r="H10" s="32">
        <v>100</v>
      </c>
      <c r="I10" s="32">
        <v>100</v>
      </c>
      <c r="J10" s="32">
        <v>100</v>
      </c>
      <c r="K10" s="32">
        <v>100</v>
      </c>
      <c r="L10" s="32">
        <v>100</v>
      </c>
      <c r="M10" s="32">
        <v>100</v>
      </c>
      <c r="N10" s="32">
        <v>100</v>
      </c>
      <c r="O10" s="93"/>
      <c r="P10" s="30" t="s">
        <v>82</v>
      </c>
      <c r="Q10" s="42" t="s">
        <v>151</v>
      </c>
      <c r="R10" s="8"/>
      <c r="S10" s="8"/>
      <c r="T10" s="8"/>
      <c r="U10" s="8"/>
      <c r="V10" s="8"/>
      <c r="W10" s="8"/>
      <c r="X10" s="8"/>
      <c r="Y10" s="8"/>
      <c r="Z10" s="8"/>
      <c r="AA10" s="8"/>
      <c r="AB10" s="8"/>
      <c r="AC10" s="8"/>
      <c r="AD10" s="8"/>
      <c r="AE10" s="8"/>
      <c r="AF10" s="8"/>
      <c r="AG10" s="8"/>
      <c r="AH10" s="8"/>
      <c r="AI10" s="8"/>
    </row>
    <row r="11" spans="1:35" x14ac:dyDescent="0.25">
      <c r="A11" s="41"/>
      <c r="B11" s="69"/>
      <c r="C11" s="130"/>
      <c r="D11" s="42"/>
      <c r="E11" s="42"/>
    </row>
    <row r="12" spans="1:35" ht="18.75" x14ac:dyDescent="0.3">
      <c r="A12" s="49" t="s">
        <v>46</v>
      </c>
      <c r="B12" s="62"/>
      <c r="C12" s="62"/>
    </row>
    <row r="13" spans="1:35" x14ac:dyDescent="0.25">
      <c r="A13" s="33" t="s">
        <v>25</v>
      </c>
      <c r="B13" s="58" t="s">
        <v>40</v>
      </c>
      <c r="C13" s="58"/>
      <c r="D13" s="51">
        <v>30</v>
      </c>
      <c r="E13" s="51">
        <v>30</v>
      </c>
      <c r="F13" s="51">
        <v>30</v>
      </c>
      <c r="G13" s="51">
        <v>30</v>
      </c>
      <c r="H13" s="51">
        <v>30</v>
      </c>
      <c r="I13" s="51">
        <v>30</v>
      </c>
      <c r="J13" s="51">
        <v>30</v>
      </c>
      <c r="K13" s="51">
        <v>30</v>
      </c>
      <c r="L13" s="51">
        <v>30</v>
      </c>
      <c r="M13" s="51">
        <v>30</v>
      </c>
      <c r="N13" s="51">
        <v>30</v>
      </c>
      <c r="O13" s="93"/>
      <c r="P13" s="93"/>
      <c r="Q13" s="42" t="s">
        <v>152</v>
      </c>
    </row>
    <row r="14" spans="1:35" x14ac:dyDescent="0.25">
      <c r="A14" s="33"/>
      <c r="B14" s="58"/>
      <c r="C14" s="58"/>
      <c r="D14" s="51"/>
      <c r="E14" s="51"/>
      <c r="F14" s="51"/>
      <c r="G14" s="51"/>
      <c r="H14" s="51"/>
      <c r="I14" s="51"/>
      <c r="J14" s="51"/>
      <c r="K14" s="51"/>
      <c r="L14" s="51"/>
      <c r="M14" s="51"/>
      <c r="N14" s="51"/>
    </row>
    <row r="15" spans="1:35" ht="18.399999999999999" customHeight="1" x14ac:dyDescent="0.25">
      <c r="A15" s="55" t="s">
        <v>97</v>
      </c>
      <c r="B15" s="55" t="s">
        <v>21</v>
      </c>
      <c r="C15" s="55"/>
      <c r="D15" s="107">
        <f>C16</f>
        <v>1</v>
      </c>
      <c r="E15" s="107">
        <f>D16</f>
        <v>1</v>
      </c>
      <c r="F15" s="107">
        <f t="shared" ref="F15:N15" si="1">E16</f>
        <v>1</v>
      </c>
      <c r="G15" s="107">
        <f t="shared" si="1"/>
        <v>1</v>
      </c>
      <c r="H15" s="107">
        <f t="shared" si="1"/>
        <v>1</v>
      </c>
      <c r="I15" s="107">
        <f t="shared" si="1"/>
        <v>1</v>
      </c>
      <c r="J15" s="107">
        <f t="shared" si="1"/>
        <v>1</v>
      </c>
      <c r="K15" s="107">
        <f t="shared" si="1"/>
        <v>1</v>
      </c>
      <c r="L15" s="107">
        <f t="shared" si="1"/>
        <v>1</v>
      </c>
      <c r="M15" s="107">
        <f t="shared" si="1"/>
        <v>1</v>
      </c>
      <c r="N15" s="107">
        <f t="shared" si="1"/>
        <v>1</v>
      </c>
      <c r="O15" s="38"/>
      <c r="P15" s="38" t="s">
        <v>96</v>
      </c>
      <c r="Q15" s="42"/>
    </row>
    <row r="16" spans="1:35" ht="18.399999999999999" customHeight="1" x14ac:dyDescent="0.25">
      <c r="A16" s="87" t="s">
        <v>98</v>
      </c>
      <c r="B16" s="55" t="s">
        <v>21</v>
      </c>
      <c r="C16" s="81">
        <v>1</v>
      </c>
      <c r="D16" s="81">
        <v>1</v>
      </c>
      <c r="E16" s="81">
        <v>1</v>
      </c>
      <c r="F16" s="81">
        <v>1</v>
      </c>
      <c r="G16" s="81">
        <v>1</v>
      </c>
      <c r="H16" s="81">
        <v>1</v>
      </c>
      <c r="I16" s="81">
        <v>1</v>
      </c>
      <c r="J16" s="81">
        <v>1</v>
      </c>
      <c r="K16" s="81">
        <v>1</v>
      </c>
      <c r="L16" s="81">
        <v>1</v>
      </c>
      <c r="M16" s="81">
        <v>1</v>
      </c>
      <c r="N16" s="81">
        <v>1</v>
      </c>
      <c r="O16" s="38"/>
      <c r="P16" s="38" t="s">
        <v>96</v>
      </c>
      <c r="Q16" s="42"/>
    </row>
    <row r="17" spans="1:1024 1038:2046 2060:3068 3082:4090 4104:5112 5126:6134 6148:7156 7170:8192 8206:9214 9228:10236 10250:11258 11272:12280 12294:13302 13316:14324 14338:15360 15374:16382" x14ac:dyDescent="0.25">
      <c r="A17" s="41"/>
      <c r="B17" s="69"/>
      <c r="C17" s="130"/>
      <c r="D17" s="42"/>
      <c r="E17" s="42"/>
    </row>
    <row r="18" spans="1:1024 1038:2046 2060:3068 3082:4090 4104:5112 5126:6134 6148:7156 7170:8192 8206:9214 9228:10236 10250:11258 11272:12280 12294:13302 13316:14324 14338:15360 15374:16382" ht="18.75" x14ac:dyDescent="0.3">
      <c r="A18" s="49" t="s">
        <v>22</v>
      </c>
      <c r="B18" s="62"/>
      <c r="C18" s="62"/>
    </row>
    <row r="19" spans="1:1024 1038:2046 2060:3068 3082:4090 4104:5112 5126:6134 6148:7156 7170:8192 8206:9214 9228:10236 10250:11258 11272:12280 12294:13302 13316:14324 14338:15360 15374:16382" x14ac:dyDescent="0.25">
      <c r="A19" s="33" t="s">
        <v>103</v>
      </c>
      <c r="B19" s="58" t="s">
        <v>19</v>
      </c>
      <c r="C19" s="58"/>
      <c r="D19" s="32">
        <v>30</v>
      </c>
      <c r="E19" s="32">
        <v>50</v>
      </c>
      <c r="F19" s="32">
        <v>70</v>
      </c>
      <c r="G19" s="32">
        <v>100</v>
      </c>
      <c r="H19" s="32">
        <v>100</v>
      </c>
      <c r="I19" s="32">
        <v>100</v>
      </c>
      <c r="J19" s="32">
        <v>100</v>
      </c>
      <c r="K19" s="32">
        <v>100</v>
      </c>
      <c r="L19" s="32">
        <v>100</v>
      </c>
      <c r="M19" s="32">
        <v>100</v>
      </c>
      <c r="N19" s="32">
        <v>100</v>
      </c>
      <c r="O19" s="93"/>
      <c r="P19" s="1" t="s">
        <v>101</v>
      </c>
    </row>
    <row r="20" spans="1:1024 1038:2046 2060:3068 3082:4090 4104:5112 5126:6134 6148:7156 7170:8192 8206:9214 9228:10236 10250:11258 11272:12280 12294:13302 13316:14324 14338:15360 15374:16382" x14ac:dyDescent="0.25">
      <c r="A20" s="52" t="s">
        <v>104</v>
      </c>
      <c r="B20" s="58" t="s">
        <v>19</v>
      </c>
      <c r="C20" s="58"/>
      <c r="D20" s="32">
        <v>0</v>
      </c>
      <c r="E20" s="32">
        <v>0</v>
      </c>
      <c r="F20" s="32">
        <v>0</v>
      </c>
      <c r="G20" s="32">
        <v>0</v>
      </c>
      <c r="H20" s="32">
        <v>0</v>
      </c>
      <c r="I20" s="32">
        <v>0</v>
      </c>
      <c r="J20" s="32">
        <v>0</v>
      </c>
      <c r="K20" s="32">
        <v>0</v>
      </c>
      <c r="L20" s="32">
        <v>0</v>
      </c>
      <c r="M20" s="32">
        <v>0</v>
      </c>
      <c r="N20" s="32">
        <v>0</v>
      </c>
      <c r="O20" s="93"/>
      <c r="P20" s="1" t="s">
        <v>101</v>
      </c>
    </row>
    <row r="22" spans="1:1024 1038:2046 2060:3068 3082:4090 4104:5112 5126:6134 6148:7156 7170:8192 8206:9214 9228:10236 10250:11258 11272:12280 12294:13302 13316:14324 14338:15360 15374:16382" ht="18.75" x14ac:dyDescent="0.3">
      <c r="A22" s="49" t="s">
        <v>32</v>
      </c>
    </row>
    <row r="23" spans="1:1024 1038:2046 2060:3068 3082:4090 4104:5112 5126:6134 6148:7156 7170:8192 8206:9214 9228:10236 10250:11258 11272:12280 12294:13302 13316:14324 14338:15360 15374:16382" x14ac:dyDescent="0.25">
      <c r="A23" s="33" t="s">
        <v>45</v>
      </c>
      <c r="B23" s="58" t="s">
        <v>40</v>
      </c>
      <c r="C23" s="58"/>
      <c r="D23" s="149">
        <v>30</v>
      </c>
      <c r="E23" s="149">
        <v>30</v>
      </c>
      <c r="F23" s="149">
        <v>30</v>
      </c>
      <c r="G23" s="149">
        <v>30</v>
      </c>
      <c r="H23" s="149">
        <v>30</v>
      </c>
      <c r="I23" s="149">
        <v>30</v>
      </c>
      <c r="J23" s="149">
        <v>30</v>
      </c>
      <c r="K23" s="149">
        <v>30</v>
      </c>
      <c r="L23" s="149">
        <v>30</v>
      </c>
      <c r="M23" s="149">
        <v>30</v>
      </c>
      <c r="N23" s="149">
        <v>30</v>
      </c>
      <c r="Q23" s="42" t="s">
        <v>152</v>
      </c>
    </row>
    <row r="25" spans="1:1024 1038:2046 2060:3068 3082:4090 4104:5112 5126:6134 6148:7156 7170:8192 8206:9214 9228:10236 10250:11258 11272:12280 12294:13302 13316:14324 14338:15360 15374:16382" x14ac:dyDescent="0.25">
      <c r="A25" s="33" t="s">
        <v>31</v>
      </c>
      <c r="B25" s="33" t="s">
        <v>21</v>
      </c>
      <c r="C25" s="71">
        <v>0.28000000000000003</v>
      </c>
      <c r="D25" s="71">
        <v>0.28000000000000003</v>
      </c>
      <c r="E25" s="71">
        <v>0.28000000000000003</v>
      </c>
      <c r="F25" s="71">
        <v>0.28000000000000003</v>
      </c>
      <c r="G25" s="71">
        <v>0.28000000000000003</v>
      </c>
      <c r="H25" s="71">
        <v>0.28000000000000003</v>
      </c>
      <c r="I25" s="71">
        <v>0.28000000000000003</v>
      </c>
      <c r="J25" s="71">
        <v>0.28000000000000003</v>
      </c>
      <c r="K25" s="71">
        <v>0.28000000000000003</v>
      </c>
      <c r="L25" s="71">
        <v>0.28000000000000003</v>
      </c>
      <c r="M25" s="71">
        <v>0.28000000000000003</v>
      </c>
      <c r="N25" s="71">
        <v>0.28000000000000003</v>
      </c>
      <c r="P25" s="1" t="s">
        <v>137</v>
      </c>
    </row>
    <row r="27" spans="1:1024 1038:2046 2060:3068 3082:4090 4104:5112 5126:6134 6148:7156 7170:8192 8206:9214 9228:10236 10250:11258 11272:12280 12294:13302 13316:14324 14338:15360 15374:16382" ht="21" x14ac:dyDescent="0.35">
      <c r="A27" s="66" t="s">
        <v>37</v>
      </c>
      <c r="C27" s="113" t="s">
        <v>63</v>
      </c>
      <c r="D27" s="113" t="s">
        <v>122</v>
      </c>
      <c r="E27" s="113" t="s">
        <v>64</v>
      </c>
      <c r="F27" s="113" t="s">
        <v>64</v>
      </c>
      <c r="G27" s="113" t="s">
        <v>64</v>
      </c>
      <c r="H27" s="113" t="s">
        <v>64</v>
      </c>
      <c r="I27" s="113" t="s">
        <v>64</v>
      </c>
      <c r="J27" s="113" t="s">
        <v>64</v>
      </c>
      <c r="K27" s="113" t="s">
        <v>64</v>
      </c>
      <c r="L27" s="113" t="s">
        <v>64</v>
      </c>
      <c r="M27" s="113" t="s">
        <v>64</v>
      </c>
      <c r="N27" s="113" t="s">
        <v>123</v>
      </c>
    </row>
    <row r="28" spans="1:1024 1038:2046 2060:3068 3082:4090 4104:5112 5126:6134 6148:7156 7170:8192 8206:9214 9228:10236 10250:11258 11272:12280 12294:13302 13316:14324 14338:15360 15374:16382" ht="18.75" x14ac:dyDescent="0.3">
      <c r="A28" s="56"/>
      <c r="C28" s="115">
        <f>$C$51</f>
        <v>40878</v>
      </c>
      <c r="D28" s="115">
        <f>$D$51</f>
        <v>41090</v>
      </c>
      <c r="E28" s="115">
        <f>$E$51</f>
        <v>41455</v>
      </c>
      <c r="F28" s="115">
        <f>$F$51</f>
        <v>41820</v>
      </c>
      <c r="G28" s="115">
        <f>$G$51</f>
        <v>42185</v>
      </c>
      <c r="H28" s="115">
        <f>$H$51</f>
        <v>42551</v>
      </c>
      <c r="I28" s="115">
        <f>$I$51</f>
        <v>42916</v>
      </c>
      <c r="J28" s="115">
        <f>$J$51</f>
        <v>43281</v>
      </c>
      <c r="K28" s="115">
        <f>$K$51</f>
        <v>43646</v>
      </c>
      <c r="L28" s="115">
        <f>$L$51</f>
        <v>44012</v>
      </c>
      <c r="M28" s="115">
        <f>$M$51</f>
        <v>44377</v>
      </c>
      <c r="N28" s="115">
        <f>N$51</f>
        <v>44561</v>
      </c>
    </row>
    <row r="29" spans="1:1024 1038:2046 2060:3068 3082:4090 4104:5112 5126:6134 6148:7156 7170:8192 8206:9214 9228:10236 10250:11258 11272:12280 12294:13302 13316:14324 14338:15360 15374:16382" x14ac:dyDescent="0.25">
      <c r="A29" s="55" t="s">
        <v>50</v>
      </c>
      <c r="B29" s="55"/>
      <c r="C29" s="55"/>
      <c r="D29" s="103">
        <v>211</v>
      </c>
      <c r="E29" s="103">
        <v>365</v>
      </c>
      <c r="F29" s="103">
        <v>365</v>
      </c>
      <c r="G29" s="103">
        <v>365</v>
      </c>
      <c r="H29" s="103">
        <v>365</v>
      </c>
      <c r="I29" s="103">
        <v>365</v>
      </c>
      <c r="J29" s="103">
        <v>365</v>
      </c>
      <c r="K29" s="103">
        <v>365</v>
      </c>
      <c r="L29" s="103">
        <v>365</v>
      </c>
      <c r="M29" s="103">
        <v>365</v>
      </c>
      <c r="N29" s="103">
        <v>184</v>
      </c>
      <c r="Q29" s="42"/>
    </row>
    <row r="30" spans="1:1024 1038:2046 2060:3068 3082:4090 4104:5112 5126:6134 6148:7156 7170:8192 8206:9214 9228:10236 10250:11258 11272:12280 12294:13302 13316:14324 14338:15360 15374:16382" ht="18.75" x14ac:dyDescent="0.3">
      <c r="A30" s="56"/>
      <c r="D30" s="1">
        <f>D28-C28</f>
        <v>212</v>
      </c>
      <c r="E30" s="1">
        <f t="shared" ref="E30:N30" si="2">E28-D28</f>
        <v>365</v>
      </c>
      <c r="F30" s="1">
        <f t="shared" si="2"/>
        <v>365</v>
      </c>
      <c r="G30" s="1">
        <f t="shared" si="2"/>
        <v>365</v>
      </c>
      <c r="H30" s="1">
        <f t="shared" si="2"/>
        <v>366</v>
      </c>
      <c r="I30" s="1">
        <f t="shared" si="2"/>
        <v>365</v>
      </c>
      <c r="J30" s="1">
        <f t="shared" si="2"/>
        <v>365</v>
      </c>
      <c r="K30" s="1">
        <f t="shared" si="2"/>
        <v>365</v>
      </c>
      <c r="L30" s="1">
        <f t="shared" si="2"/>
        <v>366</v>
      </c>
      <c r="M30" s="1">
        <f t="shared" si="2"/>
        <v>365</v>
      </c>
      <c r="N30" s="1">
        <f t="shared" si="2"/>
        <v>184</v>
      </c>
      <c r="O30" s="56"/>
      <c r="P30" s="56"/>
      <c r="AD30" s="56"/>
      <c r="AR30" s="56"/>
      <c r="BF30" s="56"/>
      <c r="BT30" s="56"/>
      <c r="CH30" s="56"/>
      <c r="CV30" s="56"/>
      <c r="DJ30" s="56"/>
      <c r="DX30" s="56"/>
      <c r="EL30" s="56"/>
      <c r="EZ30" s="56"/>
      <c r="FN30" s="56"/>
      <c r="GB30" s="56"/>
      <c r="GP30" s="56"/>
      <c r="HD30" s="56"/>
      <c r="HR30" s="56"/>
      <c r="IF30" s="56"/>
      <c r="IT30" s="56"/>
      <c r="JH30" s="56"/>
      <c r="JV30" s="56"/>
      <c r="KJ30" s="56"/>
      <c r="KX30" s="56"/>
      <c r="LL30" s="56"/>
      <c r="LZ30" s="56"/>
      <c r="MN30" s="56"/>
      <c r="NB30" s="56"/>
      <c r="NP30" s="56"/>
      <c r="OD30" s="56"/>
      <c r="OR30" s="56"/>
      <c r="PF30" s="56"/>
      <c r="PT30" s="56"/>
      <c r="QH30" s="56"/>
      <c r="QV30" s="56"/>
      <c r="RJ30" s="56"/>
      <c r="RX30" s="56"/>
      <c r="SL30" s="56"/>
      <c r="SZ30" s="56"/>
      <c r="TN30" s="56"/>
      <c r="UB30" s="56"/>
      <c r="UP30" s="56"/>
      <c r="VD30" s="56"/>
      <c r="VR30" s="56"/>
      <c r="WF30" s="56"/>
      <c r="WT30" s="56"/>
      <c r="XH30" s="56"/>
      <c r="XV30" s="56"/>
      <c r="YJ30" s="56"/>
      <c r="YX30" s="56"/>
      <c r="ZL30" s="56"/>
      <c r="ZZ30" s="56"/>
      <c r="AAN30" s="56"/>
      <c r="ABB30" s="56"/>
      <c r="ABP30" s="56"/>
      <c r="ACD30" s="56"/>
      <c r="ACR30" s="56"/>
      <c r="ADF30" s="56"/>
      <c r="ADT30" s="56"/>
      <c r="AEH30" s="56"/>
      <c r="AEV30" s="56"/>
      <c r="AFJ30" s="56"/>
      <c r="AFX30" s="56"/>
      <c r="AGL30" s="56"/>
      <c r="AGZ30" s="56"/>
      <c r="AHN30" s="56"/>
      <c r="AIB30" s="56"/>
      <c r="AIP30" s="56"/>
      <c r="AJD30" s="56"/>
      <c r="AJR30" s="56"/>
      <c r="AKF30" s="56"/>
      <c r="AKT30" s="56"/>
      <c r="ALH30" s="56"/>
      <c r="ALV30" s="56"/>
      <c r="AMJ30" s="56"/>
      <c r="AMX30" s="56"/>
      <c r="ANL30" s="56"/>
      <c r="ANZ30" s="56"/>
      <c r="AON30" s="56"/>
      <c r="APB30" s="56"/>
      <c r="APP30" s="56"/>
      <c r="AQD30" s="56"/>
      <c r="AQR30" s="56"/>
      <c r="ARF30" s="56"/>
      <c r="ART30" s="56"/>
      <c r="ASH30" s="56"/>
      <c r="ASV30" s="56"/>
      <c r="ATJ30" s="56"/>
      <c r="ATX30" s="56"/>
      <c r="AUL30" s="56"/>
      <c r="AUZ30" s="56"/>
      <c r="AVN30" s="56"/>
      <c r="AWB30" s="56"/>
      <c r="AWP30" s="56"/>
      <c r="AXD30" s="56"/>
      <c r="AXR30" s="56"/>
      <c r="AYF30" s="56"/>
      <c r="AYT30" s="56"/>
      <c r="AZH30" s="56"/>
      <c r="AZV30" s="56"/>
      <c r="BAJ30" s="56"/>
      <c r="BAX30" s="56"/>
      <c r="BBL30" s="56"/>
      <c r="BBZ30" s="56"/>
      <c r="BCN30" s="56"/>
      <c r="BDB30" s="56"/>
      <c r="BDP30" s="56"/>
      <c r="BED30" s="56"/>
      <c r="BER30" s="56"/>
      <c r="BFF30" s="56"/>
      <c r="BFT30" s="56"/>
      <c r="BGH30" s="56"/>
      <c r="BGV30" s="56"/>
      <c r="BHJ30" s="56"/>
      <c r="BHX30" s="56"/>
      <c r="BIL30" s="56"/>
      <c r="BIZ30" s="56"/>
      <c r="BJN30" s="56"/>
      <c r="BKB30" s="56"/>
      <c r="BKP30" s="56"/>
      <c r="BLD30" s="56"/>
      <c r="BLR30" s="56"/>
      <c r="BMF30" s="56"/>
      <c r="BMT30" s="56"/>
      <c r="BNH30" s="56"/>
      <c r="BNV30" s="56"/>
      <c r="BOJ30" s="56"/>
      <c r="BOX30" s="56"/>
      <c r="BPL30" s="56"/>
      <c r="BPZ30" s="56"/>
      <c r="BQN30" s="56"/>
      <c r="BRB30" s="56"/>
      <c r="BRP30" s="56"/>
      <c r="BSD30" s="56"/>
      <c r="BSR30" s="56"/>
      <c r="BTF30" s="56"/>
      <c r="BTT30" s="56"/>
      <c r="BUH30" s="56"/>
      <c r="BUV30" s="56"/>
      <c r="BVJ30" s="56"/>
      <c r="BVX30" s="56"/>
      <c r="BWL30" s="56"/>
      <c r="BWZ30" s="56"/>
      <c r="BXN30" s="56"/>
      <c r="BYB30" s="56"/>
      <c r="BYP30" s="56"/>
      <c r="BZD30" s="56"/>
      <c r="BZR30" s="56"/>
      <c r="CAF30" s="56"/>
      <c r="CAT30" s="56"/>
      <c r="CBH30" s="56"/>
      <c r="CBV30" s="56"/>
      <c r="CCJ30" s="56"/>
      <c r="CCX30" s="56"/>
      <c r="CDL30" s="56"/>
      <c r="CDZ30" s="56"/>
      <c r="CEN30" s="56"/>
      <c r="CFB30" s="56"/>
      <c r="CFP30" s="56"/>
      <c r="CGD30" s="56"/>
      <c r="CGR30" s="56"/>
      <c r="CHF30" s="56"/>
      <c r="CHT30" s="56"/>
      <c r="CIH30" s="56"/>
      <c r="CIV30" s="56"/>
      <c r="CJJ30" s="56"/>
      <c r="CJX30" s="56"/>
      <c r="CKL30" s="56"/>
      <c r="CKZ30" s="56"/>
      <c r="CLN30" s="56"/>
      <c r="CMB30" s="56"/>
      <c r="CMP30" s="56"/>
      <c r="CND30" s="56"/>
      <c r="CNR30" s="56"/>
      <c r="COF30" s="56"/>
      <c r="COT30" s="56"/>
      <c r="CPH30" s="56"/>
      <c r="CPV30" s="56"/>
      <c r="CQJ30" s="56"/>
      <c r="CQX30" s="56"/>
      <c r="CRL30" s="56"/>
      <c r="CRZ30" s="56"/>
      <c r="CSN30" s="56"/>
      <c r="CTB30" s="56"/>
      <c r="CTP30" s="56"/>
      <c r="CUD30" s="56"/>
      <c r="CUR30" s="56"/>
      <c r="CVF30" s="56"/>
      <c r="CVT30" s="56"/>
      <c r="CWH30" s="56"/>
      <c r="CWV30" s="56"/>
      <c r="CXJ30" s="56"/>
      <c r="CXX30" s="56"/>
      <c r="CYL30" s="56"/>
      <c r="CYZ30" s="56"/>
      <c r="CZN30" s="56"/>
      <c r="DAB30" s="56"/>
      <c r="DAP30" s="56"/>
      <c r="DBD30" s="56"/>
      <c r="DBR30" s="56"/>
      <c r="DCF30" s="56"/>
      <c r="DCT30" s="56"/>
      <c r="DDH30" s="56"/>
      <c r="DDV30" s="56"/>
      <c r="DEJ30" s="56"/>
      <c r="DEX30" s="56"/>
      <c r="DFL30" s="56"/>
      <c r="DFZ30" s="56"/>
      <c r="DGN30" s="56"/>
      <c r="DHB30" s="56"/>
      <c r="DHP30" s="56"/>
      <c r="DID30" s="56"/>
      <c r="DIR30" s="56"/>
      <c r="DJF30" s="56"/>
      <c r="DJT30" s="56"/>
      <c r="DKH30" s="56"/>
      <c r="DKV30" s="56"/>
      <c r="DLJ30" s="56"/>
      <c r="DLX30" s="56"/>
      <c r="DML30" s="56"/>
      <c r="DMZ30" s="56"/>
      <c r="DNN30" s="56"/>
      <c r="DOB30" s="56"/>
      <c r="DOP30" s="56"/>
      <c r="DPD30" s="56"/>
      <c r="DPR30" s="56"/>
      <c r="DQF30" s="56"/>
      <c r="DQT30" s="56"/>
      <c r="DRH30" s="56"/>
      <c r="DRV30" s="56"/>
      <c r="DSJ30" s="56"/>
      <c r="DSX30" s="56"/>
      <c r="DTL30" s="56"/>
      <c r="DTZ30" s="56"/>
      <c r="DUN30" s="56"/>
      <c r="DVB30" s="56"/>
      <c r="DVP30" s="56"/>
      <c r="DWD30" s="56"/>
      <c r="DWR30" s="56"/>
      <c r="DXF30" s="56"/>
      <c r="DXT30" s="56"/>
      <c r="DYH30" s="56"/>
      <c r="DYV30" s="56"/>
      <c r="DZJ30" s="56"/>
      <c r="DZX30" s="56"/>
      <c r="EAL30" s="56"/>
      <c r="EAZ30" s="56"/>
      <c r="EBN30" s="56"/>
      <c r="ECB30" s="56"/>
      <c r="ECP30" s="56"/>
      <c r="EDD30" s="56"/>
      <c r="EDR30" s="56"/>
      <c r="EEF30" s="56"/>
      <c r="EET30" s="56"/>
      <c r="EFH30" s="56"/>
      <c r="EFV30" s="56"/>
      <c r="EGJ30" s="56"/>
      <c r="EGX30" s="56"/>
      <c r="EHL30" s="56"/>
      <c r="EHZ30" s="56"/>
      <c r="EIN30" s="56"/>
      <c r="EJB30" s="56"/>
      <c r="EJP30" s="56"/>
      <c r="EKD30" s="56"/>
      <c r="EKR30" s="56"/>
      <c r="ELF30" s="56"/>
      <c r="ELT30" s="56"/>
      <c r="EMH30" s="56"/>
      <c r="EMV30" s="56"/>
      <c r="ENJ30" s="56"/>
      <c r="ENX30" s="56"/>
      <c r="EOL30" s="56"/>
      <c r="EOZ30" s="56"/>
      <c r="EPN30" s="56"/>
      <c r="EQB30" s="56"/>
      <c r="EQP30" s="56"/>
      <c r="ERD30" s="56"/>
      <c r="ERR30" s="56"/>
      <c r="ESF30" s="56"/>
      <c r="EST30" s="56"/>
      <c r="ETH30" s="56"/>
      <c r="ETV30" s="56"/>
      <c r="EUJ30" s="56"/>
      <c r="EUX30" s="56"/>
      <c r="EVL30" s="56"/>
      <c r="EVZ30" s="56"/>
      <c r="EWN30" s="56"/>
      <c r="EXB30" s="56"/>
      <c r="EXP30" s="56"/>
      <c r="EYD30" s="56"/>
      <c r="EYR30" s="56"/>
      <c r="EZF30" s="56"/>
      <c r="EZT30" s="56"/>
      <c r="FAH30" s="56"/>
      <c r="FAV30" s="56"/>
      <c r="FBJ30" s="56"/>
      <c r="FBX30" s="56"/>
      <c r="FCL30" s="56"/>
      <c r="FCZ30" s="56"/>
      <c r="FDN30" s="56"/>
      <c r="FEB30" s="56"/>
      <c r="FEP30" s="56"/>
      <c r="FFD30" s="56"/>
      <c r="FFR30" s="56"/>
      <c r="FGF30" s="56"/>
      <c r="FGT30" s="56"/>
      <c r="FHH30" s="56"/>
      <c r="FHV30" s="56"/>
      <c r="FIJ30" s="56"/>
      <c r="FIX30" s="56"/>
      <c r="FJL30" s="56"/>
      <c r="FJZ30" s="56"/>
      <c r="FKN30" s="56"/>
      <c r="FLB30" s="56"/>
      <c r="FLP30" s="56"/>
      <c r="FMD30" s="56"/>
      <c r="FMR30" s="56"/>
      <c r="FNF30" s="56"/>
      <c r="FNT30" s="56"/>
      <c r="FOH30" s="56"/>
      <c r="FOV30" s="56"/>
      <c r="FPJ30" s="56"/>
      <c r="FPX30" s="56"/>
      <c r="FQL30" s="56"/>
      <c r="FQZ30" s="56"/>
      <c r="FRN30" s="56"/>
      <c r="FSB30" s="56"/>
      <c r="FSP30" s="56"/>
      <c r="FTD30" s="56"/>
      <c r="FTR30" s="56"/>
      <c r="FUF30" s="56"/>
      <c r="FUT30" s="56"/>
      <c r="FVH30" s="56"/>
      <c r="FVV30" s="56"/>
      <c r="FWJ30" s="56"/>
      <c r="FWX30" s="56"/>
      <c r="FXL30" s="56"/>
      <c r="FXZ30" s="56"/>
      <c r="FYN30" s="56"/>
      <c r="FZB30" s="56"/>
      <c r="FZP30" s="56"/>
      <c r="GAD30" s="56"/>
      <c r="GAR30" s="56"/>
      <c r="GBF30" s="56"/>
      <c r="GBT30" s="56"/>
      <c r="GCH30" s="56"/>
      <c r="GCV30" s="56"/>
      <c r="GDJ30" s="56"/>
      <c r="GDX30" s="56"/>
      <c r="GEL30" s="56"/>
      <c r="GEZ30" s="56"/>
      <c r="GFN30" s="56"/>
      <c r="GGB30" s="56"/>
      <c r="GGP30" s="56"/>
      <c r="GHD30" s="56"/>
      <c r="GHR30" s="56"/>
      <c r="GIF30" s="56"/>
      <c r="GIT30" s="56"/>
      <c r="GJH30" s="56"/>
      <c r="GJV30" s="56"/>
      <c r="GKJ30" s="56"/>
      <c r="GKX30" s="56"/>
      <c r="GLL30" s="56"/>
      <c r="GLZ30" s="56"/>
      <c r="GMN30" s="56"/>
      <c r="GNB30" s="56"/>
      <c r="GNP30" s="56"/>
      <c r="GOD30" s="56"/>
      <c r="GOR30" s="56"/>
      <c r="GPF30" s="56"/>
      <c r="GPT30" s="56"/>
      <c r="GQH30" s="56"/>
      <c r="GQV30" s="56"/>
      <c r="GRJ30" s="56"/>
      <c r="GRX30" s="56"/>
      <c r="GSL30" s="56"/>
      <c r="GSZ30" s="56"/>
      <c r="GTN30" s="56"/>
      <c r="GUB30" s="56"/>
      <c r="GUP30" s="56"/>
      <c r="GVD30" s="56"/>
      <c r="GVR30" s="56"/>
      <c r="GWF30" s="56"/>
      <c r="GWT30" s="56"/>
      <c r="GXH30" s="56"/>
      <c r="GXV30" s="56"/>
      <c r="GYJ30" s="56"/>
      <c r="GYX30" s="56"/>
      <c r="GZL30" s="56"/>
      <c r="GZZ30" s="56"/>
      <c r="HAN30" s="56"/>
      <c r="HBB30" s="56"/>
      <c r="HBP30" s="56"/>
      <c r="HCD30" s="56"/>
      <c r="HCR30" s="56"/>
      <c r="HDF30" s="56"/>
      <c r="HDT30" s="56"/>
      <c r="HEH30" s="56"/>
      <c r="HEV30" s="56"/>
      <c r="HFJ30" s="56"/>
      <c r="HFX30" s="56"/>
      <c r="HGL30" s="56"/>
      <c r="HGZ30" s="56"/>
      <c r="HHN30" s="56"/>
      <c r="HIB30" s="56"/>
      <c r="HIP30" s="56"/>
      <c r="HJD30" s="56"/>
      <c r="HJR30" s="56"/>
      <c r="HKF30" s="56"/>
      <c r="HKT30" s="56"/>
      <c r="HLH30" s="56"/>
      <c r="HLV30" s="56"/>
      <c r="HMJ30" s="56"/>
      <c r="HMX30" s="56"/>
      <c r="HNL30" s="56"/>
      <c r="HNZ30" s="56"/>
      <c r="HON30" s="56"/>
      <c r="HPB30" s="56"/>
      <c r="HPP30" s="56"/>
      <c r="HQD30" s="56"/>
      <c r="HQR30" s="56"/>
      <c r="HRF30" s="56"/>
      <c r="HRT30" s="56"/>
      <c r="HSH30" s="56"/>
      <c r="HSV30" s="56"/>
      <c r="HTJ30" s="56"/>
      <c r="HTX30" s="56"/>
      <c r="HUL30" s="56"/>
      <c r="HUZ30" s="56"/>
      <c r="HVN30" s="56"/>
      <c r="HWB30" s="56"/>
      <c r="HWP30" s="56"/>
      <c r="HXD30" s="56"/>
      <c r="HXR30" s="56"/>
      <c r="HYF30" s="56"/>
      <c r="HYT30" s="56"/>
      <c r="HZH30" s="56"/>
      <c r="HZV30" s="56"/>
      <c r="IAJ30" s="56"/>
      <c r="IAX30" s="56"/>
      <c r="IBL30" s="56"/>
      <c r="IBZ30" s="56"/>
      <c r="ICN30" s="56"/>
      <c r="IDB30" s="56"/>
      <c r="IDP30" s="56"/>
      <c r="IED30" s="56"/>
      <c r="IER30" s="56"/>
      <c r="IFF30" s="56"/>
      <c r="IFT30" s="56"/>
      <c r="IGH30" s="56"/>
      <c r="IGV30" s="56"/>
      <c r="IHJ30" s="56"/>
      <c r="IHX30" s="56"/>
      <c r="IIL30" s="56"/>
      <c r="IIZ30" s="56"/>
      <c r="IJN30" s="56"/>
      <c r="IKB30" s="56"/>
      <c r="IKP30" s="56"/>
      <c r="ILD30" s="56"/>
      <c r="ILR30" s="56"/>
      <c r="IMF30" s="56"/>
      <c r="IMT30" s="56"/>
      <c r="INH30" s="56"/>
      <c r="INV30" s="56"/>
      <c r="IOJ30" s="56"/>
      <c r="IOX30" s="56"/>
      <c r="IPL30" s="56"/>
      <c r="IPZ30" s="56"/>
      <c r="IQN30" s="56"/>
      <c r="IRB30" s="56"/>
      <c r="IRP30" s="56"/>
      <c r="ISD30" s="56"/>
      <c r="ISR30" s="56"/>
      <c r="ITF30" s="56"/>
      <c r="ITT30" s="56"/>
      <c r="IUH30" s="56"/>
      <c r="IUV30" s="56"/>
      <c r="IVJ30" s="56"/>
      <c r="IVX30" s="56"/>
      <c r="IWL30" s="56"/>
      <c r="IWZ30" s="56"/>
      <c r="IXN30" s="56"/>
      <c r="IYB30" s="56"/>
      <c r="IYP30" s="56"/>
      <c r="IZD30" s="56"/>
      <c r="IZR30" s="56"/>
      <c r="JAF30" s="56"/>
      <c r="JAT30" s="56"/>
      <c r="JBH30" s="56"/>
      <c r="JBV30" s="56"/>
      <c r="JCJ30" s="56"/>
      <c r="JCX30" s="56"/>
      <c r="JDL30" s="56"/>
      <c r="JDZ30" s="56"/>
      <c r="JEN30" s="56"/>
      <c r="JFB30" s="56"/>
      <c r="JFP30" s="56"/>
      <c r="JGD30" s="56"/>
      <c r="JGR30" s="56"/>
      <c r="JHF30" s="56"/>
      <c r="JHT30" s="56"/>
      <c r="JIH30" s="56"/>
      <c r="JIV30" s="56"/>
      <c r="JJJ30" s="56"/>
      <c r="JJX30" s="56"/>
      <c r="JKL30" s="56"/>
      <c r="JKZ30" s="56"/>
      <c r="JLN30" s="56"/>
      <c r="JMB30" s="56"/>
      <c r="JMP30" s="56"/>
      <c r="JND30" s="56"/>
      <c r="JNR30" s="56"/>
      <c r="JOF30" s="56"/>
      <c r="JOT30" s="56"/>
      <c r="JPH30" s="56"/>
      <c r="JPV30" s="56"/>
      <c r="JQJ30" s="56"/>
      <c r="JQX30" s="56"/>
      <c r="JRL30" s="56"/>
      <c r="JRZ30" s="56"/>
      <c r="JSN30" s="56"/>
      <c r="JTB30" s="56"/>
      <c r="JTP30" s="56"/>
      <c r="JUD30" s="56"/>
      <c r="JUR30" s="56"/>
      <c r="JVF30" s="56"/>
      <c r="JVT30" s="56"/>
      <c r="JWH30" s="56"/>
      <c r="JWV30" s="56"/>
      <c r="JXJ30" s="56"/>
      <c r="JXX30" s="56"/>
      <c r="JYL30" s="56"/>
      <c r="JYZ30" s="56"/>
      <c r="JZN30" s="56"/>
      <c r="KAB30" s="56"/>
      <c r="KAP30" s="56"/>
      <c r="KBD30" s="56"/>
      <c r="KBR30" s="56"/>
      <c r="KCF30" s="56"/>
      <c r="KCT30" s="56"/>
      <c r="KDH30" s="56"/>
      <c r="KDV30" s="56"/>
      <c r="KEJ30" s="56"/>
      <c r="KEX30" s="56"/>
      <c r="KFL30" s="56"/>
      <c r="KFZ30" s="56"/>
      <c r="KGN30" s="56"/>
      <c r="KHB30" s="56"/>
      <c r="KHP30" s="56"/>
      <c r="KID30" s="56"/>
      <c r="KIR30" s="56"/>
      <c r="KJF30" s="56"/>
      <c r="KJT30" s="56"/>
      <c r="KKH30" s="56"/>
      <c r="KKV30" s="56"/>
      <c r="KLJ30" s="56"/>
      <c r="KLX30" s="56"/>
      <c r="KML30" s="56"/>
      <c r="KMZ30" s="56"/>
      <c r="KNN30" s="56"/>
      <c r="KOB30" s="56"/>
      <c r="KOP30" s="56"/>
      <c r="KPD30" s="56"/>
      <c r="KPR30" s="56"/>
      <c r="KQF30" s="56"/>
      <c r="KQT30" s="56"/>
      <c r="KRH30" s="56"/>
      <c r="KRV30" s="56"/>
      <c r="KSJ30" s="56"/>
      <c r="KSX30" s="56"/>
      <c r="KTL30" s="56"/>
      <c r="KTZ30" s="56"/>
      <c r="KUN30" s="56"/>
      <c r="KVB30" s="56"/>
      <c r="KVP30" s="56"/>
      <c r="KWD30" s="56"/>
      <c r="KWR30" s="56"/>
      <c r="KXF30" s="56"/>
      <c r="KXT30" s="56"/>
      <c r="KYH30" s="56"/>
      <c r="KYV30" s="56"/>
      <c r="KZJ30" s="56"/>
      <c r="KZX30" s="56"/>
      <c r="LAL30" s="56"/>
      <c r="LAZ30" s="56"/>
      <c r="LBN30" s="56"/>
      <c r="LCB30" s="56"/>
      <c r="LCP30" s="56"/>
      <c r="LDD30" s="56"/>
      <c r="LDR30" s="56"/>
      <c r="LEF30" s="56"/>
      <c r="LET30" s="56"/>
      <c r="LFH30" s="56"/>
      <c r="LFV30" s="56"/>
      <c r="LGJ30" s="56"/>
      <c r="LGX30" s="56"/>
      <c r="LHL30" s="56"/>
      <c r="LHZ30" s="56"/>
      <c r="LIN30" s="56"/>
      <c r="LJB30" s="56"/>
      <c r="LJP30" s="56"/>
      <c r="LKD30" s="56"/>
      <c r="LKR30" s="56"/>
      <c r="LLF30" s="56"/>
      <c r="LLT30" s="56"/>
      <c r="LMH30" s="56"/>
      <c r="LMV30" s="56"/>
      <c r="LNJ30" s="56"/>
      <c r="LNX30" s="56"/>
      <c r="LOL30" s="56"/>
      <c r="LOZ30" s="56"/>
      <c r="LPN30" s="56"/>
      <c r="LQB30" s="56"/>
      <c r="LQP30" s="56"/>
      <c r="LRD30" s="56"/>
      <c r="LRR30" s="56"/>
      <c r="LSF30" s="56"/>
      <c r="LST30" s="56"/>
      <c r="LTH30" s="56"/>
      <c r="LTV30" s="56"/>
      <c r="LUJ30" s="56"/>
      <c r="LUX30" s="56"/>
      <c r="LVL30" s="56"/>
      <c r="LVZ30" s="56"/>
      <c r="LWN30" s="56"/>
      <c r="LXB30" s="56"/>
      <c r="LXP30" s="56"/>
      <c r="LYD30" s="56"/>
      <c r="LYR30" s="56"/>
      <c r="LZF30" s="56"/>
      <c r="LZT30" s="56"/>
      <c r="MAH30" s="56"/>
      <c r="MAV30" s="56"/>
      <c r="MBJ30" s="56"/>
      <c r="MBX30" s="56"/>
      <c r="MCL30" s="56"/>
      <c r="MCZ30" s="56"/>
      <c r="MDN30" s="56"/>
      <c r="MEB30" s="56"/>
      <c r="MEP30" s="56"/>
      <c r="MFD30" s="56"/>
      <c r="MFR30" s="56"/>
      <c r="MGF30" s="56"/>
      <c r="MGT30" s="56"/>
      <c r="MHH30" s="56"/>
      <c r="MHV30" s="56"/>
      <c r="MIJ30" s="56"/>
      <c r="MIX30" s="56"/>
      <c r="MJL30" s="56"/>
      <c r="MJZ30" s="56"/>
      <c r="MKN30" s="56"/>
      <c r="MLB30" s="56"/>
      <c r="MLP30" s="56"/>
      <c r="MMD30" s="56"/>
      <c r="MMR30" s="56"/>
      <c r="MNF30" s="56"/>
      <c r="MNT30" s="56"/>
      <c r="MOH30" s="56"/>
      <c r="MOV30" s="56"/>
      <c r="MPJ30" s="56"/>
      <c r="MPX30" s="56"/>
      <c r="MQL30" s="56"/>
      <c r="MQZ30" s="56"/>
      <c r="MRN30" s="56"/>
      <c r="MSB30" s="56"/>
      <c r="MSP30" s="56"/>
      <c r="MTD30" s="56"/>
      <c r="MTR30" s="56"/>
      <c r="MUF30" s="56"/>
      <c r="MUT30" s="56"/>
      <c r="MVH30" s="56"/>
      <c r="MVV30" s="56"/>
      <c r="MWJ30" s="56"/>
      <c r="MWX30" s="56"/>
      <c r="MXL30" s="56"/>
      <c r="MXZ30" s="56"/>
      <c r="MYN30" s="56"/>
      <c r="MZB30" s="56"/>
      <c r="MZP30" s="56"/>
      <c r="NAD30" s="56"/>
      <c r="NAR30" s="56"/>
      <c r="NBF30" s="56"/>
      <c r="NBT30" s="56"/>
      <c r="NCH30" s="56"/>
      <c r="NCV30" s="56"/>
      <c r="NDJ30" s="56"/>
      <c r="NDX30" s="56"/>
      <c r="NEL30" s="56"/>
      <c r="NEZ30" s="56"/>
      <c r="NFN30" s="56"/>
      <c r="NGB30" s="56"/>
      <c r="NGP30" s="56"/>
      <c r="NHD30" s="56"/>
      <c r="NHR30" s="56"/>
      <c r="NIF30" s="56"/>
      <c r="NIT30" s="56"/>
      <c r="NJH30" s="56"/>
      <c r="NJV30" s="56"/>
      <c r="NKJ30" s="56"/>
      <c r="NKX30" s="56"/>
      <c r="NLL30" s="56"/>
      <c r="NLZ30" s="56"/>
      <c r="NMN30" s="56"/>
      <c r="NNB30" s="56"/>
      <c r="NNP30" s="56"/>
      <c r="NOD30" s="56"/>
      <c r="NOR30" s="56"/>
      <c r="NPF30" s="56"/>
      <c r="NPT30" s="56"/>
      <c r="NQH30" s="56"/>
      <c r="NQV30" s="56"/>
      <c r="NRJ30" s="56"/>
      <c r="NRX30" s="56"/>
      <c r="NSL30" s="56"/>
      <c r="NSZ30" s="56"/>
      <c r="NTN30" s="56"/>
      <c r="NUB30" s="56"/>
      <c r="NUP30" s="56"/>
      <c r="NVD30" s="56"/>
      <c r="NVR30" s="56"/>
      <c r="NWF30" s="56"/>
      <c r="NWT30" s="56"/>
      <c r="NXH30" s="56"/>
      <c r="NXV30" s="56"/>
      <c r="NYJ30" s="56"/>
      <c r="NYX30" s="56"/>
      <c r="NZL30" s="56"/>
      <c r="NZZ30" s="56"/>
      <c r="OAN30" s="56"/>
      <c r="OBB30" s="56"/>
      <c r="OBP30" s="56"/>
      <c r="OCD30" s="56"/>
      <c r="OCR30" s="56"/>
      <c r="ODF30" s="56"/>
      <c r="ODT30" s="56"/>
      <c r="OEH30" s="56"/>
      <c r="OEV30" s="56"/>
      <c r="OFJ30" s="56"/>
      <c r="OFX30" s="56"/>
      <c r="OGL30" s="56"/>
      <c r="OGZ30" s="56"/>
      <c r="OHN30" s="56"/>
      <c r="OIB30" s="56"/>
      <c r="OIP30" s="56"/>
      <c r="OJD30" s="56"/>
      <c r="OJR30" s="56"/>
      <c r="OKF30" s="56"/>
      <c r="OKT30" s="56"/>
      <c r="OLH30" s="56"/>
      <c r="OLV30" s="56"/>
      <c r="OMJ30" s="56"/>
      <c r="OMX30" s="56"/>
      <c r="ONL30" s="56"/>
      <c r="ONZ30" s="56"/>
      <c r="OON30" s="56"/>
      <c r="OPB30" s="56"/>
      <c r="OPP30" s="56"/>
      <c r="OQD30" s="56"/>
      <c r="OQR30" s="56"/>
      <c r="ORF30" s="56"/>
      <c r="ORT30" s="56"/>
      <c r="OSH30" s="56"/>
      <c r="OSV30" s="56"/>
      <c r="OTJ30" s="56"/>
      <c r="OTX30" s="56"/>
      <c r="OUL30" s="56"/>
      <c r="OUZ30" s="56"/>
      <c r="OVN30" s="56"/>
      <c r="OWB30" s="56"/>
      <c r="OWP30" s="56"/>
      <c r="OXD30" s="56"/>
      <c r="OXR30" s="56"/>
      <c r="OYF30" s="56"/>
      <c r="OYT30" s="56"/>
      <c r="OZH30" s="56"/>
      <c r="OZV30" s="56"/>
      <c r="PAJ30" s="56"/>
      <c r="PAX30" s="56"/>
      <c r="PBL30" s="56"/>
      <c r="PBZ30" s="56"/>
      <c r="PCN30" s="56"/>
      <c r="PDB30" s="56"/>
      <c r="PDP30" s="56"/>
      <c r="PED30" s="56"/>
      <c r="PER30" s="56"/>
      <c r="PFF30" s="56"/>
      <c r="PFT30" s="56"/>
      <c r="PGH30" s="56"/>
      <c r="PGV30" s="56"/>
      <c r="PHJ30" s="56"/>
      <c r="PHX30" s="56"/>
      <c r="PIL30" s="56"/>
      <c r="PIZ30" s="56"/>
      <c r="PJN30" s="56"/>
      <c r="PKB30" s="56"/>
      <c r="PKP30" s="56"/>
      <c r="PLD30" s="56"/>
      <c r="PLR30" s="56"/>
      <c r="PMF30" s="56"/>
      <c r="PMT30" s="56"/>
      <c r="PNH30" s="56"/>
      <c r="PNV30" s="56"/>
      <c r="POJ30" s="56"/>
      <c r="POX30" s="56"/>
      <c r="PPL30" s="56"/>
      <c r="PPZ30" s="56"/>
      <c r="PQN30" s="56"/>
      <c r="PRB30" s="56"/>
      <c r="PRP30" s="56"/>
      <c r="PSD30" s="56"/>
      <c r="PSR30" s="56"/>
      <c r="PTF30" s="56"/>
      <c r="PTT30" s="56"/>
      <c r="PUH30" s="56"/>
      <c r="PUV30" s="56"/>
      <c r="PVJ30" s="56"/>
      <c r="PVX30" s="56"/>
      <c r="PWL30" s="56"/>
      <c r="PWZ30" s="56"/>
      <c r="PXN30" s="56"/>
      <c r="PYB30" s="56"/>
      <c r="PYP30" s="56"/>
      <c r="PZD30" s="56"/>
      <c r="PZR30" s="56"/>
      <c r="QAF30" s="56"/>
      <c r="QAT30" s="56"/>
      <c r="QBH30" s="56"/>
      <c r="QBV30" s="56"/>
      <c r="QCJ30" s="56"/>
      <c r="QCX30" s="56"/>
      <c r="QDL30" s="56"/>
      <c r="QDZ30" s="56"/>
      <c r="QEN30" s="56"/>
      <c r="QFB30" s="56"/>
      <c r="QFP30" s="56"/>
      <c r="QGD30" s="56"/>
      <c r="QGR30" s="56"/>
      <c r="QHF30" s="56"/>
      <c r="QHT30" s="56"/>
      <c r="QIH30" s="56"/>
      <c r="QIV30" s="56"/>
      <c r="QJJ30" s="56"/>
      <c r="QJX30" s="56"/>
      <c r="QKL30" s="56"/>
      <c r="QKZ30" s="56"/>
      <c r="QLN30" s="56"/>
      <c r="QMB30" s="56"/>
      <c r="QMP30" s="56"/>
      <c r="QND30" s="56"/>
      <c r="QNR30" s="56"/>
      <c r="QOF30" s="56"/>
      <c r="QOT30" s="56"/>
      <c r="QPH30" s="56"/>
      <c r="QPV30" s="56"/>
      <c r="QQJ30" s="56"/>
      <c r="QQX30" s="56"/>
      <c r="QRL30" s="56"/>
      <c r="QRZ30" s="56"/>
      <c r="QSN30" s="56"/>
      <c r="QTB30" s="56"/>
      <c r="QTP30" s="56"/>
      <c r="QUD30" s="56"/>
      <c r="QUR30" s="56"/>
      <c r="QVF30" s="56"/>
      <c r="QVT30" s="56"/>
      <c r="QWH30" s="56"/>
      <c r="QWV30" s="56"/>
      <c r="QXJ30" s="56"/>
      <c r="QXX30" s="56"/>
      <c r="QYL30" s="56"/>
      <c r="QYZ30" s="56"/>
      <c r="QZN30" s="56"/>
      <c r="RAB30" s="56"/>
      <c r="RAP30" s="56"/>
      <c r="RBD30" s="56"/>
      <c r="RBR30" s="56"/>
      <c r="RCF30" s="56"/>
      <c r="RCT30" s="56"/>
      <c r="RDH30" s="56"/>
      <c r="RDV30" s="56"/>
      <c r="REJ30" s="56"/>
      <c r="REX30" s="56"/>
      <c r="RFL30" s="56"/>
      <c r="RFZ30" s="56"/>
      <c r="RGN30" s="56"/>
      <c r="RHB30" s="56"/>
      <c r="RHP30" s="56"/>
      <c r="RID30" s="56"/>
      <c r="RIR30" s="56"/>
      <c r="RJF30" s="56"/>
      <c r="RJT30" s="56"/>
      <c r="RKH30" s="56"/>
      <c r="RKV30" s="56"/>
      <c r="RLJ30" s="56"/>
      <c r="RLX30" s="56"/>
      <c r="RML30" s="56"/>
      <c r="RMZ30" s="56"/>
      <c r="RNN30" s="56"/>
      <c r="ROB30" s="56"/>
      <c r="ROP30" s="56"/>
      <c r="RPD30" s="56"/>
      <c r="RPR30" s="56"/>
      <c r="RQF30" s="56"/>
      <c r="RQT30" s="56"/>
      <c r="RRH30" s="56"/>
      <c r="RRV30" s="56"/>
      <c r="RSJ30" s="56"/>
      <c r="RSX30" s="56"/>
      <c r="RTL30" s="56"/>
      <c r="RTZ30" s="56"/>
      <c r="RUN30" s="56"/>
      <c r="RVB30" s="56"/>
      <c r="RVP30" s="56"/>
      <c r="RWD30" s="56"/>
      <c r="RWR30" s="56"/>
      <c r="RXF30" s="56"/>
      <c r="RXT30" s="56"/>
      <c r="RYH30" s="56"/>
      <c r="RYV30" s="56"/>
      <c r="RZJ30" s="56"/>
      <c r="RZX30" s="56"/>
      <c r="SAL30" s="56"/>
      <c r="SAZ30" s="56"/>
      <c r="SBN30" s="56"/>
      <c r="SCB30" s="56"/>
      <c r="SCP30" s="56"/>
      <c r="SDD30" s="56"/>
      <c r="SDR30" s="56"/>
      <c r="SEF30" s="56"/>
      <c r="SET30" s="56"/>
      <c r="SFH30" s="56"/>
      <c r="SFV30" s="56"/>
      <c r="SGJ30" s="56"/>
      <c r="SGX30" s="56"/>
      <c r="SHL30" s="56"/>
      <c r="SHZ30" s="56"/>
      <c r="SIN30" s="56"/>
      <c r="SJB30" s="56"/>
      <c r="SJP30" s="56"/>
      <c r="SKD30" s="56"/>
      <c r="SKR30" s="56"/>
      <c r="SLF30" s="56"/>
      <c r="SLT30" s="56"/>
      <c r="SMH30" s="56"/>
      <c r="SMV30" s="56"/>
      <c r="SNJ30" s="56"/>
      <c r="SNX30" s="56"/>
      <c r="SOL30" s="56"/>
      <c r="SOZ30" s="56"/>
      <c r="SPN30" s="56"/>
      <c r="SQB30" s="56"/>
      <c r="SQP30" s="56"/>
      <c r="SRD30" s="56"/>
      <c r="SRR30" s="56"/>
      <c r="SSF30" s="56"/>
      <c r="SST30" s="56"/>
      <c r="STH30" s="56"/>
      <c r="STV30" s="56"/>
      <c r="SUJ30" s="56"/>
      <c r="SUX30" s="56"/>
      <c r="SVL30" s="56"/>
      <c r="SVZ30" s="56"/>
      <c r="SWN30" s="56"/>
      <c r="SXB30" s="56"/>
      <c r="SXP30" s="56"/>
      <c r="SYD30" s="56"/>
      <c r="SYR30" s="56"/>
      <c r="SZF30" s="56"/>
      <c r="SZT30" s="56"/>
      <c r="TAH30" s="56"/>
      <c r="TAV30" s="56"/>
      <c r="TBJ30" s="56"/>
      <c r="TBX30" s="56"/>
      <c r="TCL30" s="56"/>
      <c r="TCZ30" s="56"/>
      <c r="TDN30" s="56"/>
      <c r="TEB30" s="56"/>
      <c r="TEP30" s="56"/>
      <c r="TFD30" s="56"/>
      <c r="TFR30" s="56"/>
      <c r="TGF30" s="56"/>
      <c r="TGT30" s="56"/>
      <c r="THH30" s="56"/>
      <c r="THV30" s="56"/>
      <c r="TIJ30" s="56"/>
      <c r="TIX30" s="56"/>
      <c r="TJL30" s="56"/>
      <c r="TJZ30" s="56"/>
      <c r="TKN30" s="56"/>
      <c r="TLB30" s="56"/>
      <c r="TLP30" s="56"/>
      <c r="TMD30" s="56"/>
      <c r="TMR30" s="56"/>
      <c r="TNF30" s="56"/>
      <c r="TNT30" s="56"/>
      <c r="TOH30" s="56"/>
      <c r="TOV30" s="56"/>
      <c r="TPJ30" s="56"/>
      <c r="TPX30" s="56"/>
      <c r="TQL30" s="56"/>
      <c r="TQZ30" s="56"/>
      <c r="TRN30" s="56"/>
      <c r="TSB30" s="56"/>
      <c r="TSP30" s="56"/>
      <c r="TTD30" s="56"/>
      <c r="TTR30" s="56"/>
      <c r="TUF30" s="56"/>
      <c r="TUT30" s="56"/>
      <c r="TVH30" s="56"/>
      <c r="TVV30" s="56"/>
      <c r="TWJ30" s="56"/>
      <c r="TWX30" s="56"/>
      <c r="TXL30" s="56"/>
      <c r="TXZ30" s="56"/>
      <c r="TYN30" s="56"/>
      <c r="TZB30" s="56"/>
      <c r="TZP30" s="56"/>
      <c r="UAD30" s="56"/>
      <c r="UAR30" s="56"/>
      <c r="UBF30" s="56"/>
      <c r="UBT30" s="56"/>
      <c r="UCH30" s="56"/>
      <c r="UCV30" s="56"/>
      <c r="UDJ30" s="56"/>
      <c r="UDX30" s="56"/>
      <c r="UEL30" s="56"/>
      <c r="UEZ30" s="56"/>
      <c r="UFN30" s="56"/>
      <c r="UGB30" s="56"/>
      <c r="UGP30" s="56"/>
      <c r="UHD30" s="56"/>
      <c r="UHR30" s="56"/>
      <c r="UIF30" s="56"/>
      <c r="UIT30" s="56"/>
      <c r="UJH30" s="56"/>
      <c r="UJV30" s="56"/>
      <c r="UKJ30" s="56"/>
      <c r="UKX30" s="56"/>
      <c r="ULL30" s="56"/>
      <c r="ULZ30" s="56"/>
      <c r="UMN30" s="56"/>
      <c r="UNB30" s="56"/>
      <c r="UNP30" s="56"/>
      <c r="UOD30" s="56"/>
      <c r="UOR30" s="56"/>
      <c r="UPF30" s="56"/>
      <c r="UPT30" s="56"/>
      <c r="UQH30" s="56"/>
      <c r="UQV30" s="56"/>
      <c r="URJ30" s="56"/>
      <c r="URX30" s="56"/>
      <c r="USL30" s="56"/>
      <c r="USZ30" s="56"/>
      <c r="UTN30" s="56"/>
      <c r="UUB30" s="56"/>
      <c r="UUP30" s="56"/>
      <c r="UVD30" s="56"/>
      <c r="UVR30" s="56"/>
      <c r="UWF30" s="56"/>
      <c r="UWT30" s="56"/>
      <c r="UXH30" s="56"/>
      <c r="UXV30" s="56"/>
      <c r="UYJ30" s="56"/>
      <c r="UYX30" s="56"/>
      <c r="UZL30" s="56"/>
      <c r="UZZ30" s="56"/>
      <c r="VAN30" s="56"/>
      <c r="VBB30" s="56"/>
      <c r="VBP30" s="56"/>
      <c r="VCD30" s="56"/>
      <c r="VCR30" s="56"/>
      <c r="VDF30" s="56"/>
      <c r="VDT30" s="56"/>
      <c r="VEH30" s="56"/>
      <c r="VEV30" s="56"/>
      <c r="VFJ30" s="56"/>
      <c r="VFX30" s="56"/>
      <c r="VGL30" s="56"/>
      <c r="VGZ30" s="56"/>
      <c r="VHN30" s="56"/>
      <c r="VIB30" s="56"/>
      <c r="VIP30" s="56"/>
      <c r="VJD30" s="56"/>
      <c r="VJR30" s="56"/>
      <c r="VKF30" s="56"/>
      <c r="VKT30" s="56"/>
      <c r="VLH30" s="56"/>
      <c r="VLV30" s="56"/>
      <c r="VMJ30" s="56"/>
      <c r="VMX30" s="56"/>
      <c r="VNL30" s="56"/>
      <c r="VNZ30" s="56"/>
      <c r="VON30" s="56"/>
      <c r="VPB30" s="56"/>
      <c r="VPP30" s="56"/>
      <c r="VQD30" s="56"/>
      <c r="VQR30" s="56"/>
      <c r="VRF30" s="56"/>
      <c r="VRT30" s="56"/>
      <c r="VSH30" s="56"/>
      <c r="VSV30" s="56"/>
      <c r="VTJ30" s="56"/>
      <c r="VTX30" s="56"/>
      <c r="VUL30" s="56"/>
      <c r="VUZ30" s="56"/>
      <c r="VVN30" s="56"/>
      <c r="VWB30" s="56"/>
      <c r="VWP30" s="56"/>
      <c r="VXD30" s="56"/>
      <c r="VXR30" s="56"/>
      <c r="VYF30" s="56"/>
      <c r="VYT30" s="56"/>
      <c r="VZH30" s="56"/>
      <c r="VZV30" s="56"/>
      <c r="WAJ30" s="56"/>
      <c r="WAX30" s="56"/>
      <c r="WBL30" s="56"/>
      <c r="WBZ30" s="56"/>
      <c r="WCN30" s="56"/>
      <c r="WDB30" s="56"/>
      <c r="WDP30" s="56"/>
      <c r="WED30" s="56"/>
      <c r="WER30" s="56"/>
      <c r="WFF30" s="56"/>
      <c r="WFT30" s="56"/>
      <c r="WGH30" s="56"/>
      <c r="WGV30" s="56"/>
      <c r="WHJ30" s="56"/>
      <c r="WHX30" s="56"/>
      <c r="WIL30" s="56"/>
      <c r="WIZ30" s="56"/>
      <c r="WJN30" s="56"/>
      <c r="WKB30" s="56"/>
      <c r="WKP30" s="56"/>
      <c r="WLD30" s="56"/>
      <c r="WLR30" s="56"/>
      <c r="WMF30" s="56"/>
      <c r="WMT30" s="56"/>
      <c r="WNH30" s="56"/>
      <c r="WNV30" s="56"/>
      <c r="WOJ30" s="56"/>
      <c r="WOX30" s="56"/>
      <c r="WPL30" s="56"/>
      <c r="WPZ30" s="56"/>
      <c r="WQN30" s="56"/>
      <c r="WRB30" s="56"/>
      <c r="WRP30" s="56"/>
      <c r="WSD30" s="56"/>
      <c r="WSR30" s="56"/>
      <c r="WTF30" s="56"/>
      <c r="WTT30" s="56"/>
      <c r="WUH30" s="56"/>
      <c r="WUV30" s="56"/>
      <c r="WVJ30" s="56"/>
      <c r="WVX30" s="56"/>
      <c r="WWL30" s="56"/>
      <c r="WWZ30" s="56"/>
      <c r="WXN30" s="56"/>
      <c r="WYB30" s="56"/>
      <c r="WYP30" s="56"/>
      <c r="WZD30" s="56"/>
      <c r="WZR30" s="56"/>
      <c r="XAF30" s="56"/>
      <c r="XAT30" s="56"/>
      <c r="XBH30" s="56"/>
      <c r="XBV30" s="56"/>
      <c r="XCJ30" s="56"/>
      <c r="XCX30" s="56"/>
      <c r="XDL30" s="56"/>
      <c r="XDZ30" s="56"/>
      <c r="XEN30" s="56"/>
      <c r="XFB30" s="56"/>
    </row>
    <row r="31" spans="1:1024 1038:2046 2060:3068 3082:4090 4104:5112 5126:6134 6148:7156 7170:8192 8206:9214 9228:10236 10250:11258 11272:12280 12294:13302 13316:14324 14338:15360 15374:16382" ht="18.75" x14ac:dyDescent="0.3">
      <c r="A31" s="56" t="s">
        <v>30</v>
      </c>
    </row>
    <row r="32" spans="1:1024 1038:2046 2060:3068 3082:4090 4104:5112 5126:6134 6148:7156 7170:8192 8206:9214 9228:10236 10250:11258 11272:12280 12294:13302 13316:14324 14338:15360 15374:16382" x14ac:dyDescent="0.25">
      <c r="A32" s="55" t="s">
        <v>5</v>
      </c>
      <c r="B32" s="65" t="s">
        <v>21</v>
      </c>
      <c r="C32" s="82">
        <v>0.06</v>
      </c>
      <c r="D32" s="82">
        <v>0.06</v>
      </c>
      <c r="E32" s="82">
        <v>5.7499999999999996E-2</v>
      </c>
      <c r="F32" s="82">
        <v>5.5E-2</v>
      </c>
      <c r="G32" s="82">
        <v>5.2499999999999998E-2</v>
      </c>
      <c r="H32" s="82">
        <v>4.9999999999999996E-2</v>
      </c>
      <c r="I32" s="82">
        <v>4.7500000000000001E-2</v>
      </c>
      <c r="J32" s="82">
        <v>4.4999999999999998E-2</v>
      </c>
      <c r="K32" s="82">
        <v>4.2499999999999996E-2</v>
      </c>
      <c r="L32" s="82">
        <v>3.9999999999999994E-2</v>
      </c>
      <c r="M32" s="82">
        <v>3.7499999999999999E-2</v>
      </c>
      <c r="N32" s="82">
        <v>3.7499999999999999E-2</v>
      </c>
      <c r="O32" s="121"/>
      <c r="P32" s="121" t="s">
        <v>144</v>
      </c>
    </row>
    <row r="33" spans="1:16" x14ac:dyDescent="0.25">
      <c r="A33" s="55" t="s">
        <v>6</v>
      </c>
      <c r="B33" s="65"/>
      <c r="C33" s="122">
        <v>0.49</v>
      </c>
      <c r="D33" s="122">
        <v>0.49</v>
      </c>
      <c r="E33" s="122">
        <v>0.49</v>
      </c>
      <c r="F33" s="122">
        <v>0.49</v>
      </c>
      <c r="G33" s="122">
        <v>0.49</v>
      </c>
      <c r="H33" s="122">
        <v>0.49</v>
      </c>
      <c r="I33" s="122">
        <v>0.49</v>
      </c>
      <c r="J33" s="122">
        <v>0.49</v>
      </c>
      <c r="K33" s="122">
        <v>0.49</v>
      </c>
      <c r="L33" s="122">
        <v>0.49</v>
      </c>
      <c r="M33" s="122">
        <v>0.49</v>
      </c>
      <c r="N33" s="122">
        <v>0.49</v>
      </c>
      <c r="O33" s="121"/>
      <c r="P33" s="121" t="s">
        <v>144</v>
      </c>
    </row>
    <row r="34" spans="1:16" x14ac:dyDescent="0.25">
      <c r="A34" s="55" t="s">
        <v>7</v>
      </c>
      <c r="B34" s="34"/>
      <c r="C34" s="117">
        <f t="shared" ref="C34" si="3">C33/(1-C46)</f>
        <v>0.71014492753623193</v>
      </c>
      <c r="D34" s="117">
        <f t="shared" ref="D34:N34" si="4">D33/(1-D46)</f>
        <v>0.71014492753623193</v>
      </c>
      <c r="E34" s="117">
        <f t="shared" si="4"/>
        <v>0.71014492753623193</v>
      </c>
      <c r="F34" s="117">
        <f t="shared" si="4"/>
        <v>0.71014492753623193</v>
      </c>
      <c r="G34" s="117">
        <f t="shared" si="4"/>
        <v>0.71014492753623193</v>
      </c>
      <c r="H34" s="117">
        <f t="shared" si="4"/>
        <v>0.71014492753623193</v>
      </c>
      <c r="I34" s="117">
        <f t="shared" si="4"/>
        <v>0.71014492753623193</v>
      </c>
      <c r="J34" s="117">
        <f t="shared" si="4"/>
        <v>0.71014492753623193</v>
      </c>
      <c r="K34" s="117">
        <f t="shared" si="4"/>
        <v>0.71014492753623193</v>
      </c>
      <c r="L34" s="117">
        <f t="shared" si="4"/>
        <v>0.71014492753623193</v>
      </c>
      <c r="M34" s="117">
        <f t="shared" si="4"/>
        <v>0.71014492753623193</v>
      </c>
      <c r="N34" s="117">
        <f t="shared" si="4"/>
        <v>0.71014492753623193</v>
      </c>
      <c r="O34" s="121"/>
      <c r="P34" s="121" t="s">
        <v>144</v>
      </c>
    </row>
    <row r="35" spans="1:16" x14ac:dyDescent="0.25">
      <c r="A35" s="55" t="s">
        <v>8</v>
      </c>
      <c r="B35" s="65" t="s">
        <v>21</v>
      </c>
      <c r="C35" s="82">
        <v>7.0000000000000007E-2</v>
      </c>
      <c r="D35" s="82">
        <v>7.0000000000000007E-2</v>
      </c>
      <c r="E35" s="82">
        <v>7.0000000000000007E-2</v>
      </c>
      <c r="F35" s="82">
        <v>7.0000000000000007E-2</v>
      </c>
      <c r="G35" s="82">
        <v>7.0000000000000007E-2</v>
      </c>
      <c r="H35" s="82">
        <v>7.0000000000000007E-2</v>
      </c>
      <c r="I35" s="82">
        <v>7.0000000000000007E-2</v>
      </c>
      <c r="J35" s="82">
        <v>7.0000000000000007E-2</v>
      </c>
      <c r="K35" s="82">
        <v>7.0000000000000007E-2</v>
      </c>
      <c r="L35" s="82">
        <v>7.0000000000000007E-2</v>
      </c>
      <c r="M35" s="82">
        <v>7.4999999999999997E-2</v>
      </c>
      <c r="N35" s="82">
        <v>7.4999999999999997E-2</v>
      </c>
      <c r="O35" s="121"/>
      <c r="P35" s="121" t="s">
        <v>144</v>
      </c>
    </row>
    <row r="36" spans="1:16" x14ac:dyDescent="0.25">
      <c r="A36" s="96" t="s">
        <v>9</v>
      </c>
      <c r="B36" s="99" t="s">
        <v>21</v>
      </c>
      <c r="C36" s="100">
        <v>0.28000000000000003</v>
      </c>
      <c r="D36" s="100">
        <v>0.28000000000000003</v>
      </c>
      <c r="E36" s="100">
        <v>0.28000000000000003</v>
      </c>
      <c r="F36" s="100">
        <v>0.28000000000000003</v>
      </c>
      <c r="G36" s="100">
        <v>0.28000000000000003</v>
      </c>
      <c r="H36" s="100">
        <v>0.28000000000000003</v>
      </c>
      <c r="I36" s="100">
        <v>0.28000000000000003</v>
      </c>
      <c r="J36" s="100">
        <v>0.28000000000000003</v>
      </c>
      <c r="K36" s="100">
        <v>0.28000000000000003</v>
      </c>
      <c r="L36" s="100">
        <v>0.28000000000000003</v>
      </c>
      <c r="M36" s="100">
        <v>0.28000000000000003</v>
      </c>
      <c r="N36" s="100">
        <v>0.28000000000000003</v>
      </c>
      <c r="O36" s="121"/>
      <c r="P36" s="121" t="s">
        <v>144</v>
      </c>
    </row>
    <row r="37" spans="1:16" x14ac:dyDescent="0.25">
      <c r="A37" s="95" t="s">
        <v>30</v>
      </c>
      <c r="B37" s="97" t="s">
        <v>21</v>
      </c>
      <c r="C37" s="98">
        <f t="shared" ref="C37" si="5">C32*(1-C36)+C34*C35</f>
        <v>9.2910144927536242E-2</v>
      </c>
      <c r="D37" s="98">
        <f t="shared" ref="D37:N37" si="6">D32*(1-D36)+D34*D35</f>
        <v>9.2910144927536242E-2</v>
      </c>
      <c r="E37" s="98">
        <f t="shared" si="6"/>
        <v>9.1110144927536232E-2</v>
      </c>
      <c r="F37" s="98">
        <f t="shared" si="6"/>
        <v>8.9310144927536236E-2</v>
      </c>
      <c r="G37" s="98">
        <f t="shared" si="6"/>
        <v>8.751014492753624E-2</v>
      </c>
      <c r="H37" s="98">
        <f t="shared" si="6"/>
        <v>8.571014492753623E-2</v>
      </c>
      <c r="I37" s="98">
        <f t="shared" si="6"/>
        <v>8.3910144927536234E-2</v>
      </c>
      <c r="J37" s="98">
        <f t="shared" si="6"/>
        <v>8.2110144927536238E-2</v>
      </c>
      <c r="K37" s="98">
        <f t="shared" si="6"/>
        <v>8.0310144927536242E-2</v>
      </c>
      <c r="L37" s="98">
        <f t="shared" si="6"/>
        <v>7.8510144927536232E-2</v>
      </c>
      <c r="M37" s="98">
        <f t="shared" si="6"/>
        <v>8.0260869565217399E-2</v>
      </c>
      <c r="N37" s="98">
        <f t="shared" si="6"/>
        <v>8.0260869565217399E-2</v>
      </c>
      <c r="O37" s="121"/>
      <c r="P37" s="121" t="s">
        <v>144</v>
      </c>
    </row>
    <row r="38" spans="1:16" ht="18.75" x14ac:dyDescent="0.3">
      <c r="A38" s="56"/>
    </row>
    <row r="39" spans="1:16" ht="18.75" x14ac:dyDescent="0.3">
      <c r="A39" s="56" t="s">
        <v>27</v>
      </c>
    </row>
    <row r="40" spans="1:16" x14ac:dyDescent="0.25">
      <c r="A40" s="55" t="s">
        <v>5</v>
      </c>
      <c r="B40" s="65"/>
      <c r="C40" s="83">
        <f t="shared" ref="C40" si="7">C32</f>
        <v>0.06</v>
      </c>
      <c r="D40" s="83">
        <f t="shared" ref="D40:N40" si="8">D32</f>
        <v>0.06</v>
      </c>
      <c r="E40" s="83">
        <f t="shared" si="8"/>
        <v>5.7499999999999996E-2</v>
      </c>
      <c r="F40" s="83">
        <f t="shared" si="8"/>
        <v>5.5E-2</v>
      </c>
      <c r="G40" s="83">
        <f t="shared" si="8"/>
        <v>5.2499999999999998E-2</v>
      </c>
      <c r="H40" s="83">
        <f t="shared" si="8"/>
        <v>4.9999999999999996E-2</v>
      </c>
      <c r="I40" s="83">
        <f t="shared" si="8"/>
        <v>4.7500000000000001E-2</v>
      </c>
      <c r="J40" s="83">
        <f t="shared" si="8"/>
        <v>4.4999999999999998E-2</v>
      </c>
      <c r="K40" s="83">
        <f t="shared" si="8"/>
        <v>4.2499999999999996E-2</v>
      </c>
      <c r="L40" s="83">
        <f t="shared" si="8"/>
        <v>3.9999999999999994E-2</v>
      </c>
      <c r="M40" s="83">
        <f t="shared" si="8"/>
        <v>3.7499999999999999E-2</v>
      </c>
      <c r="N40" s="83">
        <f t="shared" si="8"/>
        <v>3.7499999999999999E-2</v>
      </c>
      <c r="O40" s="121"/>
      <c r="P40" s="121" t="s">
        <v>144</v>
      </c>
    </row>
    <row r="41" spans="1:16" x14ac:dyDescent="0.25">
      <c r="A41" s="55" t="s">
        <v>10</v>
      </c>
      <c r="B41" s="65" t="s">
        <v>21</v>
      </c>
      <c r="C41" s="82">
        <v>0.02</v>
      </c>
      <c r="D41" s="82">
        <v>0.02</v>
      </c>
      <c r="E41" s="82">
        <v>0.02</v>
      </c>
      <c r="F41" s="82">
        <v>0.02</v>
      </c>
      <c r="G41" s="82">
        <v>0.02</v>
      </c>
      <c r="H41" s="82">
        <v>0.02</v>
      </c>
      <c r="I41" s="82">
        <v>0.02</v>
      </c>
      <c r="J41" s="82">
        <v>0.02</v>
      </c>
      <c r="K41" s="82">
        <v>0.02</v>
      </c>
      <c r="L41" s="82">
        <v>0.02</v>
      </c>
      <c r="M41" s="82">
        <v>0.02</v>
      </c>
      <c r="N41" s="82">
        <v>0.02</v>
      </c>
      <c r="O41" s="121"/>
      <c r="P41" s="121" t="s">
        <v>144</v>
      </c>
    </row>
    <row r="42" spans="1:16" x14ac:dyDescent="0.25">
      <c r="A42" s="96" t="s">
        <v>11</v>
      </c>
      <c r="B42" s="99" t="s">
        <v>21</v>
      </c>
      <c r="C42" s="101">
        <v>0</v>
      </c>
      <c r="D42" s="101">
        <v>0</v>
      </c>
      <c r="E42" s="101">
        <v>0</v>
      </c>
      <c r="F42" s="101">
        <v>0</v>
      </c>
      <c r="G42" s="101">
        <v>0</v>
      </c>
      <c r="H42" s="101">
        <v>0</v>
      </c>
      <c r="I42" s="101">
        <v>0</v>
      </c>
      <c r="J42" s="101">
        <v>0</v>
      </c>
      <c r="K42" s="101">
        <v>0</v>
      </c>
      <c r="L42" s="101">
        <v>0</v>
      </c>
      <c r="M42" s="101">
        <v>0</v>
      </c>
      <c r="N42" s="101">
        <v>0</v>
      </c>
      <c r="O42" s="121"/>
      <c r="P42" s="121" t="s">
        <v>144</v>
      </c>
    </row>
    <row r="43" spans="1:16" x14ac:dyDescent="0.25">
      <c r="A43" s="95" t="s">
        <v>27</v>
      </c>
      <c r="B43" s="97" t="s">
        <v>21</v>
      </c>
      <c r="C43" s="165">
        <f t="shared" ref="C43" si="9">C40+C41+C42</f>
        <v>0.08</v>
      </c>
      <c r="D43" s="98">
        <f t="shared" ref="D43:N43" si="10">D40+D41+D42</f>
        <v>0.08</v>
      </c>
      <c r="E43" s="98">
        <f t="shared" si="10"/>
        <v>7.7499999999999999E-2</v>
      </c>
      <c r="F43" s="98">
        <f t="shared" si="10"/>
        <v>7.4999999999999997E-2</v>
      </c>
      <c r="G43" s="98">
        <f t="shared" si="10"/>
        <v>7.2499999999999995E-2</v>
      </c>
      <c r="H43" s="98">
        <f t="shared" si="10"/>
        <v>6.9999999999999993E-2</v>
      </c>
      <c r="I43" s="98">
        <f t="shared" si="10"/>
        <v>6.7500000000000004E-2</v>
      </c>
      <c r="J43" s="98">
        <f t="shared" si="10"/>
        <v>6.5000000000000002E-2</v>
      </c>
      <c r="K43" s="98">
        <f t="shared" si="10"/>
        <v>6.25E-2</v>
      </c>
      <c r="L43" s="98">
        <f t="shared" si="10"/>
        <v>0.06</v>
      </c>
      <c r="M43" s="98">
        <f t="shared" si="10"/>
        <v>5.7499999999999996E-2</v>
      </c>
      <c r="N43" s="98">
        <f t="shared" si="10"/>
        <v>5.7499999999999996E-2</v>
      </c>
      <c r="P43" s="121" t="s">
        <v>144</v>
      </c>
    </row>
    <row r="44" spans="1:16" ht="18.75" x14ac:dyDescent="0.3">
      <c r="A44" s="56"/>
      <c r="E44" s="50"/>
      <c r="F44" s="50"/>
      <c r="G44" s="50"/>
      <c r="H44" s="50"/>
      <c r="I44" s="50"/>
      <c r="J44" s="50"/>
      <c r="K44" s="50"/>
      <c r="L44" s="50"/>
      <c r="M44" s="50"/>
    </row>
    <row r="45" spans="1:16" ht="18.75" x14ac:dyDescent="0.3">
      <c r="A45" s="56" t="s">
        <v>12</v>
      </c>
      <c r="N45" s="94"/>
    </row>
    <row r="46" spans="1:16" x14ac:dyDescent="0.25">
      <c r="A46" s="55" t="s">
        <v>13</v>
      </c>
      <c r="B46" s="57" t="s">
        <v>21</v>
      </c>
      <c r="C46" s="71">
        <v>0.31</v>
      </c>
      <c r="D46" s="71">
        <v>0.31</v>
      </c>
      <c r="E46" s="71">
        <v>0.31</v>
      </c>
      <c r="F46" s="71">
        <v>0.31</v>
      </c>
      <c r="G46" s="71">
        <v>0.31</v>
      </c>
      <c r="H46" s="71">
        <v>0.31</v>
      </c>
      <c r="I46" s="71">
        <v>0.31</v>
      </c>
      <c r="J46" s="71">
        <v>0.31</v>
      </c>
      <c r="K46" s="71">
        <v>0.31</v>
      </c>
      <c r="L46" s="71">
        <v>0.31</v>
      </c>
      <c r="M46" s="71">
        <v>0.31</v>
      </c>
      <c r="N46" s="71">
        <v>0.31</v>
      </c>
      <c r="O46" s="121"/>
      <c r="P46" s="121" t="s">
        <v>144</v>
      </c>
    </row>
    <row r="47" spans="1:16" x14ac:dyDescent="0.25">
      <c r="A47" s="1"/>
    </row>
    <row r="48" spans="1:16" x14ac:dyDescent="0.25">
      <c r="A48" s="55" t="s">
        <v>48</v>
      </c>
      <c r="B48" s="65" t="s">
        <v>21</v>
      </c>
      <c r="C48" s="83">
        <f t="shared" ref="C48:N48" si="11">C$43*C$46*(1-C$25)+C$37*(1-C$46)</f>
        <v>8.1963999999999995E-2</v>
      </c>
      <c r="D48" s="83">
        <f t="shared" si="11"/>
        <v>8.1963999999999995E-2</v>
      </c>
      <c r="E48" s="83">
        <f t="shared" si="11"/>
        <v>8.0163999999999985E-2</v>
      </c>
      <c r="F48" s="83">
        <f t="shared" si="11"/>
        <v>7.8363999999999989E-2</v>
      </c>
      <c r="G48" s="83">
        <f t="shared" si="11"/>
        <v>7.6563999999999993E-2</v>
      </c>
      <c r="H48" s="83">
        <f t="shared" si="11"/>
        <v>7.4763999999999983E-2</v>
      </c>
      <c r="I48" s="83">
        <f t="shared" si="11"/>
        <v>7.2964000000000001E-2</v>
      </c>
      <c r="J48" s="83">
        <f t="shared" si="11"/>
        <v>7.1164000000000005E-2</v>
      </c>
      <c r="K48" s="83">
        <f t="shared" si="11"/>
        <v>6.9364000000000009E-2</v>
      </c>
      <c r="L48" s="83">
        <f t="shared" si="11"/>
        <v>6.7563999999999999E-2</v>
      </c>
      <c r="M48" s="83">
        <f t="shared" si="11"/>
        <v>6.8213999999999997E-2</v>
      </c>
      <c r="N48" s="83">
        <f t="shared" si="11"/>
        <v>6.8213999999999997E-2</v>
      </c>
      <c r="P48" s="121" t="s">
        <v>144</v>
      </c>
    </row>
    <row r="49" spans="1:17" x14ac:dyDescent="0.25">
      <c r="A49" s="137" t="s">
        <v>158</v>
      </c>
      <c r="B49" s="137"/>
      <c r="C49" s="139">
        <f>C$43*C$46+C$37*(1-C$46)</f>
        <v>8.8908000000000001E-2</v>
      </c>
      <c r="D49" s="139">
        <f t="shared" ref="D49:N49" si="12">D$43*D$46+D$37*(1-D$46)</f>
        <v>8.8908000000000001E-2</v>
      </c>
      <c r="E49" s="139">
        <f t="shared" si="12"/>
        <v>8.6890999999999996E-2</v>
      </c>
      <c r="F49" s="139">
        <f t="shared" si="12"/>
        <v>8.4874000000000005E-2</v>
      </c>
      <c r="G49" s="139">
        <f t="shared" si="12"/>
        <v>8.2857E-2</v>
      </c>
      <c r="H49" s="139">
        <f t="shared" si="12"/>
        <v>8.0839999999999995E-2</v>
      </c>
      <c r="I49" s="139">
        <f t="shared" si="12"/>
        <v>7.8823000000000004E-2</v>
      </c>
      <c r="J49" s="139">
        <f t="shared" si="12"/>
        <v>7.6805999999999999E-2</v>
      </c>
      <c r="K49" s="139">
        <f t="shared" si="12"/>
        <v>7.4789000000000008E-2</v>
      </c>
      <c r="L49" s="139">
        <f t="shared" si="12"/>
        <v>7.2772000000000003E-2</v>
      </c>
      <c r="M49" s="139">
        <f t="shared" si="12"/>
        <v>7.3204999999999992E-2</v>
      </c>
      <c r="N49" s="139">
        <f t="shared" si="12"/>
        <v>7.3204999999999992E-2</v>
      </c>
    </row>
    <row r="50" spans="1:17" ht="21" x14ac:dyDescent="0.35">
      <c r="A50" s="66" t="s">
        <v>29</v>
      </c>
      <c r="C50" s="113" t="s">
        <v>63</v>
      </c>
      <c r="D50" s="113" t="s">
        <v>122</v>
      </c>
      <c r="E50" s="113" t="s">
        <v>64</v>
      </c>
      <c r="F50" s="113" t="s">
        <v>64</v>
      </c>
      <c r="G50" s="113" t="s">
        <v>64</v>
      </c>
      <c r="H50" s="113" t="s">
        <v>64</v>
      </c>
      <c r="I50" s="113" t="s">
        <v>64</v>
      </c>
      <c r="J50" s="113" t="s">
        <v>64</v>
      </c>
      <c r="K50" s="113" t="s">
        <v>64</v>
      </c>
      <c r="L50" s="113" t="s">
        <v>64</v>
      </c>
      <c r="M50" s="113" t="s">
        <v>64</v>
      </c>
      <c r="N50" s="113" t="s">
        <v>123</v>
      </c>
    </row>
    <row r="51" spans="1:17" ht="15.75" customHeight="1" x14ac:dyDescent="0.25">
      <c r="A51" s="76"/>
      <c r="C51" s="114">
        <v>40878</v>
      </c>
      <c r="D51" s="114">
        <v>41090</v>
      </c>
      <c r="E51" s="114">
        <v>41455</v>
      </c>
      <c r="F51" s="114">
        <f>+E51+365</f>
        <v>41820</v>
      </c>
      <c r="G51" s="114">
        <f t="shared" ref="G51:M51" si="13">+F51+365</f>
        <v>42185</v>
      </c>
      <c r="H51" s="114">
        <f>+G51+366</f>
        <v>42551</v>
      </c>
      <c r="I51" s="114">
        <f t="shared" si="13"/>
        <v>42916</v>
      </c>
      <c r="J51" s="114">
        <f t="shared" si="13"/>
        <v>43281</v>
      </c>
      <c r="K51" s="114">
        <f t="shared" si="13"/>
        <v>43646</v>
      </c>
      <c r="L51" s="114">
        <f>+K51+366</f>
        <v>44012</v>
      </c>
      <c r="M51" s="114">
        <f t="shared" si="13"/>
        <v>44377</v>
      </c>
      <c r="N51" s="114">
        <v>44561</v>
      </c>
    </row>
    <row r="52" spans="1:17" x14ac:dyDescent="0.25">
      <c r="A52" s="55" t="s">
        <v>127</v>
      </c>
      <c r="B52" s="109" t="s">
        <v>34</v>
      </c>
      <c r="C52" s="109"/>
      <c r="D52" s="110">
        <f>D51-1-C51</f>
        <v>211</v>
      </c>
      <c r="E52" s="110">
        <f t="shared" ref="E52:N52" si="14">E51-D51</f>
        <v>365</v>
      </c>
      <c r="F52" s="110">
        <f t="shared" si="14"/>
        <v>365</v>
      </c>
      <c r="G52" s="110">
        <f t="shared" si="14"/>
        <v>365</v>
      </c>
      <c r="H52" s="110">
        <f t="shared" si="14"/>
        <v>366</v>
      </c>
      <c r="I52" s="110">
        <f t="shared" si="14"/>
        <v>365</v>
      </c>
      <c r="J52" s="110">
        <f t="shared" si="14"/>
        <v>365</v>
      </c>
      <c r="K52" s="110">
        <f t="shared" si="14"/>
        <v>365</v>
      </c>
      <c r="L52" s="110">
        <f t="shared" si="14"/>
        <v>366</v>
      </c>
      <c r="M52" s="110">
        <f t="shared" si="14"/>
        <v>365</v>
      </c>
      <c r="N52" s="110">
        <f t="shared" si="14"/>
        <v>184</v>
      </c>
      <c r="P52" s="38" t="s">
        <v>145</v>
      </c>
    </row>
    <row r="53" spans="1:17" ht="18.75" x14ac:dyDescent="0.3">
      <c r="A53" s="56"/>
      <c r="E53" s="50"/>
      <c r="F53" s="50"/>
      <c r="G53" s="50"/>
      <c r="H53" s="50"/>
      <c r="I53" s="50"/>
      <c r="J53" s="50"/>
      <c r="K53" s="50"/>
      <c r="L53" s="50"/>
      <c r="M53" s="50"/>
    </row>
    <row r="54" spans="1:17" ht="18.75" x14ac:dyDescent="0.3">
      <c r="A54" s="56" t="s">
        <v>71</v>
      </c>
      <c r="N54" s="94"/>
      <c r="Q54" s="42" t="s">
        <v>153</v>
      </c>
    </row>
    <row r="55" spans="1:17" x14ac:dyDescent="0.25">
      <c r="A55" s="55" t="s">
        <v>14</v>
      </c>
      <c r="B55" s="109" t="s">
        <v>34</v>
      </c>
      <c r="C55" s="109"/>
      <c r="D55" s="110">
        <f t="shared" ref="D55:N55" si="15">ROUNDDOWN((D52/2),0)</f>
        <v>105</v>
      </c>
      <c r="E55" s="110">
        <f t="shared" si="15"/>
        <v>182</v>
      </c>
      <c r="F55" s="110">
        <f t="shared" si="15"/>
        <v>182</v>
      </c>
      <c r="G55" s="110">
        <f t="shared" si="15"/>
        <v>182</v>
      </c>
      <c r="H55" s="110">
        <f t="shared" si="15"/>
        <v>183</v>
      </c>
      <c r="I55" s="110">
        <f t="shared" si="15"/>
        <v>182</v>
      </c>
      <c r="J55" s="110">
        <f t="shared" si="15"/>
        <v>182</v>
      </c>
      <c r="K55" s="110">
        <f t="shared" si="15"/>
        <v>182</v>
      </c>
      <c r="L55" s="110">
        <f t="shared" si="15"/>
        <v>183</v>
      </c>
      <c r="M55" s="110">
        <f t="shared" si="15"/>
        <v>182</v>
      </c>
      <c r="N55" s="110">
        <f t="shared" si="15"/>
        <v>92</v>
      </c>
      <c r="P55" s="38" t="s">
        <v>145</v>
      </c>
    </row>
    <row r="56" spans="1:17" x14ac:dyDescent="0.25">
      <c r="A56" s="55" t="s">
        <v>16</v>
      </c>
      <c r="B56" s="109" t="s">
        <v>65</v>
      </c>
      <c r="C56" s="109"/>
      <c r="D56" s="111">
        <f t="shared" ref="D56:N56" si="16">D51-D55</f>
        <v>40985</v>
      </c>
      <c r="E56" s="111">
        <f t="shared" si="16"/>
        <v>41273</v>
      </c>
      <c r="F56" s="111">
        <f t="shared" si="16"/>
        <v>41638</v>
      </c>
      <c r="G56" s="111">
        <f t="shared" si="16"/>
        <v>42003</v>
      </c>
      <c r="H56" s="111">
        <f t="shared" si="16"/>
        <v>42368</v>
      </c>
      <c r="I56" s="111">
        <f t="shared" si="16"/>
        <v>42734</v>
      </c>
      <c r="J56" s="111">
        <f t="shared" si="16"/>
        <v>43099</v>
      </c>
      <c r="K56" s="111">
        <f t="shared" si="16"/>
        <v>43464</v>
      </c>
      <c r="L56" s="111">
        <f t="shared" si="16"/>
        <v>43829</v>
      </c>
      <c r="M56" s="111">
        <f t="shared" si="16"/>
        <v>44195</v>
      </c>
      <c r="N56" s="111">
        <f t="shared" si="16"/>
        <v>44469</v>
      </c>
      <c r="P56" s="38" t="s">
        <v>145</v>
      </c>
      <c r="Q56" s="42" t="s">
        <v>79</v>
      </c>
    </row>
    <row r="57" spans="1:17" x14ac:dyDescent="0.25">
      <c r="A57" s="55" t="s">
        <v>66</v>
      </c>
      <c r="B57" s="109" t="s">
        <v>34</v>
      </c>
      <c r="C57" s="109"/>
      <c r="D57" s="110">
        <f>$N$51-D56</f>
        <v>3576</v>
      </c>
      <c r="E57" s="110">
        <f t="shared" ref="E57:N57" si="17">$N$51-E56</f>
        <v>3288</v>
      </c>
      <c r="F57" s="110">
        <f t="shared" si="17"/>
        <v>2923</v>
      </c>
      <c r="G57" s="110">
        <f t="shared" si="17"/>
        <v>2558</v>
      </c>
      <c r="H57" s="110">
        <f t="shared" si="17"/>
        <v>2193</v>
      </c>
      <c r="I57" s="110">
        <f>$N$51-I56</f>
        <v>1827</v>
      </c>
      <c r="J57" s="110">
        <f t="shared" si="17"/>
        <v>1462</v>
      </c>
      <c r="K57" s="110">
        <f t="shared" si="17"/>
        <v>1097</v>
      </c>
      <c r="L57" s="110">
        <f t="shared" si="17"/>
        <v>732</v>
      </c>
      <c r="M57" s="110">
        <f t="shared" si="17"/>
        <v>366</v>
      </c>
      <c r="N57" s="110">
        <f t="shared" si="17"/>
        <v>92</v>
      </c>
      <c r="P57" s="38" t="s">
        <v>145</v>
      </c>
    </row>
    <row r="58" spans="1:17" x14ac:dyDescent="0.25">
      <c r="A58" s="55" t="s">
        <v>75</v>
      </c>
      <c r="B58" s="109" t="s">
        <v>40</v>
      </c>
      <c r="C58" s="109"/>
      <c r="D58" s="112">
        <f>D57/365.25</f>
        <v>9.7905544147843937</v>
      </c>
      <c r="E58" s="112">
        <f t="shared" ref="E58:N58" si="18">E57/365.25</f>
        <v>9.0020533880903493</v>
      </c>
      <c r="F58" s="112">
        <f t="shared" si="18"/>
        <v>8.002737850787133</v>
      </c>
      <c r="G58" s="112">
        <f t="shared" si="18"/>
        <v>7.0034223134839149</v>
      </c>
      <c r="H58" s="112">
        <f t="shared" si="18"/>
        <v>6.0041067761806985</v>
      </c>
      <c r="I58" s="112">
        <f t="shared" si="18"/>
        <v>5.0020533880903493</v>
      </c>
      <c r="J58" s="112">
        <f t="shared" si="18"/>
        <v>4.0027378507871321</v>
      </c>
      <c r="K58" s="112">
        <f t="shared" si="18"/>
        <v>3.0034223134839153</v>
      </c>
      <c r="L58" s="112">
        <f t="shared" si="18"/>
        <v>2.0041067761806981</v>
      </c>
      <c r="M58" s="112">
        <f t="shared" si="18"/>
        <v>1.0020533880903491</v>
      </c>
      <c r="N58" s="112">
        <f t="shared" si="18"/>
        <v>0.2518822724161533</v>
      </c>
      <c r="P58" s="38" t="s">
        <v>145</v>
      </c>
    </row>
    <row r="59" spans="1:17" x14ac:dyDescent="0.25">
      <c r="A59" s="143" t="s">
        <v>47</v>
      </c>
      <c r="B59" s="144" t="s">
        <v>49</v>
      </c>
      <c r="C59" s="144"/>
      <c r="D59" s="145">
        <f>1+D49</f>
        <v>1.088908</v>
      </c>
      <c r="E59" s="145">
        <f t="shared" ref="E59:N59" si="19">1+E49</f>
        <v>1.0868910000000001</v>
      </c>
      <c r="F59" s="145">
        <f t="shared" si="19"/>
        <v>1.0848740000000001</v>
      </c>
      <c r="G59" s="145">
        <f t="shared" si="19"/>
        <v>1.082857</v>
      </c>
      <c r="H59" s="145">
        <f t="shared" si="19"/>
        <v>1.08084</v>
      </c>
      <c r="I59" s="145">
        <f t="shared" si="19"/>
        <v>1.0788230000000001</v>
      </c>
      <c r="J59" s="145">
        <f t="shared" si="19"/>
        <v>1.0768059999999999</v>
      </c>
      <c r="K59" s="145">
        <f t="shared" si="19"/>
        <v>1.074789</v>
      </c>
      <c r="L59" s="145">
        <f t="shared" si="19"/>
        <v>1.0727720000000001</v>
      </c>
      <c r="M59" s="145">
        <f t="shared" si="19"/>
        <v>1.073205</v>
      </c>
      <c r="N59" s="145">
        <f t="shared" si="19"/>
        <v>1.073205</v>
      </c>
      <c r="P59" s="38" t="s">
        <v>145</v>
      </c>
    </row>
    <row r="60" spans="1:17" x14ac:dyDescent="0.25">
      <c r="A60" s="55" t="s">
        <v>67</v>
      </c>
      <c r="B60" s="109" t="s">
        <v>28</v>
      </c>
      <c r="C60" s="109"/>
      <c r="D60" s="118">
        <f t="shared" ref="D60:M60" si="20">D59^D58</f>
        <v>2.3023123538153083</v>
      </c>
      <c r="E60" s="118">
        <f t="shared" si="20"/>
        <v>2.1171334661687955</v>
      </c>
      <c r="F60" s="118">
        <f t="shared" si="20"/>
        <v>1.9192487733628827</v>
      </c>
      <c r="G60" s="118">
        <f t="shared" si="20"/>
        <v>1.7462888112963828</v>
      </c>
      <c r="H60" s="118">
        <f t="shared" si="20"/>
        <v>1.5948032179465543</v>
      </c>
      <c r="I60" s="118">
        <f t="shared" si="20"/>
        <v>1.4615667138674175</v>
      </c>
      <c r="J60" s="118">
        <f t="shared" si="20"/>
        <v>1.3447385489265906</v>
      </c>
      <c r="K60" s="118">
        <f t="shared" si="20"/>
        <v>1.2418720040928264</v>
      </c>
      <c r="L60" s="118">
        <f t="shared" si="20"/>
        <v>1.1511718112019638</v>
      </c>
      <c r="M60" s="118">
        <f t="shared" si="20"/>
        <v>1.0733607020432532</v>
      </c>
      <c r="N60" s="118">
        <f>N59^N58</f>
        <v>1.0179546370011536</v>
      </c>
      <c r="P60" s="38" t="s">
        <v>145</v>
      </c>
    </row>
    <row r="61" spans="1:17" ht="18.75" x14ac:dyDescent="0.3">
      <c r="A61" s="56"/>
      <c r="E61" s="50"/>
      <c r="F61" s="50"/>
      <c r="G61" s="50"/>
      <c r="H61" s="50"/>
      <c r="I61" s="50"/>
      <c r="J61" s="50"/>
      <c r="K61" s="50"/>
      <c r="L61" s="50"/>
      <c r="M61" s="50"/>
    </row>
    <row r="62" spans="1:17" ht="18.75" x14ac:dyDescent="0.3">
      <c r="A62" s="56" t="s">
        <v>124</v>
      </c>
      <c r="N62" s="94"/>
      <c r="Q62" s="42" t="s">
        <v>135</v>
      </c>
    </row>
    <row r="63" spans="1:17" x14ac:dyDescent="0.25">
      <c r="A63" s="55" t="s">
        <v>63</v>
      </c>
      <c r="B63" s="109" t="s">
        <v>65</v>
      </c>
      <c r="C63" s="111">
        <f>C51</f>
        <v>40878</v>
      </c>
      <c r="D63" s="86"/>
      <c r="E63" s="103"/>
      <c r="F63" s="103"/>
      <c r="G63" s="103"/>
      <c r="H63" s="103"/>
      <c r="I63" s="103"/>
      <c r="J63" s="103"/>
      <c r="K63" s="103"/>
      <c r="L63" s="103"/>
      <c r="M63" s="103"/>
      <c r="N63" s="103"/>
      <c r="P63" s="38" t="s">
        <v>145</v>
      </c>
    </row>
    <row r="64" spans="1:17" x14ac:dyDescent="0.25">
      <c r="A64" s="55" t="s">
        <v>125</v>
      </c>
      <c r="B64" s="109" t="s">
        <v>34</v>
      </c>
      <c r="C64" s="110">
        <f>$N$51-C63</f>
        <v>3683</v>
      </c>
      <c r="D64" s="110"/>
      <c r="E64" s="103"/>
      <c r="F64" s="103"/>
      <c r="G64" s="103"/>
      <c r="H64" s="103"/>
      <c r="I64" s="103"/>
      <c r="J64" s="103"/>
      <c r="K64" s="103"/>
      <c r="L64" s="103"/>
      <c r="M64" s="103"/>
      <c r="N64" s="103"/>
      <c r="P64" s="38" t="s">
        <v>145</v>
      </c>
    </row>
    <row r="65" spans="1:17" x14ac:dyDescent="0.25">
      <c r="A65" s="55" t="s">
        <v>75</v>
      </c>
      <c r="B65" s="109" t="s">
        <v>40</v>
      </c>
      <c r="C65" s="112">
        <f>C64/365.25</f>
        <v>10.083504449007529</v>
      </c>
      <c r="D65" s="110"/>
      <c r="E65" s="103"/>
      <c r="F65" s="103"/>
      <c r="G65" s="103"/>
      <c r="H65" s="103"/>
      <c r="I65" s="103"/>
      <c r="J65" s="103"/>
      <c r="K65" s="103"/>
      <c r="L65" s="103"/>
      <c r="M65" s="103"/>
      <c r="N65" s="103"/>
      <c r="P65" s="38" t="s">
        <v>145</v>
      </c>
    </row>
    <row r="66" spans="1:17" x14ac:dyDescent="0.25">
      <c r="A66" s="55" t="s">
        <v>47</v>
      </c>
      <c r="B66" s="109" t="s">
        <v>49</v>
      </c>
      <c r="C66" s="145">
        <f>1+C49</f>
        <v>1.088908</v>
      </c>
      <c r="D66" s="131"/>
      <c r="E66" s="131"/>
      <c r="F66" s="131"/>
      <c r="G66" s="131"/>
      <c r="H66" s="131"/>
      <c r="I66" s="131"/>
      <c r="J66" s="131"/>
      <c r="K66" s="131"/>
      <c r="L66" s="131"/>
      <c r="M66" s="131"/>
      <c r="N66" s="131"/>
      <c r="P66" s="38" t="s">
        <v>145</v>
      </c>
    </row>
    <row r="67" spans="1:17" x14ac:dyDescent="0.25">
      <c r="A67" s="55" t="s">
        <v>126</v>
      </c>
      <c r="B67" s="109" t="s">
        <v>28</v>
      </c>
      <c r="C67" s="141">
        <f>C66^C65</f>
        <v>2.3604826562955039</v>
      </c>
      <c r="D67" s="131"/>
      <c r="E67" s="131"/>
      <c r="F67" s="131"/>
      <c r="G67" s="131"/>
      <c r="H67" s="131"/>
      <c r="I67" s="131"/>
      <c r="J67" s="131"/>
      <c r="K67" s="131"/>
      <c r="L67" s="131"/>
      <c r="M67" s="131"/>
      <c r="N67" s="131"/>
      <c r="P67" s="38" t="s">
        <v>145</v>
      </c>
    </row>
    <row r="68" spans="1:17" ht="18.75" x14ac:dyDescent="0.3">
      <c r="A68" s="56"/>
      <c r="E68" s="50"/>
      <c r="F68" s="50"/>
      <c r="G68" s="50"/>
      <c r="H68" s="50"/>
      <c r="I68" s="50"/>
      <c r="J68" s="50"/>
      <c r="K68" s="50"/>
      <c r="L68" s="50"/>
      <c r="M68" s="50"/>
    </row>
    <row r="69" spans="1:17" ht="18.75" x14ac:dyDescent="0.3">
      <c r="A69" s="56" t="s">
        <v>70</v>
      </c>
      <c r="N69" s="94"/>
      <c r="Q69" s="42" t="s">
        <v>78</v>
      </c>
    </row>
    <row r="70" spans="1:17" x14ac:dyDescent="0.25">
      <c r="A70" s="55" t="s">
        <v>15</v>
      </c>
      <c r="B70" s="109" t="s">
        <v>34</v>
      </c>
      <c r="C70" s="109"/>
      <c r="D70" s="110">
        <f t="shared" ref="D70:N70" si="21">ROUNDDOWN((D51-D71),0)</f>
        <v>71</v>
      </c>
      <c r="E70" s="110">
        <f t="shared" si="21"/>
        <v>148</v>
      </c>
      <c r="F70" s="110">
        <f t="shared" si="21"/>
        <v>148</v>
      </c>
      <c r="G70" s="110">
        <f t="shared" si="21"/>
        <v>148</v>
      </c>
      <c r="H70" s="110">
        <f t="shared" si="21"/>
        <v>148</v>
      </c>
      <c r="I70" s="110">
        <f t="shared" si="21"/>
        <v>148</v>
      </c>
      <c r="J70" s="110">
        <f t="shared" si="21"/>
        <v>148</v>
      </c>
      <c r="K70" s="110">
        <f t="shared" si="21"/>
        <v>148</v>
      </c>
      <c r="L70" s="110">
        <f t="shared" si="21"/>
        <v>148</v>
      </c>
      <c r="M70" s="110">
        <f t="shared" si="21"/>
        <v>148</v>
      </c>
      <c r="N70" s="110">
        <f t="shared" si="21"/>
        <v>55</v>
      </c>
      <c r="P70" s="38" t="s">
        <v>145</v>
      </c>
    </row>
    <row r="71" spans="1:17" x14ac:dyDescent="0.25">
      <c r="A71" s="55" t="s">
        <v>17</v>
      </c>
      <c r="B71" s="109" t="s">
        <v>65</v>
      </c>
      <c r="C71" s="109"/>
      <c r="D71" s="86">
        <v>41019</v>
      </c>
      <c r="E71" s="86">
        <v>41307</v>
      </c>
      <c r="F71" s="86">
        <v>41672</v>
      </c>
      <c r="G71" s="86">
        <v>42037</v>
      </c>
      <c r="H71" s="86">
        <v>42403</v>
      </c>
      <c r="I71" s="86">
        <v>42768</v>
      </c>
      <c r="J71" s="86">
        <v>43133</v>
      </c>
      <c r="K71" s="86">
        <v>43498</v>
      </c>
      <c r="L71" s="86">
        <v>43864</v>
      </c>
      <c r="M71" s="86">
        <v>44229</v>
      </c>
      <c r="N71" s="86">
        <v>44506</v>
      </c>
      <c r="P71" s="38" t="s">
        <v>145</v>
      </c>
      <c r="Q71" s="42" t="s">
        <v>154</v>
      </c>
    </row>
    <row r="72" spans="1:17" x14ac:dyDescent="0.25">
      <c r="A72" s="55" t="s">
        <v>68</v>
      </c>
      <c r="B72" s="109" t="s">
        <v>34</v>
      </c>
      <c r="C72" s="109"/>
      <c r="D72" s="110">
        <f>$N$51-D71</f>
        <v>3542</v>
      </c>
      <c r="E72" s="110">
        <f t="shared" ref="E72:N72" si="22">$N$51-E71</f>
        <v>3254</v>
      </c>
      <c r="F72" s="110">
        <f t="shared" si="22"/>
        <v>2889</v>
      </c>
      <c r="G72" s="110">
        <f t="shared" si="22"/>
        <v>2524</v>
      </c>
      <c r="H72" s="110">
        <f t="shared" si="22"/>
        <v>2158</v>
      </c>
      <c r="I72" s="110">
        <f t="shared" si="22"/>
        <v>1793</v>
      </c>
      <c r="J72" s="110">
        <f t="shared" si="22"/>
        <v>1428</v>
      </c>
      <c r="K72" s="110">
        <f t="shared" si="22"/>
        <v>1063</v>
      </c>
      <c r="L72" s="110">
        <f t="shared" si="22"/>
        <v>697</v>
      </c>
      <c r="M72" s="110">
        <f t="shared" si="22"/>
        <v>332</v>
      </c>
      <c r="N72" s="110">
        <f t="shared" si="22"/>
        <v>55</v>
      </c>
      <c r="P72" s="38" t="s">
        <v>145</v>
      </c>
    </row>
    <row r="73" spans="1:17" x14ac:dyDescent="0.25">
      <c r="A73" s="55" t="s">
        <v>75</v>
      </c>
      <c r="B73" s="109" t="s">
        <v>40</v>
      </c>
      <c r="C73" s="109"/>
      <c r="D73" s="112">
        <f t="shared" ref="D73:N73" si="23">D72/365</f>
        <v>9.7041095890410958</v>
      </c>
      <c r="E73" s="112">
        <f t="shared" si="23"/>
        <v>8.9150684931506845</v>
      </c>
      <c r="F73" s="112">
        <f t="shared" si="23"/>
        <v>7.9150684931506845</v>
      </c>
      <c r="G73" s="112">
        <f t="shared" si="23"/>
        <v>6.9150684931506845</v>
      </c>
      <c r="H73" s="112">
        <f t="shared" si="23"/>
        <v>5.912328767123288</v>
      </c>
      <c r="I73" s="112">
        <f t="shared" si="23"/>
        <v>4.912328767123288</v>
      </c>
      <c r="J73" s="112">
        <f t="shared" si="23"/>
        <v>3.9123287671232876</v>
      </c>
      <c r="K73" s="112">
        <f t="shared" si="23"/>
        <v>2.9123287671232876</v>
      </c>
      <c r="L73" s="112">
        <f t="shared" si="23"/>
        <v>1.9095890410958904</v>
      </c>
      <c r="M73" s="112">
        <f t="shared" si="23"/>
        <v>0.90958904109589045</v>
      </c>
      <c r="N73" s="112">
        <f t="shared" si="23"/>
        <v>0.15068493150684931</v>
      </c>
      <c r="P73" s="38" t="s">
        <v>145</v>
      </c>
    </row>
    <row r="74" spans="1:17" x14ac:dyDescent="0.25">
      <c r="A74" s="55" t="s">
        <v>47</v>
      </c>
      <c r="B74" s="109" t="s">
        <v>49</v>
      </c>
      <c r="C74" s="109"/>
      <c r="D74" s="145">
        <f>1+D49</f>
        <v>1.088908</v>
      </c>
      <c r="E74" s="145">
        <f t="shared" ref="E74:N74" si="24">1+E49</f>
        <v>1.0868910000000001</v>
      </c>
      <c r="F74" s="145">
        <f t="shared" si="24"/>
        <v>1.0848740000000001</v>
      </c>
      <c r="G74" s="145">
        <f t="shared" si="24"/>
        <v>1.082857</v>
      </c>
      <c r="H74" s="145">
        <f t="shared" si="24"/>
        <v>1.08084</v>
      </c>
      <c r="I74" s="145">
        <f t="shared" si="24"/>
        <v>1.0788230000000001</v>
      </c>
      <c r="J74" s="145">
        <f t="shared" si="24"/>
        <v>1.0768059999999999</v>
      </c>
      <c r="K74" s="145">
        <f t="shared" si="24"/>
        <v>1.074789</v>
      </c>
      <c r="L74" s="145">
        <f t="shared" si="24"/>
        <v>1.0727720000000001</v>
      </c>
      <c r="M74" s="145">
        <f t="shared" si="24"/>
        <v>1.073205</v>
      </c>
      <c r="N74" s="145">
        <f t="shared" si="24"/>
        <v>1.073205</v>
      </c>
      <c r="P74" s="38" t="s">
        <v>145</v>
      </c>
    </row>
    <row r="75" spans="1:17" x14ac:dyDescent="0.25">
      <c r="A75" s="55" t="s">
        <v>69</v>
      </c>
      <c r="B75" s="109" t="s">
        <v>28</v>
      </c>
      <c r="C75" s="109"/>
      <c r="D75" s="118">
        <f t="shared" ref="D75:M75" si="25">D74^D73</f>
        <v>2.2854227542350278</v>
      </c>
      <c r="E75" s="118">
        <f t="shared" si="25"/>
        <v>2.1018445960130432</v>
      </c>
      <c r="F75" s="118">
        <f t="shared" si="25"/>
        <v>1.9055905529673129</v>
      </c>
      <c r="G75" s="118">
        <f t="shared" si="25"/>
        <v>1.734049864520943</v>
      </c>
      <c r="H75" s="118">
        <f t="shared" si="25"/>
        <v>1.5834652916756669</v>
      </c>
      <c r="I75" s="118">
        <f t="shared" si="25"/>
        <v>1.4516509404405851</v>
      </c>
      <c r="J75" s="118">
        <f t="shared" si="25"/>
        <v>1.3357720004189348</v>
      </c>
      <c r="K75" s="118">
        <f t="shared" si="25"/>
        <v>1.2337395700722855</v>
      </c>
      <c r="L75" s="118">
        <f t="shared" si="25"/>
        <v>1.1435539367518366</v>
      </c>
      <c r="M75" s="118">
        <f t="shared" si="25"/>
        <v>1.0663717618165804</v>
      </c>
      <c r="N75" s="141">
        <f>N74^N73</f>
        <v>1.0107026831567083</v>
      </c>
      <c r="P75" s="38" t="s">
        <v>145</v>
      </c>
    </row>
  </sheetData>
  <pageMargins left="0.7" right="0.7" top="0.75" bottom="0.75" header="0.3" footer="0.3"/>
  <pageSetup paperSize="8"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0DC0-1641-4E92-9287-3BE35E8D4233}">
  <sheetPr>
    <tabColor theme="3" tint="0.39997558519241921"/>
    <pageSetUpPr fitToPage="1"/>
  </sheetPr>
  <dimension ref="A1:AD209"/>
  <sheetViews>
    <sheetView showGridLines="0" tabSelected="1" zoomScale="85" zoomScaleNormal="85" zoomScaleSheetLayoutView="100" workbookViewId="0"/>
  </sheetViews>
  <sheetFormatPr defaultColWidth="9.140625" defaultRowHeight="15" x14ac:dyDescent="0.25"/>
  <cols>
    <col min="1" max="1" width="62.5703125" style="1" customWidth="1"/>
    <col min="2" max="3" width="15.140625" style="1" customWidth="1"/>
    <col min="4" max="14" width="14.5703125" style="1" customWidth="1"/>
    <col min="15" max="15" width="11.85546875" style="1" customWidth="1"/>
    <col min="16" max="16" width="15.42578125" style="1" customWidth="1"/>
    <col min="17" max="17" width="61.5703125" style="1" customWidth="1"/>
    <col min="18" max="18" width="15.7109375" style="1" customWidth="1"/>
    <col min="19" max="19" width="33.5703125" style="1" customWidth="1"/>
    <col min="20" max="16384" width="9.140625" style="1"/>
  </cols>
  <sheetData>
    <row r="1" spans="1:17" ht="30" customHeight="1" x14ac:dyDescent="0.4">
      <c r="A1" s="12" t="s">
        <v>58</v>
      </c>
      <c r="B1" s="28"/>
      <c r="C1" s="28"/>
    </row>
    <row r="2" spans="1:17" x14ac:dyDescent="0.25">
      <c r="A2" s="116" t="s">
        <v>36</v>
      </c>
      <c r="D2" s="63"/>
      <c r="E2" s="63"/>
      <c r="F2" s="63"/>
      <c r="G2" s="63"/>
      <c r="H2" s="63"/>
      <c r="I2" s="63"/>
      <c r="J2" s="63"/>
      <c r="K2" s="63"/>
      <c r="L2" s="63"/>
      <c r="M2" s="63"/>
      <c r="N2" s="63"/>
    </row>
    <row r="3" spans="1:17" x14ac:dyDescent="0.25">
      <c r="A3" s="76"/>
      <c r="D3" s="63"/>
      <c r="E3" s="63"/>
      <c r="F3" s="63"/>
      <c r="G3" s="63"/>
      <c r="H3" s="63"/>
      <c r="I3" s="63"/>
      <c r="J3" s="63"/>
      <c r="K3" s="63"/>
      <c r="L3" s="63"/>
      <c r="M3" s="63"/>
      <c r="N3" s="63"/>
      <c r="P3" s="92" t="s">
        <v>121</v>
      </c>
      <c r="Q3" s="92" t="s">
        <v>2</v>
      </c>
    </row>
    <row r="4" spans="1:17" ht="21" x14ac:dyDescent="0.35">
      <c r="A4" s="88" t="s">
        <v>20</v>
      </c>
      <c r="D4" s="29"/>
      <c r="E4" s="29"/>
      <c r="F4" s="29"/>
      <c r="G4" s="29"/>
      <c r="H4" s="29"/>
      <c r="I4" s="29"/>
      <c r="J4" s="29"/>
      <c r="K4" s="29"/>
      <c r="L4" s="29"/>
      <c r="M4" s="29"/>
      <c r="N4" s="113" t="s">
        <v>72</v>
      </c>
      <c r="O4" s="38"/>
      <c r="P4" s="38"/>
      <c r="Q4" s="42"/>
    </row>
    <row r="5" spans="1:17" x14ac:dyDescent="0.25">
      <c r="B5" s="28"/>
      <c r="C5" s="28"/>
      <c r="D5" s="28"/>
      <c r="E5" s="28"/>
      <c r="F5" s="28"/>
      <c r="G5" s="28"/>
      <c r="H5" s="28"/>
      <c r="I5" s="28"/>
      <c r="J5" s="28"/>
      <c r="K5" s="28"/>
      <c r="L5" s="28"/>
      <c r="M5" s="28"/>
      <c r="N5" s="115">
        <v>44561</v>
      </c>
      <c r="O5" s="38"/>
      <c r="P5" s="38"/>
    </row>
    <row r="6" spans="1:17" ht="18.75" x14ac:dyDescent="0.3">
      <c r="A6" s="56"/>
      <c r="B6" s="40"/>
      <c r="C6" s="40"/>
      <c r="D6" s="40"/>
      <c r="E6" s="40"/>
      <c r="F6" s="40"/>
      <c r="G6" s="40"/>
      <c r="H6" s="40"/>
      <c r="I6" s="40"/>
      <c r="J6" s="40"/>
      <c r="K6" s="40"/>
      <c r="L6" s="40"/>
      <c r="M6" s="40"/>
      <c r="N6" s="40"/>
      <c r="O6" s="38"/>
      <c r="P6" s="38"/>
      <c r="Q6" s="38"/>
    </row>
    <row r="7" spans="1:17" ht="17.25" x14ac:dyDescent="0.3">
      <c r="A7" s="33" t="s">
        <v>84</v>
      </c>
      <c r="B7" s="39" t="s">
        <v>19</v>
      </c>
      <c r="C7" s="39"/>
      <c r="D7" s="48"/>
      <c r="E7" s="48"/>
      <c r="F7" s="48"/>
      <c r="G7" s="48"/>
      <c r="H7" s="48"/>
      <c r="I7" s="48"/>
      <c r="J7" s="48"/>
      <c r="K7" s="48"/>
      <c r="L7" s="48"/>
      <c r="M7" s="48"/>
      <c r="N7" s="119">
        <f>N36</f>
        <v>-4999.8728785762059</v>
      </c>
      <c r="O7" s="30"/>
      <c r="P7" s="38" t="s">
        <v>82</v>
      </c>
      <c r="Q7" s="42"/>
    </row>
    <row r="8" spans="1:17" ht="17.25" x14ac:dyDescent="0.3">
      <c r="A8" s="129" t="s">
        <v>108</v>
      </c>
      <c r="B8" s="39" t="s">
        <v>19</v>
      </c>
      <c r="C8" s="39"/>
      <c r="D8" s="48"/>
      <c r="E8" s="48"/>
      <c r="F8" s="48"/>
      <c r="G8" s="48"/>
      <c r="H8" s="48"/>
      <c r="I8" s="48"/>
      <c r="J8" s="48"/>
      <c r="K8" s="48"/>
      <c r="L8" s="48"/>
      <c r="M8" s="48"/>
      <c r="N8" s="119">
        <f>N59</f>
        <v>3446.6940090793678</v>
      </c>
      <c r="O8" s="30"/>
      <c r="P8" s="38" t="s">
        <v>82</v>
      </c>
    </row>
    <row r="9" spans="1:17" ht="17.25" x14ac:dyDescent="0.3">
      <c r="A9" s="108" t="s">
        <v>62</v>
      </c>
      <c r="B9" s="39" t="s">
        <v>19</v>
      </c>
      <c r="C9" s="39"/>
      <c r="D9" s="48"/>
      <c r="E9" s="48"/>
      <c r="F9" s="48"/>
      <c r="G9" s="48"/>
      <c r="H9" s="48"/>
      <c r="I9" s="48"/>
      <c r="J9" s="48"/>
      <c r="K9" s="48"/>
      <c r="L9" s="48"/>
      <c r="M9" s="48"/>
      <c r="N9" s="119">
        <f>N75</f>
        <v>422.44910269591492</v>
      </c>
      <c r="O9" s="30"/>
      <c r="P9" s="38" t="s">
        <v>94</v>
      </c>
      <c r="Q9" s="42"/>
    </row>
    <row r="10" spans="1:17" ht="17.25" x14ac:dyDescent="0.3">
      <c r="A10" s="33" t="s">
        <v>81</v>
      </c>
      <c r="B10" s="39" t="s">
        <v>19</v>
      </c>
      <c r="C10" s="39"/>
      <c r="D10" s="48"/>
      <c r="E10" s="48"/>
      <c r="F10" s="48"/>
      <c r="G10" s="48"/>
      <c r="H10" s="48"/>
      <c r="I10" s="48"/>
      <c r="J10" s="48"/>
      <c r="K10" s="48"/>
      <c r="L10" s="48"/>
      <c r="M10" s="48"/>
      <c r="N10" s="119">
        <f>SUM(N7:N9)</f>
        <v>-1130.7297668009232</v>
      </c>
      <c r="O10" s="30"/>
      <c r="P10" s="38" t="s">
        <v>82</v>
      </c>
    </row>
    <row r="11" spans="1:17" ht="17.25" x14ac:dyDescent="0.3">
      <c r="A11" s="33"/>
      <c r="B11" s="39"/>
      <c r="C11" s="39"/>
      <c r="D11" s="48"/>
      <c r="E11" s="48"/>
      <c r="F11" s="48"/>
      <c r="G11" s="48"/>
      <c r="H11" s="48"/>
      <c r="I11" s="48"/>
      <c r="J11" s="48"/>
      <c r="K11" s="48"/>
      <c r="L11" s="48"/>
      <c r="M11" s="48"/>
      <c r="N11" s="119"/>
      <c r="O11" s="30"/>
      <c r="P11" s="38"/>
      <c r="Q11" s="42"/>
    </row>
    <row r="12" spans="1:17" ht="17.25" x14ac:dyDescent="0.3">
      <c r="A12" s="33" t="s">
        <v>120</v>
      </c>
      <c r="B12" s="39" t="s">
        <v>19</v>
      </c>
      <c r="C12" s="39"/>
      <c r="D12" s="48"/>
      <c r="E12" s="48"/>
      <c r="F12" s="48"/>
      <c r="G12" s="48"/>
      <c r="H12" s="48"/>
      <c r="I12" s="48"/>
      <c r="J12" s="48"/>
      <c r="K12" s="48"/>
      <c r="L12" s="48"/>
      <c r="M12" s="48"/>
      <c r="N12" s="119">
        <f>-MIN(0, N10)</f>
        <v>1130.7297668009232</v>
      </c>
      <c r="O12" s="30"/>
      <c r="P12" s="38" t="s">
        <v>83</v>
      </c>
      <c r="Q12" s="42" t="s">
        <v>155</v>
      </c>
    </row>
    <row r="13" spans="1:17" x14ac:dyDescent="0.25">
      <c r="Q13" s="42"/>
    </row>
    <row r="14" spans="1:17" ht="21" x14ac:dyDescent="0.35">
      <c r="A14" s="88" t="s">
        <v>61</v>
      </c>
      <c r="C14" s="113" t="s">
        <v>63</v>
      </c>
      <c r="D14" s="113" t="s">
        <v>122</v>
      </c>
      <c r="E14" s="113" t="s">
        <v>64</v>
      </c>
      <c r="F14" s="113" t="s">
        <v>64</v>
      </c>
      <c r="G14" s="113" t="s">
        <v>64</v>
      </c>
      <c r="H14" s="113" t="s">
        <v>64</v>
      </c>
      <c r="I14" s="113" t="s">
        <v>64</v>
      </c>
      <c r="J14" s="113" t="s">
        <v>64</v>
      </c>
      <c r="K14" s="113" t="s">
        <v>64</v>
      </c>
      <c r="L14" s="113" t="s">
        <v>64</v>
      </c>
      <c r="M14" s="113" t="s">
        <v>64</v>
      </c>
      <c r="N14" s="113" t="s">
        <v>123</v>
      </c>
      <c r="O14" s="38"/>
      <c r="P14" s="38"/>
      <c r="Q14" s="38"/>
    </row>
    <row r="15" spans="1:17" x14ac:dyDescent="0.25">
      <c r="B15" s="28"/>
      <c r="C15" s="115">
        <f>Inputs!$C$51</f>
        <v>40878</v>
      </c>
      <c r="D15" s="115">
        <f>Inputs!D51</f>
        <v>41090</v>
      </c>
      <c r="E15" s="115">
        <f>Inputs!E51</f>
        <v>41455</v>
      </c>
      <c r="F15" s="115">
        <f>Inputs!F51</f>
        <v>41820</v>
      </c>
      <c r="G15" s="115">
        <f>Inputs!G51</f>
        <v>42185</v>
      </c>
      <c r="H15" s="115">
        <f>Inputs!H51</f>
        <v>42551</v>
      </c>
      <c r="I15" s="115">
        <f>Inputs!I51</f>
        <v>42916</v>
      </c>
      <c r="J15" s="115">
        <f>Inputs!J51</f>
        <v>43281</v>
      </c>
      <c r="K15" s="115">
        <f>Inputs!K51</f>
        <v>43646</v>
      </c>
      <c r="L15" s="115">
        <f>Inputs!L51</f>
        <v>44012</v>
      </c>
      <c r="M15" s="115">
        <f>Inputs!M51</f>
        <v>44377</v>
      </c>
      <c r="N15" s="115">
        <f>Inputs!N51</f>
        <v>44561</v>
      </c>
      <c r="O15" s="38"/>
      <c r="P15" s="38"/>
    </row>
    <row r="16" spans="1:17" ht="18.75" x14ac:dyDescent="0.3">
      <c r="A16" s="56" t="s">
        <v>38</v>
      </c>
      <c r="B16" s="40"/>
      <c r="C16" s="40"/>
      <c r="D16" s="40"/>
      <c r="E16" s="40"/>
      <c r="F16" s="40"/>
      <c r="G16" s="40"/>
      <c r="H16" s="40"/>
      <c r="I16" s="40"/>
      <c r="J16" s="40"/>
      <c r="K16" s="40"/>
      <c r="L16" s="40"/>
      <c r="M16" s="40"/>
      <c r="N16" s="40"/>
      <c r="O16" s="38"/>
      <c r="P16" s="38"/>
      <c r="Q16" s="38"/>
    </row>
    <row r="17" spans="1:17" x14ac:dyDescent="0.25">
      <c r="A17" s="33" t="s">
        <v>86</v>
      </c>
      <c r="B17" s="39" t="s">
        <v>19</v>
      </c>
      <c r="C17" s="123"/>
      <c r="D17" s="123">
        <f>Inputs!D7</f>
        <v>10</v>
      </c>
      <c r="E17" s="123">
        <f>Inputs!E7</f>
        <v>20</v>
      </c>
      <c r="F17" s="123">
        <f>Inputs!F7</f>
        <v>500</v>
      </c>
      <c r="G17" s="123">
        <f>Inputs!G7</f>
        <v>600</v>
      </c>
      <c r="H17" s="123">
        <f>Inputs!H7</f>
        <v>610</v>
      </c>
      <c r="I17" s="123">
        <f>Inputs!I7</f>
        <v>620</v>
      </c>
      <c r="J17" s="123">
        <f>Inputs!J7</f>
        <v>65</v>
      </c>
      <c r="K17" s="123">
        <f>Inputs!K7</f>
        <v>70</v>
      </c>
      <c r="L17" s="123">
        <f>Inputs!L7</f>
        <v>75</v>
      </c>
      <c r="M17" s="123">
        <f>Inputs!M7</f>
        <v>80</v>
      </c>
      <c r="N17" s="123">
        <f>Inputs!N7</f>
        <v>90</v>
      </c>
      <c r="O17" s="30"/>
      <c r="P17" s="38" t="s">
        <v>82</v>
      </c>
      <c r="Q17" s="42"/>
    </row>
    <row r="18" spans="1:17" x14ac:dyDescent="0.25">
      <c r="A18" s="33" t="s">
        <v>110</v>
      </c>
      <c r="B18" s="39" t="s">
        <v>28</v>
      </c>
      <c r="C18" s="124"/>
      <c r="D18" s="124">
        <f>Inputs!D75</f>
        <v>2.2854227542350278</v>
      </c>
      <c r="E18" s="124">
        <f>Inputs!E75</f>
        <v>2.1018445960130432</v>
      </c>
      <c r="F18" s="124">
        <f>Inputs!F75</f>
        <v>1.9055905529673129</v>
      </c>
      <c r="G18" s="124">
        <f>Inputs!G75</f>
        <v>1.734049864520943</v>
      </c>
      <c r="H18" s="124">
        <f>Inputs!H75</f>
        <v>1.5834652916756669</v>
      </c>
      <c r="I18" s="124">
        <f>Inputs!I75</f>
        <v>1.4516509404405851</v>
      </c>
      <c r="J18" s="124">
        <f>Inputs!J75</f>
        <v>1.3357720004189348</v>
      </c>
      <c r="K18" s="124">
        <f>Inputs!K75</f>
        <v>1.2337395700722855</v>
      </c>
      <c r="L18" s="124">
        <f>Inputs!L75</f>
        <v>1.1435539367518366</v>
      </c>
      <c r="M18" s="124">
        <f>Inputs!M75</f>
        <v>1.0663717618165804</v>
      </c>
      <c r="N18" s="142">
        <f>Inputs!N75</f>
        <v>1.0107026831567083</v>
      </c>
      <c r="O18" s="30"/>
      <c r="P18" s="38" t="s">
        <v>140</v>
      </c>
      <c r="Q18" s="42"/>
    </row>
    <row r="19" spans="1:17" x14ac:dyDescent="0.25">
      <c r="A19" s="33" t="s">
        <v>87</v>
      </c>
      <c r="B19" s="39" t="s">
        <v>19</v>
      </c>
      <c r="C19" s="35"/>
      <c r="D19" s="35">
        <f t="shared" ref="D19:N19" si="0">D17*D18</f>
        <v>22.85422754235028</v>
      </c>
      <c r="E19" s="35">
        <f t="shared" si="0"/>
        <v>42.036891920260864</v>
      </c>
      <c r="F19" s="35">
        <f t="shared" si="0"/>
        <v>952.79527648365649</v>
      </c>
      <c r="G19" s="35">
        <f t="shared" si="0"/>
        <v>1040.4299187125657</v>
      </c>
      <c r="H19" s="35">
        <f t="shared" si="0"/>
        <v>965.91382792215677</v>
      </c>
      <c r="I19" s="35">
        <f t="shared" si="0"/>
        <v>900.02358307316274</v>
      </c>
      <c r="J19" s="35">
        <f t="shared" si="0"/>
        <v>86.825180027230772</v>
      </c>
      <c r="K19" s="35">
        <f t="shared" si="0"/>
        <v>86.361769905059987</v>
      </c>
      <c r="L19" s="35">
        <f t="shared" si="0"/>
        <v>85.766545256387744</v>
      </c>
      <c r="M19" s="35">
        <f t="shared" si="0"/>
        <v>85.309740945326439</v>
      </c>
      <c r="N19" s="35">
        <f t="shared" si="0"/>
        <v>90.963241484103747</v>
      </c>
      <c r="O19" s="30"/>
      <c r="P19" s="38" t="s">
        <v>82</v>
      </c>
      <c r="Q19" s="42"/>
    </row>
    <row r="20" spans="1:17" x14ac:dyDescent="0.25">
      <c r="A20" s="41"/>
      <c r="B20" s="36"/>
      <c r="C20" s="37"/>
      <c r="D20" s="37"/>
      <c r="E20" s="37"/>
      <c r="F20" s="37"/>
      <c r="G20" s="37"/>
      <c r="H20" s="37"/>
      <c r="I20" s="37"/>
      <c r="J20" s="37"/>
      <c r="K20" s="37"/>
      <c r="L20" s="37"/>
      <c r="M20" s="37"/>
      <c r="N20" s="37"/>
      <c r="P20" s="38"/>
      <c r="Q20" s="42"/>
    </row>
    <row r="21" spans="1:17" ht="18.75" x14ac:dyDescent="0.3">
      <c r="A21" s="49" t="s">
        <v>24</v>
      </c>
      <c r="B21" s="68"/>
      <c r="C21" s="77"/>
      <c r="D21" s="77"/>
      <c r="E21" s="77"/>
      <c r="F21" s="77"/>
      <c r="G21" s="77"/>
      <c r="H21" s="77"/>
      <c r="I21" s="77"/>
      <c r="J21" s="77"/>
      <c r="K21" s="77"/>
      <c r="L21" s="77"/>
      <c r="M21" s="77"/>
      <c r="N21" s="77"/>
      <c r="P21" s="38"/>
      <c r="Q21" s="42"/>
    </row>
    <row r="22" spans="1:17" ht="15" customHeight="1" x14ac:dyDescent="0.25">
      <c r="A22" s="33" t="s">
        <v>132</v>
      </c>
      <c r="B22" s="39" t="s">
        <v>19</v>
      </c>
      <c r="C22" s="77">
        <f>C54</f>
        <v>1000</v>
      </c>
      <c r="D22" s="77"/>
      <c r="E22" s="77"/>
      <c r="F22" s="77"/>
      <c r="G22" s="77"/>
      <c r="H22" s="77"/>
      <c r="I22" s="77"/>
      <c r="J22" s="77"/>
      <c r="K22" s="77"/>
      <c r="L22" s="77"/>
      <c r="M22" s="77"/>
      <c r="N22" s="77"/>
      <c r="P22" s="38" t="s">
        <v>82</v>
      </c>
      <c r="Q22" s="42"/>
    </row>
    <row r="23" spans="1:17" x14ac:dyDescent="0.25">
      <c r="A23" s="33" t="s">
        <v>129</v>
      </c>
      <c r="B23" s="39" t="s">
        <v>28</v>
      </c>
      <c r="C23" s="142">
        <f>Inputs!C67</f>
        <v>2.3604826562955039</v>
      </c>
      <c r="D23" s="77"/>
      <c r="E23" s="77"/>
      <c r="F23" s="77"/>
      <c r="G23" s="77"/>
      <c r="H23" s="77"/>
      <c r="I23" s="77"/>
      <c r="J23" s="77"/>
      <c r="K23" s="77"/>
      <c r="L23" s="77"/>
      <c r="M23" s="77"/>
      <c r="N23" s="77"/>
      <c r="P23" s="38" t="s">
        <v>140</v>
      </c>
      <c r="Q23" s="42"/>
    </row>
    <row r="24" spans="1:17" x14ac:dyDescent="0.25">
      <c r="A24" s="33" t="s">
        <v>131</v>
      </c>
      <c r="B24" s="39" t="s">
        <v>19</v>
      </c>
      <c r="C24" s="35">
        <f t="shared" ref="C24" si="1">C22*C23</f>
        <v>2360.4826562955041</v>
      </c>
      <c r="D24" s="77"/>
      <c r="E24" s="77"/>
      <c r="F24" s="77"/>
      <c r="G24" s="77"/>
      <c r="H24" s="77"/>
      <c r="I24" s="77"/>
      <c r="J24" s="77"/>
      <c r="K24" s="77"/>
      <c r="L24" s="77"/>
      <c r="M24" s="77"/>
      <c r="N24" s="77"/>
      <c r="P24" s="38" t="s">
        <v>82</v>
      </c>
      <c r="Q24" s="42"/>
    </row>
    <row r="25" spans="1:17" x14ac:dyDescent="0.25">
      <c r="A25" s="33"/>
      <c r="B25" s="68"/>
      <c r="C25" s="35"/>
      <c r="D25" s="77"/>
      <c r="E25" s="77"/>
      <c r="F25" s="77"/>
      <c r="G25" s="77"/>
      <c r="H25" s="77"/>
      <c r="I25" s="77"/>
      <c r="J25" s="77"/>
      <c r="K25" s="77"/>
      <c r="L25" s="77"/>
      <c r="M25" s="77"/>
      <c r="N25" s="77"/>
      <c r="P25" s="38"/>
      <c r="Q25" s="42"/>
    </row>
    <row r="26" spans="1:17" x14ac:dyDescent="0.25">
      <c r="A26" s="33" t="s">
        <v>90</v>
      </c>
      <c r="B26" s="39" t="s">
        <v>19</v>
      </c>
      <c r="C26" s="35"/>
      <c r="D26" s="147">
        <f t="shared" ref="D26:N26" si="2">D56</f>
        <v>150</v>
      </c>
      <c r="E26" s="35">
        <f>E56</f>
        <v>300</v>
      </c>
      <c r="F26" s="35">
        <f t="shared" si="2"/>
        <v>300</v>
      </c>
      <c r="G26" s="35">
        <f t="shared" si="2"/>
        <v>300</v>
      </c>
      <c r="H26" s="35">
        <f t="shared" si="2"/>
        <v>300</v>
      </c>
      <c r="I26" s="35">
        <f t="shared" si="2"/>
        <v>300</v>
      </c>
      <c r="J26" s="35">
        <f t="shared" si="2"/>
        <v>300</v>
      </c>
      <c r="K26" s="35">
        <f t="shared" si="2"/>
        <v>300</v>
      </c>
      <c r="L26" s="35">
        <f t="shared" si="2"/>
        <v>300</v>
      </c>
      <c r="M26" s="35">
        <f t="shared" si="2"/>
        <v>300</v>
      </c>
      <c r="N26" s="35">
        <f t="shared" si="2"/>
        <v>300</v>
      </c>
      <c r="O26" s="30"/>
      <c r="P26" s="38" t="s">
        <v>82</v>
      </c>
      <c r="Q26" s="42"/>
    </row>
    <row r="27" spans="1:17" x14ac:dyDescent="0.25">
      <c r="A27" s="33" t="s">
        <v>91</v>
      </c>
      <c r="B27" s="39" t="s">
        <v>19</v>
      </c>
      <c r="C27" s="35"/>
      <c r="D27" s="35">
        <f t="shared" ref="D27:N27" si="3">D58</f>
        <v>0</v>
      </c>
      <c r="E27" s="35">
        <f t="shared" si="3"/>
        <v>0</v>
      </c>
      <c r="F27" s="35">
        <f t="shared" si="3"/>
        <v>0</v>
      </c>
      <c r="G27" s="35">
        <f t="shared" si="3"/>
        <v>0</v>
      </c>
      <c r="H27" s="35">
        <f t="shared" si="3"/>
        <v>0</v>
      </c>
      <c r="I27" s="35">
        <f t="shared" si="3"/>
        <v>0</v>
      </c>
      <c r="J27" s="35">
        <f t="shared" si="3"/>
        <v>0</v>
      </c>
      <c r="K27" s="35">
        <f t="shared" si="3"/>
        <v>0</v>
      </c>
      <c r="L27" s="35">
        <f t="shared" si="3"/>
        <v>0</v>
      </c>
      <c r="M27" s="35">
        <f t="shared" si="3"/>
        <v>0</v>
      </c>
      <c r="N27" s="35">
        <f t="shared" si="3"/>
        <v>0</v>
      </c>
      <c r="O27" s="30"/>
      <c r="P27" s="38" t="s">
        <v>95</v>
      </c>
      <c r="Q27" s="42"/>
    </row>
    <row r="28" spans="1:17" x14ac:dyDescent="0.25">
      <c r="A28" s="70" t="s">
        <v>92</v>
      </c>
      <c r="B28" s="39" t="s">
        <v>19</v>
      </c>
      <c r="C28" s="123"/>
      <c r="D28" s="123">
        <f>Inputs!D10</f>
        <v>100</v>
      </c>
      <c r="E28" s="123">
        <f>Inputs!E10</f>
        <v>100</v>
      </c>
      <c r="F28" s="123">
        <f>Inputs!F10</f>
        <v>100</v>
      </c>
      <c r="G28" s="123">
        <f>Inputs!G10</f>
        <v>100</v>
      </c>
      <c r="H28" s="123">
        <f>Inputs!H10</f>
        <v>100</v>
      </c>
      <c r="I28" s="123">
        <f>Inputs!I10</f>
        <v>100</v>
      </c>
      <c r="J28" s="123">
        <f>Inputs!J10</f>
        <v>100</v>
      </c>
      <c r="K28" s="123">
        <f>Inputs!K10</f>
        <v>100</v>
      </c>
      <c r="L28" s="123">
        <f>Inputs!L10</f>
        <v>100</v>
      </c>
      <c r="M28" s="123">
        <f>Inputs!M10</f>
        <v>100</v>
      </c>
      <c r="N28" s="123">
        <f>Inputs!N10</f>
        <v>100</v>
      </c>
      <c r="O28" s="30"/>
      <c r="P28" s="38" t="s">
        <v>82</v>
      </c>
      <c r="Q28" s="42"/>
    </row>
    <row r="29" spans="1:17" x14ac:dyDescent="0.25">
      <c r="A29" s="33" t="s">
        <v>93</v>
      </c>
      <c r="B29" s="39" t="s">
        <v>19</v>
      </c>
      <c r="C29" s="45"/>
      <c r="D29" s="156">
        <f>D100</f>
        <v>0</v>
      </c>
      <c r="E29" s="45">
        <f t="shared" ref="E29:N29" si="4">E100</f>
        <v>0</v>
      </c>
      <c r="F29" s="45">
        <f t="shared" si="4"/>
        <v>9.2288983910143738</v>
      </c>
      <c r="G29" s="45">
        <f t="shared" si="4"/>
        <v>112.06854410221028</v>
      </c>
      <c r="H29" s="45">
        <f t="shared" si="4"/>
        <v>112.02020620843793</v>
      </c>
      <c r="I29" s="45">
        <f t="shared" si="4"/>
        <v>112.05104718483705</v>
      </c>
      <c r="J29" s="45">
        <f t="shared" si="4"/>
        <v>0</v>
      </c>
      <c r="K29" s="45">
        <f t="shared" si="4"/>
        <v>0</v>
      </c>
      <c r="L29" s="45">
        <f t="shared" si="4"/>
        <v>0</v>
      </c>
      <c r="M29" s="45">
        <f t="shared" si="4"/>
        <v>0</v>
      </c>
      <c r="N29" s="45">
        <f t="shared" si="4"/>
        <v>0</v>
      </c>
      <c r="O29" s="30"/>
      <c r="P29" s="38" t="s">
        <v>141</v>
      </c>
      <c r="Q29" s="42"/>
    </row>
    <row r="30" spans="1:17" x14ac:dyDescent="0.25">
      <c r="A30" s="46" t="s">
        <v>89</v>
      </c>
      <c r="B30" s="39" t="s">
        <v>19</v>
      </c>
      <c r="C30" s="54"/>
      <c r="D30" s="54">
        <f t="shared" ref="D30:N30" si="5">SUM(D26:D29)</f>
        <v>250</v>
      </c>
      <c r="E30" s="54">
        <f t="shared" si="5"/>
        <v>400</v>
      </c>
      <c r="F30" s="54">
        <f t="shared" si="5"/>
        <v>409.22889839101435</v>
      </c>
      <c r="G30" s="54">
        <f t="shared" si="5"/>
        <v>512.06854410221024</v>
      </c>
      <c r="H30" s="54">
        <f t="shared" si="5"/>
        <v>512.02020620843791</v>
      </c>
      <c r="I30" s="54">
        <f t="shared" si="5"/>
        <v>512.05104718483699</v>
      </c>
      <c r="J30" s="54">
        <f t="shared" si="5"/>
        <v>400</v>
      </c>
      <c r="K30" s="54">
        <f t="shared" si="5"/>
        <v>400</v>
      </c>
      <c r="L30" s="54">
        <f t="shared" si="5"/>
        <v>400</v>
      </c>
      <c r="M30" s="54">
        <f t="shared" si="5"/>
        <v>400</v>
      </c>
      <c r="N30" s="54">
        <f t="shared" si="5"/>
        <v>400</v>
      </c>
      <c r="O30" s="30"/>
      <c r="P30" s="38" t="s">
        <v>82</v>
      </c>
      <c r="Q30" s="42"/>
    </row>
    <row r="31" spans="1:17" x14ac:dyDescent="0.25">
      <c r="A31" s="33" t="s">
        <v>109</v>
      </c>
      <c r="B31" s="39" t="s">
        <v>28</v>
      </c>
      <c r="C31" s="124"/>
      <c r="D31" s="124">
        <f>Inputs!D60</f>
        <v>2.3023123538153083</v>
      </c>
      <c r="E31" s="124">
        <f>Inputs!E60</f>
        <v>2.1171334661687955</v>
      </c>
      <c r="F31" s="124">
        <f>Inputs!F60</f>
        <v>1.9192487733628827</v>
      </c>
      <c r="G31" s="124">
        <f>Inputs!G60</f>
        <v>1.7462888112963828</v>
      </c>
      <c r="H31" s="124">
        <f>Inputs!H60</f>
        <v>1.5948032179465543</v>
      </c>
      <c r="I31" s="124">
        <f>Inputs!I60</f>
        <v>1.4615667138674175</v>
      </c>
      <c r="J31" s="124">
        <f>Inputs!J60</f>
        <v>1.3447385489265906</v>
      </c>
      <c r="K31" s="124">
        <f>Inputs!K60</f>
        <v>1.2418720040928264</v>
      </c>
      <c r="L31" s="124">
        <f>Inputs!L60</f>
        <v>1.1511718112019638</v>
      </c>
      <c r="M31" s="124">
        <f>Inputs!M60</f>
        <v>1.0733607020432532</v>
      </c>
      <c r="N31" s="124">
        <f>Inputs!N60</f>
        <v>1.0179546370011536</v>
      </c>
      <c r="O31" s="30"/>
      <c r="P31" s="38" t="s">
        <v>140</v>
      </c>
      <c r="Q31" s="42"/>
    </row>
    <row r="32" spans="1:17" x14ac:dyDescent="0.25">
      <c r="A32" s="33" t="s">
        <v>88</v>
      </c>
      <c r="B32" s="39" t="s">
        <v>19</v>
      </c>
      <c r="C32" s="35"/>
      <c r="D32" s="35">
        <f t="shared" ref="D32:N32" si="6">D30*D31</f>
        <v>575.57808845382704</v>
      </c>
      <c r="E32" s="35">
        <f t="shared" si="6"/>
        <v>846.85338646751825</v>
      </c>
      <c r="F32" s="35">
        <f t="shared" si="6"/>
        <v>785.41206126159807</v>
      </c>
      <c r="G32" s="35">
        <f t="shared" si="6"/>
        <v>894.21956918251806</v>
      </c>
      <c r="H32" s="35">
        <f t="shared" si="6"/>
        <v>816.57147251487515</v>
      </c>
      <c r="I32" s="35">
        <f t="shared" si="6"/>
        <v>748.39676636631214</v>
      </c>
      <c r="J32" s="35">
        <f t="shared" si="6"/>
        <v>537.89541957063625</v>
      </c>
      <c r="K32" s="35">
        <f t="shared" si="6"/>
        <v>496.74880163713055</v>
      </c>
      <c r="L32" s="35">
        <f t="shared" si="6"/>
        <v>460.46872448078551</v>
      </c>
      <c r="M32" s="35">
        <f t="shared" si="6"/>
        <v>429.3442808173013</v>
      </c>
      <c r="N32" s="35">
        <f t="shared" si="6"/>
        <v>407.18185480046145</v>
      </c>
      <c r="O32" s="30"/>
      <c r="P32" s="38" t="s">
        <v>82</v>
      </c>
      <c r="Q32" s="42"/>
    </row>
    <row r="33" spans="1:17" x14ac:dyDescent="0.25">
      <c r="A33" s="41"/>
      <c r="B33" s="36"/>
      <c r="C33" s="37"/>
      <c r="D33" s="37"/>
      <c r="E33" s="37"/>
      <c r="F33" s="37"/>
      <c r="G33" s="37"/>
      <c r="H33" s="37"/>
      <c r="I33" s="37"/>
      <c r="J33" s="37"/>
      <c r="K33" s="37"/>
      <c r="L33" s="37"/>
      <c r="M33" s="37"/>
      <c r="N33" s="37"/>
      <c r="P33" s="38"/>
      <c r="Q33" s="42"/>
    </row>
    <row r="34" spans="1:17" ht="14.25" customHeight="1" x14ac:dyDescent="0.3">
      <c r="A34" s="49" t="s">
        <v>60</v>
      </c>
      <c r="B34" s="47"/>
      <c r="C34" s="44"/>
      <c r="D34" s="44"/>
      <c r="E34" s="44"/>
      <c r="F34" s="44"/>
      <c r="G34" s="44"/>
      <c r="H34" s="44"/>
      <c r="I34" s="44"/>
      <c r="J34" s="44"/>
      <c r="K34" s="44"/>
      <c r="L34" s="44"/>
      <c r="M34" s="44"/>
      <c r="N34" s="44"/>
      <c r="P34" s="38"/>
      <c r="Q34" s="42"/>
    </row>
    <row r="35" spans="1:17" x14ac:dyDescent="0.25">
      <c r="A35" s="33" t="s">
        <v>85</v>
      </c>
      <c r="B35" s="39" t="s">
        <v>19</v>
      </c>
      <c r="C35" s="35">
        <f>-C24</f>
        <v>-2360.4826562955041</v>
      </c>
      <c r="D35" s="35">
        <f t="shared" ref="D35:N35" si="7">D19-D32</f>
        <v>-552.72386091147678</v>
      </c>
      <c r="E35" s="35">
        <f t="shared" si="7"/>
        <v>-804.81649454725743</v>
      </c>
      <c r="F35" s="35">
        <f t="shared" si="7"/>
        <v>167.38321522205842</v>
      </c>
      <c r="G35" s="35">
        <f t="shared" si="7"/>
        <v>146.21034953004767</v>
      </c>
      <c r="H35" s="35">
        <f t="shared" si="7"/>
        <v>149.34235540728162</v>
      </c>
      <c r="I35" s="35">
        <f t="shared" si="7"/>
        <v>151.6268167068506</v>
      </c>
      <c r="J35" s="35">
        <f t="shared" si="7"/>
        <v>-451.07023954340548</v>
      </c>
      <c r="K35" s="35">
        <f t="shared" si="7"/>
        <v>-410.38703173207057</v>
      </c>
      <c r="L35" s="35">
        <f t="shared" si="7"/>
        <v>-374.70217922439775</v>
      </c>
      <c r="M35" s="35">
        <f t="shared" si="7"/>
        <v>-344.03453987197486</v>
      </c>
      <c r="N35" s="35">
        <f t="shared" si="7"/>
        <v>-316.21861331635773</v>
      </c>
      <c r="O35" s="30"/>
      <c r="P35" s="38" t="s">
        <v>82</v>
      </c>
      <c r="Q35" s="42"/>
    </row>
    <row r="36" spans="1:17" ht="17.25" x14ac:dyDescent="0.3">
      <c r="A36" s="33" t="s">
        <v>84</v>
      </c>
      <c r="B36" s="39" t="s">
        <v>19</v>
      </c>
      <c r="C36" s="48"/>
      <c r="D36" s="48"/>
      <c r="E36" s="48"/>
      <c r="F36" s="48"/>
      <c r="G36" s="48"/>
      <c r="H36" s="48"/>
      <c r="I36" s="48"/>
      <c r="J36" s="48"/>
      <c r="K36" s="48"/>
      <c r="L36" s="48"/>
      <c r="M36" s="48"/>
      <c r="N36" s="119">
        <f>SUM(C35:N35)</f>
        <v>-4999.8728785762059</v>
      </c>
      <c r="O36" s="30"/>
      <c r="P36" s="38" t="s">
        <v>82</v>
      </c>
      <c r="Q36" s="42"/>
    </row>
    <row r="37" spans="1:17" x14ac:dyDescent="0.25">
      <c r="A37" s="41"/>
      <c r="B37" s="36"/>
      <c r="C37" s="36"/>
      <c r="D37" s="37"/>
      <c r="E37" s="37"/>
      <c r="F37" s="37"/>
      <c r="G37" s="37"/>
      <c r="H37" s="37"/>
      <c r="I37" s="37"/>
      <c r="J37" s="37"/>
      <c r="K37" s="37"/>
      <c r="L37" s="37"/>
      <c r="M37" s="37"/>
      <c r="N37" s="37"/>
      <c r="Q37" s="42"/>
    </row>
    <row r="39" spans="1:17" ht="21" x14ac:dyDescent="0.35">
      <c r="A39" s="88" t="s">
        <v>41</v>
      </c>
      <c r="C39" s="113" t="s">
        <v>63</v>
      </c>
      <c r="D39" s="113" t="s">
        <v>122</v>
      </c>
      <c r="E39" s="113" t="s">
        <v>64</v>
      </c>
      <c r="F39" s="113" t="s">
        <v>64</v>
      </c>
      <c r="G39" s="113" t="s">
        <v>64</v>
      </c>
      <c r="H39" s="113" t="s">
        <v>64</v>
      </c>
      <c r="I39" s="113" t="s">
        <v>64</v>
      </c>
      <c r="J39" s="113" t="s">
        <v>64</v>
      </c>
      <c r="K39" s="113" t="s">
        <v>64</v>
      </c>
      <c r="L39" s="113" t="s">
        <v>64</v>
      </c>
      <c r="M39" s="113" t="s">
        <v>64</v>
      </c>
      <c r="N39" s="113" t="s">
        <v>123</v>
      </c>
      <c r="Q39" s="42"/>
    </row>
    <row r="40" spans="1:17" x14ac:dyDescent="0.25">
      <c r="C40" s="115">
        <f>Inputs!$C$51</f>
        <v>40878</v>
      </c>
      <c r="D40" s="115">
        <f>Inputs!D51</f>
        <v>41090</v>
      </c>
      <c r="E40" s="115">
        <f>Inputs!E51</f>
        <v>41455</v>
      </c>
      <c r="F40" s="115">
        <f>Inputs!F51</f>
        <v>41820</v>
      </c>
      <c r="G40" s="115">
        <f>Inputs!G51</f>
        <v>42185</v>
      </c>
      <c r="H40" s="115">
        <f>Inputs!H51</f>
        <v>42551</v>
      </c>
      <c r="I40" s="115">
        <f>Inputs!I51</f>
        <v>42916</v>
      </c>
      <c r="J40" s="115">
        <f>Inputs!J51</f>
        <v>43281</v>
      </c>
      <c r="K40" s="115">
        <f>Inputs!K51</f>
        <v>43646</v>
      </c>
      <c r="L40" s="115">
        <f>Inputs!L51</f>
        <v>44012</v>
      </c>
      <c r="M40" s="115">
        <f>Inputs!M51</f>
        <v>44377</v>
      </c>
      <c r="N40" s="115">
        <f>Inputs!N51</f>
        <v>44561</v>
      </c>
      <c r="Q40" s="42"/>
    </row>
    <row r="41" spans="1:17" ht="18.75" x14ac:dyDescent="0.3">
      <c r="A41" s="49" t="s">
        <v>44</v>
      </c>
      <c r="B41" s="8"/>
      <c r="C41" s="8"/>
      <c r="O41" s="38"/>
      <c r="P41" s="38"/>
      <c r="Q41" s="42"/>
    </row>
    <row r="42" spans="1:17" ht="18.399999999999999" customHeight="1" x14ac:dyDescent="0.25">
      <c r="A42" s="55" t="s">
        <v>51</v>
      </c>
      <c r="B42" s="55" t="s">
        <v>21</v>
      </c>
      <c r="C42" s="55"/>
      <c r="D42" s="125">
        <f>Inputs!D29/365.25</f>
        <v>0.57768651608487342</v>
      </c>
      <c r="E42" s="125">
        <f>Inputs!E29/365.25</f>
        <v>0.99931553730321698</v>
      </c>
      <c r="F42" s="125">
        <f>Inputs!F29/365.25</f>
        <v>0.99931553730321698</v>
      </c>
      <c r="G42" s="125">
        <f>Inputs!G29/365.25</f>
        <v>0.99931553730321698</v>
      </c>
      <c r="H42" s="125">
        <f>Inputs!H29/365.25</f>
        <v>0.99931553730321698</v>
      </c>
      <c r="I42" s="125">
        <f>Inputs!I29/365.25</f>
        <v>0.99931553730321698</v>
      </c>
      <c r="J42" s="125">
        <f>Inputs!J29/365.25</f>
        <v>0.99931553730321698</v>
      </c>
      <c r="K42" s="125">
        <f>Inputs!K29/365.25</f>
        <v>0.99931553730321698</v>
      </c>
      <c r="L42" s="125">
        <f>Inputs!L29/365.25</f>
        <v>0.99931553730321698</v>
      </c>
      <c r="M42" s="125">
        <f>Inputs!M29/365.25</f>
        <v>0.99931553730321698</v>
      </c>
      <c r="N42" s="125">
        <f>Inputs!N29/365.25</f>
        <v>0.50376454483230659</v>
      </c>
      <c r="O42" s="38"/>
      <c r="P42" s="38"/>
      <c r="Q42" s="42"/>
    </row>
    <row r="43" spans="1:17" ht="18.399999999999999" customHeight="1" x14ac:dyDescent="0.25">
      <c r="A43" s="55" t="s">
        <v>97</v>
      </c>
      <c r="B43" s="55" t="s">
        <v>21</v>
      </c>
      <c r="C43" s="125"/>
      <c r="D43" s="148">
        <f>Inputs!D15</f>
        <v>1</v>
      </c>
      <c r="E43" s="125">
        <f>Inputs!E15</f>
        <v>1</v>
      </c>
      <c r="F43" s="125">
        <f>Inputs!F15</f>
        <v>1</v>
      </c>
      <c r="G43" s="125">
        <f>Inputs!G15</f>
        <v>1</v>
      </c>
      <c r="H43" s="125">
        <f>Inputs!H15</f>
        <v>1</v>
      </c>
      <c r="I43" s="125">
        <f>Inputs!I15</f>
        <v>1</v>
      </c>
      <c r="J43" s="125">
        <f>Inputs!J15</f>
        <v>1</v>
      </c>
      <c r="K43" s="125">
        <f>Inputs!K15</f>
        <v>1</v>
      </c>
      <c r="L43" s="125">
        <f>Inputs!L15</f>
        <v>1</v>
      </c>
      <c r="M43" s="125">
        <f>Inputs!M15</f>
        <v>1</v>
      </c>
      <c r="N43" s="125">
        <f>Inputs!N15</f>
        <v>1</v>
      </c>
      <c r="O43" s="38"/>
      <c r="P43" s="38" t="s">
        <v>96</v>
      </c>
      <c r="Q43" s="42"/>
    </row>
    <row r="44" spans="1:17" ht="18.399999999999999" customHeight="1" x14ac:dyDescent="0.25">
      <c r="A44" s="55" t="s">
        <v>98</v>
      </c>
      <c r="B44" s="55" t="s">
        <v>21</v>
      </c>
      <c r="C44" s="125">
        <f>Inputs!C16</f>
        <v>1</v>
      </c>
      <c r="D44" s="125">
        <f>Inputs!D16</f>
        <v>1</v>
      </c>
      <c r="E44" s="125">
        <f>Inputs!E16</f>
        <v>1</v>
      </c>
      <c r="F44" s="125">
        <f>Inputs!F16</f>
        <v>1</v>
      </c>
      <c r="G44" s="125">
        <f>Inputs!G16</f>
        <v>1</v>
      </c>
      <c r="H44" s="125">
        <f>Inputs!H16</f>
        <v>1</v>
      </c>
      <c r="I44" s="125">
        <f>Inputs!I16</f>
        <v>1</v>
      </c>
      <c r="J44" s="125">
        <f>Inputs!J16</f>
        <v>1</v>
      </c>
      <c r="K44" s="125">
        <f>Inputs!K16</f>
        <v>1</v>
      </c>
      <c r="L44" s="125">
        <f>Inputs!L16</f>
        <v>1</v>
      </c>
      <c r="M44" s="125">
        <f>Inputs!M16</f>
        <v>1</v>
      </c>
      <c r="N44" s="125">
        <f>Inputs!N16</f>
        <v>1</v>
      </c>
      <c r="O44" s="38"/>
      <c r="P44" s="38" t="s">
        <v>96</v>
      </c>
      <c r="Q44" s="42"/>
    </row>
    <row r="45" spans="1:17" x14ac:dyDescent="0.25">
      <c r="D45" s="91"/>
      <c r="Q45" s="42"/>
    </row>
    <row r="46" spans="1:17" s="89" customFormat="1" ht="21" x14ac:dyDescent="0.35">
      <c r="A46" s="49" t="s">
        <v>42</v>
      </c>
      <c r="Q46" s="42"/>
    </row>
    <row r="47" spans="1:17" x14ac:dyDescent="0.25">
      <c r="A47" s="128" t="s">
        <v>128</v>
      </c>
      <c r="B47" s="39" t="s">
        <v>19</v>
      </c>
      <c r="C47" s="35">
        <f>Inputs!C8</f>
        <v>1000</v>
      </c>
      <c r="D47" s="35"/>
      <c r="E47" s="35"/>
      <c r="F47" s="35"/>
      <c r="G47" s="35"/>
      <c r="H47" s="35"/>
      <c r="I47" s="35"/>
      <c r="J47" s="35"/>
      <c r="K47" s="35"/>
      <c r="L47" s="35"/>
      <c r="M47" s="35"/>
      <c r="N47" s="35"/>
      <c r="O47" s="38"/>
      <c r="P47" s="38" t="s">
        <v>107</v>
      </c>
      <c r="Q47" s="42"/>
    </row>
    <row r="48" spans="1:17" x14ac:dyDescent="0.25">
      <c r="A48" s="128" t="s">
        <v>111</v>
      </c>
      <c r="B48" s="39" t="s">
        <v>19</v>
      </c>
      <c r="C48" s="39"/>
      <c r="D48" s="35">
        <f>C47</f>
        <v>1000</v>
      </c>
      <c r="E48" s="35">
        <f>D51</f>
        <v>1130.743782797171</v>
      </c>
      <c r="F48" s="35">
        <f t="shared" ref="F48:N48" si="8">E51</f>
        <v>1393.0781217685635</v>
      </c>
      <c r="G48" s="35">
        <f t="shared" si="8"/>
        <v>1646.6739680432133</v>
      </c>
      <c r="H48" s="35">
        <f t="shared" si="8"/>
        <v>1891.8224053386025</v>
      </c>
      <c r="I48" s="35">
        <f t="shared" si="8"/>
        <v>2128.8048212228287</v>
      </c>
      <c r="J48" s="35">
        <f t="shared" si="8"/>
        <v>2357.8932300983629</v>
      </c>
      <c r="K48" s="35">
        <f t="shared" si="8"/>
        <v>2579.3505854270506</v>
      </c>
      <c r="L48" s="35">
        <f t="shared" si="8"/>
        <v>2793.4310815547374</v>
      </c>
      <c r="M48" s="35">
        <f t="shared" si="8"/>
        <v>3000.3804454819583</v>
      </c>
      <c r="N48" s="35">
        <f t="shared" si="8"/>
        <v>3200.4362189155959</v>
      </c>
      <c r="O48" s="38"/>
      <c r="P48" s="38" t="s">
        <v>107</v>
      </c>
      <c r="Q48" s="42"/>
    </row>
    <row r="49" spans="1:17" x14ac:dyDescent="0.25">
      <c r="A49" s="33" t="s">
        <v>115</v>
      </c>
      <c r="B49" s="39" t="s">
        <v>19</v>
      </c>
      <c r="C49" s="39"/>
      <c r="D49" s="146">
        <f>Inputs!D9</f>
        <v>150</v>
      </c>
      <c r="E49" s="123">
        <f>Inputs!E9</f>
        <v>300</v>
      </c>
      <c r="F49" s="123">
        <f>Inputs!F9</f>
        <v>300</v>
      </c>
      <c r="G49" s="123">
        <f>Inputs!G9</f>
        <v>300</v>
      </c>
      <c r="H49" s="123">
        <f>Inputs!H9</f>
        <v>300</v>
      </c>
      <c r="I49" s="123">
        <f>Inputs!I9</f>
        <v>300</v>
      </c>
      <c r="J49" s="123">
        <f>Inputs!J9</f>
        <v>300</v>
      </c>
      <c r="K49" s="123">
        <f>Inputs!K9</f>
        <v>300</v>
      </c>
      <c r="L49" s="123">
        <f>Inputs!L9</f>
        <v>300</v>
      </c>
      <c r="M49" s="123">
        <f>Inputs!M9</f>
        <v>300</v>
      </c>
      <c r="N49" s="123">
        <f>Inputs!N9</f>
        <v>300</v>
      </c>
      <c r="O49" s="38"/>
      <c r="P49" s="38" t="s">
        <v>82</v>
      </c>
      <c r="Q49" s="42"/>
    </row>
    <row r="50" spans="1:17" x14ac:dyDescent="0.25">
      <c r="A50" s="33" t="s">
        <v>3</v>
      </c>
      <c r="B50" s="39" t="s">
        <v>19</v>
      </c>
      <c r="C50" s="39"/>
      <c r="D50" s="126">
        <f>-D48/Inputs!D13*D42</f>
        <v>-19.256217202829117</v>
      </c>
      <c r="E50" s="126">
        <f>-E48/Inputs!E13*E42</f>
        <v>-37.665661028607566</v>
      </c>
      <c r="F50" s="126">
        <f>-F48/Inputs!F13*F42</f>
        <v>-46.404153725350284</v>
      </c>
      <c r="G50" s="126">
        <f>-G48/Inputs!G13*G42</f>
        <v>-54.851562704610807</v>
      </c>
      <c r="H50" s="126">
        <f>-H48/Inputs!H13*H42</f>
        <v>-63.017584115773666</v>
      </c>
      <c r="I50" s="126">
        <f>-I48/Inputs!I13*I42</f>
        <v>-70.911591124465659</v>
      </c>
      <c r="J50" s="126">
        <f>-J48/Inputs!J13*J42</f>
        <v>-78.542644671312118</v>
      </c>
      <c r="K50" s="126">
        <f>-K48/Inputs!K13*K42</f>
        <v>-85.919503872313356</v>
      </c>
      <c r="L50" s="126">
        <f>-L48/Inputs!L13*L42</f>
        <v>-93.050636072779298</v>
      </c>
      <c r="M50" s="126">
        <f>-M48/Inputs!M13*M42</f>
        <v>-99.944226566362289</v>
      </c>
      <c r="N50" s="126">
        <f>-N48/Inputs!N13*N42</f>
        <v>-53.74220983622812</v>
      </c>
      <c r="O50" s="38"/>
      <c r="P50" s="38" t="s">
        <v>107</v>
      </c>
      <c r="Q50" s="106"/>
    </row>
    <row r="51" spans="1:17" x14ac:dyDescent="0.25">
      <c r="A51" s="128" t="s">
        <v>113</v>
      </c>
      <c r="B51" s="39" t="s">
        <v>19</v>
      </c>
      <c r="C51" s="39"/>
      <c r="D51" s="77">
        <f>SUM(D48:D50)</f>
        <v>1130.743782797171</v>
      </c>
      <c r="E51" s="77">
        <f t="shared" ref="E51:N51" si="9">SUM(E48:E50)</f>
        <v>1393.0781217685635</v>
      </c>
      <c r="F51" s="77">
        <f t="shared" si="9"/>
        <v>1646.6739680432133</v>
      </c>
      <c r="G51" s="77">
        <f t="shared" si="9"/>
        <v>1891.8224053386025</v>
      </c>
      <c r="H51" s="77">
        <f t="shared" si="9"/>
        <v>2128.8048212228287</v>
      </c>
      <c r="I51" s="77">
        <f t="shared" si="9"/>
        <v>2357.8932300983629</v>
      </c>
      <c r="J51" s="77">
        <f t="shared" si="9"/>
        <v>2579.3505854270506</v>
      </c>
      <c r="K51" s="77">
        <f t="shared" si="9"/>
        <v>2793.4310815547374</v>
      </c>
      <c r="L51" s="77">
        <f t="shared" si="9"/>
        <v>3000.3804454819583</v>
      </c>
      <c r="M51" s="77">
        <f t="shared" si="9"/>
        <v>3200.4362189155959</v>
      </c>
      <c r="N51" s="77">
        <f t="shared" si="9"/>
        <v>3446.6940090793678</v>
      </c>
      <c r="O51" s="38"/>
      <c r="P51" s="38" t="s">
        <v>107</v>
      </c>
      <c r="Q51" s="42"/>
    </row>
    <row r="52" spans="1:17" x14ac:dyDescent="0.25">
      <c r="Q52" s="42"/>
    </row>
    <row r="53" spans="1:17" s="89" customFormat="1" ht="18.399999999999999" customHeight="1" x14ac:dyDescent="0.35">
      <c r="A53" s="49" t="s">
        <v>134</v>
      </c>
      <c r="O53" s="90"/>
      <c r="P53" s="90"/>
      <c r="Q53" s="42"/>
    </row>
    <row r="54" spans="1:17" x14ac:dyDescent="0.25">
      <c r="A54" s="128" t="s">
        <v>130</v>
      </c>
      <c r="B54" s="39" t="s">
        <v>19</v>
      </c>
      <c r="C54" s="35">
        <f>C47*C44</f>
        <v>1000</v>
      </c>
      <c r="D54" s="35"/>
      <c r="E54" s="35"/>
      <c r="F54" s="35"/>
      <c r="G54" s="35"/>
      <c r="H54" s="35"/>
      <c r="I54" s="35"/>
      <c r="J54" s="35"/>
      <c r="K54" s="35"/>
      <c r="L54" s="35"/>
      <c r="M54" s="35"/>
      <c r="N54" s="35"/>
      <c r="O54" s="38"/>
      <c r="P54" s="38"/>
      <c r="Q54" s="42"/>
    </row>
    <row r="55" spans="1:17" x14ac:dyDescent="0.25">
      <c r="A55" s="128" t="s">
        <v>114</v>
      </c>
      <c r="B55" s="39" t="s">
        <v>19</v>
      </c>
      <c r="C55" s="39"/>
      <c r="D55" s="35">
        <f>C54</f>
        <v>1000</v>
      </c>
      <c r="E55" s="35">
        <f t="shared" ref="E55:N55" si="10">E48*E43</f>
        <v>1130.743782797171</v>
      </c>
      <c r="F55" s="35">
        <f t="shared" si="10"/>
        <v>1393.0781217685635</v>
      </c>
      <c r="G55" s="35">
        <f t="shared" si="10"/>
        <v>1646.6739680432133</v>
      </c>
      <c r="H55" s="35">
        <f t="shared" si="10"/>
        <v>1891.8224053386025</v>
      </c>
      <c r="I55" s="35">
        <f t="shared" si="10"/>
        <v>2128.8048212228287</v>
      </c>
      <c r="J55" s="35">
        <f t="shared" si="10"/>
        <v>2357.8932300983629</v>
      </c>
      <c r="K55" s="35">
        <f t="shared" si="10"/>
        <v>2579.3505854270506</v>
      </c>
      <c r="L55" s="35">
        <f t="shared" si="10"/>
        <v>2793.4310815547374</v>
      </c>
      <c r="M55" s="35">
        <f t="shared" si="10"/>
        <v>3000.3804454819583</v>
      </c>
      <c r="N55" s="35">
        <f t="shared" si="10"/>
        <v>3200.4362189155959</v>
      </c>
      <c r="O55" s="38"/>
      <c r="P55" s="38" t="s">
        <v>107</v>
      </c>
      <c r="Q55" s="42"/>
    </row>
    <row r="56" spans="1:17" x14ac:dyDescent="0.25">
      <c r="A56" s="33" t="s">
        <v>112</v>
      </c>
      <c r="B56" s="39" t="s">
        <v>19</v>
      </c>
      <c r="C56" s="39"/>
      <c r="D56" s="147">
        <f t="shared" ref="D56:N56" si="11">D49*D43</f>
        <v>150</v>
      </c>
      <c r="E56" s="35">
        <f t="shared" si="11"/>
        <v>300</v>
      </c>
      <c r="F56" s="35">
        <f t="shared" si="11"/>
        <v>300</v>
      </c>
      <c r="G56" s="35">
        <f t="shared" si="11"/>
        <v>300</v>
      </c>
      <c r="H56" s="35">
        <f t="shared" si="11"/>
        <v>300</v>
      </c>
      <c r="I56" s="35">
        <f t="shared" si="11"/>
        <v>300</v>
      </c>
      <c r="J56" s="35">
        <f t="shared" si="11"/>
        <v>300</v>
      </c>
      <c r="K56" s="35">
        <f t="shared" si="11"/>
        <v>300</v>
      </c>
      <c r="L56" s="35">
        <f t="shared" si="11"/>
        <v>300</v>
      </c>
      <c r="M56" s="35">
        <f t="shared" si="11"/>
        <v>300</v>
      </c>
      <c r="N56" s="35">
        <f t="shared" si="11"/>
        <v>300</v>
      </c>
      <c r="O56" s="38"/>
      <c r="P56" s="38" t="s">
        <v>107</v>
      </c>
      <c r="Q56" s="42"/>
    </row>
    <row r="57" spans="1:17" x14ac:dyDescent="0.25">
      <c r="A57" s="33" t="s">
        <v>133</v>
      </c>
      <c r="B57" s="39" t="s">
        <v>19</v>
      </c>
      <c r="C57" s="39"/>
      <c r="D57" s="35">
        <f>D50*D43</f>
        <v>-19.256217202829117</v>
      </c>
      <c r="E57" s="35">
        <f t="shared" ref="E57:N57" si="12">E50*E43</f>
        <v>-37.665661028607566</v>
      </c>
      <c r="F57" s="35">
        <f t="shared" si="12"/>
        <v>-46.404153725350284</v>
      </c>
      <c r="G57" s="35">
        <f t="shared" si="12"/>
        <v>-54.851562704610807</v>
      </c>
      <c r="H57" s="35">
        <f t="shared" si="12"/>
        <v>-63.017584115773666</v>
      </c>
      <c r="I57" s="35">
        <f t="shared" si="12"/>
        <v>-70.911591124465659</v>
      </c>
      <c r="J57" s="35">
        <f t="shared" si="12"/>
        <v>-78.542644671312118</v>
      </c>
      <c r="K57" s="35">
        <f t="shared" si="12"/>
        <v>-85.919503872313356</v>
      </c>
      <c r="L57" s="35">
        <f t="shared" si="12"/>
        <v>-93.050636072779298</v>
      </c>
      <c r="M57" s="35">
        <f t="shared" si="12"/>
        <v>-99.944226566362289</v>
      </c>
      <c r="N57" s="35">
        <f t="shared" si="12"/>
        <v>-53.74220983622812</v>
      </c>
      <c r="O57" s="38"/>
      <c r="P57" s="38"/>
      <c r="Q57" s="42" t="s">
        <v>106</v>
      </c>
    </row>
    <row r="58" spans="1:17" x14ac:dyDescent="0.25">
      <c r="A58" s="33" t="s">
        <v>91</v>
      </c>
      <c r="B58" s="39" t="s">
        <v>19</v>
      </c>
      <c r="C58" s="39"/>
      <c r="D58" s="35">
        <f>IF(D48=0,D51*((D59/D51)-(D56/D49)),D51*((D59/D51)-(D55/D48)))</f>
        <v>0</v>
      </c>
      <c r="E58" s="35">
        <f t="shared" ref="E58:N58" si="13">E51*((E59/E51)-(E55/E48))</f>
        <v>0</v>
      </c>
      <c r="F58" s="35">
        <f t="shared" si="13"/>
        <v>0</v>
      </c>
      <c r="G58" s="35">
        <f t="shared" si="13"/>
        <v>0</v>
      </c>
      <c r="H58" s="35">
        <f t="shared" si="13"/>
        <v>0</v>
      </c>
      <c r="I58" s="35">
        <f t="shared" si="13"/>
        <v>0</v>
      </c>
      <c r="J58" s="35">
        <f t="shared" si="13"/>
        <v>0</v>
      </c>
      <c r="K58" s="35">
        <f t="shared" si="13"/>
        <v>0</v>
      </c>
      <c r="L58" s="35">
        <f t="shared" si="13"/>
        <v>0</v>
      </c>
      <c r="M58" s="35">
        <f t="shared" si="13"/>
        <v>0</v>
      </c>
      <c r="N58" s="35">
        <f t="shared" si="13"/>
        <v>0</v>
      </c>
      <c r="O58" s="120"/>
      <c r="P58" s="38" t="s">
        <v>96</v>
      </c>
      <c r="Q58" s="42"/>
    </row>
    <row r="59" spans="1:17" ht="17.25" x14ac:dyDescent="0.3">
      <c r="A59" s="128" t="s">
        <v>116</v>
      </c>
      <c r="B59" s="39" t="s">
        <v>19</v>
      </c>
      <c r="C59" s="39"/>
      <c r="D59" s="35">
        <f t="shared" ref="D59:N59" si="14">D51*D44</f>
        <v>1130.743782797171</v>
      </c>
      <c r="E59" s="35">
        <f t="shared" si="14"/>
        <v>1393.0781217685635</v>
      </c>
      <c r="F59" s="35">
        <f t="shared" si="14"/>
        <v>1646.6739680432133</v>
      </c>
      <c r="G59" s="35">
        <f t="shared" si="14"/>
        <v>1891.8224053386025</v>
      </c>
      <c r="H59" s="35">
        <f t="shared" si="14"/>
        <v>2128.8048212228287</v>
      </c>
      <c r="I59" s="35">
        <f t="shared" si="14"/>
        <v>2357.8932300983629</v>
      </c>
      <c r="J59" s="35">
        <f t="shared" si="14"/>
        <v>2579.3505854270506</v>
      </c>
      <c r="K59" s="35">
        <f t="shared" si="14"/>
        <v>2793.4310815547374</v>
      </c>
      <c r="L59" s="35">
        <f t="shared" si="14"/>
        <v>3000.3804454819583</v>
      </c>
      <c r="M59" s="35">
        <f t="shared" si="14"/>
        <v>3200.4362189155959</v>
      </c>
      <c r="N59" s="119">
        <f t="shared" si="14"/>
        <v>3446.6940090793678</v>
      </c>
      <c r="O59" s="38"/>
      <c r="P59" s="38" t="s">
        <v>142</v>
      </c>
      <c r="Q59" s="42"/>
    </row>
    <row r="60" spans="1:17" s="133" customFormat="1" x14ac:dyDescent="0.25">
      <c r="A60" s="134" t="s">
        <v>136</v>
      </c>
      <c r="B60" s="135"/>
      <c r="C60" s="135"/>
      <c r="D60" s="136" t="str">
        <f>IF(ROUND(SUM(D55:D58),0)=ROUND(D59,0),"OK","Error")</f>
        <v>OK</v>
      </c>
      <c r="E60" s="136" t="str">
        <f t="shared" ref="E60:N60" si="15">IF(ROUND(SUM(E55:E58),0)=ROUND(E59,0),"OK","Error")</f>
        <v>OK</v>
      </c>
      <c r="F60" s="136" t="str">
        <f t="shared" si="15"/>
        <v>OK</v>
      </c>
      <c r="G60" s="136" t="str">
        <f t="shared" si="15"/>
        <v>OK</v>
      </c>
      <c r="H60" s="136" t="str">
        <f t="shared" si="15"/>
        <v>OK</v>
      </c>
      <c r="I60" s="136" t="str">
        <f t="shared" si="15"/>
        <v>OK</v>
      </c>
      <c r="J60" s="136" t="str">
        <f t="shared" si="15"/>
        <v>OK</v>
      </c>
      <c r="K60" s="136" t="str">
        <f t="shared" si="15"/>
        <v>OK</v>
      </c>
      <c r="L60" s="136" t="str">
        <f t="shared" si="15"/>
        <v>OK</v>
      </c>
      <c r="M60" s="136" t="str">
        <f t="shared" si="15"/>
        <v>OK</v>
      </c>
      <c r="N60" s="136" t="str">
        <f t="shared" si="15"/>
        <v>OK</v>
      </c>
      <c r="O60" s="132"/>
      <c r="P60" s="132"/>
      <c r="Q60" s="42" t="s">
        <v>106</v>
      </c>
    </row>
    <row r="62" spans="1:17" x14ac:dyDescent="0.25">
      <c r="D62" s="30"/>
      <c r="E62" s="30"/>
      <c r="F62" s="30"/>
      <c r="G62" s="30"/>
      <c r="H62" s="30"/>
      <c r="I62" s="30"/>
      <c r="J62" s="30"/>
      <c r="K62" s="30"/>
      <c r="L62" s="30"/>
      <c r="M62" s="30"/>
      <c r="N62" s="30"/>
      <c r="Q62" s="42"/>
    </row>
    <row r="63" spans="1:17" s="89" customFormat="1" ht="21" x14ac:dyDescent="0.35">
      <c r="A63" s="49" t="s">
        <v>43</v>
      </c>
      <c r="Q63" s="42"/>
    </row>
    <row r="64" spans="1:17" x14ac:dyDescent="0.25">
      <c r="A64" s="52" t="s">
        <v>23</v>
      </c>
      <c r="B64" s="39" t="s">
        <v>19</v>
      </c>
      <c r="C64" s="39"/>
      <c r="D64" s="35">
        <v>0</v>
      </c>
      <c r="E64" s="35">
        <f>D67</f>
        <v>30</v>
      </c>
      <c r="F64" s="35">
        <f t="shared" ref="F64:N64" si="16">E67</f>
        <v>80</v>
      </c>
      <c r="G64" s="35">
        <f t="shared" si="16"/>
        <v>150</v>
      </c>
      <c r="H64" s="35">
        <f t="shared" si="16"/>
        <v>250</v>
      </c>
      <c r="I64" s="35">
        <f t="shared" si="16"/>
        <v>350</v>
      </c>
      <c r="J64" s="35">
        <f t="shared" si="16"/>
        <v>450</v>
      </c>
      <c r="K64" s="35">
        <f t="shared" si="16"/>
        <v>550</v>
      </c>
      <c r="L64" s="35">
        <f t="shared" si="16"/>
        <v>650</v>
      </c>
      <c r="M64" s="35">
        <f t="shared" si="16"/>
        <v>750</v>
      </c>
      <c r="N64" s="35">
        <f t="shared" si="16"/>
        <v>850</v>
      </c>
      <c r="Q64" s="42" t="s">
        <v>106</v>
      </c>
    </row>
    <row r="65" spans="1:17" x14ac:dyDescent="0.25">
      <c r="A65" s="52" t="s">
        <v>103</v>
      </c>
      <c r="B65" s="39" t="s">
        <v>19</v>
      </c>
      <c r="C65" s="39"/>
      <c r="D65" s="123">
        <f>Inputs!D19</f>
        <v>30</v>
      </c>
      <c r="E65" s="123">
        <f>Inputs!E19</f>
        <v>50</v>
      </c>
      <c r="F65" s="123">
        <f>Inputs!F19</f>
        <v>70</v>
      </c>
      <c r="G65" s="123">
        <f>Inputs!G19</f>
        <v>100</v>
      </c>
      <c r="H65" s="123">
        <f>Inputs!H19</f>
        <v>100</v>
      </c>
      <c r="I65" s="123">
        <f>Inputs!I19</f>
        <v>100</v>
      </c>
      <c r="J65" s="123">
        <f>Inputs!J19</f>
        <v>100</v>
      </c>
      <c r="K65" s="123">
        <f>Inputs!K19</f>
        <v>100</v>
      </c>
      <c r="L65" s="123">
        <f>Inputs!L19</f>
        <v>100</v>
      </c>
      <c r="M65" s="123">
        <f>Inputs!M19</f>
        <v>100</v>
      </c>
      <c r="N65" s="123">
        <f>Inputs!N19</f>
        <v>100</v>
      </c>
      <c r="O65" s="30"/>
      <c r="P65" s="38" t="s">
        <v>101</v>
      </c>
      <c r="Q65" s="42"/>
    </row>
    <row r="66" spans="1:17" x14ac:dyDescent="0.25">
      <c r="A66" s="52" t="s">
        <v>104</v>
      </c>
      <c r="B66" s="39" t="s">
        <v>19</v>
      </c>
      <c r="C66" s="39"/>
      <c r="D66" s="123">
        <f>Inputs!D20</f>
        <v>0</v>
      </c>
      <c r="E66" s="123">
        <f>Inputs!E20</f>
        <v>0</v>
      </c>
      <c r="F66" s="123">
        <f>Inputs!F20</f>
        <v>0</v>
      </c>
      <c r="G66" s="123">
        <f>Inputs!G20</f>
        <v>0</v>
      </c>
      <c r="H66" s="123">
        <f>Inputs!H20</f>
        <v>0</v>
      </c>
      <c r="I66" s="123">
        <f>Inputs!I20</f>
        <v>0</v>
      </c>
      <c r="J66" s="123">
        <f>Inputs!J20</f>
        <v>0</v>
      </c>
      <c r="K66" s="123">
        <f>Inputs!K20</f>
        <v>0</v>
      </c>
      <c r="L66" s="123">
        <f>Inputs!L20</f>
        <v>0</v>
      </c>
      <c r="M66" s="123">
        <f>Inputs!M20</f>
        <v>0</v>
      </c>
      <c r="N66" s="123">
        <f>Inputs!N20</f>
        <v>0</v>
      </c>
      <c r="P66" s="38" t="s">
        <v>101</v>
      </c>
      <c r="Q66" s="42"/>
    </row>
    <row r="67" spans="1:17" x14ac:dyDescent="0.25">
      <c r="A67" s="52" t="s">
        <v>26</v>
      </c>
      <c r="B67" s="39" t="s">
        <v>19</v>
      </c>
      <c r="C67" s="39"/>
      <c r="D67" s="53">
        <f>SUM(D64:D66)</f>
        <v>30</v>
      </c>
      <c r="E67" s="53">
        <f t="shared" ref="E67:N67" si="17">SUM(E64:E66)</f>
        <v>80</v>
      </c>
      <c r="F67" s="53">
        <f t="shared" si="17"/>
        <v>150</v>
      </c>
      <c r="G67" s="53">
        <f t="shared" si="17"/>
        <v>250</v>
      </c>
      <c r="H67" s="53">
        <f t="shared" si="17"/>
        <v>350</v>
      </c>
      <c r="I67" s="53">
        <f t="shared" si="17"/>
        <v>450</v>
      </c>
      <c r="J67" s="53">
        <f t="shared" si="17"/>
        <v>550</v>
      </c>
      <c r="K67" s="53">
        <f t="shared" si="17"/>
        <v>650</v>
      </c>
      <c r="L67" s="53">
        <f t="shared" si="17"/>
        <v>750</v>
      </c>
      <c r="M67" s="53">
        <f t="shared" si="17"/>
        <v>850</v>
      </c>
      <c r="N67" s="53">
        <f t="shared" si="17"/>
        <v>950</v>
      </c>
      <c r="O67" s="30"/>
      <c r="P67" s="30"/>
      <c r="Q67" s="42" t="s">
        <v>106</v>
      </c>
    </row>
    <row r="68" spans="1:17" x14ac:dyDescent="0.25">
      <c r="Q68" s="42"/>
    </row>
    <row r="69" spans="1:17" ht="21" x14ac:dyDescent="0.35">
      <c r="A69" s="49" t="s">
        <v>73</v>
      </c>
      <c r="B69" s="89"/>
      <c r="C69" s="89"/>
      <c r="D69" s="89"/>
      <c r="E69" s="89"/>
      <c r="F69" s="89"/>
      <c r="G69" s="89"/>
      <c r="H69" s="89"/>
      <c r="I69" s="89"/>
      <c r="J69" s="89"/>
      <c r="K69" s="89"/>
      <c r="L69" s="89"/>
      <c r="M69" s="89"/>
      <c r="N69" s="89"/>
    </row>
    <row r="70" spans="1:17" x14ac:dyDescent="0.25">
      <c r="A70" s="33" t="s">
        <v>76</v>
      </c>
      <c r="B70" s="39" t="s">
        <v>19</v>
      </c>
      <c r="C70" s="39"/>
      <c r="D70" s="35">
        <f>D65-D66</f>
        <v>30</v>
      </c>
      <c r="E70" s="35">
        <f t="shared" ref="E70:N70" si="18">E65-E66</f>
        <v>50</v>
      </c>
      <c r="F70" s="35">
        <f t="shared" si="18"/>
        <v>70</v>
      </c>
      <c r="G70" s="35">
        <f t="shared" si="18"/>
        <v>100</v>
      </c>
      <c r="H70" s="35">
        <f t="shared" si="18"/>
        <v>100</v>
      </c>
      <c r="I70" s="35">
        <f t="shared" si="18"/>
        <v>100</v>
      </c>
      <c r="J70" s="35">
        <f t="shared" si="18"/>
        <v>100</v>
      </c>
      <c r="K70" s="35">
        <f t="shared" si="18"/>
        <v>100</v>
      </c>
      <c r="L70" s="35">
        <f t="shared" si="18"/>
        <v>100</v>
      </c>
      <c r="M70" s="35">
        <f t="shared" si="18"/>
        <v>100</v>
      </c>
      <c r="N70" s="35">
        <f t="shared" si="18"/>
        <v>100</v>
      </c>
      <c r="P70" s="38" t="s">
        <v>101</v>
      </c>
    </row>
    <row r="71" spans="1:17" x14ac:dyDescent="0.25">
      <c r="A71" s="33" t="s">
        <v>109</v>
      </c>
      <c r="B71" s="102" t="s">
        <v>28</v>
      </c>
      <c r="C71" s="102"/>
      <c r="D71" s="127">
        <f>Inputs!D60</f>
        <v>2.3023123538153083</v>
      </c>
      <c r="E71" s="127">
        <f>Inputs!E60</f>
        <v>2.1171334661687955</v>
      </c>
      <c r="F71" s="127">
        <f>Inputs!F60</f>
        <v>1.9192487733628827</v>
      </c>
      <c r="G71" s="127">
        <f>Inputs!G60</f>
        <v>1.7462888112963828</v>
      </c>
      <c r="H71" s="127">
        <f>Inputs!H60</f>
        <v>1.5948032179465543</v>
      </c>
      <c r="I71" s="127">
        <f>Inputs!I60</f>
        <v>1.4615667138674175</v>
      </c>
      <c r="J71" s="127">
        <f>Inputs!J60</f>
        <v>1.3447385489265906</v>
      </c>
      <c r="K71" s="127">
        <f>Inputs!K60</f>
        <v>1.2418720040928264</v>
      </c>
      <c r="L71" s="127">
        <f>Inputs!L60</f>
        <v>1.1511718112019638</v>
      </c>
      <c r="M71" s="127">
        <f>Inputs!M60</f>
        <v>1.0733607020432532</v>
      </c>
      <c r="N71" s="127">
        <f>Inputs!N60</f>
        <v>1.0179546370011536</v>
      </c>
      <c r="P71" s="38" t="s">
        <v>101</v>
      </c>
      <c r="Q71" s="42" t="s">
        <v>156</v>
      </c>
    </row>
    <row r="72" spans="1:17" x14ac:dyDescent="0.25">
      <c r="A72" s="33" t="s">
        <v>74</v>
      </c>
      <c r="B72" s="39" t="s">
        <v>19</v>
      </c>
      <c r="C72" s="39"/>
      <c r="D72" s="35">
        <f>D70*D71</f>
        <v>69.069370614459245</v>
      </c>
      <c r="E72" s="35">
        <f t="shared" ref="E72:N72" si="19">E70*E71</f>
        <v>105.85667330843978</v>
      </c>
      <c r="F72" s="35">
        <f t="shared" si="19"/>
        <v>134.34741413540178</v>
      </c>
      <c r="G72" s="35">
        <f t="shared" si="19"/>
        <v>174.62888112963827</v>
      </c>
      <c r="H72" s="35">
        <f t="shared" si="19"/>
        <v>159.48032179465542</v>
      </c>
      <c r="I72" s="35">
        <f t="shared" si="19"/>
        <v>146.15667138674175</v>
      </c>
      <c r="J72" s="35">
        <f t="shared" si="19"/>
        <v>134.47385489265906</v>
      </c>
      <c r="K72" s="35">
        <f t="shared" si="19"/>
        <v>124.18720040928264</v>
      </c>
      <c r="L72" s="35">
        <f t="shared" si="19"/>
        <v>115.11718112019638</v>
      </c>
      <c r="M72" s="35">
        <f t="shared" si="19"/>
        <v>107.33607020432532</v>
      </c>
      <c r="N72" s="35">
        <f t="shared" si="19"/>
        <v>101.79546370011536</v>
      </c>
      <c r="P72" s="38" t="s">
        <v>101</v>
      </c>
    </row>
    <row r="73" spans="1:17" x14ac:dyDescent="0.25">
      <c r="A73" s="33" t="s">
        <v>100</v>
      </c>
      <c r="B73" s="39" t="s">
        <v>19</v>
      </c>
      <c r="C73" s="39"/>
      <c r="D73" s="35"/>
      <c r="E73" s="35"/>
      <c r="F73" s="35"/>
      <c r="G73" s="35"/>
      <c r="H73" s="35"/>
      <c r="I73" s="35"/>
      <c r="J73" s="35"/>
      <c r="K73" s="35"/>
      <c r="L73" s="35"/>
      <c r="M73" s="35"/>
      <c r="N73" s="35">
        <f>SUM(D72:N72)</f>
        <v>1372.4491026959149</v>
      </c>
      <c r="P73" s="38" t="s">
        <v>101</v>
      </c>
    </row>
    <row r="74" spans="1:17" x14ac:dyDescent="0.25">
      <c r="A74" s="33" t="s">
        <v>99</v>
      </c>
      <c r="B74" s="39" t="s">
        <v>19</v>
      </c>
      <c r="C74" s="39"/>
      <c r="D74" s="35"/>
      <c r="E74" s="35"/>
      <c r="F74" s="35"/>
      <c r="G74" s="35"/>
      <c r="H74" s="35"/>
      <c r="I74" s="35"/>
      <c r="J74" s="35"/>
      <c r="K74" s="35"/>
      <c r="L74" s="35"/>
      <c r="M74" s="35"/>
      <c r="N74" s="35">
        <f>-SUM(D70:N70)</f>
        <v>-950</v>
      </c>
      <c r="P74" s="38" t="s">
        <v>101</v>
      </c>
    </row>
    <row r="75" spans="1:17" ht="17.25" x14ac:dyDescent="0.3">
      <c r="A75" s="46" t="s">
        <v>73</v>
      </c>
      <c r="B75" s="39" t="s">
        <v>19</v>
      </c>
      <c r="C75" s="39"/>
      <c r="D75" s="48"/>
      <c r="E75" s="48"/>
      <c r="F75" s="48"/>
      <c r="G75" s="48"/>
      <c r="H75" s="48"/>
      <c r="I75" s="48"/>
      <c r="J75" s="48"/>
      <c r="K75" s="48"/>
      <c r="L75" s="48"/>
      <c r="M75" s="48"/>
      <c r="N75" s="119">
        <f>SUM(N73:N74)</f>
        <v>422.44910269591492</v>
      </c>
      <c r="P75" s="38" t="s">
        <v>94</v>
      </c>
    </row>
    <row r="76" spans="1:17" x14ac:dyDescent="0.25">
      <c r="A76" s="43"/>
      <c r="D76" s="44"/>
      <c r="E76" s="44"/>
      <c r="F76" s="44"/>
      <c r="G76" s="44"/>
      <c r="H76" s="44"/>
      <c r="I76" s="44"/>
      <c r="J76" s="44"/>
      <c r="K76" s="44"/>
      <c r="L76" s="44"/>
      <c r="M76" s="44"/>
      <c r="N76" s="44"/>
    </row>
    <row r="77" spans="1:17" s="89" customFormat="1" ht="18.399999999999999" customHeight="1" x14ac:dyDescent="0.35">
      <c r="A77" s="49" t="s">
        <v>56</v>
      </c>
      <c r="O77" s="90"/>
      <c r="P77" s="90"/>
      <c r="Q77" s="42"/>
    </row>
    <row r="78" spans="1:17" x14ac:dyDescent="0.25">
      <c r="A78" s="33" t="s">
        <v>52</v>
      </c>
      <c r="B78" s="39" t="s">
        <v>19</v>
      </c>
      <c r="C78" s="39"/>
      <c r="D78" s="147">
        <f>D48</f>
        <v>1000</v>
      </c>
      <c r="E78" s="35">
        <f>D81</f>
        <v>1130.743782797171</v>
      </c>
      <c r="F78" s="35">
        <f t="shared" ref="F78:N78" si="20">E81</f>
        <v>1393.0781217685635</v>
      </c>
      <c r="G78" s="35">
        <f t="shared" si="20"/>
        <v>1646.6739680432133</v>
      </c>
      <c r="H78" s="35">
        <f t="shared" si="20"/>
        <v>1891.8224053386025</v>
      </c>
      <c r="I78" s="35">
        <f t="shared" si="20"/>
        <v>2128.8048212228287</v>
      </c>
      <c r="J78" s="35">
        <f t="shared" si="20"/>
        <v>2357.8932300983629</v>
      </c>
      <c r="K78" s="35">
        <f t="shared" si="20"/>
        <v>2579.3505854270506</v>
      </c>
      <c r="L78" s="35">
        <f t="shared" si="20"/>
        <v>2793.4310815547374</v>
      </c>
      <c r="M78" s="35">
        <f t="shared" si="20"/>
        <v>3000.3804454819583</v>
      </c>
      <c r="N78" s="35">
        <f t="shared" si="20"/>
        <v>3200.4362189155959</v>
      </c>
      <c r="O78" s="38"/>
      <c r="P78" s="38" t="s">
        <v>143</v>
      </c>
      <c r="Q78" s="42" t="s">
        <v>157</v>
      </c>
    </row>
    <row r="79" spans="1:17" x14ac:dyDescent="0.25">
      <c r="A79" s="33" t="s">
        <v>115</v>
      </c>
      <c r="B79" s="39" t="s">
        <v>19</v>
      </c>
      <c r="C79" s="39"/>
      <c r="D79" s="35">
        <f>D49</f>
        <v>150</v>
      </c>
      <c r="E79" s="35">
        <f t="shared" ref="E79:N79" si="21">E49</f>
        <v>300</v>
      </c>
      <c r="F79" s="35">
        <f t="shared" si="21"/>
        <v>300</v>
      </c>
      <c r="G79" s="35">
        <f t="shared" si="21"/>
        <v>300</v>
      </c>
      <c r="H79" s="35">
        <f t="shared" si="21"/>
        <v>300</v>
      </c>
      <c r="I79" s="35">
        <f t="shared" si="21"/>
        <v>300</v>
      </c>
      <c r="J79" s="35">
        <f t="shared" si="21"/>
        <v>300</v>
      </c>
      <c r="K79" s="35">
        <f t="shared" si="21"/>
        <v>300</v>
      </c>
      <c r="L79" s="35">
        <f t="shared" si="21"/>
        <v>300</v>
      </c>
      <c r="M79" s="35">
        <f t="shared" si="21"/>
        <v>300</v>
      </c>
      <c r="N79" s="35">
        <f t="shared" si="21"/>
        <v>300</v>
      </c>
      <c r="O79" s="38"/>
      <c r="P79" s="38" t="s">
        <v>143</v>
      </c>
      <c r="Q79" s="42" t="s">
        <v>157</v>
      </c>
    </row>
    <row r="80" spans="1:17" x14ac:dyDescent="0.25">
      <c r="A80" s="33" t="s">
        <v>53</v>
      </c>
      <c r="B80" s="39" t="s">
        <v>19</v>
      </c>
      <c r="C80" s="39"/>
      <c r="D80" s="146">
        <f>-D78/Inputs!D23*D42</f>
        <v>-19.256217202829117</v>
      </c>
      <c r="E80" s="123">
        <f>-E78/Inputs!E23*E42</f>
        <v>-37.665661028607566</v>
      </c>
      <c r="F80" s="123">
        <f>-F78/Inputs!F23*F42</f>
        <v>-46.404153725350284</v>
      </c>
      <c r="G80" s="123">
        <f>-G78/Inputs!G23*G42</f>
        <v>-54.851562704610807</v>
      </c>
      <c r="H80" s="123">
        <f>-H78/Inputs!H23*H42</f>
        <v>-63.017584115773666</v>
      </c>
      <c r="I80" s="123">
        <f>-I78/Inputs!I23*I42</f>
        <v>-70.911591124465659</v>
      </c>
      <c r="J80" s="123">
        <f>-J78/Inputs!J23*J42</f>
        <v>-78.542644671312118</v>
      </c>
      <c r="K80" s="123">
        <f>-K78/Inputs!K23*K42</f>
        <v>-85.919503872313356</v>
      </c>
      <c r="L80" s="123">
        <f>-L78/Inputs!L23*L42</f>
        <v>-93.050636072779298</v>
      </c>
      <c r="M80" s="123">
        <f>-M78/Inputs!M23*M42</f>
        <v>-99.944226566362289</v>
      </c>
      <c r="N80" s="123">
        <f>-N78/Inputs!N23*N42</f>
        <v>-53.74220983622812</v>
      </c>
      <c r="O80" s="38"/>
      <c r="P80" s="38" t="s">
        <v>143</v>
      </c>
      <c r="Q80" s="42" t="s">
        <v>157</v>
      </c>
    </row>
    <row r="81" spans="1:17" x14ac:dyDescent="0.25">
      <c r="A81" s="33" t="s">
        <v>54</v>
      </c>
      <c r="B81" s="39" t="s">
        <v>19</v>
      </c>
      <c r="C81" s="39"/>
      <c r="D81" s="53">
        <f>SUM(D78:D80)</f>
        <v>1130.743782797171</v>
      </c>
      <c r="E81" s="53">
        <f>SUM(E78:E80)</f>
        <v>1393.0781217685635</v>
      </c>
      <c r="F81" s="53">
        <f t="shared" ref="F81:N81" si="22">SUM(F78:F80)</f>
        <v>1646.6739680432133</v>
      </c>
      <c r="G81" s="53">
        <f t="shared" si="22"/>
        <v>1891.8224053386025</v>
      </c>
      <c r="H81" s="53">
        <f t="shared" si="22"/>
        <v>2128.8048212228287</v>
      </c>
      <c r="I81" s="53">
        <f t="shared" si="22"/>
        <v>2357.8932300983629</v>
      </c>
      <c r="J81" s="53">
        <f t="shared" si="22"/>
        <v>2579.3505854270506</v>
      </c>
      <c r="K81" s="53">
        <f t="shared" si="22"/>
        <v>2793.4310815547374</v>
      </c>
      <c r="L81" s="53">
        <f t="shared" si="22"/>
        <v>3000.3804454819583</v>
      </c>
      <c r="M81" s="53">
        <f t="shared" si="22"/>
        <v>3200.4362189155959</v>
      </c>
      <c r="N81" s="53">
        <f t="shared" si="22"/>
        <v>3446.6940090793678</v>
      </c>
      <c r="O81" s="38"/>
      <c r="P81" s="38" t="s">
        <v>143</v>
      </c>
      <c r="Q81" s="42" t="s">
        <v>157</v>
      </c>
    </row>
    <row r="82" spans="1:17" x14ac:dyDescent="0.25">
      <c r="A82" s="43"/>
      <c r="B82" s="44"/>
      <c r="C82" s="44"/>
      <c r="D82" s="44"/>
      <c r="E82" s="44"/>
      <c r="F82" s="44"/>
      <c r="G82" s="44"/>
      <c r="H82" s="44"/>
      <c r="I82" s="44"/>
      <c r="J82" s="44"/>
      <c r="K82" s="44"/>
      <c r="L82" s="44"/>
      <c r="M82" s="44"/>
      <c r="N82" s="44"/>
      <c r="P82" s="38"/>
    </row>
    <row r="83" spans="1:17" s="89" customFormat="1" ht="18.399999999999999" customHeight="1" x14ac:dyDescent="0.35">
      <c r="A83" s="49" t="s">
        <v>55</v>
      </c>
      <c r="O83" s="90"/>
      <c r="P83" s="38"/>
      <c r="Q83" s="42"/>
    </row>
    <row r="84" spans="1:17" x14ac:dyDescent="0.25">
      <c r="A84" s="33" t="s">
        <v>52</v>
      </c>
      <c r="B84" s="39" t="s">
        <v>19</v>
      </c>
      <c r="C84" s="39"/>
      <c r="D84" s="35">
        <f>D78*D43</f>
        <v>1000</v>
      </c>
      <c r="E84" s="35">
        <f>D88</f>
        <v>1130.743782797171</v>
      </c>
      <c r="F84" s="35">
        <f t="shared" ref="F84:N84" si="23">E88</f>
        <v>1393.0781217685635</v>
      </c>
      <c r="G84" s="35">
        <f t="shared" si="23"/>
        <v>1646.6739680432133</v>
      </c>
      <c r="H84" s="35">
        <f t="shared" si="23"/>
        <v>1891.8224053386025</v>
      </c>
      <c r="I84" s="35">
        <f t="shared" si="23"/>
        <v>2128.8048212228287</v>
      </c>
      <c r="J84" s="35">
        <f t="shared" si="23"/>
        <v>2357.8932300983629</v>
      </c>
      <c r="K84" s="35">
        <f t="shared" si="23"/>
        <v>2579.3505854270506</v>
      </c>
      <c r="L84" s="35">
        <f t="shared" si="23"/>
        <v>2793.4310815547374</v>
      </c>
      <c r="M84" s="35">
        <f t="shared" si="23"/>
        <v>3000.3804454819583</v>
      </c>
      <c r="N84" s="35">
        <f t="shared" si="23"/>
        <v>3200.4362189155959</v>
      </c>
      <c r="O84" s="38"/>
      <c r="P84" s="38" t="s">
        <v>143</v>
      </c>
      <c r="Q84" s="42" t="s">
        <v>157</v>
      </c>
    </row>
    <row r="85" spans="1:17" x14ac:dyDescent="0.25">
      <c r="A85" s="33" t="s">
        <v>112</v>
      </c>
      <c r="B85" s="39" t="s">
        <v>19</v>
      </c>
      <c r="C85" s="39"/>
      <c r="D85" s="35">
        <f t="shared" ref="D85:N85" si="24">D79*D43</f>
        <v>150</v>
      </c>
      <c r="E85" s="35">
        <f t="shared" si="24"/>
        <v>300</v>
      </c>
      <c r="F85" s="35">
        <f t="shared" si="24"/>
        <v>300</v>
      </c>
      <c r="G85" s="35">
        <f t="shared" si="24"/>
        <v>300</v>
      </c>
      <c r="H85" s="35">
        <f t="shared" si="24"/>
        <v>300</v>
      </c>
      <c r="I85" s="35">
        <f t="shared" si="24"/>
        <v>300</v>
      </c>
      <c r="J85" s="35">
        <f t="shared" si="24"/>
        <v>300</v>
      </c>
      <c r="K85" s="35">
        <f t="shared" si="24"/>
        <v>300</v>
      </c>
      <c r="L85" s="35">
        <f t="shared" si="24"/>
        <v>300</v>
      </c>
      <c r="M85" s="35">
        <f t="shared" si="24"/>
        <v>300</v>
      </c>
      <c r="N85" s="35">
        <f t="shared" si="24"/>
        <v>300</v>
      </c>
      <c r="O85" s="38"/>
      <c r="P85" s="38" t="s">
        <v>143</v>
      </c>
      <c r="Q85" s="42" t="s">
        <v>157</v>
      </c>
    </row>
    <row r="86" spans="1:17" x14ac:dyDescent="0.25">
      <c r="A86" s="33" t="s">
        <v>53</v>
      </c>
      <c r="B86" s="39" t="s">
        <v>19</v>
      </c>
      <c r="C86" s="39"/>
      <c r="D86" s="147">
        <f t="shared" ref="D86:N86" si="25">D80*D43</f>
        <v>-19.256217202829117</v>
      </c>
      <c r="E86" s="35">
        <f t="shared" si="25"/>
        <v>-37.665661028607566</v>
      </c>
      <c r="F86" s="35">
        <f t="shared" si="25"/>
        <v>-46.404153725350284</v>
      </c>
      <c r="G86" s="35">
        <f t="shared" si="25"/>
        <v>-54.851562704610807</v>
      </c>
      <c r="H86" s="35">
        <f t="shared" si="25"/>
        <v>-63.017584115773666</v>
      </c>
      <c r="I86" s="35">
        <f t="shared" si="25"/>
        <v>-70.911591124465659</v>
      </c>
      <c r="J86" s="35">
        <f t="shared" si="25"/>
        <v>-78.542644671312118</v>
      </c>
      <c r="K86" s="35">
        <f t="shared" si="25"/>
        <v>-85.919503872313356</v>
      </c>
      <c r="L86" s="35">
        <f t="shared" si="25"/>
        <v>-93.050636072779298</v>
      </c>
      <c r="M86" s="35">
        <f t="shared" si="25"/>
        <v>-99.944226566362289</v>
      </c>
      <c r="N86" s="35">
        <f t="shared" si="25"/>
        <v>-53.74220983622812</v>
      </c>
      <c r="O86" s="38"/>
      <c r="P86" s="38" t="s">
        <v>143</v>
      </c>
      <c r="Q86" s="42" t="s">
        <v>157</v>
      </c>
    </row>
    <row r="87" spans="1:17" x14ac:dyDescent="0.25">
      <c r="A87" s="33" t="s">
        <v>117</v>
      </c>
      <c r="B87" s="39" t="s">
        <v>19</v>
      </c>
      <c r="C87" s="39"/>
      <c r="D87" s="35">
        <f t="shared" ref="D87:N87" si="26">(D44-D43)*D81</f>
        <v>0</v>
      </c>
      <c r="E87" s="35">
        <f t="shared" si="26"/>
        <v>0</v>
      </c>
      <c r="F87" s="35">
        <f t="shared" si="26"/>
        <v>0</v>
      </c>
      <c r="G87" s="35">
        <f t="shared" si="26"/>
        <v>0</v>
      </c>
      <c r="H87" s="35">
        <f t="shared" si="26"/>
        <v>0</v>
      </c>
      <c r="I87" s="35">
        <f t="shared" si="26"/>
        <v>0</v>
      </c>
      <c r="J87" s="35">
        <f t="shared" si="26"/>
        <v>0</v>
      </c>
      <c r="K87" s="35">
        <f t="shared" si="26"/>
        <v>0</v>
      </c>
      <c r="L87" s="35">
        <f t="shared" si="26"/>
        <v>0</v>
      </c>
      <c r="M87" s="35">
        <f t="shared" si="26"/>
        <v>0</v>
      </c>
      <c r="N87" s="35">
        <f t="shared" si="26"/>
        <v>0</v>
      </c>
      <c r="O87" s="38"/>
      <c r="P87" s="38" t="s">
        <v>143</v>
      </c>
      <c r="Q87" s="42" t="s">
        <v>157</v>
      </c>
    </row>
    <row r="88" spans="1:17" x14ac:dyDescent="0.25">
      <c r="A88" s="33" t="s">
        <v>54</v>
      </c>
      <c r="B88" s="39" t="s">
        <v>19</v>
      </c>
      <c r="C88" s="39"/>
      <c r="D88" s="53">
        <f>SUM(D84:D87)</f>
        <v>1130.743782797171</v>
      </c>
      <c r="E88" s="53">
        <f t="shared" ref="E88:N88" si="27">SUM(E84:E87)</f>
        <v>1393.0781217685635</v>
      </c>
      <c r="F88" s="53">
        <f t="shared" si="27"/>
        <v>1646.6739680432133</v>
      </c>
      <c r="G88" s="53">
        <f t="shared" si="27"/>
        <v>1891.8224053386025</v>
      </c>
      <c r="H88" s="53">
        <f t="shared" si="27"/>
        <v>2128.8048212228287</v>
      </c>
      <c r="I88" s="53">
        <f t="shared" si="27"/>
        <v>2357.8932300983629</v>
      </c>
      <c r="J88" s="53">
        <f t="shared" si="27"/>
        <v>2579.3505854270506</v>
      </c>
      <c r="K88" s="53">
        <f t="shared" si="27"/>
        <v>2793.4310815547374</v>
      </c>
      <c r="L88" s="53">
        <f t="shared" si="27"/>
        <v>3000.3804454819583</v>
      </c>
      <c r="M88" s="53">
        <f t="shared" si="27"/>
        <v>3200.4362189155959</v>
      </c>
      <c r="N88" s="53">
        <f t="shared" si="27"/>
        <v>3446.6940090793678</v>
      </c>
      <c r="O88" s="38"/>
      <c r="P88" s="38" t="s">
        <v>143</v>
      </c>
      <c r="Q88" s="42" t="s">
        <v>157</v>
      </c>
    </row>
    <row r="89" spans="1:17" x14ac:dyDescent="0.25">
      <c r="P89" s="38"/>
      <c r="Q89" s="42"/>
    </row>
    <row r="90" spans="1:17" s="105" customFormat="1" ht="21" x14ac:dyDescent="0.35">
      <c r="A90" s="104" t="s">
        <v>57</v>
      </c>
      <c r="D90" s="113" t="s">
        <v>122</v>
      </c>
      <c r="E90" s="113" t="s">
        <v>64</v>
      </c>
      <c r="F90" s="113" t="s">
        <v>64</v>
      </c>
      <c r="G90" s="113" t="s">
        <v>64</v>
      </c>
      <c r="H90" s="113" t="s">
        <v>64</v>
      </c>
      <c r="I90" s="113" t="s">
        <v>64</v>
      </c>
      <c r="J90" s="113" t="s">
        <v>64</v>
      </c>
      <c r="K90" s="113" t="s">
        <v>64</v>
      </c>
      <c r="L90" s="113" t="s">
        <v>64</v>
      </c>
      <c r="M90" s="113" t="s">
        <v>64</v>
      </c>
      <c r="N90" s="113" t="s">
        <v>123</v>
      </c>
      <c r="P90" s="38"/>
    </row>
    <row r="91" spans="1:17" x14ac:dyDescent="0.25">
      <c r="D91" s="115">
        <f>Inputs!D51</f>
        <v>41090</v>
      </c>
      <c r="E91" s="115">
        <f>Inputs!E51</f>
        <v>41455</v>
      </c>
      <c r="F91" s="115">
        <f>Inputs!F51</f>
        <v>41820</v>
      </c>
      <c r="G91" s="115">
        <f>Inputs!G51</f>
        <v>42185</v>
      </c>
      <c r="H91" s="115">
        <f>Inputs!H51</f>
        <v>42551</v>
      </c>
      <c r="I91" s="115">
        <f>Inputs!I51</f>
        <v>42916</v>
      </c>
      <c r="J91" s="115">
        <f>Inputs!J51</f>
        <v>43281</v>
      </c>
      <c r="K91" s="115">
        <f>Inputs!K51</f>
        <v>43646</v>
      </c>
      <c r="L91" s="115">
        <f>Inputs!L51</f>
        <v>44012</v>
      </c>
      <c r="M91" s="115">
        <f>Inputs!M51</f>
        <v>44377</v>
      </c>
      <c r="N91" s="115">
        <f>Inputs!N51</f>
        <v>44561</v>
      </c>
      <c r="P91" s="38"/>
    </row>
    <row r="92" spans="1:17" s="89" customFormat="1" ht="18.399999999999999" customHeight="1" x14ac:dyDescent="0.35">
      <c r="A92" s="49" t="s">
        <v>39</v>
      </c>
      <c r="O92" s="90"/>
      <c r="P92" s="38"/>
      <c r="Q92" s="42"/>
    </row>
    <row r="93" spans="1:17" x14ac:dyDescent="0.25">
      <c r="A93" s="33" t="s">
        <v>86</v>
      </c>
      <c r="B93" s="39" t="s">
        <v>19</v>
      </c>
      <c r="C93" s="39"/>
      <c r="D93" s="123">
        <f>Inputs!D7</f>
        <v>10</v>
      </c>
      <c r="E93" s="123">
        <f>Inputs!E7</f>
        <v>20</v>
      </c>
      <c r="F93" s="123">
        <f>Inputs!F7</f>
        <v>500</v>
      </c>
      <c r="G93" s="123">
        <f>Inputs!G7</f>
        <v>600</v>
      </c>
      <c r="H93" s="123">
        <f>Inputs!H7</f>
        <v>610</v>
      </c>
      <c r="I93" s="123">
        <f>Inputs!I7</f>
        <v>620</v>
      </c>
      <c r="J93" s="123">
        <f>Inputs!J7</f>
        <v>65</v>
      </c>
      <c r="K93" s="123">
        <f>Inputs!K7</f>
        <v>70</v>
      </c>
      <c r="L93" s="123">
        <f>Inputs!L7</f>
        <v>75</v>
      </c>
      <c r="M93" s="123">
        <f>Inputs!M7</f>
        <v>80</v>
      </c>
      <c r="N93" s="123">
        <f>Inputs!N7</f>
        <v>90</v>
      </c>
      <c r="O93" s="38"/>
      <c r="P93" s="38" t="s">
        <v>143</v>
      </c>
      <c r="Q93" s="42" t="s">
        <v>157</v>
      </c>
    </row>
    <row r="94" spans="1:17" x14ac:dyDescent="0.25">
      <c r="A94" s="33" t="s">
        <v>92</v>
      </c>
      <c r="B94" s="39" t="s">
        <v>19</v>
      </c>
      <c r="C94" s="39"/>
      <c r="D94" s="146">
        <f>-Inputs!D10</f>
        <v>-100</v>
      </c>
      <c r="E94" s="123">
        <f>-Inputs!E10</f>
        <v>-100</v>
      </c>
      <c r="F94" s="123">
        <f>-Inputs!F10</f>
        <v>-100</v>
      </c>
      <c r="G94" s="123">
        <f>-Inputs!G10</f>
        <v>-100</v>
      </c>
      <c r="H94" s="123">
        <f>-Inputs!H10</f>
        <v>-100</v>
      </c>
      <c r="I94" s="123">
        <f>-Inputs!I10</f>
        <v>-100</v>
      </c>
      <c r="J94" s="123">
        <f>-Inputs!J10</f>
        <v>-100</v>
      </c>
      <c r="K94" s="123">
        <f>-Inputs!K10</f>
        <v>-100</v>
      </c>
      <c r="L94" s="123">
        <f>-Inputs!L10</f>
        <v>-100</v>
      </c>
      <c r="M94" s="123">
        <f>-Inputs!M10</f>
        <v>-100</v>
      </c>
      <c r="N94" s="123">
        <f>-Inputs!N10</f>
        <v>-100</v>
      </c>
      <c r="O94" s="38"/>
      <c r="P94" s="38" t="s">
        <v>143</v>
      </c>
      <c r="Q94" s="42" t="s">
        <v>157</v>
      </c>
    </row>
    <row r="95" spans="1:17" x14ac:dyDescent="0.25">
      <c r="A95" s="33" t="s">
        <v>4</v>
      </c>
      <c r="B95" s="39" t="s">
        <v>19</v>
      </c>
      <c r="C95" s="39"/>
      <c r="D95" s="147">
        <f t="shared" ref="D95:N95" si="28">D86</f>
        <v>-19.256217202829117</v>
      </c>
      <c r="E95" s="35">
        <f t="shared" si="28"/>
        <v>-37.665661028607566</v>
      </c>
      <c r="F95" s="35">
        <f t="shared" si="28"/>
        <v>-46.404153725350284</v>
      </c>
      <c r="G95" s="35">
        <f t="shared" si="28"/>
        <v>-54.851562704610807</v>
      </c>
      <c r="H95" s="35">
        <f t="shared" si="28"/>
        <v>-63.017584115773666</v>
      </c>
      <c r="I95" s="35">
        <f t="shared" si="28"/>
        <v>-70.911591124465659</v>
      </c>
      <c r="J95" s="35">
        <f t="shared" si="28"/>
        <v>-78.542644671312118</v>
      </c>
      <c r="K95" s="35">
        <f t="shared" si="28"/>
        <v>-85.919503872313356</v>
      </c>
      <c r="L95" s="35">
        <f t="shared" si="28"/>
        <v>-93.050636072779298</v>
      </c>
      <c r="M95" s="35">
        <f t="shared" si="28"/>
        <v>-99.944226566362289</v>
      </c>
      <c r="N95" s="35">
        <f t="shared" si="28"/>
        <v>-53.74220983622812</v>
      </c>
      <c r="O95" s="38"/>
      <c r="P95" s="38" t="s">
        <v>143</v>
      </c>
      <c r="Q95" s="42" t="s">
        <v>157</v>
      </c>
    </row>
    <row r="96" spans="1:17" x14ac:dyDescent="0.25">
      <c r="A96" s="157" t="s">
        <v>185</v>
      </c>
      <c r="B96" s="158"/>
      <c r="C96" s="158"/>
      <c r="D96" s="159">
        <f>-D158</f>
        <v>-15.509231528311108</v>
      </c>
      <c r="E96" s="159">
        <f t="shared" ref="E96:N96" si="29">-E158</f>
        <v>-35.291783305448924</v>
      </c>
      <c r="F96" s="159">
        <f t="shared" si="29"/>
        <v>-42.811280134636043</v>
      </c>
      <c r="G96" s="159">
        <f t="shared" si="29"/>
        <v>-43.712184922491872</v>
      </c>
      <c r="H96" s="159">
        <f t="shared" si="29"/>
        <v>-45.751914707373786</v>
      </c>
      <c r="I96" s="159">
        <f t="shared" si="29"/>
        <v>-47.793068300062266</v>
      </c>
      <c r="J96" s="159">
        <f t="shared" si="29"/>
        <v>-54.316309334753164</v>
      </c>
      <c r="K96" s="159">
        <f t="shared" si="29"/>
        <v>-65.523484181130257</v>
      </c>
      <c r="L96" s="159">
        <f t="shared" si="29"/>
        <v>-77.327372974099788</v>
      </c>
      <c r="M96" s="159">
        <f t="shared" si="29"/>
        <v>-89.713921146587154</v>
      </c>
      <c r="N96" s="159">
        <f t="shared" si="29"/>
        <v>-51.951046691717764</v>
      </c>
      <c r="O96" s="38"/>
      <c r="P96" s="172" t="s">
        <v>166</v>
      </c>
      <c r="Q96" s="173" t="s">
        <v>165</v>
      </c>
    </row>
    <row r="97" spans="1:30" x14ac:dyDescent="0.25">
      <c r="A97" s="157" t="s">
        <v>188</v>
      </c>
      <c r="B97" s="158"/>
      <c r="C97" s="158"/>
      <c r="D97" s="159">
        <v>0</v>
      </c>
      <c r="E97" s="159">
        <f>IF(D98&lt;0,D98,0)</f>
        <v>-124.76544873114022</v>
      </c>
      <c r="F97" s="159">
        <f t="shared" ref="F97:O97" si="30">IF(E98&lt;0,E98,0)</f>
        <v>-277.72289306519667</v>
      </c>
      <c r="G97" s="159">
        <f t="shared" si="30"/>
        <v>0</v>
      </c>
      <c r="H97" s="159">
        <f t="shared" si="30"/>
        <v>0</v>
      </c>
      <c r="I97" s="159">
        <f t="shared" si="30"/>
        <v>0</v>
      </c>
      <c r="J97" s="159">
        <f t="shared" si="30"/>
        <v>0</v>
      </c>
      <c r="K97" s="159">
        <f t="shared" si="30"/>
        <v>-167.85895400606529</v>
      </c>
      <c r="L97" s="159">
        <f t="shared" si="30"/>
        <v>-349.30194205950892</v>
      </c>
      <c r="M97" s="159">
        <f t="shared" si="30"/>
        <v>-544.67995110638799</v>
      </c>
      <c r="N97" s="159">
        <f t="shared" si="30"/>
        <v>-754.33809881933746</v>
      </c>
      <c r="O97" s="159">
        <f t="shared" si="30"/>
        <v>-870.03135534728335</v>
      </c>
      <c r="P97" s="172" t="s">
        <v>166</v>
      </c>
      <c r="Q97" s="173" t="s">
        <v>194</v>
      </c>
      <c r="R97" s="138"/>
      <c r="S97" s="138"/>
      <c r="T97" s="138"/>
      <c r="U97" s="138"/>
      <c r="V97" s="138"/>
      <c r="W97" s="138"/>
      <c r="X97" s="138"/>
      <c r="Y97" s="138"/>
      <c r="Z97" s="138"/>
      <c r="AA97" s="138"/>
      <c r="AB97" s="138"/>
      <c r="AC97" s="138"/>
      <c r="AD97" s="138"/>
    </row>
    <row r="98" spans="1:30" x14ac:dyDescent="0.25">
      <c r="A98" s="33" t="s">
        <v>105</v>
      </c>
      <c r="B98" s="39" t="s">
        <v>19</v>
      </c>
      <c r="C98" s="39"/>
      <c r="D98" s="53">
        <f>SUM(D93:D97)</f>
        <v>-124.76544873114022</v>
      </c>
      <c r="E98" s="53">
        <f t="shared" ref="E98:N98" si="31">SUM(E93:E97)</f>
        <v>-277.72289306519667</v>
      </c>
      <c r="F98" s="53">
        <f t="shared" si="31"/>
        <v>33.061673074817008</v>
      </c>
      <c r="G98" s="53">
        <f t="shared" si="31"/>
        <v>401.43625237289734</v>
      </c>
      <c r="H98" s="53">
        <f t="shared" si="31"/>
        <v>401.23050117685256</v>
      </c>
      <c r="I98" s="53">
        <f t="shared" si="31"/>
        <v>401.2953405754721</v>
      </c>
      <c r="J98" s="53">
        <f t="shared" si="31"/>
        <v>-167.85895400606529</v>
      </c>
      <c r="K98" s="53">
        <f t="shared" si="31"/>
        <v>-349.30194205950892</v>
      </c>
      <c r="L98" s="53">
        <f t="shared" si="31"/>
        <v>-544.67995110638799</v>
      </c>
      <c r="M98" s="53">
        <f t="shared" si="31"/>
        <v>-754.33809881933746</v>
      </c>
      <c r="N98" s="53">
        <f t="shared" si="31"/>
        <v>-870.03135534728335</v>
      </c>
      <c r="O98" s="38"/>
      <c r="P98" s="38" t="s">
        <v>143</v>
      </c>
      <c r="Q98" s="42" t="s">
        <v>157</v>
      </c>
    </row>
    <row r="99" spans="1:30" x14ac:dyDescent="0.25">
      <c r="A99" s="33" t="s">
        <v>189</v>
      </c>
      <c r="B99" s="39" t="s">
        <v>19</v>
      </c>
      <c r="C99" s="39"/>
      <c r="D99" s="35">
        <f>MAX(D98*Inputs!D$25/(1+Inputs!D$25*DCF!D$111*DCF!D$121),0)</f>
        <v>0</v>
      </c>
      <c r="E99" s="35">
        <f>MAX(E98*Inputs!E$25/(1+Inputs!E$25*DCF!E$111*DCF!E$121),0)</f>
        <v>0</v>
      </c>
      <c r="F99" s="35">
        <f>MAX(F98*Inputs!F$25/(1+Inputs!F$25*DCF!F$111*DCF!F$121),0)</f>
        <v>9.2288983910143738</v>
      </c>
      <c r="G99" s="35">
        <f>MAX(G98*Inputs!G$25/(1+Inputs!G$25*DCF!G$111*DCF!G$121),0)</f>
        <v>112.06854410221028</v>
      </c>
      <c r="H99" s="35">
        <f>MAX(H98*Inputs!H$25/(1+Inputs!H$25*DCF!H$111*DCF!H$121),0)</f>
        <v>112.02020620843793</v>
      </c>
      <c r="I99" s="35">
        <f>MAX(I98*Inputs!I$25/(1+Inputs!I$25*DCF!I$111*DCF!I$121),0)</f>
        <v>112.05104718483705</v>
      </c>
      <c r="J99" s="35">
        <f>MAX(J98*Inputs!J$25/(1+Inputs!J$25*DCF!J$111*DCF!J$121),0)</f>
        <v>0</v>
      </c>
      <c r="K99" s="35">
        <f>MAX(K98*Inputs!K$25/(1+Inputs!K$25*DCF!K$111*DCF!K$121),0)</f>
        <v>0</v>
      </c>
      <c r="L99" s="35">
        <f>MAX(L98*Inputs!L$25/(1+Inputs!L$25*DCF!L$111*DCF!L$121),0)</f>
        <v>0</v>
      </c>
      <c r="M99" s="35">
        <f>MAX(M98*Inputs!M$25/(1+Inputs!M$25*DCF!M$111*DCF!M$121),0)</f>
        <v>0</v>
      </c>
      <c r="N99" s="35">
        <f>MAX(N98*Inputs!N$25/(1+Inputs!N$25*DCF!N$111*DCF!N$121),0)</f>
        <v>0</v>
      </c>
      <c r="O99" s="38"/>
      <c r="P99" s="38" t="s">
        <v>143</v>
      </c>
      <c r="Q99" s="42" t="s">
        <v>157</v>
      </c>
    </row>
    <row r="100" spans="1:30" x14ac:dyDescent="0.25">
      <c r="A100" s="33" t="s">
        <v>77</v>
      </c>
      <c r="B100" s="39" t="s">
        <v>19</v>
      </c>
      <c r="C100" s="39"/>
      <c r="D100" s="155">
        <f>D99</f>
        <v>0</v>
      </c>
      <c r="E100" s="155">
        <f t="shared" ref="E100:N100" si="32">E99</f>
        <v>0</v>
      </c>
      <c r="F100" s="155">
        <f t="shared" si="32"/>
        <v>9.2288983910143738</v>
      </c>
      <c r="G100" s="155">
        <f t="shared" si="32"/>
        <v>112.06854410221028</v>
      </c>
      <c r="H100" s="155">
        <f t="shared" si="32"/>
        <v>112.02020620843793</v>
      </c>
      <c r="I100" s="155">
        <f t="shared" si="32"/>
        <v>112.05104718483705</v>
      </c>
      <c r="J100" s="155">
        <f t="shared" si="32"/>
        <v>0</v>
      </c>
      <c r="K100" s="155">
        <f t="shared" si="32"/>
        <v>0</v>
      </c>
      <c r="L100" s="155">
        <f t="shared" si="32"/>
        <v>0</v>
      </c>
      <c r="M100" s="155">
        <f t="shared" si="32"/>
        <v>0</v>
      </c>
      <c r="N100" s="155">
        <f t="shared" si="32"/>
        <v>0</v>
      </c>
      <c r="O100" s="38"/>
      <c r="P100" s="38" t="s">
        <v>143</v>
      </c>
      <c r="Q100" s="42" t="s">
        <v>157</v>
      </c>
    </row>
    <row r="101" spans="1:30" ht="12.75" customHeight="1" x14ac:dyDescent="0.25"/>
    <row r="102" spans="1:30" ht="16.5" customHeight="1" x14ac:dyDescent="0.35">
      <c r="A102" s="49" t="s">
        <v>118</v>
      </c>
      <c r="D102" s="89"/>
      <c r="E102" s="89"/>
      <c r="F102" s="89"/>
      <c r="G102" s="89"/>
      <c r="H102" s="89"/>
      <c r="I102" s="89"/>
      <c r="J102" s="89"/>
      <c r="K102" s="89"/>
      <c r="L102" s="89"/>
      <c r="M102" s="89"/>
      <c r="N102" s="89"/>
    </row>
    <row r="103" spans="1:30" x14ac:dyDescent="0.25">
      <c r="A103" s="52" t="s">
        <v>119</v>
      </c>
      <c r="B103" s="39" t="s">
        <v>19</v>
      </c>
      <c r="C103" s="39"/>
      <c r="D103" s="35">
        <v>0</v>
      </c>
      <c r="E103" s="35">
        <f t="shared" ref="E103:O103" si="33">E97</f>
        <v>-124.76544873114022</v>
      </c>
      <c r="F103" s="35">
        <f t="shared" si="33"/>
        <v>-277.72289306519667</v>
      </c>
      <c r="G103" s="35">
        <f t="shared" si="33"/>
        <v>0</v>
      </c>
      <c r="H103" s="35">
        <f t="shared" si="33"/>
        <v>0</v>
      </c>
      <c r="I103" s="35">
        <f t="shared" si="33"/>
        <v>0</v>
      </c>
      <c r="J103" s="35">
        <f t="shared" si="33"/>
        <v>0</v>
      </c>
      <c r="K103" s="35">
        <f t="shared" si="33"/>
        <v>-167.85895400606529</v>
      </c>
      <c r="L103" s="35">
        <f t="shared" si="33"/>
        <v>-349.30194205950892</v>
      </c>
      <c r="M103" s="35">
        <f t="shared" si="33"/>
        <v>-544.67995110638799</v>
      </c>
      <c r="N103" s="35">
        <f t="shared" si="33"/>
        <v>-754.33809881933746</v>
      </c>
      <c r="O103" s="35">
        <f t="shared" si="33"/>
        <v>-870.03135534728335</v>
      </c>
      <c r="P103" s="38" t="s">
        <v>143</v>
      </c>
      <c r="Q103" s="42" t="s">
        <v>157</v>
      </c>
      <c r="R103" s="172" t="s">
        <v>193</v>
      </c>
      <c r="S103" s="172"/>
      <c r="T103" s="172"/>
      <c r="U103" s="172"/>
      <c r="V103" s="172"/>
      <c r="W103" s="172"/>
    </row>
    <row r="104" spans="1:30" x14ac:dyDescent="0.25">
      <c r="A104" s="195"/>
      <c r="B104" s="158"/>
      <c r="C104" s="158"/>
      <c r="D104" s="159"/>
      <c r="E104" s="159"/>
      <c r="F104" s="159"/>
      <c r="G104" s="159"/>
      <c r="H104" s="159"/>
      <c r="I104" s="159"/>
      <c r="J104" s="159"/>
      <c r="K104" s="159"/>
      <c r="L104" s="159"/>
      <c r="M104" s="159"/>
      <c r="N104" s="159"/>
      <c r="P104" s="38" t="s">
        <v>143</v>
      </c>
      <c r="Q104" s="42" t="s">
        <v>157</v>
      </c>
      <c r="R104" s="172" t="s">
        <v>193</v>
      </c>
      <c r="S104" s="172"/>
      <c r="T104" s="172"/>
      <c r="U104" s="172"/>
      <c r="V104" s="172"/>
      <c r="W104" s="172"/>
    </row>
    <row r="105" spans="1:30" x14ac:dyDescent="0.25">
      <c r="A105" s="195"/>
      <c r="B105" s="158"/>
      <c r="C105" s="158"/>
      <c r="D105" s="196"/>
      <c r="E105" s="196"/>
      <c r="F105" s="196"/>
      <c r="G105" s="196"/>
      <c r="H105" s="196"/>
      <c r="I105" s="196"/>
      <c r="J105" s="196"/>
      <c r="K105" s="196"/>
      <c r="L105" s="196"/>
      <c r="M105" s="196"/>
      <c r="N105" s="196"/>
      <c r="P105" s="38" t="s">
        <v>143</v>
      </c>
      <c r="Q105" s="42" t="s">
        <v>157</v>
      </c>
      <c r="R105" s="172" t="s">
        <v>193</v>
      </c>
      <c r="S105" s="172"/>
      <c r="T105" s="172"/>
      <c r="U105" s="172"/>
      <c r="V105" s="172"/>
      <c r="W105" s="172"/>
    </row>
    <row r="106" spans="1:30" x14ac:dyDescent="0.25">
      <c r="A106" s="195"/>
      <c r="B106" s="158"/>
      <c r="C106" s="158"/>
      <c r="D106" s="197"/>
      <c r="E106" s="197"/>
      <c r="F106" s="197"/>
      <c r="G106" s="197"/>
      <c r="H106" s="197"/>
      <c r="I106" s="197"/>
      <c r="J106" s="197"/>
      <c r="K106" s="197"/>
      <c r="L106" s="197"/>
      <c r="M106" s="197"/>
      <c r="N106" s="197"/>
      <c r="P106" s="38" t="s">
        <v>143</v>
      </c>
      <c r="Q106" s="42" t="s">
        <v>157</v>
      </c>
      <c r="R106" s="172" t="s">
        <v>193</v>
      </c>
      <c r="S106" s="172"/>
      <c r="T106" s="172"/>
      <c r="U106" s="172"/>
      <c r="V106" s="172"/>
      <c r="W106" s="172"/>
    </row>
    <row r="108" spans="1:30" x14ac:dyDescent="0.25">
      <c r="A108" s="161" t="s">
        <v>160</v>
      </c>
      <c r="B108" s="162"/>
      <c r="C108" s="162"/>
      <c r="D108" s="162"/>
      <c r="E108" s="162"/>
      <c r="F108" s="162"/>
      <c r="G108" s="162"/>
      <c r="H108" s="162"/>
      <c r="I108" s="162"/>
      <c r="J108" s="162"/>
      <c r="K108" s="162"/>
      <c r="L108" s="162"/>
      <c r="M108" s="162"/>
      <c r="N108" s="162"/>
    </row>
    <row r="109" spans="1:30" x14ac:dyDescent="0.25">
      <c r="A109" s="1" t="s">
        <v>168</v>
      </c>
      <c r="C109" s="153">
        <f>Inputs!C49</f>
        <v>8.8908000000000001E-2</v>
      </c>
      <c r="D109" s="153">
        <f>Inputs!D49</f>
        <v>8.8908000000000001E-2</v>
      </c>
      <c r="E109" s="153">
        <f>Inputs!E49</f>
        <v>8.6890999999999996E-2</v>
      </c>
      <c r="F109" s="153">
        <f>Inputs!F49</f>
        <v>8.4874000000000005E-2</v>
      </c>
      <c r="G109" s="153">
        <f>Inputs!G49</f>
        <v>8.2857E-2</v>
      </c>
      <c r="H109" s="153">
        <f>Inputs!H49</f>
        <v>8.0839999999999995E-2</v>
      </c>
      <c r="I109" s="153">
        <f>Inputs!I49</f>
        <v>7.8823000000000004E-2</v>
      </c>
      <c r="J109" s="153">
        <f>Inputs!J49</f>
        <v>7.6805999999999999E-2</v>
      </c>
      <c r="K109" s="153">
        <f>Inputs!K49</f>
        <v>7.4789000000000008E-2</v>
      </c>
      <c r="L109" s="153">
        <f>Inputs!L49</f>
        <v>7.2772000000000003E-2</v>
      </c>
      <c r="M109" s="153">
        <f>Inputs!M49</f>
        <v>7.3204999999999992E-2</v>
      </c>
      <c r="N109" s="153">
        <f>Inputs!N49</f>
        <v>7.3204999999999992E-2</v>
      </c>
    </row>
    <row r="110" spans="1:30" x14ac:dyDescent="0.25">
      <c r="A110" s="1" t="s">
        <v>169</v>
      </c>
      <c r="C110" s="153">
        <f>Inputs!C43</f>
        <v>0.08</v>
      </c>
      <c r="D110" s="153">
        <f>Inputs!D43</f>
        <v>0.08</v>
      </c>
      <c r="E110" s="153">
        <f>Inputs!E43</f>
        <v>7.7499999999999999E-2</v>
      </c>
      <c r="F110" s="153">
        <f>Inputs!F43</f>
        <v>7.4999999999999997E-2</v>
      </c>
      <c r="G110" s="153">
        <f>Inputs!G43</f>
        <v>7.2499999999999995E-2</v>
      </c>
      <c r="H110" s="153">
        <f>Inputs!H43</f>
        <v>6.9999999999999993E-2</v>
      </c>
      <c r="I110" s="153">
        <f>Inputs!I43</f>
        <v>6.7500000000000004E-2</v>
      </c>
      <c r="J110" s="153">
        <f>Inputs!J43</f>
        <v>6.5000000000000002E-2</v>
      </c>
      <c r="K110" s="153">
        <f>Inputs!K43</f>
        <v>6.25E-2</v>
      </c>
      <c r="L110" s="153">
        <f>Inputs!L43</f>
        <v>0.06</v>
      </c>
      <c r="M110" s="153">
        <f>Inputs!M43</f>
        <v>5.7499999999999996E-2</v>
      </c>
      <c r="N110" s="153">
        <f>Inputs!N43</f>
        <v>5.7499999999999996E-2</v>
      </c>
    </row>
    <row r="111" spans="1:30" x14ac:dyDescent="0.25">
      <c r="A111" s="1" t="s">
        <v>12</v>
      </c>
      <c r="C111" s="154">
        <f>Inputs!C46</f>
        <v>0.31</v>
      </c>
      <c r="D111" s="171">
        <f>Inputs!D46</f>
        <v>0.31</v>
      </c>
      <c r="E111" s="154">
        <f>Inputs!E46</f>
        <v>0.31</v>
      </c>
      <c r="F111" s="154">
        <f>Inputs!F46</f>
        <v>0.31</v>
      </c>
      <c r="G111" s="154">
        <f>Inputs!G46</f>
        <v>0.31</v>
      </c>
      <c r="H111" s="154">
        <f>Inputs!H46</f>
        <v>0.31</v>
      </c>
      <c r="I111" s="154">
        <f>Inputs!I46</f>
        <v>0.31</v>
      </c>
      <c r="J111" s="154">
        <f>Inputs!J46</f>
        <v>0.31</v>
      </c>
      <c r="K111" s="154">
        <f>Inputs!K46</f>
        <v>0.31</v>
      </c>
      <c r="L111" s="154">
        <f>Inputs!L46</f>
        <v>0.31</v>
      </c>
      <c r="M111" s="154">
        <f>Inputs!M46</f>
        <v>0.31</v>
      </c>
      <c r="N111" s="154">
        <f>Inputs!N46</f>
        <v>0.31</v>
      </c>
    </row>
    <row r="112" spans="1:30" x14ac:dyDescent="0.25">
      <c r="A112" s="1" t="s">
        <v>176</v>
      </c>
      <c r="C112" s="154"/>
      <c r="D112" s="176">
        <f>Inputs!D30</f>
        <v>212</v>
      </c>
      <c r="E112" s="177">
        <f>Inputs!E30</f>
        <v>365</v>
      </c>
      <c r="F112" s="177">
        <f>Inputs!F30</f>
        <v>365</v>
      </c>
      <c r="G112" s="177">
        <f>Inputs!G30</f>
        <v>365</v>
      </c>
      <c r="H112" s="177">
        <f>Inputs!H30</f>
        <v>366</v>
      </c>
      <c r="I112" s="177">
        <f>Inputs!I30</f>
        <v>365</v>
      </c>
      <c r="J112" s="177">
        <f>Inputs!J30</f>
        <v>365</v>
      </c>
      <c r="K112" s="177">
        <f>Inputs!K30</f>
        <v>365</v>
      </c>
      <c r="L112" s="177">
        <f>Inputs!L30</f>
        <v>366</v>
      </c>
      <c r="M112" s="177">
        <f>Inputs!M30</f>
        <v>365</v>
      </c>
      <c r="N112" s="177">
        <f>Inputs!N30</f>
        <v>184</v>
      </c>
    </row>
    <row r="113" spans="1:14" x14ac:dyDescent="0.25">
      <c r="A113" s="1" t="s">
        <v>177</v>
      </c>
      <c r="C113" s="154"/>
      <c r="D113" s="179">
        <f>Inputs!D70</f>
        <v>71</v>
      </c>
      <c r="E113" s="179">
        <f>Inputs!E70</f>
        <v>148</v>
      </c>
      <c r="F113" s="179">
        <f>Inputs!F70</f>
        <v>148</v>
      </c>
      <c r="G113" s="179">
        <f>Inputs!G70</f>
        <v>148</v>
      </c>
      <c r="H113" s="179">
        <f>Inputs!H70</f>
        <v>148</v>
      </c>
      <c r="I113" s="179">
        <f>Inputs!I70</f>
        <v>148</v>
      </c>
      <c r="J113" s="179">
        <f>Inputs!J70</f>
        <v>148</v>
      </c>
      <c r="K113" s="179">
        <f>Inputs!K70</f>
        <v>148</v>
      </c>
      <c r="L113" s="179">
        <f>Inputs!L70</f>
        <v>148</v>
      </c>
      <c r="M113" s="179">
        <f>Inputs!M70</f>
        <v>148</v>
      </c>
      <c r="N113" s="179">
        <f>Inputs!N70</f>
        <v>55</v>
      </c>
    </row>
    <row r="114" spans="1:14" x14ac:dyDescent="0.25">
      <c r="A114" s="1" t="s">
        <v>178</v>
      </c>
      <c r="C114" s="154"/>
      <c r="D114" s="179">
        <f>Inputs!D55</f>
        <v>105</v>
      </c>
      <c r="E114" s="179">
        <f>Inputs!E55</f>
        <v>182</v>
      </c>
      <c r="F114" s="179">
        <f>Inputs!F55</f>
        <v>182</v>
      </c>
      <c r="G114" s="179">
        <f>Inputs!G55</f>
        <v>182</v>
      </c>
      <c r="H114" s="179">
        <f>Inputs!H55</f>
        <v>183</v>
      </c>
      <c r="I114" s="179">
        <f>Inputs!I55</f>
        <v>182</v>
      </c>
      <c r="J114" s="179">
        <f>Inputs!J55</f>
        <v>182</v>
      </c>
      <c r="K114" s="179">
        <f>Inputs!K55</f>
        <v>182</v>
      </c>
      <c r="L114" s="179">
        <f>Inputs!L55</f>
        <v>183</v>
      </c>
      <c r="M114" s="179">
        <f>Inputs!M55</f>
        <v>182</v>
      </c>
      <c r="N114" s="179">
        <f>Inputs!N55</f>
        <v>92</v>
      </c>
    </row>
    <row r="115" spans="1:14" x14ac:dyDescent="0.25">
      <c r="A115" s="138"/>
      <c r="B115" s="138"/>
      <c r="C115" s="178"/>
      <c r="D115" s="178"/>
      <c r="E115" s="178"/>
      <c r="F115" s="178"/>
      <c r="G115" s="178"/>
      <c r="H115" s="178"/>
      <c r="I115" s="178"/>
      <c r="J115" s="178"/>
      <c r="K115" s="178"/>
      <c r="L115" s="178"/>
      <c r="M115" s="178"/>
      <c r="N115" s="178"/>
    </row>
    <row r="116" spans="1:14" x14ac:dyDescent="0.25">
      <c r="A116" s="28" t="s">
        <v>175</v>
      </c>
      <c r="C116" s="154"/>
      <c r="D116" s="171"/>
      <c r="E116" s="154"/>
      <c r="F116" s="154"/>
      <c r="G116" s="154"/>
      <c r="H116" s="154"/>
      <c r="I116" s="154"/>
      <c r="J116" s="154"/>
      <c r="K116" s="154"/>
      <c r="L116" s="154"/>
      <c r="M116" s="154"/>
      <c r="N116" s="154"/>
    </row>
    <row r="117" spans="1:14" x14ac:dyDescent="0.25">
      <c r="C117" s="154"/>
      <c r="D117" s="171"/>
      <c r="E117" s="154"/>
      <c r="F117" s="154"/>
      <c r="G117" s="154"/>
      <c r="H117" s="154"/>
      <c r="I117" s="154"/>
      <c r="J117" s="154"/>
      <c r="K117" s="154"/>
      <c r="L117" s="154"/>
      <c r="M117" s="154"/>
      <c r="N117" s="154"/>
    </row>
    <row r="118" spans="1:14" x14ac:dyDescent="0.25">
      <c r="A118" s="1" t="s">
        <v>183</v>
      </c>
      <c r="C118" s="153"/>
      <c r="D118" s="180">
        <f>(1+D109)^(D113/365)</f>
        <v>1.0167063739617153</v>
      </c>
      <c r="E118" s="180">
        <f t="shared" ref="E118:N118" si="34">(1+E109)^(E113/365)</f>
        <v>1.0343622839711768</v>
      </c>
      <c r="F118" s="180">
        <f t="shared" si="34"/>
        <v>1.0335835283792245</v>
      </c>
      <c r="G118" s="180">
        <f t="shared" si="34"/>
        <v>1.0328039115258159</v>
      </c>
      <c r="H118" s="180">
        <f t="shared" si="34"/>
        <v>1.0320234308515348</v>
      </c>
      <c r="I118" s="180">
        <f t="shared" si="34"/>
        <v>1.0312420837845664</v>
      </c>
      <c r="J118" s="180">
        <f t="shared" si="34"/>
        <v>1.0304598677406129</v>
      </c>
      <c r="K118" s="180">
        <f t="shared" si="34"/>
        <v>1.0296767801228106</v>
      </c>
      <c r="L118" s="180">
        <f t="shared" si="34"/>
        <v>1.0288928183216448</v>
      </c>
      <c r="M118" s="180">
        <f t="shared" si="34"/>
        <v>1.0290611893459112</v>
      </c>
      <c r="N118" s="180">
        <f t="shared" si="34"/>
        <v>1.0107026831567083</v>
      </c>
    </row>
    <row r="119" spans="1:14" x14ac:dyDescent="0.25">
      <c r="A119" s="1" t="s">
        <v>184</v>
      </c>
      <c r="C119" s="153"/>
      <c r="D119" s="180">
        <f>(1+D109)^(D114/365)</f>
        <v>1.0248051537253136</v>
      </c>
      <c r="E119" s="180">
        <f t="shared" ref="E119:N119" si="35">(1+E109)^(E114/365)</f>
        <v>1.0424216591374691</v>
      </c>
      <c r="F119" s="180">
        <f t="shared" si="35"/>
        <v>1.0414566219833388</v>
      </c>
      <c r="G119" s="180">
        <f t="shared" si="35"/>
        <v>1.0404906848518187</v>
      </c>
      <c r="H119" s="180">
        <f t="shared" si="35"/>
        <v>1.0397452689179649</v>
      </c>
      <c r="I119" s="180">
        <f t="shared" si="35"/>
        <v>1.0385561005728119</v>
      </c>
      <c r="J119" s="180">
        <f t="shared" si="35"/>
        <v>1.0375874483539509</v>
      </c>
      <c r="K119" s="180">
        <f t="shared" si="35"/>
        <v>1.0366178860147968</v>
      </c>
      <c r="L119" s="180">
        <f t="shared" si="35"/>
        <v>1.0358467453461597</v>
      </c>
      <c r="M119" s="180">
        <f t="shared" si="35"/>
        <v>1.0358558250322976</v>
      </c>
      <c r="N119" s="180">
        <f t="shared" si="35"/>
        <v>1.0179670445188196</v>
      </c>
    </row>
    <row r="120" spans="1:14" x14ac:dyDescent="0.25">
      <c r="A120" s="1" t="s">
        <v>195</v>
      </c>
      <c r="C120" s="153"/>
      <c r="D120" s="153">
        <f t="shared" ref="D120:N120" si="36">((1+D$110)^(D113/365)-1)/((1+D$110)^(D$162/2))</f>
        <v>1.4749749776562094E-2</v>
      </c>
      <c r="E120" s="153">
        <f t="shared" si="36"/>
        <v>2.9603380238757779E-2</v>
      </c>
      <c r="F120" s="153">
        <f t="shared" si="36"/>
        <v>2.8701877955257978E-2</v>
      </c>
      <c r="G120" s="153">
        <f t="shared" si="36"/>
        <v>2.7797019171560449E-2</v>
      </c>
      <c r="H120" s="153">
        <f t="shared" si="36"/>
        <v>2.6888783765925281E-2</v>
      </c>
      <c r="I120" s="153">
        <f t="shared" si="36"/>
        <v>2.5977151449188308E-2</v>
      </c>
      <c r="J120" s="153">
        <f t="shared" si="36"/>
        <v>2.5062101762976349E-2</v>
      </c>
      <c r="K120" s="153">
        <f t="shared" si="36"/>
        <v>2.4143614077896645E-2</v>
      </c>
      <c r="L120" s="153">
        <f t="shared" si="36"/>
        <v>2.3221667591703233E-2</v>
      </c>
      <c r="M120" s="153">
        <f t="shared" si="36"/>
        <v>2.2296241327441166E-2</v>
      </c>
      <c r="N120" s="153">
        <f t="shared" si="36"/>
        <v>8.3416423396136027E-3</v>
      </c>
    </row>
    <row r="121" spans="1:14" x14ac:dyDescent="0.25">
      <c r="A121" s="1" t="s">
        <v>196</v>
      </c>
      <c r="C121" s="153"/>
      <c r="D121" s="153">
        <f t="shared" ref="D121:N121" si="37">((1+D$110)^(D114/365)-1)/((1+D$110)^(D$162/2))</f>
        <v>2.1891581647375927E-2</v>
      </c>
      <c r="E121" s="153">
        <f t="shared" si="37"/>
        <v>3.653165208056168E-2</v>
      </c>
      <c r="F121" s="153">
        <f t="shared" si="37"/>
        <v>3.5415291166962487E-2</v>
      </c>
      <c r="G121" s="153">
        <f t="shared" si="37"/>
        <v>3.4295025464404084E-2</v>
      </c>
      <c r="H121" s="153">
        <f t="shared" si="37"/>
        <v>3.3356198329646855E-2</v>
      </c>
      <c r="I121" s="153">
        <f t="shared" si="37"/>
        <v>3.2042688290733617E-2</v>
      </c>
      <c r="J121" s="153">
        <f t="shared" si="37"/>
        <v>3.0910570649692888E-2</v>
      </c>
      <c r="K121" s="153">
        <f t="shared" si="37"/>
        <v>2.9774455875864452E-2</v>
      </c>
      <c r="L121" s="153">
        <f t="shared" si="37"/>
        <v>2.879396125055823E-2</v>
      </c>
      <c r="M121" s="153">
        <f t="shared" si="37"/>
        <v>2.7490140482811301E-2</v>
      </c>
      <c r="N121" s="153">
        <f t="shared" si="37"/>
        <v>1.399296220350745E-2</v>
      </c>
    </row>
    <row r="122" spans="1:14" x14ac:dyDescent="0.25">
      <c r="C122" s="153"/>
      <c r="D122" s="153"/>
      <c r="E122" s="153"/>
      <c r="F122" s="153"/>
      <c r="G122" s="153"/>
      <c r="H122" s="153"/>
      <c r="I122" s="153"/>
      <c r="J122" s="153"/>
      <c r="K122" s="153"/>
      <c r="L122" s="153"/>
      <c r="M122" s="153"/>
      <c r="N122" s="153"/>
    </row>
    <row r="123" spans="1:14" x14ac:dyDescent="0.25">
      <c r="A123" s="1" t="s">
        <v>179</v>
      </c>
      <c r="C123" s="153"/>
      <c r="D123" s="44">
        <f>D17</f>
        <v>10</v>
      </c>
      <c r="E123" s="44">
        <f t="shared" ref="E123:N123" si="38">E17</f>
        <v>20</v>
      </c>
      <c r="F123" s="44">
        <f t="shared" si="38"/>
        <v>500</v>
      </c>
      <c r="G123" s="44">
        <f t="shared" si="38"/>
        <v>600</v>
      </c>
      <c r="H123" s="44">
        <f t="shared" si="38"/>
        <v>610</v>
      </c>
      <c r="I123" s="44">
        <f t="shared" si="38"/>
        <v>620</v>
      </c>
      <c r="J123" s="44">
        <f t="shared" si="38"/>
        <v>65</v>
      </c>
      <c r="K123" s="44">
        <f t="shared" si="38"/>
        <v>70</v>
      </c>
      <c r="L123" s="44">
        <f t="shared" si="38"/>
        <v>75</v>
      </c>
      <c r="M123" s="44">
        <f t="shared" si="38"/>
        <v>80</v>
      </c>
      <c r="N123" s="44">
        <f t="shared" si="38"/>
        <v>90</v>
      </c>
    </row>
    <row r="124" spans="1:14" x14ac:dyDescent="0.25">
      <c r="A124" s="1" t="s">
        <v>180</v>
      </c>
      <c r="C124" s="153"/>
      <c r="D124" s="44">
        <f>-SUM(D26,D27,D28)</f>
        <v>-250</v>
      </c>
      <c r="E124" s="44">
        <f t="shared" ref="E124:N124" si="39">-SUM(E26,E27,E28)</f>
        <v>-400</v>
      </c>
      <c r="F124" s="44">
        <f t="shared" si="39"/>
        <v>-400</v>
      </c>
      <c r="G124" s="44">
        <f t="shared" si="39"/>
        <v>-400</v>
      </c>
      <c r="H124" s="44">
        <f t="shared" si="39"/>
        <v>-400</v>
      </c>
      <c r="I124" s="44">
        <f t="shared" si="39"/>
        <v>-400</v>
      </c>
      <c r="J124" s="44">
        <f t="shared" si="39"/>
        <v>-400</v>
      </c>
      <c r="K124" s="44">
        <f t="shared" si="39"/>
        <v>-400</v>
      </c>
      <c r="L124" s="44">
        <f t="shared" si="39"/>
        <v>-400</v>
      </c>
      <c r="M124" s="44">
        <f t="shared" si="39"/>
        <v>-400</v>
      </c>
      <c r="N124" s="44">
        <f t="shared" si="39"/>
        <v>-400</v>
      </c>
    </row>
    <row r="125" spans="1:14" x14ac:dyDescent="0.25">
      <c r="A125" s="1" t="s">
        <v>181</v>
      </c>
      <c r="C125" s="153"/>
      <c r="D125" s="170">
        <f>-SUMPRODUCT(D120:D121,D123:D124)*D111</f>
        <v>1.6508733533642916</v>
      </c>
      <c r="E125" s="170">
        <f t="shared" ref="E125:N125" si="40">-SUMPRODUCT(E120:E121,E123:E124)*E111</f>
        <v>4.3463839005093501</v>
      </c>
      <c r="F125" s="170">
        <f t="shared" si="40"/>
        <v>-5.7294978361637945E-2</v>
      </c>
      <c r="G125" s="170">
        <f t="shared" si="40"/>
        <v>-0.9176624083241367</v>
      </c>
      <c r="H125" s="170">
        <f t="shared" si="40"/>
        <v>-0.94850041726026058</v>
      </c>
      <c r="I125" s="170">
        <f t="shared" si="40"/>
        <v>-1.0195151604830242</v>
      </c>
      <c r="J125" s="170">
        <f t="shared" si="40"/>
        <v>3.3279094100379445</v>
      </c>
      <c r="K125" s="170">
        <f t="shared" si="40"/>
        <v>3.168116103116835</v>
      </c>
      <c r="L125" s="170">
        <f t="shared" si="40"/>
        <v>3.0305474235621204</v>
      </c>
      <c r="M125" s="170">
        <f t="shared" si="40"/>
        <v>2.8558306349480604</v>
      </c>
      <c r="N125" s="170">
        <f t="shared" si="40"/>
        <v>1.5023954919597045</v>
      </c>
    </row>
    <row r="126" spans="1:14" x14ac:dyDescent="0.25">
      <c r="C126" s="153"/>
      <c r="D126" s="153"/>
      <c r="E126" s="153"/>
      <c r="F126" s="153"/>
      <c r="G126" s="153"/>
      <c r="H126" s="153"/>
      <c r="I126" s="153"/>
      <c r="J126" s="153"/>
      <c r="K126" s="153"/>
      <c r="L126" s="153"/>
      <c r="M126" s="153"/>
      <c r="N126" s="153"/>
    </row>
    <row r="127" spans="1:14" x14ac:dyDescent="0.25">
      <c r="A127" s="1" t="s">
        <v>182</v>
      </c>
      <c r="C127" s="154"/>
      <c r="D127" s="44">
        <f>SUMPRODUCT(D123:D124,D118:D119)-D119*D100</f>
        <v>-246.03422469171124</v>
      </c>
      <c r="E127" s="44">
        <f t="shared" ref="E127:N127" si="41">SUMPRODUCT(E123:E124,E118:E119)-E119*E100</f>
        <v>-396.28141797556407</v>
      </c>
      <c r="F127" s="44">
        <f t="shared" si="41"/>
        <v>90.597618053343481</v>
      </c>
      <c r="G127" s="44">
        <f t="shared" si="41"/>
        <v>86.879796771506932</v>
      </c>
      <c r="H127" s="44">
        <f t="shared" si="41"/>
        <v>97.163705823812123</v>
      </c>
      <c r="I127" s="44">
        <f t="shared" si="41"/>
        <v>107.57635308792197</v>
      </c>
      <c r="J127" s="44">
        <f t="shared" si="41"/>
        <v>-348.05508793844052</v>
      </c>
      <c r="K127" s="44">
        <f t="shared" si="41"/>
        <v>-342.56977979732193</v>
      </c>
      <c r="L127" s="44">
        <f t="shared" si="41"/>
        <v>-337.17173676434049</v>
      </c>
      <c r="M127" s="44">
        <f t="shared" si="41"/>
        <v>-332.01743486524617</v>
      </c>
      <c r="N127" s="44">
        <f t="shared" si="41"/>
        <v>-316.22357632342414</v>
      </c>
    </row>
    <row r="128" spans="1:14" x14ac:dyDescent="0.25">
      <c r="D128" s="153"/>
      <c r="E128" s="153"/>
      <c r="F128" s="153"/>
      <c r="G128" s="153"/>
      <c r="H128" s="153"/>
      <c r="I128" s="153"/>
      <c r="J128" s="153"/>
      <c r="K128" s="153"/>
      <c r="L128" s="153"/>
      <c r="M128" s="153"/>
      <c r="N128" s="153"/>
    </row>
    <row r="129" spans="1:26" customFormat="1" x14ac:dyDescent="0.25">
      <c r="C129" s="181" t="s">
        <v>173</v>
      </c>
      <c r="D129" s="182">
        <v>1</v>
      </c>
      <c r="E129" s="182">
        <f>D129+1</f>
        <v>2</v>
      </c>
      <c r="F129" s="182">
        <f t="shared" ref="F129:O129" si="42">E129+1</f>
        <v>3</v>
      </c>
      <c r="G129" s="182">
        <f t="shared" si="42"/>
        <v>4</v>
      </c>
      <c r="H129" s="182">
        <f t="shared" si="42"/>
        <v>5</v>
      </c>
      <c r="I129" s="182">
        <f t="shared" si="42"/>
        <v>6</v>
      </c>
      <c r="J129" s="182">
        <f t="shared" si="42"/>
        <v>7</v>
      </c>
      <c r="K129" s="182">
        <f t="shared" si="42"/>
        <v>8</v>
      </c>
      <c r="L129" s="182">
        <f t="shared" si="42"/>
        <v>9</v>
      </c>
      <c r="M129" s="182">
        <f t="shared" si="42"/>
        <v>10</v>
      </c>
      <c r="N129" s="182">
        <f t="shared" si="42"/>
        <v>11</v>
      </c>
      <c r="O129" s="185">
        <f t="shared" si="42"/>
        <v>12</v>
      </c>
    </row>
    <row r="130" spans="1:26" x14ac:dyDescent="0.25">
      <c r="A130" s="167" t="s">
        <v>167</v>
      </c>
      <c r="B130" s="168"/>
      <c r="C130" s="168"/>
      <c r="D130" s="166">
        <f>Inputs!C8</f>
        <v>1000</v>
      </c>
      <c r="E130" s="166">
        <f t="shared" ref="E130:O130" si="43">D130*(1+D165)</f>
        <v>1050.7158728050713</v>
      </c>
      <c r="F130" s="166">
        <f t="shared" si="43"/>
        <v>1144.1329196244246</v>
      </c>
      <c r="G130" s="166">
        <f t="shared" si="43"/>
        <v>1245.8554892423929</v>
      </c>
      <c r="H130" s="166">
        <f t="shared" si="43"/>
        <v>1356.6220090799554</v>
      </c>
      <c r="I130" s="166">
        <f t="shared" si="43"/>
        <v>1477.2365586632361</v>
      </c>
      <c r="J130" s="166">
        <f t="shared" si="43"/>
        <v>1608.5747066208671</v>
      </c>
      <c r="K130" s="166">
        <f t="shared" si="43"/>
        <v>1751.5898666371152</v>
      </c>
      <c r="L130" s="166">
        <f t="shared" si="43"/>
        <v>1907.3202185000878</v>
      </c>
      <c r="M130" s="166">
        <f t="shared" si="43"/>
        <v>2076.8962444864937</v>
      </c>
      <c r="N130" s="166">
        <f t="shared" si="43"/>
        <v>2261.5489357912988</v>
      </c>
      <c r="O130" s="186">
        <f t="shared" si="43"/>
        <v>2360.7695907882771</v>
      </c>
    </row>
    <row r="131" spans="1:26" x14ac:dyDescent="0.25">
      <c r="A131" s="150" t="s">
        <v>161</v>
      </c>
      <c r="B131" s="115">
        <v>41090</v>
      </c>
      <c r="C131" s="28">
        <v>1</v>
      </c>
      <c r="D131" s="170" cm="1">
        <f t="array" ref="D131">IF(D$129=$C131+1,-INDEX($D$127:$N$127,$C131),IF(D$129&gt;$C131+1,C131*(1+C165),0))</f>
        <v>0</v>
      </c>
      <c r="E131" s="170" cm="1">
        <f t="array" ref="E131">IF(E$129=$C131+1,-INDEX($D$127:$N$127,$C131),IF(E$129&gt;$C131+1,D131*(1+D165),0))</f>
        <v>246.03422469171124</v>
      </c>
      <c r="F131" s="170" cm="1">
        <f t="array" ref="F131">IF(F$129=$C131+1,-INDEX($D$127:$N$127,$C131),IF(F$129&gt;$C131+1,E131*(1+E165),0))</f>
        <v>267.90863554060189</v>
      </c>
      <c r="G131" s="170" cm="1">
        <f t="array" ref="G131">IF(G$129=$C131+1,-INDEX($D$127:$N$127,$C131),IF(G$129&gt;$C131+1,F131*(1+F165),0))</f>
        <v>291.72785650924573</v>
      </c>
      <c r="H131" s="170" cm="1">
        <f t="array" ref="H131">IF(H$129=$C131+1,-INDEX($D$127:$N$127,$C131),IF(H$129&gt;$C131+1,G131*(1+G165),0))</f>
        <v>317.66479677576973</v>
      </c>
      <c r="I131" s="170" cm="1">
        <f t="array" ref="I131">IF(I$129=$C131+1,-INDEX($D$127:$N$127,$C131),IF(I$129&gt;$C131+1,H131*(1+H165),0))</f>
        <v>345.90773852750988</v>
      </c>
      <c r="J131" s="170" cm="1">
        <f t="array" ref="J131">IF(J$129=$C131+1,-INDEX($D$127:$N$127,$C131),IF(J$129&gt;$C131+1,I131*(1+I165),0))</f>
        <v>376.66170374451372</v>
      </c>
      <c r="K131" s="170" cm="1">
        <f t="array" ref="K131">IF(K$129=$C131+1,-INDEX($D$127:$N$127,$C131),IF(K$129&gt;$C131+1,J131*(1+J165),0))</f>
        <v>410.14994250103092</v>
      </c>
      <c r="L131" s="170" cm="1">
        <f t="array" ref="L131">IF(L$129=$C131+1,-INDEX($D$127:$N$127,$C131),IF(L$129&gt;$C131+1,K131*(1+K165),0))</f>
        <v>446.61555358891258</v>
      </c>
      <c r="M131" s="170" cm="1">
        <f t="array" ref="M131">IF(M$129=$C131+1,-INDEX($D$127:$N$127,$C131),IF(M$129&gt;$C131+1,L131*(1+L165),0))</f>
        <v>486.32324922739559</v>
      </c>
      <c r="N131" s="170" cm="1">
        <f t="array" ref="N131">IF(N$129=$C131+1,-INDEX($D$127:$N$127,$C131),IF(N$129&gt;$C131+1,M131*(1+M165),0))</f>
        <v>529.56127666970485</v>
      </c>
      <c r="O131" s="187" cm="1">
        <f t="array" ref="O131">IF(O$129=$C131+1,-INDEX($D$127:$N$127,$C131),IF(O$129&gt;$C131+1,N131*(1+N165),0))</f>
        <v>552.79465265403644</v>
      </c>
    </row>
    <row r="132" spans="1:26" x14ac:dyDescent="0.25">
      <c r="A132" s="150" t="s">
        <v>161</v>
      </c>
      <c r="B132" s="115">
        <v>41455</v>
      </c>
      <c r="C132" s="28">
        <f>C131+1</f>
        <v>2</v>
      </c>
      <c r="D132" s="170" cm="1">
        <f t="array" ref="D132">IF(D$129=$C132+1,-INDEX($D$127:$N$127,$C132),IF(D$129&gt;$C132+1,C132*(1+C166),0))</f>
        <v>0</v>
      </c>
      <c r="E132" s="170" cm="1">
        <f t="array" ref="E132">IF(E$129=$C132+1,-INDEX($D$127:$N$127,$C132),IF(E$129&gt;$C132+1,D132*(1+D166),0))</f>
        <v>0</v>
      </c>
      <c r="F132" s="170" cm="1">
        <f t="array" ref="F132">IF(F$129=$C132+1,-INDEX($D$127:$N$127,$C132),IF(F$129&gt;$C132+1,E132*(1+E166),0))</f>
        <v>396.28141797556407</v>
      </c>
      <c r="G132" s="170" cm="1">
        <f t="array" ref="G132">IF(G$129=$C132+1,-INDEX($D$127:$N$127,$C132),IF(G$129&gt;$C132+1,F132*(1+F166),0))</f>
        <v>430.7147066648788</v>
      </c>
      <c r="H132" s="170" cm="1">
        <f t="array" ref="H132">IF(H$129=$C132+1,-INDEX($D$127:$N$127,$C132),IF(H$129&gt;$C132+1,G132*(1+G166),0))</f>
        <v>468.13993824169683</v>
      </c>
      <c r="I132" s="170" cm="1">
        <f t="array" ref="I132">IF(I$129=$C132+1,-INDEX($D$127:$N$127,$C132),IF(I$129&gt;$C132+1,H132*(1+H166),0))</f>
        <v>508.81708561545611</v>
      </c>
      <c r="J132" s="170" cm="1">
        <f t="array" ref="J132">IF(J$129=$C132+1,-INDEX($D$127:$N$127,$C132),IF(J$129&gt;$C132+1,I132*(1+I166),0))</f>
        <v>553.02871100166874</v>
      </c>
      <c r="K132" s="170" cm="1">
        <f t="array" ref="K132">IF(K$129=$C132+1,-INDEX($D$127:$N$127,$C132),IF(K$129&gt;$C132+1,J132*(1+J166),0))</f>
        <v>601.08192872931477</v>
      </c>
      <c r="L132" s="170" cm="1">
        <f t="array" ref="L132">IF(L$129=$C132+1,-INDEX($D$127:$N$127,$C132),IF(L$129&gt;$C132+1,K132*(1+K166),0))</f>
        <v>653.31053859853364</v>
      </c>
      <c r="M132" s="170" cm="1">
        <f t="array" ref="M132">IF(M$129=$C132+1,-INDEX($D$127:$N$127,$C132),IF(M$129&gt;$C132+1,L132*(1+L166),0))</f>
        <v>710.07734460789891</v>
      </c>
      <c r="N132" s="170" cm="1">
        <f t="array" ref="N132">IF(N$129=$C132+1,-INDEX($D$127:$N$127,$C132),IF(N$129&gt;$C132+1,M132*(1+M166),0))</f>
        <v>771.77667515822384</v>
      </c>
      <c r="O132" s="187" cm="1">
        <f t="array" ref="O132">IF(O$129=$C132+1,-INDEX($D$127:$N$127,$C132),IF(O$129&gt;$C132+1,N132*(1+N166),0))</f>
        <v>804.88411236937407</v>
      </c>
    </row>
    <row r="133" spans="1:26" x14ac:dyDescent="0.25">
      <c r="A133" s="150" t="s">
        <v>161</v>
      </c>
      <c r="B133" s="115">
        <v>41820</v>
      </c>
      <c r="C133" s="28">
        <f t="shared" ref="C133:C141" si="44">C132+1</f>
        <v>3</v>
      </c>
      <c r="D133" s="170" cm="1">
        <f t="array" ref="D133">IF(D$129=$C133+1,-INDEX($D$127:$N$127,$C133),IF(D$129&gt;$C133+1,C133*(1+C167),0))</f>
        <v>0</v>
      </c>
      <c r="E133" s="170" cm="1">
        <f t="array" ref="E133">IF(E$129=$C133+1,-INDEX($D$127:$N$127,$C133),IF(E$129&gt;$C133+1,D133*(1+D167),0))</f>
        <v>0</v>
      </c>
      <c r="F133" s="170" cm="1">
        <f t="array" ref="F133">IF(F$129=$C133+1,-INDEX($D$127:$N$127,$C133),IF(F$129&gt;$C133+1,E133*(1+E167),0))</f>
        <v>0</v>
      </c>
      <c r="G133" s="170" cm="1">
        <f t="array" ref="G133">IF(G$129=$C133+1,-INDEX($D$127:$N$127,$C133),IF(G$129&gt;$C133+1,F133*(1+F167),0))</f>
        <v>-90.597618053343481</v>
      </c>
      <c r="H133" s="170" cm="1">
        <f t="array" ref="H133">IF(H$129=$C133+1,-INDEX($D$127:$N$127,$C133),IF(H$129&gt;$C133+1,G133*(1+G167),0))</f>
        <v>-98.287000288002972</v>
      </c>
      <c r="I133" s="170" cm="1">
        <f t="array" ref="I133">IF(I$129=$C133+1,-INDEX($D$127:$N$127,$C133),IF(I$129&gt;$C133+1,H133*(1+H167),0))</f>
        <v>-106.62901115044694</v>
      </c>
      <c r="J133" s="170" cm="1">
        <f t="array" ref="J133">IF(J$129=$C133+1,-INDEX($D$127:$N$127,$C133),IF(J$129&gt;$C133+1,I133*(1+I167),0))</f>
        <v>-115.67904184282999</v>
      </c>
      <c r="K133" s="170" cm="1">
        <f t="array" ref="K133">IF(K$129=$C133+1,-INDEX($D$127:$N$127,$C133),IF(K$129&gt;$C133+1,J133*(1+J167),0))</f>
        <v>-125.49718484019836</v>
      </c>
      <c r="L133" s="170" cm="1">
        <f t="array" ref="L133">IF(L$129=$C133+1,-INDEX($D$127:$N$127,$C133),IF(L$129&gt;$C133+1,K133*(1+K167),0))</f>
        <v>-136.14863290632536</v>
      </c>
      <c r="M133" s="170" cm="1">
        <f t="array" ref="M133">IF(M$129=$C133+1,-INDEX($D$127:$N$127,$C133),IF(M$129&gt;$C133+1,L133*(1+L167),0))</f>
        <v>-147.70411197561683</v>
      </c>
      <c r="N133" s="170" cm="1">
        <f t="array" ref="N133">IF(N$129=$C133+1,-INDEX($D$127:$N$127,$C133),IF(N$129&gt;$C133+1,M133*(1+M167),0))</f>
        <v>-160.24035077543533</v>
      </c>
      <c r="O133" s="187" cm="1">
        <f t="array" ref="O133">IF(O$129=$C133+1,-INDEX($D$127:$N$127,$C133),IF(O$129&gt;$C133+1,N133*(1+N167),0))</f>
        <v>-166.95788399703599</v>
      </c>
    </row>
    <row r="134" spans="1:26" x14ac:dyDescent="0.25">
      <c r="A134" s="150" t="s">
        <v>161</v>
      </c>
      <c r="B134" s="115">
        <v>42185</v>
      </c>
      <c r="C134" s="28">
        <f t="shared" si="44"/>
        <v>4</v>
      </c>
      <c r="D134" s="170" cm="1">
        <f t="array" ref="D134">IF(D$129=$C134+1,-INDEX($D$127:$N$127,$C134),IF(D$129&gt;$C134+1,C134*(1+C168),0))</f>
        <v>0</v>
      </c>
      <c r="E134" s="170" cm="1">
        <f t="array" ref="E134">IF(E$129=$C134+1,-INDEX($D$127:$N$127,$C134),IF(E$129&gt;$C134+1,D134*(1+D168),0))</f>
        <v>0</v>
      </c>
      <c r="F134" s="170" cm="1">
        <f t="array" ref="F134">IF(F$129=$C134+1,-INDEX($D$127:$N$127,$C134),IF(F$129&gt;$C134+1,E134*(1+E168),0))</f>
        <v>0</v>
      </c>
      <c r="G134" s="170" cm="1">
        <f t="array" ref="G134">IF(G$129=$C134+1,-INDEX($D$127:$N$127,$C134),IF(G$129&gt;$C134+1,F134*(1+F168),0))</f>
        <v>0</v>
      </c>
      <c r="H134" s="170" cm="1">
        <f t="array" ref="H134">IF(H$129=$C134+1,-INDEX($D$127:$N$127,$C134),IF(H$129&gt;$C134+1,G134*(1+G168),0))</f>
        <v>-86.879796771506932</v>
      </c>
      <c r="I134" s="170" cm="1">
        <f t="array" ref="I134">IF(I$129=$C134+1,-INDEX($D$127:$N$127,$C134),IF(I$129&gt;$C134+1,H134*(1+H168),0))</f>
        <v>-94.078396092603683</v>
      </c>
      <c r="J134" s="170" cm="1">
        <f t="array" ref="J134">IF(J$129=$C134+1,-INDEX($D$127:$N$127,$C134),IF(J$129&gt;$C134+1,I134*(1+I168),0))</f>
        <v>-101.87344975764854</v>
      </c>
      <c r="K134" s="170" cm="1">
        <f t="array" ref="K134">IF(K$129=$C134+1,-INDEX($D$127:$N$127,$C134),IF(K$129&gt;$C134+1,J134*(1+J168),0))</f>
        <v>-110.31437818421803</v>
      </c>
      <c r="L134" s="170" cm="1">
        <f t="array" ref="L134">IF(L$129=$C134+1,-INDEX($D$127:$N$127,$C134),IF(L$129&gt;$C134+1,K134*(1+K168),0))</f>
        <v>-119.45469661742777</v>
      </c>
      <c r="M134" s="170" cm="1">
        <f t="array" ref="M134">IF(M$129=$C134+1,-INDEX($D$127:$N$127,$C134),IF(M$129&gt;$C134+1,L134*(1+L168),0))</f>
        <v>-129.35235441505799</v>
      </c>
      <c r="N134" s="170" cm="1">
        <f t="array" ref="N134">IF(N$129=$C134+1,-INDEX($D$127:$N$127,$C134),IF(N$129&gt;$C134+1,M134*(1+M168),0))</f>
        <v>-140.07010244482643</v>
      </c>
      <c r="O134" s="187" cm="1">
        <f t="array" ref="O134">IF(O$129=$C134+1,-INDEX($D$127:$N$127,$C134),IF(O$129&gt;$C134+1,N134*(1+N168),0))</f>
        <v>-145.80522032800221</v>
      </c>
    </row>
    <row r="135" spans="1:26" x14ac:dyDescent="0.25">
      <c r="A135" s="150" t="s">
        <v>161</v>
      </c>
      <c r="B135" s="115">
        <v>42551</v>
      </c>
      <c r="C135" s="28">
        <f t="shared" si="44"/>
        <v>5</v>
      </c>
      <c r="D135" s="170" cm="1">
        <f t="array" ref="D135">IF(D$129=$C135+1,-INDEX($D$127:$N$127,$C135),IF(D$129&gt;$C135+1,C135*(1+C169),0))</f>
        <v>0</v>
      </c>
      <c r="E135" s="170" cm="1">
        <f t="array" ref="E135">IF(E$129=$C135+1,-INDEX($D$127:$N$127,$C135),IF(E$129&gt;$C135+1,D135*(1+D169),0))</f>
        <v>0</v>
      </c>
      <c r="F135" s="170" cm="1">
        <f t="array" ref="F135">IF(F$129=$C135+1,-INDEX($D$127:$N$127,$C135),IF(F$129&gt;$C135+1,E135*(1+E169),0))</f>
        <v>0</v>
      </c>
      <c r="G135" s="170" cm="1">
        <f t="array" ref="G135">IF(G$129=$C135+1,-INDEX($D$127:$N$127,$C135),IF(G$129&gt;$C135+1,F135*(1+F169),0))</f>
        <v>0</v>
      </c>
      <c r="H135" s="170" cm="1">
        <f t="array" ref="H135">IF(H$129=$C135+1,-INDEX($D$127:$N$127,$C135),IF(H$129&gt;$C135+1,G135*(1+G169),0))</f>
        <v>0</v>
      </c>
      <c r="I135" s="170" cm="1">
        <f t="array" ref="I135">IF(I$129=$C135+1,-INDEX($D$127:$N$127,$C135),IF(I$129&gt;$C135+1,H135*(1+H169),0))</f>
        <v>-97.163705823812123</v>
      </c>
      <c r="J135" s="170" cm="1">
        <f t="array" ref="J135">IF(J$129=$C135+1,-INDEX($D$127:$N$127,$C135),IF(J$129&gt;$C135+1,I135*(1+I169),0))</f>
        <v>-105.0184198026091</v>
      </c>
      <c r="K135" s="170" cm="1">
        <f t="array" ref="K135">IF(K$129=$C135+1,-INDEX($D$127:$N$127,$C135),IF(K$129&gt;$C135+1,J135*(1+J169),0))</f>
        <v>-113.50810885945202</v>
      </c>
      <c r="L135" s="170" cm="1">
        <f t="array" ref="L135">IF(L$129=$C135+1,-INDEX($D$127:$N$127,$C135),IF(L$129&gt;$C135+1,K135*(1+K169),0))</f>
        <v>-122.68410437965012</v>
      </c>
      <c r="M135" s="170" cm="1">
        <f t="array" ref="M135">IF(M$129=$C135+1,-INDEX($D$127:$N$127,$C135),IF(M$129&gt;$C135+1,L135*(1+L169),0))</f>
        <v>-132.60188737770105</v>
      </c>
      <c r="N135" s="170" cm="1">
        <f t="array" ref="N135">IF(N$129=$C135+1,-INDEX($D$127:$N$127,$C135),IF(N$129&gt;$C135+1,M135*(1+M169),0))</f>
        <v>-143.32142395331439</v>
      </c>
      <c r="O135" s="187" cm="1">
        <f t="array" ref="O135">IF(O$129=$C135+1,-INDEX($D$127:$N$127,$C135),IF(O$129&gt;$C135+1,N135*(1+N169),0))</f>
        <v>-149.04951400869146</v>
      </c>
    </row>
    <row r="136" spans="1:26" x14ac:dyDescent="0.25">
      <c r="A136" s="150" t="s">
        <v>161</v>
      </c>
      <c r="B136" s="115">
        <v>42916</v>
      </c>
      <c r="C136" s="28">
        <f t="shared" si="44"/>
        <v>6</v>
      </c>
      <c r="D136" s="170" cm="1">
        <f t="array" ref="D136">IF(D$129=$C136+1,-INDEX($D$127:$N$127,$C136),IF(D$129&gt;$C136+1,C136*(1+C170),0))</f>
        <v>0</v>
      </c>
      <c r="E136" s="170" cm="1">
        <f t="array" ref="E136">IF(E$129=$C136+1,-INDEX($D$127:$N$127,$C136),IF(E$129&gt;$C136+1,D136*(1+D170),0))</f>
        <v>0</v>
      </c>
      <c r="F136" s="170" cm="1">
        <f t="array" ref="F136">IF(F$129=$C136+1,-INDEX($D$127:$N$127,$C136),IF(F$129&gt;$C136+1,E136*(1+E170),0))</f>
        <v>0</v>
      </c>
      <c r="G136" s="170" cm="1">
        <f t="array" ref="G136">IF(G$129=$C136+1,-INDEX($D$127:$N$127,$C136),IF(G$129&gt;$C136+1,F136*(1+F170),0))</f>
        <v>0</v>
      </c>
      <c r="H136" s="170" cm="1">
        <f t="array" ref="H136">IF(H$129=$C136+1,-INDEX($D$127:$N$127,$C136),IF(H$129&gt;$C136+1,G136*(1+G170),0))</f>
        <v>0</v>
      </c>
      <c r="I136" s="170" cm="1">
        <f t="array" ref="I136">IF(I$129=$C136+1,-INDEX($D$127:$N$127,$C136),IF(I$129&gt;$C136+1,H136*(1+H170),0))</f>
        <v>0</v>
      </c>
      <c r="J136" s="170" cm="1">
        <f t="array" ref="J136">IF(J$129=$C136+1,-INDEX($D$127:$N$127,$C136),IF(J$129&gt;$C136+1,I136*(1+I170),0))</f>
        <v>-107.57635308792197</v>
      </c>
      <c r="K136" s="170" cm="1">
        <f t="array" ref="K136">IF(K$129=$C136+1,-INDEX($D$127:$N$127,$C136),IF(K$129&gt;$C136+1,J136*(1+J170),0))</f>
        <v>-116.05584396737126</v>
      </c>
      <c r="L136" s="170" cm="1">
        <f t="array" ref="L136">IF(L$129=$C136+1,-INDEX($D$127:$N$127,$C136),IF(L$129&gt;$C136+1,K136*(1+K170),0))</f>
        <v>-125.20371375641137</v>
      </c>
      <c r="M136" s="170" cm="1">
        <f t="array" ref="M136">IF(M$129=$C136+1,-INDEX($D$127:$N$127,$C136),IF(M$129&gt;$C136+1,L136*(1+L170),0))</f>
        <v>-135.07264608583299</v>
      </c>
      <c r="N136" s="170" cm="1">
        <f t="array" ref="N136">IF(N$129=$C136+1,-INDEX($D$127:$N$127,$C136),IF(N$129&gt;$C136+1,M136*(1+M170),0))</f>
        <v>-145.71947726825661</v>
      </c>
      <c r="O136" s="187" cm="1">
        <f t="array" ref="O136">IF(O$129=$C136+1,-INDEX($D$127:$N$127,$C136),IF(O$129&gt;$C136+1,N136*(1+N170),0))</f>
        <v>-151.4007807771417</v>
      </c>
    </row>
    <row r="137" spans="1:26" x14ac:dyDescent="0.25">
      <c r="A137" s="150" t="s">
        <v>161</v>
      </c>
      <c r="B137" s="115">
        <v>43281</v>
      </c>
      <c r="C137" s="28">
        <f t="shared" si="44"/>
        <v>7</v>
      </c>
      <c r="D137" s="170" cm="1">
        <f t="array" ref="D137">IF(D$129=$C137+1,-INDEX($D$127:$N$127,$C137),IF(D$129&gt;$C137+1,C137*(1+C171),0))</f>
        <v>0</v>
      </c>
      <c r="E137" s="170" cm="1">
        <f t="array" ref="E137">IF(E$129=$C137+1,-INDEX($D$127:$N$127,$C137),IF(E$129&gt;$C137+1,D137*(1+D171),0))</f>
        <v>0</v>
      </c>
      <c r="F137" s="170" cm="1">
        <f t="array" ref="F137">IF(F$129=$C137+1,-INDEX($D$127:$N$127,$C137),IF(F$129&gt;$C137+1,E137*(1+E171),0))</f>
        <v>0</v>
      </c>
      <c r="G137" s="170" cm="1">
        <f t="array" ref="G137">IF(G$129=$C137+1,-INDEX($D$127:$N$127,$C137),IF(G$129&gt;$C137+1,F137*(1+F171),0))</f>
        <v>0</v>
      </c>
      <c r="H137" s="170" cm="1">
        <f t="array" ref="H137">IF(H$129=$C137+1,-INDEX($D$127:$N$127,$C137),IF(H$129&gt;$C137+1,G137*(1+G171),0))</f>
        <v>0</v>
      </c>
      <c r="I137" s="170" cm="1">
        <f t="array" ref="I137">IF(I$129=$C137+1,-INDEX($D$127:$N$127,$C137),IF(I$129&gt;$C137+1,H137*(1+H171),0))</f>
        <v>0</v>
      </c>
      <c r="J137" s="170" cm="1">
        <f t="array" ref="J137">IF(J$129=$C137+1,-INDEX($D$127:$N$127,$C137),IF(J$129&gt;$C137+1,I137*(1+I171),0))</f>
        <v>0</v>
      </c>
      <c r="K137" s="170" cm="1">
        <f t="array" ref="K137">IF(K$129=$C137+1,-INDEX($D$127:$N$127,$C137),IF(K$129&gt;$C137+1,J137*(1+J171),0))</f>
        <v>348.05508793844052</v>
      </c>
      <c r="L137" s="170" cm="1">
        <f t="array" ref="L137">IF(L$129=$C137+1,-INDEX($D$127:$N$127,$C137),IF(L$129&gt;$C137+1,K137*(1+K171),0))</f>
        <v>374.78780702264038</v>
      </c>
      <c r="M137" s="170" cm="1">
        <f t="array" ref="M137">IF(M$129=$C137+1,-INDEX($D$127:$N$127,$C137),IF(M$129&gt;$C137+1,L137*(1+L171),0))</f>
        <v>403.57375932882127</v>
      </c>
      <c r="N137" s="170" cm="1">
        <f t="array" ref="N137">IF(N$129=$C137+1,-INDEX($D$127:$N$127,$C137),IF(N$129&gt;$C137+1,M137*(1+M171),0))</f>
        <v>434.57064548783069</v>
      </c>
      <c r="O137" s="187" cm="1">
        <f t="array" ref="O137">IF(O$129=$C137+1,-INDEX($D$127:$N$127,$C137),IF(O$129&gt;$C137+1,N137*(1+N171),0))</f>
        <v>451.08791513622998</v>
      </c>
    </row>
    <row r="138" spans="1:26" x14ac:dyDescent="0.25">
      <c r="A138" s="150" t="s">
        <v>161</v>
      </c>
      <c r="B138" s="115">
        <v>43646</v>
      </c>
      <c r="C138" s="28">
        <f t="shared" si="44"/>
        <v>8</v>
      </c>
      <c r="D138" s="170" cm="1">
        <f t="array" ref="D138">IF(D$129=$C138+1,-INDEX($D$127:$N$127,$C138),IF(D$129&gt;$C138+1,C138*(1+C172),0))</f>
        <v>0</v>
      </c>
      <c r="E138" s="170" cm="1">
        <f t="array" ref="E138">IF(E$129=$C138+1,-INDEX($D$127:$N$127,$C138),IF(E$129&gt;$C138+1,D138*(1+D172),0))</f>
        <v>0</v>
      </c>
      <c r="F138" s="170" cm="1">
        <f t="array" ref="F138">IF(F$129=$C138+1,-INDEX($D$127:$N$127,$C138),IF(F$129&gt;$C138+1,E138*(1+E172),0))</f>
        <v>0</v>
      </c>
      <c r="G138" s="170" cm="1">
        <f t="array" ref="G138">IF(G$129=$C138+1,-INDEX($D$127:$N$127,$C138),IF(G$129&gt;$C138+1,F138*(1+F172),0))</f>
        <v>0</v>
      </c>
      <c r="H138" s="170" cm="1">
        <f t="array" ref="H138">IF(H$129=$C138+1,-INDEX($D$127:$N$127,$C138),IF(H$129&gt;$C138+1,G138*(1+G172),0))</f>
        <v>0</v>
      </c>
      <c r="I138" s="170" cm="1">
        <f t="array" ref="I138">IF(I$129=$C138+1,-INDEX($D$127:$N$127,$C138),IF(I$129&gt;$C138+1,H138*(1+H172),0))</f>
        <v>0</v>
      </c>
      <c r="J138" s="170" cm="1">
        <f t="array" ref="J138">IF(J$129=$C138+1,-INDEX($D$127:$N$127,$C138),IF(J$129&gt;$C138+1,I138*(1+I172),0))</f>
        <v>0</v>
      </c>
      <c r="K138" s="170" cm="1">
        <f t="array" ref="K138">IF(K$129=$C138+1,-INDEX($D$127:$N$127,$C138),IF(K$129&gt;$C138+1,J138*(1+J172),0))</f>
        <v>0</v>
      </c>
      <c r="L138" s="170" cm="1">
        <f t="array" ref="L138">IF(L$129=$C138+1,-INDEX($D$127:$N$127,$C138),IF(L$129&gt;$C138+1,K138*(1+K172),0))</f>
        <v>342.56977979732193</v>
      </c>
      <c r="M138" s="170" cm="1">
        <f t="array" ref="M138">IF(M$129=$C138+1,-INDEX($D$127:$N$127,$C138),IF(M$129&gt;$C138+1,L138*(1+L172),0))</f>
        <v>368.19023105858383</v>
      </c>
      <c r="N138" s="170" cm="1">
        <f t="array" ref="N138">IF(N$129=$C138+1,-INDEX($D$127:$N$127,$C138),IF(N$129&gt;$C138+1,M138*(1+M172),0))</f>
        <v>395.72681024922429</v>
      </c>
      <c r="O138" s="187" cm="1">
        <f t="array" ref="O138">IF(O$129=$C138+1,-INDEX($D$127:$N$127,$C138),IF(O$129&gt;$C138+1,N138*(1+N172),0))</f>
        <v>410.37964028731164</v>
      </c>
    </row>
    <row r="139" spans="1:26" x14ac:dyDescent="0.25">
      <c r="A139" s="150" t="s">
        <v>161</v>
      </c>
      <c r="B139" s="115">
        <v>44012</v>
      </c>
      <c r="C139" s="28">
        <f t="shared" si="44"/>
        <v>9</v>
      </c>
      <c r="D139" s="170" cm="1">
        <f t="array" ref="D139">IF(D$129=$C139+1,-INDEX($D$127:$N$127,$C139),IF(D$129&gt;$C139+1,C139*(1+C173),0))</f>
        <v>0</v>
      </c>
      <c r="E139" s="170" cm="1">
        <f t="array" ref="E139">IF(E$129=$C139+1,-INDEX($D$127:$N$127,$C139),IF(E$129&gt;$C139+1,D139*(1+D173),0))</f>
        <v>0</v>
      </c>
      <c r="F139" s="170" cm="1">
        <f t="array" ref="F139">IF(F$129=$C139+1,-INDEX($D$127:$N$127,$C139),IF(F$129&gt;$C139+1,E139*(1+E173),0))</f>
        <v>0</v>
      </c>
      <c r="G139" s="170" cm="1">
        <f t="array" ref="G139">IF(G$129=$C139+1,-INDEX($D$127:$N$127,$C139),IF(G$129&gt;$C139+1,F139*(1+F173),0))</f>
        <v>0</v>
      </c>
      <c r="H139" s="170" cm="1">
        <f t="array" ref="H139">IF(H$129=$C139+1,-INDEX($D$127:$N$127,$C139),IF(H$129&gt;$C139+1,G139*(1+G173),0))</f>
        <v>0</v>
      </c>
      <c r="I139" s="170" cm="1">
        <f t="array" ref="I139">IF(I$129=$C139+1,-INDEX($D$127:$N$127,$C139),IF(I$129&gt;$C139+1,H139*(1+H173),0))</f>
        <v>0</v>
      </c>
      <c r="J139" s="170" cm="1">
        <f t="array" ref="J139">IF(J$129=$C139+1,-INDEX($D$127:$N$127,$C139),IF(J$129&gt;$C139+1,I139*(1+I173),0))</f>
        <v>0</v>
      </c>
      <c r="K139" s="170" cm="1">
        <f t="array" ref="K139">IF(K$129=$C139+1,-INDEX($D$127:$N$127,$C139),IF(K$129&gt;$C139+1,J139*(1+J173),0))</f>
        <v>0</v>
      </c>
      <c r="L139" s="170" cm="1">
        <f t="array" ref="L139">IF(L$129=$C139+1,-INDEX($D$127:$N$127,$C139),IF(L$129&gt;$C139+1,K139*(1+K173),0))</f>
        <v>0</v>
      </c>
      <c r="M139" s="170" cm="1">
        <f t="array" ref="M139">IF(M$129=$C139+1,-INDEX($D$127:$N$127,$C139),IF(M$129&gt;$C139+1,L139*(1+L173),0))</f>
        <v>337.17173676434049</v>
      </c>
      <c r="N139" s="170" cm="1">
        <f t="array" ref="N139">IF(N$129=$C139+1,-INDEX($D$127:$N$127,$C139),IF(N$129&gt;$C139+1,M139*(1+M173),0))</f>
        <v>361.70839839215512</v>
      </c>
      <c r="O139" s="187" cm="1">
        <f t="array" ref="O139">IF(O$129=$C139+1,-INDEX($D$127:$N$127,$C139),IF(O$129&gt;$C139+1,N139*(1+N173),0))</f>
        <v>374.74658202714778</v>
      </c>
    </row>
    <row r="140" spans="1:26" x14ac:dyDescent="0.25">
      <c r="A140" s="150" t="s">
        <v>161</v>
      </c>
      <c r="B140" s="115">
        <v>44377</v>
      </c>
      <c r="C140" s="28">
        <f t="shared" si="44"/>
        <v>10</v>
      </c>
      <c r="D140" s="170" cm="1">
        <f t="array" ref="D140">IF(D$129=$C140+1,-INDEX($D$127:$N$127,$C140),IF(D$129&gt;$C140+1,C140*(1+C174),0))</f>
        <v>0</v>
      </c>
      <c r="E140" s="170" cm="1">
        <f t="array" ref="E140">IF(E$129=$C140+1,-INDEX($D$127:$N$127,$C140),IF(E$129&gt;$C140+1,D140*(1+D174),0))</f>
        <v>0</v>
      </c>
      <c r="F140" s="170" cm="1">
        <f t="array" ref="F140">IF(F$129=$C140+1,-INDEX($D$127:$N$127,$C140),IF(F$129&gt;$C140+1,E140*(1+E174),0))</f>
        <v>0</v>
      </c>
      <c r="G140" s="170" cm="1">
        <f t="array" ref="G140">IF(G$129=$C140+1,-INDEX($D$127:$N$127,$C140),IF(G$129&gt;$C140+1,F140*(1+F174),0))</f>
        <v>0</v>
      </c>
      <c r="H140" s="170" cm="1">
        <f t="array" ref="H140">IF(H$129=$C140+1,-INDEX($D$127:$N$127,$C140),IF(H$129&gt;$C140+1,G140*(1+G174),0))</f>
        <v>0</v>
      </c>
      <c r="I140" s="170" cm="1">
        <f t="array" ref="I140">IF(I$129=$C140+1,-INDEX($D$127:$N$127,$C140),IF(I$129&gt;$C140+1,H140*(1+H174),0))</f>
        <v>0</v>
      </c>
      <c r="J140" s="170" cm="1">
        <f t="array" ref="J140">IF(J$129=$C140+1,-INDEX($D$127:$N$127,$C140),IF(J$129&gt;$C140+1,I140*(1+I174),0))</f>
        <v>0</v>
      </c>
      <c r="K140" s="170" cm="1">
        <f t="array" ref="K140">IF(K$129=$C140+1,-INDEX($D$127:$N$127,$C140),IF(K$129&gt;$C140+1,J140*(1+J174),0))</f>
        <v>0</v>
      </c>
      <c r="L140" s="170" cm="1">
        <f t="array" ref="L140">IF(L$129=$C140+1,-INDEX($D$127:$N$127,$C140),IF(L$129&gt;$C140+1,K140*(1+K174),0))</f>
        <v>0</v>
      </c>
      <c r="M140" s="170" cm="1">
        <f t="array" ref="M140">IF(M$129=$C140+1,-INDEX($D$127:$N$127,$C140),IF(M$129&gt;$C140+1,L140*(1+L174),0))</f>
        <v>0</v>
      </c>
      <c r="N140" s="170" cm="1">
        <f t="array" ref="N140">IF(N$129=$C140+1,-INDEX($D$127:$N$127,$C140),IF(N$129&gt;$C140+1,M140*(1+M174),0))</f>
        <v>332.01743486524617</v>
      </c>
      <c r="O140" s="187" cm="1">
        <f t="array" ref="O140">IF(O$129=$C140+1,-INDEX($D$127:$N$127,$C140),IF(O$129&gt;$C140+1,N140*(1+N174),0))</f>
        <v>344.0553590366352</v>
      </c>
    </row>
    <row r="141" spans="1:26" x14ac:dyDescent="0.25">
      <c r="A141" s="150" t="s">
        <v>161</v>
      </c>
      <c r="B141" s="115">
        <v>44561</v>
      </c>
      <c r="C141" s="28">
        <f t="shared" si="44"/>
        <v>11</v>
      </c>
      <c r="D141" s="170" cm="1">
        <f t="array" ref="D141">IF(D$129=$C141+1,-INDEX($D$127:$N$127,$C141),IF(D$129&gt;$C141+1,C141*(1+C175),0))</f>
        <v>0</v>
      </c>
      <c r="E141" s="170" cm="1">
        <f t="array" ref="E141">IF(E$129=$C141+1,-INDEX($D$127:$N$127,$C141),IF(E$129&gt;$C141+1,D141*(1+D175),0))</f>
        <v>0</v>
      </c>
      <c r="F141" s="170" cm="1">
        <f t="array" ref="F141">IF(F$129=$C141+1,-INDEX($D$127:$N$127,$C141),IF(F$129&gt;$C141+1,E141*(1+E175),0))</f>
        <v>0</v>
      </c>
      <c r="G141" s="170" cm="1">
        <f t="array" ref="G141">IF(G$129=$C141+1,-INDEX($D$127:$N$127,$C141),IF(G$129&gt;$C141+1,F141*(1+F175),0))</f>
        <v>0</v>
      </c>
      <c r="H141" s="170" cm="1">
        <f t="array" ref="H141">IF(H$129=$C141+1,-INDEX($D$127:$N$127,$C141),IF(H$129&gt;$C141+1,G141*(1+G175),0))</f>
        <v>0</v>
      </c>
      <c r="I141" s="170" cm="1">
        <f t="array" ref="I141">IF(I$129=$C141+1,-INDEX($D$127:$N$127,$C141),IF(I$129&gt;$C141+1,H141*(1+H175),0))</f>
        <v>0</v>
      </c>
      <c r="J141" s="170" cm="1">
        <f t="array" ref="J141">IF(J$129=$C141+1,-INDEX($D$127:$N$127,$C141),IF(J$129&gt;$C141+1,I141*(1+I175),0))</f>
        <v>0</v>
      </c>
      <c r="K141" s="170" cm="1">
        <f t="array" ref="K141">IF(K$129=$C141+1,-INDEX($D$127:$N$127,$C141),IF(K$129&gt;$C141+1,J141*(1+J175),0))</f>
        <v>0</v>
      </c>
      <c r="L141" s="170" cm="1">
        <f t="array" ref="L141">IF(L$129=$C141+1,-INDEX($D$127:$N$127,$C141),IF(L$129&gt;$C141+1,K141*(1+K175),0))</f>
        <v>0</v>
      </c>
      <c r="M141" s="170" cm="1">
        <f t="array" ref="M141">IF(M$129=$C141+1,-INDEX($D$127:$N$127,$C141),IF(M$129&gt;$C141+1,L141*(1+L175),0))</f>
        <v>0</v>
      </c>
      <c r="N141" s="170" cm="1">
        <f t="array" ref="N141">IF(N$129=$C141+1,-INDEX($D$127:$N$127,$C141),IF(N$129&gt;$C141+1,M141*(1+M175),0))</f>
        <v>0</v>
      </c>
      <c r="O141" s="187" cm="1">
        <f t="array" ref="O141">IF(O$129=$C141+1,-INDEX($D$127:$N$127,$C141),IF(O$129&gt;$C141+1,N141*(1+N175),0))</f>
        <v>316.22357632342414</v>
      </c>
      <c r="P141" s="188">
        <f>SUM(O130:O141)</f>
        <v>5001.7280295115652</v>
      </c>
      <c r="Q141" s="137" t="s">
        <v>197</v>
      </c>
      <c r="R141" s="137"/>
      <c r="S141" s="137"/>
      <c r="T141" s="138"/>
      <c r="U141" s="138"/>
      <c r="V141" s="138"/>
      <c r="W141" s="138"/>
      <c r="X141" s="138"/>
      <c r="Y141" s="138"/>
      <c r="Z141" s="138"/>
    </row>
    <row r="142" spans="1:26" x14ac:dyDescent="0.25">
      <c r="C142" s="28"/>
      <c r="D142" s="30"/>
      <c r="E142" s="30"/>
      <c r="F142" s="30"/>
      <c r="G142" s="30"/>
      <c r="H142" s="30"/>
      <c r="I142" s="30"/>
      <c r="J142" s="30"/>
      <c r="K142" s="30"/>
      <c r="L142" s="30"/>
      <c r="M142" s="30"/>
      <c r="N142" s="30"/>
      <c r="O142" s="170"/>
    </row>
    <row r="143" spans="1:26" x14ac:dyDescent="0.25">
      <c r="D143" s="30"/>
      <c r="E143" s="30"/>
      <c r="F143" s="30"/>
      <c r="G143" s="30"/>
      <c r="H143" s="30"/>
      <c r="I143" s="30"/>
      <c r="J143" s="30"/>
      <c r="K143" s="30"/>
      <c r="L143" s="30"/>
      <c r="M143" s="30"/>
      <c r="N143" s="30"/>
    </row>
    <row r="144" spans="1:26" x14ac:dyDescent="0.25">
      <c r="A144" s="183" t="s">
        <v>162</v>
      </c>
      <c r="B144" s="105"/>
      <c r="C144" s="105"/>
      <c r="D144" s="184"/>
      <c r="E144" s="184"/>
      <c r="F144" s="184"/>
      <c r="G144" s="184"/>
      <c r="H144" s="184"/>
      <c r="I144" s="184"/>
      <c r="J144" s="184"/>
      <c r="K144" s="184"/>
      <c r="L144" s="184"/>
      <c r="M144" s="184"/>
      <c r="N144" s="184"/>
      <c r="O144" s="105"/>
    </row>
    <row r="145" spans="1:14" x14ac:dyDescent="0.25">
      <c r="A145" s="163" t="s">
        <v>163</v>
      </c>
      <c r="B145" s="160"/>
      <c r="C145" s="164"/>
      <c r="D145" s="164">
        <f>D130*D178*D$111</f>
        <v>13.858358174946817</v>
      </c>
      <c r="E145" s="164">
        <f t="shared" ref="E145:N145" si="45">E130*E178*E$111</f>
        <v>25.074085136240598</v>
      </c>
      <c r="F145" s="164">
        <f t="shared" si="45"/>
        <v>27.303371897533481</v>
      </c>
      <c r="G145" s="164">
        <f t="shared" si="45"/>
        <v>29.730860086199382</v>
      </c>
      <c r="H145" s="164">
        <f t="shared" si="45"/>
        <v>32.374171394743193</v>
      </c>
      <c r="I145" s="164">
        <f t="shared" si="45"/>
        <v>35.252494225107021</v>
      </c>
      <c r="J145" s="164">
        <f t="shared" si="45"/>
        <v>38.386722981672833</v>
      </c>
      <c r="K145" s="164">
        <f t="shared" si="45"/>
        <v>41.799609748527409</v>
      </c>
      <c r="L145" s="164">
        <f t="shared" si="45"/>
        <v>45.515929452049484</v>
      </c>
      <c r="M145" s="164">
        <f t="shared" si="45"/>
        <v>49.562659707772298</v>
      </c>
      <c r="N145" s="164">
        <f t="shared" si="45"/>
        <v>27.201372210374295</v>
      </c>
    </row>
    <row r="146" spans="1:14" x14ac:dyDescent="0.25">
      <c r="A146" s="150" t="s">
        <v>164</v>
      </c>
      <c r="B146" s="115">
        <v>41090</v>
      </c>
      <c r="C146" s="152"/>
      <c r="D146" s="152">
        <f>D131*D178*D$111</f>
        <v>0</v>
      </c>
      <c r="E146" s="152">
        <f t="shared" ref="E146:N146" si="46">E131*E178*E$111</f>
        <v>5.8713142686989785</v>
      </c>
      <c r="F146" s="152">
        <f t="shared" si="46"/>
        <v>6.3933210777004668</v>
      </c>
      <c r="G146" s="152">
        <f t="shared" si="46"/>
        <v>6.9617384680766605</v>
      </c>
      <c r="H146" s="152">
        <f t="shared" si="46"/>
        <v>7.58069271179642</v>
      </c>
      <c r="I146" s="152">
        <f t="shared" si="46"/>
        <v>8.2546769394168162</v>
      </c>
      <c r="J146" s="152">
        <f t="shared" si="46"/>
        <v>8.9885837567464861</v>
      </c>
      <c r="K146" s="152">
        <f t="shared" si="46"/>
        <v>9.7877407613913014</v>
      </c>
      <c r="L146" s="152">
        <f t="shared" si="46"/>
        <v>10.657949217005081</v>
      </c>
      <c r="M146" s="152">
        <f t="shared" si="46"/>
        <v>11.605526165990568</v>
      </c>
      <c r="N146" s="152">
        <f t="shared" si="46"/>
        <v>6.3694369672586877</v>
      </c>
    </row>
    <row r="147" spans="1:14" x14ac:dyDescent="0.25">
      <c r="A147" s="150" t="s">
        <v>164</v>
      </c>
      <c r="B147" s="115">
        <v>41455</v>
      </c>
      <c r="C147" s="152"/>
      <c r="D147" s="152">
        <f t="shared" ref="D147:N147" si="47">D132*D179*D$111</f>
        <v>0</v>
      </c>
      <c r="E147" s="152">
        <f t="shared" si="47"/>
        <v>0</v>
      </c>
      <c r="F147" s="152">
        <f t="shared" si="47"/>
        <v>9.1718821377637401</v>
      </c>
      <c r="G147" s="152">
        <f t="shared" si="47"/>
        <v>9.9688361485961696</v>
      </c>
      <c r="H147" s="152">
        <f t="shared" si="47"/>
        <v>10.835038290383839</v>
      </c>
      <c r="I147" s="152">
        <f t="shared" si="47"/>
        <v>11.776505602473579</v>
      </c>
      <c r="J147" s="152">
        <f t="shared" si="47"/>
        <v>12.799777950778113</v>
      </c>
      <c r="K147" s="152">
        <f t="shared" si="47"/>
        <v>13.911963456699175</v>
      </c>
      <c r="L147" s="152">
        <f t="shared" si="47"/>
        <v>15.120787873415223</v>
      </c>
      <c r="M147" s="152">
        <f t="shared" si="47"/>
        <v>16.434648252524148</v>
      </c>
      <c r="N147" s="152">
        <f t="shared" si="47"/>
        <v>9.0031848721439225</v>
      </c>
    </row>
    <row r="148" spans="1:14" x14ac:dyDescent="0.25">
      <c r="A148" s="150" t="s">
        <v>164</v>
      </c>
      <c r="B148" s="115">
        <v>41820</v>
      </c>
      <c r="C148" s="152"/>
      <c r="D148" s="152">
        <f t="shared" ref="D148:N148" si="48">D133*D180*D$111</f>
        <v>0</v>
      </c>
      <c r="E148" s="152">
        <f t="shared" si="48"/>
        <v>0</v>
      </c>
      <c r="F148" s="152">
        <f t="shared" si="48"/>
        <v>0</v>
      </c>
      <c r="G148" s="152">
        <f t="shared" si="48"/>
        <v>-2.0315873720562059</v>
      </c>
      <c r="H148" s="152">
        <f t="shared" si="48"/>
        <v>-2.2040163186721045</v>
      </c>
      <c r="I148" s="152">
        <f t="shared" si="48"/>
        <v>-2.3910799997030812</v>
      </c>
      <c r="J148" s="152">
        <f t="shared" si="48"/>
        <v>-2.5940205235978806</v>
      </c>
      <c r="K148" s="152">
        <f t="shared" si="48"/>
        <v>-2.8141854215177275</v>
      </c>
      <c r="L148" s="152">
        <f t="shared" si="48"/>
        <v>-3.0530365949836229</v>
      </c>
      <c r="M148" s="152">
        <f t="shared" si="48"/>
        <v>-3.3121600229462635</v>
      </c>
      <c r="N148" s="152">
        <f t="shared" si="48"/>
        <v>-1.8111106369614571</v>
      </c>
    </row>
    <row r="149" spans="1:14" x14ac:dyDescent="0.25">
      <c r="A149" s="150" t="s">
        <v>164</v>
      </c>
      <c r="B149" s="115">
        <v>42185</v>
      </c>
      <c r="C149" s="152"/>
      <c r="D149" s="152">
        <f t="shared" ref="D149:N149" si="49">D134*D181*D$111</f>
        <v>0</v>
      </c>
      <c r="E149" s="152">
        <f t="shared" si="49"/>
        <v>0</v>
      </c>
      <c r="F149" s="152">
        <f t="shared" si="49"/>
        <v>0</v>
      </c>
      <c r="G149" s="152">
        <f t="shared" si="49"/>
        <v>0</v>
      </c>
      <c r="H149" s="152">
        <f t="shared" si="49"/>
        <v>-1.8854709536172982</v>
      </c>
      <c r="I149" s="152">
        <f t="shared" si="49"/>
        <v>-2.041695420421167</v>
      </c>
      <c r="J149" s="152">
        <f t="shared" si="49"/>
        <v>-2.2108641778710032</v>
      </c>
      <c r="K149" s="152">
        <f t="shared" si="49"/>
        <v>-2.394049751056861</v>
      </c>
      <c r="L149" s="152">
        <f t="shared" si="49"/>
        <v>-2.592413531280179</v>
      </c>
      <c r="M149" s="152">
        <f t="shared" si="49"/>
        <v>-2.807213139241461</v>
      </c>
      <c r="N149" s="152">
        <f t="shared" si="49"/>
        <v>-1.5321642938688833</v>
      </c>
    </row>
    <row r="150" spans="1:14" x14ac:dyDescent="0.25">
      <c r="A150" s="150" t="s">
        <v>164</v>
      </c>
      <c r="B150" s="115">
        <v>42551</v>
      </c>
      <c r="C150" s="152"/>
      <c r="D150" s="152">
        <f t="shared" ref="D150:N150" si="50">D135*D182*D$111</f>
        <v>0</v>
      </c>
      <c r="E150" s="152">
        <f t="shared" si="50"/>
        <v>0</v>
      </c>
      <c r="F150" s="152">
        <f t="shared" si="50"/>
        <v>0</v>
      </c>
      <c r="G150" s="152">
        <f t="shared" si="50"/>
        <v>0</v>
      </c>
      <c r="H150" s="152">
        <f t="shared" si="50"/>
        <v>0</v>
      </c>
      <c r="I150" s="152">
        <f t="shared" si="50"/>
        <v>-2.0383178863278806</v>
      </c>
      <c r="J150" s="152">
        <f t="shared" si="50"/>
        <v>-2.2030955042586267</v>
      </c>
      <c r="K150" s="152">
        <f t="shared" si="50"/>
        <v>-2.3811937448228941</v>
      </c>
      <c r="L150" s="152">
        <f t="shared" si="50"/>
        <v>-2.573689447154377</v>
      </c>
      <c r="M150" s="152">
        <f t="shared" si="50"/>
        <v>-2.7817465020623366</v>
      </c>
      <c r="N150" s="152">
        <f t="shared" si="50"/>
        <v>-1.5154518270958355</v>
      </c>
    </row>
    <row r="151" spans="1:14" x14ac:dyDescent="0.25">
      <c r="A151" s="150" t="s">
        <v>164</v>
      </c>
      <c r="B151" s="115">
        <v>42916</v>
      </c>
      <c r="C151" s="152"/>
      <c r="D151" s="152">
        <f t="shared" ref="D151:N151" si="51">D136*D183*D$111</f>
        <v>0</v>
      </c>
      <c r="E151" s="152">
        <f t="shared" si="51"/>
        <v>0</v>
      </c>
      <c r="F151" s="152">
        <f t="shared" si="51"/>
        <v>0</v>
      </c>
      <c r="G151" s="152">
        <f t="shared" si="51"/>
        <v>0</v>
      </c>
      <c r="H151" s="152">
        <f t="shared" si="51"/>
        <v>0</v>
      </c>
      <c r="I151" s="152">
        <f t="shared" si="51"/>
        <v>0</v>
      </c>
      <c r="J151" s="152">
        <f t="shared" si="51"/>
        <v>-2.1787045587547054</v>
      </c>
      <c r="K151" s="152">
        <f t="shared" si="51"/>
        <v>-2.3504365881894276</v>
      </c>
      <c r="L151" s="152">
        <f t="shared" si="51"/>
        <v>-2.5357050513802832</v>
      </c>
      <c r="M151" s="152">
        <f t="shared" si="51"/>
        <v>-2.7355769306452311</v>
      </c>
      <c r="N151" s="152">
        <f t="shared" si="51"/>
        <v>-1.48753263916316</v>
      </c>
    </row>
    <row r="152" spans="1:14" x14ac:dyDescent="0.25">
      <c r="A152" s="150" t="s">
        <v>164</v>
      </c>
      <c r="B152" s="115">
        <v>43281</v>
      </c>
      <c r="C152" s="152"/>
      <c r="D152" s="152">
        <f t="shared" ref="D152:N152" si="52">D137*D184*D$111</f>
        <v>0</v>
      </c>
      <c r="E152" s="152">
        <f t="shared" si="52"/>
        <v>0</v>
      </c>
      <c r="F152" s="152">
        <f t="shared" si="52"/>
        <v>0</v>
      </c>
      <c r="G152" s="152">
        <f t="shared" si="52"/>
        <v>0</v>
      </c>
      <c r="H152" s="152">
        <f t="shared" si="52"/>
        <v>0</v>
      </c>
      <c r="I152" s="152">
        <f t="shared" si="52"/>
        <v>0</v>
      </c>
      <c r="J152" s="152">
        <f t="shared" si="52"/>
        <v>0</v>
      </c>
      <c r="K152" s="152">
        <f t="shared" si="52"/>
        <v>6.7959196169824496</v>
      </c>
      <c r="L152" s="152">
        <f t="shared" si="52"/>
        <v>7.3178870190844041</v>
      </c>
      <c r="M152" s="152">
        <f t="shared" si="52"/>
        <v>7.8799446494722005</v>
      </c>
      <c r="N152" s="152">
        <f t="shared" si="52"/>
        <v>4.276929264750053</v>
      </c>
    </row>
    <row r="153" spans="1:14" x14ac:dyDescent="0.25">
      <c r="A153" s="150" t="s">
        <v>164</v>
      </c>
      <c r="B153" s="115">
        <v>43646</v>
      </c>
      <c r="C153" s="152"/>
      <c r="D153" s="152">
        <f t="shared" ref="D153:N153" si="53">D138*D185*D$111</f>
        <v>0</v>
      </c>
      <c r="E153" s="152">
        <f t="shared" si="53"/>
        <v>0</v>
      </c>
      <c r="F153" s="152">
        <f t="shared" si="53"/>
        <v>0</v>
      </c>
      <c r="G153" s="152">
        <f t="shared" si="53"/>
        <v>0</v>
      </c>
      <c r="H153" s="152">
        <f t="shared" si="53"/>
        <v>0</v>
      </c>
      <c r="I153" s="152">
        <f t="shared" si="53"/>
        <v>0</v>
      </c>
      <c r="J153" s="152">
        <f t="shared" si="53"/>
        <v>0</v>
      </c>
      <c r="K153" s="152">
        <f t="shared" si="53"/>
        <v>0</v>
      </c>
      <c r="L153" s="152">
        <f t="shared" si="53"/>
        <v>6.4391166137819384</v>
      </c>
      <c r="M153" s="152">
        <f t="shared" si="53"/>
        <v>6.920691706210075</v>
      </c>
      <c r="N153" s="152">
        <f t="shared" si="53"/>
        <v>3.7492816860192431</v>
      </c>
    </row>
    <row r="154" spans="1:14" x14ac:dyDescent="0.25">
      <c r="A154" s="150" t="s">
        <v>164</v>
      </c>
      <c r="B154" s="115">
        <v>44012</v>
      </c>
      <c r="C154" s="152"/>
      <c r="D154" s="152">
        <f t="shared" ref="D154:N154" si="54">D139*D186*D$111</f>
        <v>0</v>
      </c>
      <c r="E154" s="152">
        <f t="shared" si="54"/>
        <v>0</v>
      </c>
      <c r="F154" s="152">
        <f t="shared" si="54"/>
        <v>0</v>
      </c>
      <c r="G154" s="152">
        <f t="shared" si="54"/>
        <v>0</v>
      </c>
      <c r="H154" s="152">
        <f t="shared" si="54"/>
        <v>0</v>
      </c>
      <c r="I154" s="152">
        <f t="shared" si="54"/>
        <v>0</v>
      </c>
      <c r="J154" s="152">
        <f t="shared" si="54"/>
        <v>0</v>
      </c>
      <c r="K154" s="152">
        <f t="shared" si="54"/>
        <v>0</v>
      </c>
      <c r="L154" s="152">
        <f t="shared" si="54"/>
        <v>0</v>
      </c>
      <c r="M154" s="152">
        <f t="shared" si="54"/>
        <v>6.0913166245650761</v>
      </c>
      <c r="N154" s="152">
        <f t="shared" si="54"/>
        <v>3.2938038920073915</v>
      </c>
    </row>
    <row r="155" spans="1:14" x14ac:dyDescent="0.25">
      <c r="A155" s="150" t="s">
        <v>164</v>
      </c>
      <c r="B155" s="115">
        <v>44377</v>
      </c>
      <c r="C155" s="152"/>
      <c r="D155" s="152">
        <f t="shared" ref="D155:N155" si="55">D140*D187*D$111</f>
        <v>0</v>
      </c>
      <c r="E155" s="152">
        <f t="shared" si="55"/>
        <v>0</v>
      </c>
      <c r="F155" s="152">
        <f t="shared" si="55"/>
        <v>0</v>
      </c>
      <c r="G155" s="152">
        <f t="shared" si="55"/>
        <v>0</v>
      </c>
      <c r="H155" s="152">
        <f t="shared" si="55"/>
        <v>0</v>
      </c>
      <c r="I155" s="152">
        <f t="shared" si="55"/>
        <v>0</v>
      </c>
      <c r="J155" s="152">
        <f t="shared" si="55"/>
        <v>0</v>
      </c>
      <c r="K155" s="152">
        <f t="shared" si="55"/>
        <v>0</v>
      </c>
      <c r="L155" s="152">
        <f t="shared" si="55"/>
        <v>0</v>
      </c>
      <c r="M155" s="152">
        <f t="shared" si="55"/>
        <v>0</v>
      </c>
      <c r="N155" s="152">
        <f t="shared" si="55"/>
        <v>2.9009017042938177</v>
      </c>
    </row>
    <row r="156" spans="1:14" x14ac:dyDescent="0.25">
      <c r="A156" s="150" t="s">
        <v>164</v>
      </c>
      <c r="B156" s="115">
        <v>44561</v>
      </c>
      <c r="C156" s="152"/>
      <c r="D156" s="152">
        <f t="shared" ref="D156:N156" si="56">D141*D188*D$111</f>
        <v>0</v>
      </c>
      <c r="E156" s="152">
        <f t="shared" si="56"/>
        <v>0</v>
      </c>
      <c r="F156" s="152">
        <f t="shared" si="56"/>
        <v>0</v>
      </c>
      <c r="G156" s="152">
        <f t="shared" si="56"/>
        <v>0</v>
      </c>
      <c r="H156" s="152">
        <f t="shared" si="56"/>
        <v>0</v>
      </c>
      <c r="I156" s="152">
        <f t="shared" si="56"/>
        <v>0</v>
      </c>
      <c r="J156" s="152">
        <f t="shared" si="56"/>
        <v>0</v>
      </c>
      <c r="K156" s="152">
        <f t="shared" si="56"/>
        <v>0</v>
      </c>
      <c r="L156" s="152">
        <f t="shared" si="56"/>
        <v>0</v>
      </c>
      <c r="M156" s="152">
        <f t="shared" si="56"/>
        <v>0</v>
      </c>
      <c r="N156" s="152">
        <f t="shared" si="56"/>
        <v>0</v>
      </c>
    </row>
    <row r="157" spans="1:14" x14ac:dyDescent="0.25">
      <c r="B157" s="151"/>
    </row>
    <row r="158" spans="1:14" x14ac:dyDescent="0.25">
      <c r="A158" s="189" t="s">
        <v>159</v>
      </c>
      <c r="B158" s="190"/>
      <c r="C158" s="191"/>
      <c r="D158" s="191">
        <f t="shared" ref="D158:N158" si="57">SUM(D145:D156)+D125</f>
        <v>15.509231528311108</v>
      </c>
      <c r="E158" s="191">
        <f t="shared" si="57"/>
        <v>35.291783305448924</v>
      </c>
      <c r="F158" s="191">
        <f t="shared" si="57"/>
        <v>42.811280134636043</v>
      </c>
      <c r="G158" s="191">
        <f t="shared" si="57"/>
        <v>43.712184922491872</v>
      </c>
      <c r="H158" s="191">
        <f t="shared" si="57"/>
        <v>45.751914707373786</v>
      </c>
      <c r="I158" s="191">
        <f t="shared" si="57"/>
        <v>47.793068300062266</v>
      </c>
      <c r="J158" s="191">
        <f t="shared" si="57"/>
        <v>54.316309334753164</v>
      </c>
      <c r="K158" s="191">
        <f t="shared" si="57"/>
        <v>65.523484181130257</v>
      </c>
      <c r="L158" s="191">
        <f t="shared" si="57"/>
        <v>77.327372974099788</v>
      </c>
      <c r="M158" s="191">
        <f t="shared" si="57"/>
        <v>89.713921146587154</v>
      </c>
      <c r="N158" s="191">
        <f t="shared" si="57"/>
        <v>51.951046691717764</v>
      </c>
    </row>
    <row r="159" spans="1:14" x14ac:dyDescent="0.25">
      <c r="B159" s="151"/>
      <c r="D159" s="84"/>
      <c r="E159" s="84"/>
      <c r="F159" s="84"/>
      <c r="G159" s="84"/>
      <c r="H159" s="84"/>
      <c r="I159" s="84"/>
      <c r="J159" s="84"/>
      <c r="K159" s="84"/>
      <c r="L159" s="84"/>
      <c r="M159" s="84"/>
      <c r="N159" s="84"/>
    </row>
    <row r="160" spans="1:14" x14ac:dyDescent="0.25">
      <c r="A160" s="192" t="s">
        <v>170</v>
      </c>
      <c r="B160" s="193"/>
      <c r="C160" s="193"/>
      <c r="D160" s="193"/>
      <c r="E160" s="193"/>
      <c r="F160" s="194"/>
      <c r="G160" s="194"/>
      <c r="H160" s="194"/>
      <c r="I160" s="194"/>
      <c r="J160" s="194"/>
      <c r="K160" s="194"/>
      <c r="L160" s="194"/>
      <c r="M160" s="194"/>
      <c r="N160" s="194"/>
    </row>
    <row r="161" spans="1:16" x14ac:dyDescent="0.25">
      <c r="G161" s="84"/>
      <c r="H161" s="84"/>
      <c r="I161" s="84"/>
      <c r="J161" s="84"/>
      <c r="K161" s="84"/>
      <c r="L161" s="84"/>
      <c r="M161" s="84"/>
      <c r="N161" s="84"/>
    </row>
    <row r="162" spans="1:16" x14ac:dyDescent="0.25">
      <c r="A162" s="1" t="s">
        <v>172</v>
      </c>
      <c r="D162" s="174">
        <f>D112/365</f>
        <v>0.58082191780821912</v>
      </c>
      <c r="E162" s="1">
        <v>1</v>
      </c>
      <c r="F162" s="1">
        <v>1</v>
      </c>
      <c r="G162" s="1">
        <v>1</v>
      </c>
      <c r="H162" s="1">
        <v>1</v>
      </c>
      <c r="I162" s="1">
        <v>1</v>
      </c>
      <c r="J162" s="1">
        <v>1</v>
      </c>
      <c r="K162" s="1">
        <v>1</v>
      </c>
      <c r="L162" s="1">
        <v>1</v>
      </c>
      <c r="M162" s="1">
        <v>1</v>
      </c>
      <c r="N162" s="174">
        <f>N112/365</f>
        <v>0.50410958904109593</v>
      </c>
    </row>
    <row r="163" spans="1:16" x14ac:dyDescent="0.25">
      <c r="H163" s="84"/>
      <c r="I163" s="84"/>
      <c r="J163" s="84"/>
      <c r="K163" s="84"/>
      <c r="L163" s="84"/>
      <c r="M163" s="84"/>
      <c r="N163" s="84"/>
    </row>
    <row r="164" spans="1:16" x14ac:dyDescent="0.25">
      <c r="A164" s="28" t="s">
        <v>171</v>
      </c>
      <c r="B164" s="151"/>
      <c r="C164" s="28" t="s">
        <v>173</v>
      </c>
      <c r="D164" s="28">
        <v>1</v>
      </c>
      <c r="E164" s="28">
        <f>D164+1</f>
        <v>2</v>
      </c>
      <c r="F164" s="28">
        <f t="shared" ref="F164:N164" si="58">E164+1</f>
        <v>3</v>
      </c>
      <c r="G164" s="28">
        <f t="shared" si="58"/>
        <v>4</v>
      </c>
      <c r="H164" s="28">
        <f t="shared" si="58"/>
        <v>5</v>
      </c>
      <c r="I164" s="28">
        <f t="shared" si="58"/>
        <v>6</v>
      </c>
      <c r="J164" s="28">
        <f t="shared" si="58"/>
        <v>7</v>
      </c>
      <c r="K164" s="28">
        <f t="shared" si="58"/>
        <v>8</v>
      </c>
      <c r="L164" s="28">
        <f t="shared" si="58"/>
        <v>9</v>
      </c>
      <c r="M164" s="28">
        <f t="shared" si="58"/>
        <v>10</v>
      </c>
      <c r="N164" s="28">
        <f t="shared" si="58"/>
        <v>11</v>
      </c>
    </row>
    <row r="165" spans="1:16" x14ac:dyDescent="0.25">
      <c r="C165" s="28">
        <v>1</v>
      </c>
      <c r="D165" s="175" cm="1">
        <f t="array" ref="D165">(D$164&gt;=$C165)*((1+INDEX($D$109:$N$109,$C165))^D$162-1)</f>
        <v>5.0715872805071172E-2</v>
      </c>
      <c r="E165" s="175" cm="1">
        <f t="array" ref="E165">(E$164&gt;=$C165)*((1+INDEX($D$109:$N$109,$C165))^E$162-1)</f>
        <v>8.8907999999999987E-2</v>
      </c>
      <c r="F165" s="175" cm="1">
        <f t="array" ref="F165">(F$164&gt;=$C165)*((1+INDEX($D$109:$N$109,$C165))^F$162-1)</f>
        <v>8.8907999999999987E-2</v>
      </c>
      <c r="G165" s="175" cm="1">
        <f t="array" ref="G165">(G$164&gt;=$C165)*((1+INDEX($D$109:$N$109,$C165))^G$162-1)</f>
        <v>8.8907999999999987E-2</v>
      </c>
      <c r="H165" s="175" cm="1">
        <f t="array" ref="H165">(H$164&gt;=$C165)*((1+INDEX($D$109:$N$109,$C165))^H$162-1)</f>
        <v>8.8907999999999987E-2</v>
      </c>
      <c r="I165" s="175" cm="1">
        <f t="array" ref="I165">(I$164&gt;=$C165)*((1+INDEX($D$109:$N$109,$C165))^I$162-1)</f>
        <v>8.8907999999999987E-2</v>
      </c>
      <c r="J165" s="175" cm="1">
        <f t="array" ref="J165">(J$164&gt;=$C165)*((1+INDEX($D$109:$N$109,$C165))^J$162-1)</f>
        <v>8.8907999999999987E-2</v>
      </c>
      <c r="K165" s="175" cm="1">
        <f t="array" ref="K165">(K$164&gt;=$C165)*((1+INDEX($D$109:$N$109,$C165))^K$162-1)</f>
        <v>8.8907999999999987E-2</v>
      </c>
      <c r="L165" s="175" cm="1">
        <f t="array" ref="L165">(L$164&gt;=$C165)*((1+INDEX($D$109:$N$109,$C165))^L$162-1)</f>
        <v>8.8907999999999987E-2</v>
      </c>
      <c r="M165" s="175" cm="1">
        <f t="array" ref="M165">(M$164&gt;=$C165)*((1+INDEX($D$109:$N$109,$C165))^M$162-1)</f>
        <v>8.8907999999999987E-2</v>
      </c>
      <c r="N165" s="175" cm="1">
        <f t="array" ref="N165">(N$164&gt;=$C165)*((1+INDEX($D$109:$N$109,$C165))^N$162-1)</f>
        <v>4.3872875544150869E-2</v>
      </c>
      <c r="O165" s="84"/>
      <c r="P165" s="84"/>
    </row>
    <row r="166" spans="1:16" x14ac:dyDescent="0.25">
      <c r="C166" s="28">
        <f>C165+1</f>
        <v>2</v>
      </c>
      <c r="D166" s="175" cm="1">
        <f t="array" ref="D166">(D$164&gt;=$C166)*((1+INDEX($D$109:$N$109,$C166))^D$162-1)</f>
        <v>0</v>
      </c>
      <c r="E166" s="175" cm="1">
        <f t="array" ref="E166">(E$164&gt;=$C166)*((1+INDEX($D$109:$N$109,$C166))^E$162-1)</f>
        <v>8.6891000000000052E-2</v>
      </c>
      <c r="F166" s="175" cm="1">
        <f t="array" ref="F166">(F$164&gt;=$C166)*((1+INDEX($D$109:$N$109,$C166))^F$162-1)</f>
        <v>8.6891000000000052E-2</v>
      </c>
      <c r="G166" s="175" cm="1">
        <f t="array" ref="G166">(G$164&gt;=$C166)*((1+INDEX($D$109:$N$109,$C166))^G$162-1)</f>
        <v>8.6891000000000052E-2</v>
      </c>
      <c r="H166" s="175" cm="1">
        <f t="array" ref="H166">(H$164&gt;=$C166)*((1+INDEX($D$109:$N$109,$C166))^H$162-1)</f>
        <v>8.6891000000000052E-2</v>
      </c>
      <c r="I166" s="175" cm="1">
        <f t="array" ref="I166">(I$164&gt;=$C166)*((1+INDEX($D$109:$N$109,$C166))^I$162-1)</f>
        <v>8.6891000000000052E-2</v>
      </c>
      <c r="J166" s="175" cm="1">
        <f t="array" ref="J166">(J$164&gt;=$C166)*((1+INDEX($D$109:$N$109,$C166))^J$162-1)</f>
        <v>8.6891000000000052E-2</v>
      </c>
      <c r="K166" s="175" cm="1">
        <f t="array" ref="K166">(K$164&gt;=$C166)*((1+INDEX($D$109:$N$109,$C166))^K$162-1)</f>
        <v>8.6891000000000052E-2</v>
      </c>
      <c r="L166" s="175" cm="1">
        <f t="array" ref="L166">(L$164&gt;=$C166)*((1+INDEX($D$109:$N$109,$C166))^L$162-1)</f>
        <v>8.6891000000000052E-2</v>
      </c>
      <c r="M166" s="175" cm="1">
        <f t="array" ref="M166">(M$164&gt;=$C166)*((1+INDEX($D$109:$N$109,$C166))^M$162-1)</f>
        <v>8.6891000000000052E-2</v>
      </c>
      <c r="N166" s="175" cm="1">
        <f t="array" ref="N166">(N$164&gt;=$C166)*((1+INDEX($D$109:$N$109,$C166))^N$162-1)</f>
        <v>4.2897690843485048E-2</v>
      </c>
      <c r="O166" s="84"/>
      <c r="P166" s="84"/>
    </row>
    <row r="167" spans="1:16" x14ac:dyDescent="0.25">
      <c r="C167" s="28">
        <f t="shared" ref="C167:C175" si="59">C166+1</f>
        <v>3</v>
      </c>
      <c r="D167" s="175" cm="1">
        <f t="array" ref="D167">(D$164&gt;=$C167)*((1+INDEX($D$109:$N$109,$C167))^D$162-1)</f>
        <v>0</v>
      </c>
      <c r="E167" s="175" cm="1">
        <f t="array" ref="E167">(E$164&gt;=$C167)*((1+INDEX($D$109:$N$109,$C167))^E$162-1)</f>
        <v>0</v>
      </c>
      <c r="F167" s="175" cm="1">
        <f t="array" ref="F167">(F$164&gt;=$C167)*((1+INDEX($D$109:$N$109,$C167))^F$162-1)</f>
        <v>8.4874000000000116E-2</v>
      </c>
      <c r="G167" s="175" cm="1">
        <f t="array" ref="G167">(G$164&gt;=$C167)*((1+INDEX($D$109:$N$109,$C167))^G$162-1)</f>
        <v>8.4874000000000116E-2</v>
      </c>
      <c r="H167" s="175" cm="1">
        <f t="array" ref="H167">(H$164&gt;=$C167)*((1+INDEX($D$109:$N$109,$C167))^H$162-1)</f>
        <v>8.4874000000000116E-2</v>
      </c>
      <c r="I167" s="175" cm="1">
        <f t="array" ref="I167">(I$164&gt;=$C167)*((1+INDEX($D$109:$N$109,$C167))^I$162-1)</f>
        <v>8.4874000000000116E-2</v>
      </c>
      <c r="J167" s="175" cm="1">
        <f t="array" ref="J167">(J$164&gt;=$C167)*((1+INDEX($D$109:$N$109,$C167))^J$162-1)</f>
        <v>8.4874000000000116E-2</v>
      </c>
      <c r="K167" s="175" cm="1">
        <f t="array" ref="K167">(K$164&gt;=$C167)*((1+INDEX($D$109:$N$109,$C167))^K$162-1)</f>
        <v>8.4874000000000116E-2</v>
      </c>
      <c r="L167" s="175" cm="1">
        <f t="array" ref="L167">(L$164&gt;=$C167)*((1+INDEX($D$109:$N$109,$C167))^L$162-1)</f>
        <v>8.4874000000000116E-2</v>
      </c>
      <c r="M167" s="175" cm="1">
        <f t="array" ref="M167">(M$164&gt;=$C167)*((1+INDEX($D$109:$N$109,$C167))^M$162-1)</f>
        <v>8.4874000000000116E-2</v>
      </c>
      <c r="N167" s="175" cm="1">
        <f t="array" ref="N167">(N$164&gt;=$C167)*((1+INDEX($D$109:$N$109,$C167))^N$162-1)</f>
        <v>4.1921608315840242E-2</v>
      </c>
      <c r="O167" s="84"/>
      <c r="P167" s="84"/>
    </row>
    <row r="168" spans="1:16" x14ac:dyDescent="0.25">
      <c r="C168" s="28">
        <f t="shared" si="59"/>
        <v>4</v>
      </c>
      <c r="D168" s="175" cm="1">
        <f t="array" ref="D168">(D$164&gt;=$C168)*((1+INDEX($D$109:$N$109,$C168))^D$162-1)</f>
        <v>0</v>
      </c>
      <c r="E168" s="175" cm="1">
        <f t="array" ref="E168">(E$164&gt;=$C168)*((1+INDEX($D$109:$N$109,$C168))^E$162-1)</f>
        <v>0</v>
      </c>
      <c r="F168" s="175" cm="1">
        <f t="array" ref="F168">(F$164&gt;=$C168)*((1+INDEX($D$109:$N$109,$C168))^F$162-1)</f>
        <v>0</v>
      </c>
      <c r="G168" s="175" cm="1">
        <f t="array" ref="G168">(G$164&gt;=$C168)*((1+INDEX($D$109:$N$109,$C168))^G$162-1)</f>
        <v>8.2856999999999958E-2</v>
      </c>
      <c r="H168" s="175" cm="1">
        <f t="array" ref="H168">(H$164&gt;=$C168)*((1+INDEX($D$109:$N$109,$C168))^H$162-1)</f>
        <v>8.2856999999999958E-2</v>
      </c>
      <c r="I168" s="175" cm="1">
        <f t="array" ref="I168">(I$164&gt;=$C168)*((1+INDEX($D$109:$N$109,$C168))^I$162-1)</f>
        <v>8.2856999999999958E-2</v>
      </c>
      <c r="J168" s="175" cm="1">
        <f t="array" ref="J168">(J$164&gt;=$C168)*((1+INDEX($D$109:$N$109,$C168))^J$162-1)</f>
        <v>8.2856999999999958E-2</v>
      </c>
      <c r="K168" s="175" cm="1">
        <f t="array" ref="K168">(K$164&gt;=$C168)*((1+INDEX($D$109:$N$109,$C168))^K$162-1)</f>
        <v>8.2856999999999958E-2</v>
      </c>
      <c r="L168" s="175" cm="1">
        <f t="array" ref="L168">(L$164&gt;=$C168)*((1+INDEX($D$109:$N$109,$C168))^L$162-1)</f>
        <v>8.2856999999999958E-2</v>
      </c>
      <c r="M168" s="175" cm="1">
        <f t="array" ref="M168">(M$164&gt;=$C168)*((1+INDEX($D$109:$N$109,$C168))^M$162-1)</f>
        <v>8.2856999999999958E-2</v>
      </c>
      <c r="N168" s="175" cm="1">
        <f t="array" ref="N168">(N$164&gt;=$C168)*((1+INDEX($D$109:$N$109,$C168))^N$162-1)</f>
        <v>4.0944625463059436E-2</v>
      </c>
      <c r="O168" s="84"/>
      <c r="P168" s="84"/>
    </row>
    <row r="169" spans="1:16" x14ac:dyDescent="0.25">
      <c r="C169" s="28">
        <f t="shared" si="59"/>
        <v>5</v>
      </c>
      <c r="D169" s="175" cm="1">
        <f t="array" ref="D169">(D$164&gt;=$C169)*((1+INDEX($D$109:$N$109,$C169))^D$162-1)</f>
        <v>0</v>
      </c>
      <c r="E169" s="175" cm="1">
        <f t="array" ref="E169">(E$164&gt;=$C169)*((1+INDEX($D$109:$N$109,$C169))^E$162-1)</f>
        <v>0</v>
      </c>
      <c r="F169" s="175" cm="1">
        <f t="array" ref="F169">(F$164&gt;=$C169)*((1+INDEX($D$109:$N$109,$C169))^F$162-1)</f>
        <v>0</v>
      </c>
      <c r="G169" s="175" cm="1">
        <f t="array" ref="G169">(G$164&gt;=$C169)*((1+INDEX($D$109:$N$109,$C169))^G$162-1)</f>
        <v>0</v>
      </c>
      <c r="H169" s="175" cm="1">
        <f t="array" ref="H169">(H$164&gt;=$C169)*((1+INDEX($D$109:$N$109,$C169))^H$162-1)</f>
        <v>8.0840000000000023E-2</v>
      </c>
      <c r="I169" s="175" cm="1">
        <f t="array" ref="I169">(I$164&gt;=$C169)*((1+INDEX($D$109:$N$109,$C169))^I$162-1)</f>
        <v>8.0840000000000023E-2</v>
      </c>
      <c r="J169" s="175" cm="1">
        <f t="array" ref="J169">(J$164&gt;=$C169)*((1+INDEX($D$109:$N$109,$C169))^J$162-1)</f>
        <v>8.0840000000000023E-2</v>
      </c>
      <c r="K169" s="175" cm="1">
        <f t="array" ref="K169">(K$164&gt;=$C169)*((1+INDEX($D$109:$N$109,$C169))^K$162-1)</f>
        <v>8.0840000000000023E-2</v>
      </c>
      <c r="L169" s="175" cm="1">
        <f t="array" ref="L169">(L$164&gt;=$C169)*((1+INDEX($D$109:$N$109,$C169))^L$162-1)</f>
        <v>8.0840000000000023E-2</v>
      </c>
      <c r="M169" s="175" cm="1">
        <f t="array" ref="M169">(M$164&gt;=$C169)*((1+INDEX($D$109:$N$109,$C169))^M$162-1)</f>
        <v>8.0840000000000023E-2</v>
      </c>
      <c r="N169" s="175" cm="1">
        <f t="array" ref="N169">(N$164&gt;=$C169)*((1+INDEX($D$109:$N$109,$C169))^N$162-1)</f>
        <v>3.9966739775366245E-2</v>
      </c>
      <c r="O169" s="84"/>
      <c r="P169" s="84"/>
    </row>
    <row r="170" spans="1:16" x14ac:dyDescent="0.25">
      <c r="C170" s="28">
        <f t="shared" si="59"/>
        <v>6</v>
      </c>
      <c r="D170" s="175" cm="1">
        <f t="array" ref="D170">(D$164&gt;=$C170)*((1+INDEX($D$109:$N$109,$C170))^D$162-1)</f>
        <v>0</v>
      </c>
      <c r="E170" s="175" cm="1">
        <f t="array" ref="E170">(E$164&gt;=$C170)*((1+INDEX($D$109:$N$109,$C170))^E$162-1)</f>
        <v>0</v>
      </c>
      <c r="F170" s="175" cm="1">
        <f t="array" ref="F170">(F$164&gt;=$C170)*((1+INDEX($D$109:$N$109,$C170))^F$162-1)</f>
        <v>0</v>
      </c>
      <c r="G170" s="175" cm="1">
        <f t="array" ref="G170">(G$164&gt;=$C170)*((1+INDEX($D$109:$N$109,$C170))^G$162-1)</f>
        <v>0</v>
      </c>
      <c r="H170" s="175" cm="1">
        <f t="array" ref="H170">(H$164&gt;=$C170)*((1+INDEX($D$109:$N$109,$C170))^H$162-1)</f>
        <v>0</v>
      </c>
      <c r="I170" s="175" cm="1">
        <f t="array" ref="I170">(I$164&gt;=$C170)*((1+INDEX($D$109:$N$109,$C170))^I$162-1)</f>
        <v>7.8823000000000087E-2</v>
      </c>
      <c r="J170" s="175" cm="1">
        <f t="array" ref="J170">(J$164&gt;=$C170)*((1+INDEX($D$109:$N$109,$C170))^J$162-1)</f>
        <v>7.8823000000000087E-2</v>
      </c>
      <c r="K170" s="175" cm="1">
        <f t="array" ref="K170">(K$164&gt;=$C170)*((1+INDEX($D$109:$N$109,$C170))^K$162-1)</f>
        <v>7.8823000000000087E-2</v>
      </c>
      <c r="L170" s="175" cm="1">
        <f t="array" ref="L170">(L$164&gt;=$C170)*((1+INDEX($D$109:$N$109,$C170))^L$162-1)</f>
        <v>7.8823000000000087E-2</v>
      </c>
      <c r="M170" s="175" cm="1">
        <f t="array" ref="M170">(M$164&gt;=$C170)*((1+INDEX($D$109:$N$109,$C170))^M$162-1)</f>
        <v>7.8823000000000087E-2</v>
      </c>
      <c r="N170" s="175" cm="1">
        <f t="array" ref="N170">(N$164&gt;=$C170)*((1+INDEX($D$109:$N$109,$C170))^N$162-1)</f>
        <v>3.8987948731289412E-2</v>
      </c>
      <c r="O170" s="84"/>
      <c r="P170" s="84"/>
    </row>
    <row r="171" spans="1:16" x14ac:dyDescent="0.25">
      <c r="C171" s="28">
        <f t="shared" si="59"/>
        <v>7</v>
      </c>
      <c r="D171" s="175" cm="1">
        <f t="array" ref="D171">(D$164&gt;=$C171)*((1+INDEX($D$109:$N$109,$C171))^D$162-1)</f>
        <v>0</v>
      </c>
      <c r="E171" s="175" cm="1">
        <f t="array" ref="E171">(E$164&gt;=$C171)*((1+INDEX($D$109:$N$109,$C171))^E$162-1)</f>
        <v>0</v>
      </c>
      <c r="F171" s="175" cm="1">
        <f t="array" ref="F171">(F$164&gt;=$C171)*((1+INDEX($D$109:$N$109,$C171))^F$162-1)</f>
        <v>0</v>
      </c>
      <c r="G171" s="175" cm="1">
        <f t="array" ref="G171">(G$164&gt;=$C171)*((1+INDEX($D$109:$N$109,$C171))^G$162-1)</f>
        <v>0</v>
      </c>
      <c r="H171" s="175" cm="1">
        <f t="array" ref="H171">(H$164&gt;=$C171)*((1+INDEX($D$109:$N$109,$C171))^H$162-1)</f>
        <v>0</v>
      </c>
      <c r="I171" s="175" cm="1">
        <f t="array" ref="I171">(I$164&gt;=$C171)*((1+INDEX($D$109:$N$109,$C171))^I$162-1)</f>
        <v>0</v>
      </c>
      <c r="J171" s="175" cm="1">
        <f t="array" ref="J171">(J$164&gt;=$C171)*((1+INDEX($D$109:$N$109,$C171))^J$162-1)</f>
        <v>7.680599999999993E-2</v>
      </c>
      <c r="K171" s="175" cm="1">
        <f t="array" ref="K171">(K$164&gt;=$C171)*((1+INDEX($D$109:$N$109,$C171))^K$162-1)</f>
        <v>7.680599999999993E-2</v>
      </c>
      <c r="L171" s="175" cm="1">
        <f t="array" ref="L171">(L$164&gt;=$C171)*((1+INDEX($D$109:$N$109,$C171))^L$162-1)</f>
        <v>7.680599999999993E-2</v>
      </c>
      <c r="M171" s="175" cm="1">
        <f t="array" ref="M171">(M$164&gt;=$C171)*((1+INDEX($D$109:$N$109,$C171))^M$162-1)</f>
        <v>7.680599999999993E-2</v>
      </c>
      <c r="N171" s="175" cm="1">
        <f t="array" ref="N171">(N$164&gt;=$C171)*((1+INDEX($D$109:$N$109,$C171))^N$162-1)</f>
        <v>3.8008249797585103E-2</v>
      </c>
      <c r="O171" s="84"/>
      <c r="P171" s="84"/>
    </row>
    <row r="172" spans="1:16" x14ac:dyDescent="0.25">
      <c r="C172" s="28">
        <f t="shared" si="59"/>
        <v>8</v>
      </c>
      <c r="D172" s="175" cm="1">
        <f t="array" ref="D172">(D$164&gt;=$C172)*((1+INDEX($D$109:$N$109,$C172))^D$162-1)</f>
        <v>0</v>
      </c>
      <c r="E172" s="175" cm="1">
        <f t="array" ref="E172">(E$164&gt;=$C172)*((1+INDEX($D$109:$N$109,$C172))^E$162-1)</f>
        <v>0</v>
      </c>
      <c r="F172" s="175" cm="1">
        <f t="array" ref="F172">(F$164&gt;=$C172)*((1+INDEX($D$109:$N$109,$C172))^F$162-1)</f>
        <v>0</v>
      </c>
      <c r="G172" s="175" cm="1">
        <f t="array" ref="G172">(G$164&gt;=$C172)*((1+INDEX($D$109:$N$109,$C172))^G$162-1)</f>
        <v>0</v>
      </c>
      <c r="H172" s="175" cm="1">
        <f t="array" ref="H172">(H$164&gt;=$C172)*((1+INDEX($D$109:$N$109,$C172))^H$162-1)</f>
        <v>0</v>
      </c>
      <c r="I172" s="175" cm="1">
        <f t="array" ref="I172">(I$164&gt;=$C172)*((1+INDEX($D$109:$N$109,$C172))^I$162-1)</f>
        <v>0</v>
      </c>
      <c r="J172" s="175" cm="1">
        <f t="array" ref="J172">(J$164&gt;=$C172)*((1+INDEX($D$109:$N$109,$C172))^J$162-1)</f>
        <v>0</v>
      </c>
      <c r="K172" s="175" cm="1">
        <f t="array" ref="K172">(K$164&gt;=$C172)*((1+INDEX($D$109:$N$109,$C172))^K$162-1)</f>
        <v>7.4788999999999994E-2</v>
      </c>
      <c r="L172" s="175" cm="1">
        <f t="array" ref="L172">(L$164&gt;=$C172)*((1+INDEX($D$109:$N$109,$C172))^L$162-1)</f>
        <v>7.4788999999999994E-2</v>
      </c>
      <c r="M172" s="175" cm="1">
        <f t="array" ref="M172">(M$164&gt;=$C172)*((1+INDEX($D$109:$N$109,$C172))^M$162-1)</f>
        <v>7.4788999999999994E-2</v>
      </c>
      <c r="N172" s="175" cm="1">
        <f t="array" ref="N172">(N$164&gt;=$C172)*((1+INDEX($D$109:$N$109,$C172))^N$162-1)</f>
        <v>3.7027640429161623E-2</v>
      </c>
      <c r="O172" s="84"/>
      <c r="P172" s="84"/>
    </row>
    <row r="173" spans="1:16" x14ac:dyDescent="0.25">
      <c r="C173" s="28">
        <f t="shared" si="59"/>
        <v>9</v>
      </c>
      <c r="D173" s="175" cm="1">
        <f t="array" ref="D173">(D$164&gt;=$C173)*((1+INDEX($D$109:$N$109,$C173))^D$162-1)</f>
        <v>0</v>
      </c>
      <c r="E173" s="175" cm="1">
        <f t="array" ref="E173">(E$164&gt;=$C173)*((1+INDEX($D$109:$N$109,$C173))^E$162-1)</f>
        <v>0</v>
      </c>
      <c r="F173" s="175" cm="1">
        <f t="array" ref="F173">(F$164&gt;=$C173)*((1+INDEX($D$109:$N$109,$C173))^F$162-1)</f>
        <v>0</v>
      </c>
      <c r="G173" s="175" cm="1">
        <f t="array" ref="G173">(G$164&gt;=$C173)*((1+INDEX($D$109:$N$109,$C173))^G$162-1)</f>
        <v>0</v>
      </c>
      <c r="H173" s="175" cm="1">
        <f t="array" ref="H173">(H$164&gt;=$C173)*((1+INDEX($D$109:$N$109,$C173))^H$162-1)</f>
        <v>0</v>
      </c>
      <c r="I173" s="175" cm="1">
        <f t="array" ref="I173">(I$164&gt;=$C173)*((1+INDEX($D$109:$N$109,$C173))^I$162-1)</f>
        <v>0</v>
      </c>
      <c r="J173" s="175" cm="1">
        <f t="array" ref="J173">(J$164&gt;=$C173)*((1+INDEX($D$109:$N$109,$C173))^J$162-1)</f>
        <v>0</v>
      </c>
      <c r="K173" s="175" cm="1">
        <f t="array" ref="K173">(K$164&gt;=$C173)*((1+INDEX($D$109:$N$109,$C173))^K$162-1)</f>
        <v>0</v>
      </c>
      <c r="L173" s="175" cm="1">
        <f t="array" ref="L173">(L$164&gt;=$C173)*((1+INDEX($D$109:$N$109,$C173))^L$162-1)</f>
        <v>7.2772000000000059E-2</v>
      </c>
      <c r="M173" s="175" cm="1">
        <f t="array" ref="M173">(M$164&gt;=$C173)*((1+INDEX($D$109:$N$109,$C173))^M$162-1)</f>
        <v>7.2772000000000059E-2</v>
      </c>
      <c r="N173" s="175" cm="1">
        <f t="array" ref="N173">(N$164&gt;=$C173)*((1+INDEX($D$109:$N$109,$C173))^N$162-1)</f>
        <v>3.6046118069000377E-2</v>
      </c>
      <c r="O173" s="84"/>
      <c r="P173" s="84"/>
    </row>
    <row r="174" spans="1:16" x14ac:dyDescent="0.25">
      <c r="C174" s="28">
        <f t="shared" si="59"/>
        <v>10</v>
      </c>
      <c r="D174" s="175" cm="1">
        <f t="array" ref="D174">(D$164&gt;=$C174)*((1+INDEX($D$109:$N$109,$C174))^D$162-1)</f>
        <v>0</v>
      </c>
      <c r="E174" s="175" cm="1">
        <f t="array" ref="E174">(E$164&gt;=$C174)*((1+INDEX($D$109:$N$109,$C174))^E$162-1)</f>
        <v>0</v>
      </c>
      <c r="F174" s="175" cm="1">
        <f t="array" ref="F174">(F$164&gt;=$C174)*((1+INDEX($D$109:$N$109,$C174))^F$162-1)</f>
        <v>0</v>
      </c>
      <c r="G174" s="175" cm="1">
        <f t="array" ref="G174">(G$164&gt;=$C174)*((1+INDEX($D$109:$N$109,$C174))^G$162-1)</f>
        <v>0</v>
      </c>
      <c r="H174" s="175" cm="1">
        <f t="array" ref="H174">(H$164&gt;=$C174)*((1+INDEX($D$109:$N$109,$C174))^H$162-1)</f>
        <v>0</v>
      </c>
      <c r="I174" s="175" cm="1">
        <f t="array" ref="I174">(I$164&gt;=$C174)*((1+INDEX($D$109:$N$109,$C174))^I$162-1)</f>
        <v>0</v>
      </c>
      <c r="J174" s="175" cm="1">
        <f t="array" ref="J174">(J$164&gt;=$C174)*((1+INDEX($D$109:$N$109,$C174))^J$162-1)</f>
        <v>0</v>
      </c>
      <c r="K174" s="175" cm="1">
        <f t="array" ref="K174">(K$164&gt;=$C174)*((1+INDEX($D$109:$N$109,$C174))^K$162-1)</f>
        <v>0</v>
      </c>
      <c r="L174" s="175" cm="1">
        <f t="array" ref="L174">(L$164&gt;=$C174)*((1+INDEX($D$109:$N$109,$C174))^L$162-1)</f>
        <v>0</v>
      </c>
      <c r="M174" s="175" cm="1">
        <f t="array" ref="M174">(M$164&gt;=$C174)*((1+INDEX($D$109:$N$109,$C174))^M$162-1)</f>
        <v>7.3204999999999965E-2</v>
      </c>
      <c r="N174" s="175" cm="1">
        <f t="array" ref="N174">(N$164&gt;=$C174)*((1+INDEX($D$109:$N$109,$C174))^N$162-1)</f>
        <v>3.6256903726380463E-2</v>
      </c>
      <c r="O174" s="84"/>
      <c r="P174" s="84"/>
    </row>
    <row r="175" spans="1:16" x14ac:dyDescent="0.25">
      <c r="C175" s="28">
        <f t="shared" si="59"/>
        <v>11</v>
      </c>
      <c r="D175" s="175" cm="1">
        <f t="array" ref="D175">(D$164&gt;=$C175)*((1+INDEX($D$109:$N$109,$C175))^D$162-1)</f>
        <v>0</v>
      </c>
      <c r="E175" s="175" cm="1">
        <f t="array" ref="E175">(E$164&gt;=$C175)*((1+INDEX($D$109:$N$109,$C175))^E$162-1)</f>
        <v>0</v>
      </c>
      <c r="F175" s="175" cm="1">
        <f t="array" ref="F175">(F$164&gt;=$C175)*((1+INDEX($D$109:$N$109,$C175))^F$162-1)</f>
        <v>0</v>
      </c>
      <c r="G175" s="175" cm="1">
        <f t="array" ref="G175">(G$164&gt;=$C175)*((1+INDEX($D$109:$N$109,$C175))^G$162-1)</f>
        <v>0</v>
      </c>
      <c r="H175" s="175" cm="1">
        <f t="array" ref="H175">(H$164&gt;=$C175)*((1+INDEX($D$109:$N$109,$C175))^H$162-1)</f>
        <v>0</v>
      </c>
      <c r="I175" s="175" cm="1">
        <f t="array" ref="I175">(I$164&gt;=$C175)*((1+INDEX($D$109:$N$109,$C175))^I$162-1)</f>
        <v>0</v>
      </c>
      <c r="J175" s="175" cm="1">
        <f t="array" ref="J175">(J$164&gt;=$C175)*((1+INDEX($D$109:$N$109,$C175))^J$162-1)</f>
        <v>0</v>
      </c>
      <c r="K175" s="175" cm="1">
        <f t="array" ref="K175">(K$164&gt;=$C175)*((1+INDEX($D$109:$N$109,$C175))^K$162-1)</f>
        <v>0</v>
      </c>
      <c r="L175" s="175" cm="1">
        <f t="array" ref="L175">(L$164&gt;=$C175)*((1+INDEX($D$109:$N$109,$C175))^L$162-1)</f>
        <v>0</v>
      </c>
      <c r="M175" s="175" cm="1">
        <f t="array" ref="M175">(M$164&gt;=$C175)*((1+INDEX($D$109:$N$109,$C175))^M$162-1)</f>
        <v>0</v>
      </c>
      <c r="N175" s="175" cm="1">
        <f t="array" ref="N175">(N$164&gt;=$C175)*((1+INDEX($D$109:$N$109,$C175))^N$162-1)</f>
        <v>3.6256903726380463E-2</v>
      </c>
      <c r="O175" s="84"/>
      <c r="P175" s="84"/>
    </row>
    <row r="177" spans="1:14" x14ac:dyDescent="0.25">
      <c r="A177" s="28" t="s">
        <v>174</v>
      </c>
      <c r="C177" s="28" t="s">
        <v>173</v>
      </c>
      <c r="D177" s="28">
        <v>1</v>
      </c>
      <c r="E177" s="28">
        <f>D177+1</f>
        <v>2</v>
      </c>
      <c r="F177" s="28">
        <f t="shared" ref="F177:N177" si="60">E177+1</f>
        <v>3</v>
      </c>
      <c r="G177" s="28">
        <f t="shared" si="60"/>
        <v>4</v>
      </c>
      <c r="H177" s="28">
        <f t="shared" si="60"/>
        <v>5</v>
      </c>
      <c r="I177" s="28">
        <f t="shared" si="60"/>
        <v>6</v>
      </c>
      <c r="J177" s="28">
        <f t="shared" si="60"/>
        <v>7</v>
      </c>
      <c r="K177" s="28">
        <f t="shared" si="60"/>
        <v>8</v>
      </c>
      <c r="L177" s="28">
        <f t="shared" si="60"/>
        <v>9</v>
      </c>
      <c r="M177" s="28">
        <f t="shared" si="60"/>
        <v>10</v>
      </c>
      <c r="N177" s="28">
        <f t="shared" si="60"/>
        <v>11</v>
      </c>
    </row>
    <row r="178" spans="1:14" x14ac:dyDescent="0.25">
      <c r="C178" s="28">
        <v>1</v>
      </c>
      <c r="D178" s="175" cm="1">
        <f t="array" ref="D178">(D$177&gt;=$C178)*((1+INDEX($D$110:$N$110,$C178))^D$162-1)/((1+INDEX($D$110:$N$110,$C178))^(D$162/2))</f>
        <v>4.4704381209505858E-2</v>
      </c>
      <c r="E178" s="175" cm="1">
        <f t="array" ref="E178">(E$177&gt;=$C178)*((1+INDEX($D$110:$N$110,$C178))^E$162-1)/((1+INDEX($D$110:$N$110,$C178))^(E$162/2))</f>
        <v>7.6980035891950155E-2</v>
      </c>
      <c r="F178" s="175" cm="1">
        <f t="array" ref="F178">(F$177&gt;=$C178)*((1+INDEX($D$110:$N$110,$C178))^F$162-1)/((1+INDEX($D$110:$N$110,$C178))^(F$162/2))</f>
        <v>7.6980035891950155E-2</v>
      </c>
      <c r="G178" s="175" cm="1">
        <f t="array" ref="G178">(G$177&gt;=$C178)*((1+INDEX($D$110:$N$110,$C178))^G$162-1)/((1+INDEX($D$110:$N$110,$C178))^(G$162/2))</f>
        <v>7.6980035891950155E-2</v>
      </c>
      <c r="H178" s="175" cm="1">
        <f t="array" ref="H178">(H$177&gt;=$C178)*((1+INDEX($D$110:$N$110,$C178))^H$162-1)/((1+INDEX($D$110:$N$110,$C178))^(H$162/2))</f>
        <v>7.6980035891950155E-2</v>
      </c>
      <c r="I178" s="175" cm="1">
        <f t="array" ref="I178">(I$177&gt;=$C178)*((1+INDEX($D$110:$N$110,$C178))^I$162-1)/((1+INDEX($D$110:$N$110,$C178))^(I$162/2))</f>
        <v>7.6980035891950155E-2</v>
      </c>
      <c r="J178" s="175" cm="1">
        <f t="array" ref="J178">(J$177&gt;=$C178)*((1+INDEX($D$110:$N$110,$C178))^J$162-1)/((1+INDEX($D$110:$N$110,$C178))^(J$162/2))</f>
        <v>7.6980035891950155E-2</v>
      </c>
      <c r="K178" s="175" cm="1">
        <f t="array" ref="K178">(K$177&gt;=$C178)*((1+INDEX($D$110:$N$110,$C178))^K$162-1)/((1+INDEX($D$110:$N$110,$C178))^(K$162/2))</f>
        <v>7.6980035891950155E-2</v>
      </c>
      <c r="L178" s="175" cm="1">
        <f t="array" ref="L178">(L$177&gt;=$C178)*((1+INDEX($D$110:$N$110,$C178))^L$162-1)/((1+INDEX($D$110:$N$110,$C178))^(L$162/2))</f>
        <v>7.6980035891950155E-2</v>
      </c>
      <c r="M178" s="175" cm="1">
        <f t="array" ref="M178">(M$177&gt;=$C178)*((1+INDEX($D$110:$N$110,$C178))^M$162-1)/((1+INDEX($D$110:$N$110,$C178))^(M$162/2))</f>
        <v>7.6980035891950155E-2</v>
      </c>
      <c r="N178" s="175" cm="1">
        <f t="array" ref="N178">(N$177&gt;=$C178)*((1+INDEX($D$110:$N$110,$C178))^N$162-1)/((1+INDEX($D$110:$N$110,$C178))^(N$162/2))</f>
        <v>3.8799232057407394E-2</v>
      </c>
    </row>
    <row r="179" spans="1:14" x14ac:dyDescent="0.25">
      <c r="C179" s="28">
        <f>C178+1</f>
        <v>2</v>
      </c>
      <c r="D179" s="175" cm="1">
        <f t="array" ref="D179">(D$177&gt;=$C179)*((1+INDEX($D$110:$N$110,$C179))^D$162-1)/((1+INDEX($D$110:$N$110,$C179))^(D$162/2))</f>
        <v>0</v>
      </c>
      <c r="E179" s="175" cm="1">
        <f t="array" ref="E179">(E$177&gt;=$C179)*((1+INDEX($D$110:$N$110,$C179))^E$162-1)/((1+INDEX($D$110:$N$110,$C179))^(E$162/2))</f>
        <v>7.4660872883158563E-2</v>
      </c>
      <c r="F179" s="175" cm="1">
        <f t="array" ref="F179">(F$177&gt;=$C179)*((1+INDEX($D$110:$N$110,$C179))^F$162-1)/((1+INDEX($D$110:$N$110,$C179))^(F$162/2))</f>
        <v>7.4660872883158563E-2</v>
      </c>
      <c r="G179" s="175" cm="1">
        <f t="array" ref="G179">(G$177&gt;=$C179)*((1+INDEX($D$110:$N$110,$C179))^G$162-1)/((1+INDEX($D$110:$N$110,$C179))^(G$162/2))</f>
        <v>7.4660872883158563E-2</v>
      </c>
      <c r="H179" s="175" cm="1">
        <f t="array" ref="H179">(H$177&gt;=$C179)*((1+INDEX($D$110:$N$110,$C179))^H$162-1)/((1+INDEX($D$110:$N$110,$C179))^(H$162/2))</f>
        <v>7.4660872883158563E-2</v>
      </c>
      <c r="I179" s="175" cm="1">
        <f t="array" ref="I179">(I$177&gt;=$C179)*((1+INDEX($D$110:$N$110,$C179))^I$162-1)/((1+INDEX($D$110:$N$110,$C179))^(I$162/2))</f>
        <v>7.4660872883158563E-2</v>
      </c>
      <c r="J179" s="175" cm="1">
        <f t="array" ref="J179">(J$177&gt;=$C179)*((1+INDEX($D$110:$N$110,$C179))^J$162-1)/((1+INDEX($D$110:$N$110,$C179))^(J$162/2))</f>
        <v>7.4660872883158563E-2</v>
      </c>
      <c r="K179" s="175" cm="1">
        <f t="array" ref="K179">(K$177&gt;=$C179)*((1+INDEX($D$110:$N$110,$C179))^K$162-1)/((1+INDEX($D$110:$N$110,$C179))^(K$162/2))</f>
        <v>7.4660872883158563E-2</v>
      </c>
      <c r="L179" s="175" cm="1">
        <f t="array" ref="L179">(L$177&gt;=$C179)*((1+INDEX($D$110:$N$110,$C179))^L$162-1)/((1+INDEX($D$110:$N$110,$C179))^(L$162/2))</f>
        <v>7.4660872883158563E-2</v>
      </c>
      <c r="M179" s="175" cm="1">
        <f t="array" ref="M179">(M$177&gt;=$C179)*((1+INDEX($D$110:$N$110,$C179))^M$162-1)/((1+INDEX($D$110:$N$110,$C179))^(M$162/2))</f>
        <v>7.4660872883158563E-2</v>
      </c>
      <c r="N179" s="175" cm="1">
        <f t="array" ref="N179">(N$177&gt;=$C179)*((1+INDEX($D$110:$N$110,$C179))^N$162-1)/((1+INDEX($D$110:$N$110,$C179))^(N$162/2))</f>
        <v>3.7630745759026051E-2</v>
      </c>
    </row>
    <row r="180" spans="1:14" x14ac:dyDescent="0.25">
      <c r="C180" s="28">
        <f t="shared" ref="C180:C188" si="61">C179+1</f>
        <v>3</v>
      </c>
      <c r="D180" s="175" cm="1">
        <f t="array" ref="D180">(D$177&gt;=$C180)*((1+INDEX($D$110:$N$110,$C180))^D$162-1)/((1+INDEX($D$110:$N$110,$C180))^(D$162/2))</f>
        <v>0</v>
      </c>
      <c r="E180" s="175" cm="1">
        <f t="array" ref="E180">(E$177&gt;=$C180)*((1+INDEX($D$110:$N$110,$C180))^E$162-1)/((1+INDEX($D$110:$N$110,$C180))^(E$162/2))</f>
        <v>0</v>
      </c>
      <c r="F180" s="175" cm="1">
        <f t="array" ref="F180">(F$177&gt;=$C180)*((1+INDEX($D$110:$N$110,$C180))^F$162-1)/((1+INDEX($D$110:$N$110,$C180))^(F$162/2))</f>
        <v>7.2336423325561783E-2</v>
      </c>
      <c r="G180" s="175" cm="1">
        <f t="array" ref="G180">(G$177&gt;=$C180)*((1+INDEX($D$110:$N$110,$C180))^G$162-1)/((1+INDEX($D$110:$N$110,$C180))^(G$162/2))</f>
        <v>7.2336423325561783E-2</v>
      </c>
      <c r="H180" s="175" cm="1">
        <f t="array" ref="H180">(H$177&gt;=$C180)*((1+INDEX($D$110:$N$110,$C180))^H$162-1)/((1+INDEX($D$110:$N$110,$C180))^(H$162/2))</f>
        <v>7.2336423325561783E-2</v>
      </c>
      <c r="I180" s="175" cm="1">
        <f t="array" ref="I180">(I$177&gt;=$C180)*((1+INDEX($D$110:$N$110,$C180))^I$162-1)/((1+INDEX($D$110:$N$110,$C180))^(I$162/2))</f>
        <v>7.2336423325561783E-2</v>
      </c>
      <c r="J180" s="175" cm="1">
        <f t="array" ref="J180">(J$177&gt;=$C180)*((1+INDEX($D$110:$N$110,$C180))^J$162-1)/((1+INDEX($D$110:$N$110,$C180))^(J$162/2))</f>
        <v>7.2336423325561783E-2</v>
      </c>
      <c r="K180" s="175" cm="1">
        <f t="array" ref="K180">(K$177&gt;=$C180)*((1+INDEX($D$110:$N$110,$C180))^K$162-1)/((1+INDEX($D$110:$N$110,$C180))^(K$162/2))</f>
        <v>7.2336423325561783E-2</v>
      </c>
      <c r="L180" s="175" cm="1">
        <f t="array" ref="L180">(L$177&gt;=$C180)*((1+INDEX($D$110:$N$110,$C180))^L$162-1)/((1+INDEX($D$110:$N$110,$C180))^(L$162/2))</f>
        <v>7.2336423325561783E-2</v>
      </c>
      <c r="M180" s="175" cm="1">
        <f t="array" ref="M180">(M$177&gt;=$C180)*((1+INDEX($D$110:$N$110,$C180))^M$162-1)/((1+INDEX($D$110:$N$110,$C180))^(M$162/2))</f>
        <v>7.2336423325561783E-2</v>
      </c>
      <c r="N180" s="175" cm="1">
        <f t="array" ref="N180">(N$177&gt;=$C180)*((1+INDEX($D$110:$N$110,$C180))^N$162-1)/((1+INDEX($D$110:$N$110,$C180))^(N$162/2))</f>
        <v>3.6459558088976926E-2</v>
      </c>
    </row>
    <row r="181" spans="1:14" x14ac:dyDescent="0.25">
      <c r="C181" s="28">
        <f t="shared" si="61"/>
        <v>4</v>
      </c>
      <c r="D181" s="175" cm="1">
        <f t="array" ref="D181">(D$177&gt;=$C181)*((1+INDEX($D$110:$N$110,$C181))^D$162-1)/((1+INDEX($D$110:$N$110,$C181))^(D$162/2))</f>
        <v>0</v>
      </c>
      <c r="E181" s="175" cm="1">
        <f t="array" ref="E181">(E$177&gt;=$C181)*((1+INDEX($D$110:$N$110,$C181))^E$162-1)/((1+INDEX($D$110:$N$110,$C181))^(E$162/2))</f>
        <v>0</v>
      </c>
      <c r="F181" s="175" cm="1">
        <f t="array" ref="F181">(F$177&gt;=$C181)*((1+INDEX($D$110:$N$110,$C181))^F$162-1)/((1+INDEX($D$110:$N$110,$C181))^(F$162/2))</f>
        <v>0</v>
      </c>
      <c r="G181" s="175" cm="1">
        <f t="array" ref="G181">(G$177&gt;=$C181)*((1+INDEX($D$110:$N$110,$C181))^G$162-1)/((1+INDEX($D$110:$N$110,$C181))^(G$162/2))</f>
        <v>7.0006659689863804E-2</v>
      </c>
      <c r="H181" s="175" cm="1">
        <f t="array" ref="H181">(H$177&gt;=$C181)*((1+INDEX($D$110:$N$110,$C181))^H$162-1)/((1+INDEX($D$110:$N$110,$C181))^(H$162/2))</f>
        <v>7.0006659689863804E-2</v>
      </c>
      <c r="I181" s="175" cm="1">
        <f t="array" ref="I181">(I$177&gt;=$C181)*((1+INDEX($D$110:$N$110,$C181))^I$162-1)/((1+INDEX($D$110:$N$110,$C181))^(I$162/2))</f>
        <v>7.0006659689863804E-2</v>
      </c>
      <c r="J181" s="175" cm="1">
        <f t="array" ref="J181">(J$177&gt;=$C181)*((1+INDEX($D$110:$N$110,$C181))^J$162-1)/((1+INDEX($D$110:$N$110,$C181))^(J$162/2))</f>
        <v>7.0006659689863804E-2</v>
      </c>
      <c r="K181" s="175" cm="1">
        <f t="array" ref="K181">(K$177&gt;=$C181)*((1+INDEX($D$110:$N$110,$C181))^K$162-1)/((1+INDEX($D$110:$N$110,$C181))^(K$162/2))</f>
        <v>7.0006659689863804E-2</v>
      </c>
      <c r="L181" s="175" cm="1">
        <f t="array" ref="L181">(L$177&gt;=$C181)*((1+INDEX($D$110:$N$110,$C181))^L$162-1)/((1+INDEX($D$110:$N$110,$C181))^(L$162/2))</f>
        <v>7.0006659689863804E-2</v>
      </c>
      <c r="M181" s="175" cm="1">
        <f t="array" ref="M181">(M$177&gt;=$C181)*((1+INDEX($D$110:$N$110,$C181))^M$162-1)/((1+INDEX($D$110:$N$110,$C181))^(M$162/2))</f>
        <v>7.0006659689863804E-2</v>
      </c>
      <c r="N181" s="175" cm="1">
        <f t="array" ref="N181">(N$177&gt;=$C181)*((1+INDEX($D$110:$N$110,$C181))^N$162-1)/((1+INDEX($D$110:$N$110,$C181))^(N$162/2))</f>
        <v>3.528565609523994E-2</v>
      </c>
    </row>
    <row r="182" spans="1:14" x14ac:dyDescent="0.25">
      <c r="C182" s="28">
        <f t="shared" si="61"/>
        <v>5</v>
      </c>
      <c r="D182" s="175" cm="1">
        <f t="array" ref="D182">(D$177&gt;=$C182)*((1+INDEX($D$110:$N$110,$C182))^D$162-1)/((1+INDEX($D$110:$N$110,$C182))^(D$162/2))</f>
        <v>0</v>
      </c>
      <c r="E182" s="175" cm="1">
        <f t="array" ref="E182">(E$177&gt;=$C182)*((1+INDEX($D$110:$N$110,$C182))^E$162-1)/((1+INDEX($D$110:$N$110,$C182))^(E$162/2))</f>
        <v>0</v>
      </c>
      <c r="F182" s="175" cm="1">
        <f t="array" ref="F182">(F$177&gt;=$C182)*((1+INDEX($D$110:$N$110,$C182))^F$162-1)/((1+INDEX($D$110:$N$110,$C182))^(F$162/2))</f>
        <v>0</v>
      </c>
      <c r="G182" s="175" cm="1">
        <f t="array" ref="G182">(G$177&gt;=$C182)*((1+INDEX($D$110:$N$110,$C182))^G$162-1)/((1+INDEX($D$110:$N$110,$C182))^(G$162/2))</f>
        <v>0</v>
      </c>
      <c r="H182" s="175" cm="1">
        <f t="array" ref="H182">(H$177&gt;=$C182)*((1+INDEX($D$110:$N$110,$C182))^H$162-1)/((1+INDEX($D$110:$N$110,$C182))^(H$162/2))</f>
        <v>6.7671554233196513E-2</v>
      </c>
      <c r="I182" s="175" cm="1">
        <f t="array" ref="I182">(I$177&gt;=$C182)*((1+INDEX($D$110:$N$110,$C182))^I$162-1)/((1+INDEX($D$110:$N$110,$C182))^(I$162/2))</f>
        <v>6.7671554233196513E-2</v>
      </c>
      <c r="J182" s="175" cm="1">
        <f t="array" ref="J182">(J$177&gt;=$C182)*((1+INDEX($D$110:$N$110,$C182))^J$162-1)/((1+INDEX($D$110:$N$110,$C182))^(J$162/2))</f>
        <v>6.7671554233196513E-2</v>
      </c>
      <c r="K182" s="175" cm="1">
        <f t="array" ref="K182">(K$177&gt;=$C182)*((1+INDEX($D$110:$N$110,$C182))^K$162-1)/((1+INDEX($D$110:$N$110,$C182))^(K$162/2))</f>
        <v>6.7671554233196513E-2</v>
      </c>
      <c r="L182" s="175" cm="1">
        <f t="array" ref="L182">(L$177&gt;=$C182)*((1+INDEX($D$110:$N$110,$C182))^L$162-1)/((1+INDEX($D$110:$N$110,$C182))^(L$162/2))</f>
        <v>6.7671554233196513E-2</v>
      </c>
      <c r="M182" s="175" cm="1">
        <f t="array" ref="M182">(M$177&gt;=$C182)*((1+INDEX($D$110:$N$110,$C182))^M$162-1)/((1+INDEX($D$110:$N$110,$C182))^(M$162/2))</f>
        <v>6.7671554233196513E-2</v>
      </c>
      <c r="N182" s="175" cm="1">
        <f t="array" ref="N182">(N$177&gt;=$C182)*((1+INDEX($D$110:$N$110,$C182))^N$162-1)/((1+INDEX($D$110:$N$110,$C182))^(N$162/2))</f>
        <v>3.4109026732435398E-2</v>
      </c>
    </row>
    <row r="183" spans="1:14" x14ac:dyDescent="0.25">
      <c r="C183" s="28">
        <f t="shared" si="61"/>
        <v>6</v>
      </c>
      <c r="D183" s="175" cm="1">
        <f t="array" ref="D183">(D$177&gt;=$C183)*((1+INDEX($D$110:$N$110,$C183))^D$162-1)/((1+INDEX($D$110:$N$110,$C183))^(D$162/2))</f>
        <v>0</v>
      </c>
      <c r="E183" s="175" cm="1">
        <f t="array" ref="E183">(E$177&gt;=$C183)*((1+INDEX($D$110:$N$110,$C183))^E$162-1)/((1+INDEX($D$110:$N$110,$C183))^(E$162/2))</f>
        <v>0</v>
      </c>
      <c r="F183" s="175" cm="1">
        <f t="array" ref="F183">(F$177&gt;=$C183)*((1+INDEX($D$110:$N$110,$C183))^F$162-1)/((1+INDEX($D$110:$N$110,$C183))^(F$162/2))</f>
        <v>0</v>
      </c>
      <c r="G183" s="175" cm="1">
        <f t="array" ref="G183">(G$177&gt;=$C183)*((1+INDEX($D$110:$N$110,$C183))^G$162-1)/((1+INDEX($D$110:$N$110,$C183))^(G$162/2))</f>
        <v>0</v>
      </c>
      <c r="H183" s="175" cm="1">
        <f t="array" ref="H183">(H$177&gt;=$C183)*((1+INDEX($D$110:$N$110,$C183))^H$162-1)/((1+INDEX($D$110:$N$110,$C183))^(H$162/2))</f>
        <v>0</v>
      </c>
      <c r="I183" s="175" cm="1">
        <f t="array" ref="I183">(I$177&gt;=$C183)*((1+INDEX($D$110:$N$110,$C183))^I$162-1)/((1+INDEX($D$110:$N$110,$C183))^(I$162/2))</f>
        <v>6.5331078996936576E-2</v>
      </c>
      <c r="J183" s="175" cm="1">
        <f t="array" ref="J183">(J$177&gt;=$C183)*((1+INDEX($D$110:$N$110,$C183))^J$162-1)/((1+INDEX($D$110:$N$110,$C183))^(J$162/2))</f>
        <v>6.5331078996936576E-2</v>
      </c>
      <c r="K183" s="175" cm="1">
        <f t="array" ref="K183">(K$177&gt;=$C183)*((1+INDEX($D$110:$N$110,$C183))^K$162-1)/((1+INDEX($D$110:$N$110,$C183))^(K$162/2))</f>
        <v>6.5331078996936576E-2</v>
      </c>
      <c r="L183" s="175" cm="1">
        <f t="array" ref="L183">(L$177&gt;=$C183)*((1+INDEX($D$110:$N$110,$C183))^L$162-1)/((1+INDEX($D$110:$N$110,$C183))^(L$162/2))</f>
        <v>6.5331078996936576E-2</v>
      </c>
      <c r="M183" s="175" cm="1">
        <f t="array" ref="M183">(M$177&gt;=$C183)*((1+INDEX($D$110:$N$110,$C183))^M$162-1)/((1+INDEX($D$110:$N$110,$C183))^(M$162/2))</f>
        <v>6.5331078996936576E-2</v>
      </c>
      <c r="N183" s="175" cm="1">
        <f t="array" ref="N183">(N$177&gt;=$C183)*((1+INDEX($D$110:$N$110,$C183))^N$162-1)/((1+INDEX($D$110:$N$110,$C183))^(N$162/2))</f>
        <v>3.2929656860926644E-2</v>
      </c>
    </row>
    <row r="184" spans="1:14" x14ac:dyDescent="0.25">
      <c r="C184" s="28">
        <f t="shared" si="61"/>
        <v>7</v>
      </c>
      <c r="D184" s="175" cm="1">
        <f t="array" ref="D184">(D$177&gt;=$C184)*((1+INDEX($D$110:$N$110,$C184))^D$162-1)/((1+INDEX($D$110:$N$110,$C184))^(D$162/2))</f>
        <v>0</v>
      </c>
      <c r="E184" s="175" cm="1">
        <f t="array" ref="E184">(E$177&gt;=$C184)*((1+INDEX($D$110:$N$110,$C184))^E$162-1)/((1+INDEX($D$110:$N$110,$C184))^(E$162/2))</f>
        <v>0</v>
      </c>
      <c r="F184" s="175" cm="1">
        <f t="array" ref="F184">(F$177&gt;=$C184)*((1+INDEX($D$110:$N$110,$C184))^F$162-1)/((1+INDEX($D$110:$N$110,$C184))^(F$162/2))</f>
        <v>0</v>
      </c>
      <c r="G184" s="175" cm="1">
        <f t="array" ref="G184">(G$177&gt;=$C184)*((1+INDEX($D$110:$N$110,$C184))^G$162-1)/((1+INDEX($D$110:$N$110,$C184))^(G$162/2))</f>
        <v>0</v>
      </c>
      <c r="H184" s="175" cm="1">
        <f t="array" ref="H184">(H$177&gt;=$C184)*((1+INDEX($D$110:$N$110,$C184))^H$162-1)/((1+INDEX($D$110:$N$110,$C184))^(H$162/2))</f>
        <v>0</v>
      </c>
      <c r="I184" s="175" cm="1">
        <f t="array" ref="I184">(I$177&gt;=$C184)*((1+INDEX($D$110:$N$110,$C184))^I$162-1)/((1+INDEX($D$110:$N$110,$C184))^(I$162/2))</f>
        <v>0</v>
      </c>
      <c r="J184" s="175" cm="1">
        <f t="array" ref="J184">(J$177&gt;=$C184)*((1+INDEX($D$110:$N$110,$C184))^J$162-1)/((1+INDEX($D$110:$N$110,$C184))^(J$162/2))</f>
        <v>6.2985205804496139E-2</v>
      </c>
      <c r="K184" s="175" cm="1">
        <f t="array" ref="K184">(K$177&gt;=$C184)*((1+INDEX($D$110:$N$110,$C184))^K$162-1)/((1+INDEX($D$110:$N$110,$C184))^(K$162/2))</f>
        <v>6.2985205804496139E-2</v>
      </c>
      <c r="L184" s="175" cm="1">
        <f t="array" ref="L184">(L$177&gt;=$C184)*((1+INDEX($D$110:$N$110,$C184))^L$162-1)/((1+INDEX($D$110:$N$110,$C184))^(L$162/2))</f>
        <v>6.2985205804496139E-2</v>
      </c>
      <c r="M184" s="175" cm="1">
        <f t="array" ref="M184">(M$177&gt;=$C184)*((1+INDEX($D$110:$N$110,$C184))^M$162-1)/((1+INDEX($D$110:$N$110,$C184))^(M$162/2))</f>
        <v>6.2985205804496139E-2</v>
      </c>
      <c r="N184" s="175" cm="1">
        <f t="array" ref="N184">(N$177&gt;=$C184)*((1+INDEX($D$110:$N$110,$C184))^N$162-1)/((1+INDEX($D$110:$N$110,$C184))^(N$162/2))</f>
        <v>3.1747533245912944E-2</v>
      </c>
    </row>
    <row r="185" spans="1:14" x14ac:dyDescent="0.25">
      <c r="C185" s="28">
        <f t="shared" si="61"/>
        <v>8</v>
      </c>
      <c r="D185" s="175" cm="1">
        <f t="array" ref="D185">(D$177&gt;=$C185)*((1+INDEX($D$110:$N$110,$C185))^D$162-1)/((1+INDEX($D$110:$N$110,$C185))^(D$162/2))</f>
        <v>0</v>
      </c>
      <c r="E185" s="175" cm="1">
        <f t="array" ref="E185">(E$177&gt;=$C185)*((1+INDEX($D$110:$N$110,$C185))^E$162-1)/((1+INDEX($D$110:$N$110,$C185))^(E$162/2))</f>
        <v>0</v>
      </c>
      <c r="F185" s="175" cm="1">
        <f t="array" ref="F185">(F$177&gt;=$C185)*((1+INDEX($D$110:$N$110,$C185))^F$162-1)/((1+INDEX($D$110:$N$110,$C185))^(F$162/2))</f>
        <v>0</v>
      </c>
      <c r="G185" s="175" cm="1">
        <f t="array" ref="G185">(G$177&gt;=$C185)*((1+INDEX($D$110:$N$110,$C185))^G$162-1)/((1+INDEX($D$110:$N$110,$C185))^(G$162/2))</f>
        <v>0</v>
      </c>
      <c r="H185" s="175" cm="1">
        <f t="array" ref="H185">(H$177&gt;=$C185)*((1+INDEX($D$110:$N$110,$C185))^H$162-1)/((1+INDEX($D$110:$N$110,$C185))^(H$162/2))</f>
        <v>0</v>
      </c>
      <c r="I185" s="175" cm="1">
        <f t="array" ref="I185">(I$177&gt;=$C185)*((1+INDEX($D$110:$N$110,$C185))^I$162-1)/((1+INDEX($D$110:$N$110,$C185))^(I$162/2))</f>
        <v>0</v>
      </c>
      <c r="J185" s="175" cm="1">
        <f t="array" ref="J185">(J$177&gt;=$C185)*((1+INDEX($D$110:$N$110,$C185))^J$162-1)/((1+INDEX($D$110:$N$110,$C185))^(J$162/2))</f>
        <v>0</v>
      </c>
      <c r="K185" s="175" cm="1">
        <f t="array" ref="K185">(K$177&gt;=$C185)*((1+INDEX($D$110:$N$110,$C185))^K$162-1)/((1+INDEX($D$110:$N$110,$C185))^(K$162/2))</f>
        <v>6.0633906259083242E-2</v>
      </c>
      <c r="L185" s="175" cm="1">
        <f t="array" ref="L185">(L$177&gt;=$C185)*((1+INDEX($D$110:$N$110,$C185))^L$162-1)/((1+INDEX($D$110:$N$110,$C185))^(L$162/2))</f>
        <v>6.0633906259083242E-2</v>
      </c>
      <c r="M185" s="175" cm="1">
        <f t="array" ref="M185">(M$177&gt;=$C185)*((1+INDEX($D$110:$N$110,$C185))^M$162-1)/((1+INDEX($D$110:$N$110,$C185))^(M$162/2))</f>
        <v>6.0633906259083242E-2</v>
      </c>
      <c r="N185" s="175" cm="1">
        <f t="array" ref="N185">(N$177&gt;=$C185)*((1+INDEX($D$110:$N$110,$C185))^N$162-1)/((1+INDEX($D$110:$N$110,$C185))^(N$162/2))</f>
        <v>3.0562642556510197E-2</v>
      </c>
    </row>
    <row r="186" spans="1:14" x14ac:dyDescent="0.25">
      <c r="C186" s="28">
        <f t="shared" si="61"/>
        <v>9</v>
      </c>
      <c r="D186" s="175" cm="1">
        <f t="array" ref="D186">(D$177&gt;=$C186)*((1+INDEX($D$110:$N$110,$C186))^D$162-1)/((1+INDEX($D$110:$N$110,$C186))^(D$162/2))</f>
        <v>0</v>
      </c>
      <c r="E186" s="175" cm="1">
        <f t="array" ref="E186">(E$177&gt;=$C186)*((1+INDEX($D$110:$N$110,$C186))^E$162-1)/((1+INDEX($D$110:$N$110,$C186))^(E$162/2))</f>
        <v>0</v>
      </c>
      <c r="F186" s="175" cm="1">
        <f t="array" ref="F186">(F$177&gt;=$C186)*((1+INDEX($D$110:$N$110,$C186))^F$162-1)/((1+INDEX($D$110:$N$110,$C186))^(F$162/2))</f>
        <v>0</v>
      </c>
      <c r="G186" s="175" cm="1">
        <f t="array" ref="G186">(G$177&gt;=$C186)*((1+INDEX($D$110:$N$110,$C186))^G$162-1)/((1+INDEX($D$110:$N$110,$C186))^(G$162/2))</f>
        <v>0</v>
      </c>
      <c r="H186" s="175" cm="1">
        <f t="array" ref="H186">(H$177&gt;=$C186)*((1+INDEX($D$110:$N$110,$C186))^H$162-1)/((1+INDEX($D$110:$N$110,$C186))^(H$162/2))</f>
        <v>0</v>
      </c>
      <c r="I186" s="175" cm="1">
        <f t="array" ref="I186">(I$177&gt;=$C186)*((1+INDEX($D$110:$N$110,$C186))^I$162-1)/((1+INDEX($D$110:$N$110,$C186))^(I$162/2))</f>
        <v>0</v>
      </c>
      <c r="J186" s="175" cm="1">
        <f t="array" ref="J186">(J$177&gt;=$C186)*((1+INDEX($D$110:$N$110,$C186))^J$162-1)/((1+INDEX($D$110:$N$110,$C186))^(J$162/2))</f>
        <v>0</v>
      </c>
      <c r="K186" s="175" cm="1">
        <f t="array" ref="K186">(K$177&gt;=$C186)*((1+INDEX($D$110:$N$110,$C186))^K$162-1)/((1+INDEX($D$110:$N$110,$C186))^(K$162/2))</f>
        <v>0</v>
      </c>
      <c r="L186" s="175" cm="1">
        <f t="array" ref="L186">(L$177&gt;=$C186)*((1+INDEX($D$110:$N$110,$C186))^L$162-1)/((1+INDEX($D$110:$N$110,$C186))^(L$162/2))</f>
        <v>5.8277151741435905E-2</v>
      </c>
      <c r="M186" s="175" cm="1">
        <f t="array" ref="M186">(M$177&gt;=$C186)*((1+INDEX($D$110:$N$110,$C186))^M$162-1)/((1+INDEX($D$110:$N$110,$C186))^(M$162/2))</f>
        <v>5.8277151741435905E-2</v>
      </c>
      <c r="N186" s="175" cm="1">
        <f t="array" ref="N186">(N$177&gt;=$C186)*((1+INDEX($D$110:$N$110,$C186))^N$162-1)/((1+INDEX($D$110:$N$110,$C186))^(N$162/2))</f>
        <v>2.9374971364821863E-2</v>
      </c>
    </row>
    <row r="187" spans="1:14" x14ac:dyDescent="0.25">
      <c r="C187" s="28">
        <f t="shared" si="61"/>
        <v>10</v>
      </c>
      <c r="D187" s="175" cm="1">
        <f t="array" ref="D187">(D$177&gt;=$C187)*((1+INDEX($D$110:$N$110,$C187))^D$162-1)/((1+INDEX($D$110:$N$110,$C187))^(D$162/2))</f>
        <v>0</v>
      </c>
      <c r="E187" s="175" cm="1">
        <f t="array" ref="E187">(E$177&gt;=$C187)*((1+INDEX($D$110:$N$110,$C187))^E$162-1)/((1+INDEX($D$110:$N$110,$C187))^(E$162/2))</f>
        <v>0</v>
      </c>
      <c r="F187" s="175" cm="1">
        <f t="array" ref="F187">(F$177&gt;=$C187)*((1+INDEX($D$110:$N$110,$C187))^F$162-1)/((1+INDEX($D$110:$N$110,$C187))^(F$162/2))</f>
        <v>0</v>
      </c>
      <c r="G187" s="175" cm="1">
        <f t="array" ref="G187">(G$177&gt;=$C187)*((1+INDEX($D$110:$N$110,$C187))^G$162-1)/((1+INDEX($D$110:$N$110,$C187))^(G$162/2))</f>
        <v>0</v>
      </c>
      <c r="H187" s="175" cm="1">
        <f t="array" ref="H187">(H$177&gt;=$C187)*((1+INDEX($D$110:$N$110,$C187))^H$162-1)/((1+INDEX($D$110:$N$110,$C187))^(H$162/2))</f>
        <v>0</v>
      </c>
      <c r="I187" s="175" cm="1">
        <f t="array" ref="I187">(I$177&gt;=$C187)*((1+INDEX($D$110:$N$110,$C187))^I$162-1)/((1+INDEX($D$110:$N$110,$C187))^(I$162/2))</f>
        <v>0</v>
      </c>
      <c r="J187" s="175" cm="1">
        <f t="array" ref="J187">(J$177&gt;=$C187)*((1+INDEX($D$110:$N$110,$C187))^J$162-1)/((1+INDEX($D$110:$N$110,$C187))^(J$162/2))</f>
        <v>0</v>
      </c>
      <c r="K187" s="175" cm="1">
        <f t="array" ref="K187">(K$177&gt;=$C187)*((1+INDEX($D$110:$N$110,$C187))^K$162-1)/((1+INDEX($D$110:$N$110,$C187))^(K$162/2))</f>
        <v>0</v>
      </c>
      <c r="L187" s="175" cm="1">
        <f t="array" ref="L187">(L$177&gt;=$C187)*((1+INDEX($D$110:$N$110,$C187))^L$162-1)/((1+INDEX($D$110:$N$110,$C187))^(L$162/2))</f>
        <v>0</v>
      </c>
      <c r="M187" s="175" cm="1">
        <f t="array" ref="M187">(M$177&gt;=$C187)*((1+INDEX($D$110:$N$110,$C187))^M$162-1)/((1+INDEX($D$110:$N$110,$C187))^(M$162/2))</f>
        <v>5.5914913407526343E-2</v>
      </c>
      <c r="N187" s="175" cm="1">
        <f t="array" ref="N187">(N$177&gt;=$C187)*((1+INDEX($D$110:$N$110,$C187))^N$162-1)/((1+INDEX($D$110:$N$110,$C187))^(N$162/2))</f>
        <v>2.8184506144997578E-2</v>
      </c>
    </row>
    <row r="188" spans="1:14" x14ac:dyDescent="0.25">
      <c r="C188" s="28">
        <f t="shared" si="61"/>
        <v>11</v>
      </c>
      <c r="D188" s="175" cm="1">
        <f t="array" ref="D188">(D$177&gt;=$C188)*((1+INDEX($D$110:$N$110,$C188))^D$162-1)/((1+INDEX($D$110:$N$110,$C188))^(D$162/2))</f>
        <v>0</v>
      </c>
      <c r="E188" s="175" cm="1">
        <f t="array" ref="E188">(E$177&gt;=$C188)*((1+INDEX($D$110:$N$110,$C188))^E$162-1)/((1+INDEX($D$110:$N$110,$C188))^(E$162/2))</f>
        <v>0</v>
      </c>
      <c r="F188" s="175" cm="1">
        <f t="array" ref="F188">(F$177&gt;=$C188)*((1+INDEX($D$110:$N$110,$C188))^F$162-1)/((1+INDEX($D$110:$N$110,$C188))^(F$162/2))</f>
        <v>0</v>
      </c>
      <c r="G188" s="175" cm="1">
        <f t="array" ref="G188">(G$177&gt;=$C188)*((1+INDEX($D$110:$N$110,$C188))^G$162-1)/((1+INDEX($D$110:$N$110,$C188))^(G$162/2))</f>
        <v>0</v>
      </c>
      <c r="H188" s="175" cm="1">
        <f t="array" ref="H188">(H$177&gt;=$C188)*((1+INDEX($D$110:$N$110,$C188))^H$162-1)/((1+INDEX($D$110:$N$110,$C188))^(H$162/2))</f>
        <v>0</v>
      </c>
      <c r="I188" s="175" cm="1">
        <f t="array" ref="I188">(I$177&gt;=$C188)*((1+INDEX($D$110:$N$110,$C188))^I$162-1)/((1+INDEX($D$110:$N$110,$C188))^(I$162/2))</f>
        <v>0</v>
      </c>
      <c r="J188" s="175" cm="1">
        <f t="array" ref="J188">(J$177&gt;=$C188)*((1+INDEX($D$110:$N$110,$C188))^J$162-1)/((1+INDEX($D$110:$N$110,$C188))^(J$162/2))</f>
        <v>0</v>
      </c>
      <c r="K188" s="175" cm="1">
        <f t="array" ref="K188">(K$177&gt;=$C188)*((1+INDEX($D$110:$N$110,$C188))^K$162-1)/((1+INDEX($D$110:$N$110,$C188))^(K$162/2))</f>
        <v>0</v>
      </c>
      <c r="L188" s="175" cm="1">
        <f t="array" ref="L188">(L$177&gt;=$C188)*((1+INDEX($D$110:$N$110,$C188))^L$162-1)/((1+INDEX($D$110:$N$110,$C188))^(L$162/2))</f>
        <v>0</v>
      </c>
      <c r="M188" s="175" cm="1">
        <f t="array" ref="M188">(M$177&gt;=$C188)*((1+INDEX($D$110:$N$110,$C188))^M$162-1)/((1+INDEX($D$110:$N$110,$C188))^(M$162/2))</f>
        <v>0</v>
      </c>
      <c r="N188" s="175" cm="1">
        <f t="array" ref="N188">(N$177&gt;=$C188)*((1+INDEX($D$110:$N$110,$C188))^N$162-1)/((1+INDEX($D$110:$N$110,$C188))^(N$162/2))</f>
        <v>2.8184506144997578E-2</v>
      </c>
    </row>
    <row r="190" spans="1:14" x14ac:dyDescent="0.25">
      <c r="A190" s="192" t="s">
        <v>186</v>
      </c>
      <c r="B190" s="193"/>
      <c r="C190" s="193"/>
      <c r="D190" s="193"/>
      <c r="E190" s="193"/>
      <c r="F190" s="194"/>
      <c r="G190" s="194"/>
      <c r="H190" s="194"/>
      <c r="I190" s="194"/>
      <c r="J190" s="194"/>
      <c r="K190" s="194"/>
      <c r="L190" s="194"/>
      <c r="M190" s="194"/>
      <c r="N190" s="194"/>
    </row>
    <row r="192" spans="1:14" x14ac:dyDescent="0.25">
      <c r="A192" s="33" t="s">
        <v>86</v>
      </c>
      <c r="B192" s="39" t="s">
        <v>19</v>
      </c>
      <c r="C192" s="39"/>
      <c r="D192" s="123">
        <f>D93</f>
        <v>10</v>
      </c>
      <c r="E192" s="123">
        <f t="shared" ref="E192:N192" si="62">E93</f>
        <v>20</v>
      </c>
      <c r="F192" s="123">
        <f t="shared" si="62"/>
        <v>500</v>
      </c>
      <c r="G192" s="123">
        <f t="shared" si="62"/>
        <v>600</v>
      </c>
      <c r="H192" s="123">
        <f t="shared" si="62"/>
        <v>610</v>
      </c>
      <c r="I192" s="123">
        <f t="shared" si="62"/>
        <v>620</v>
      </c>
      <c r="J192" s="123">
        <f t="shared" si="62"/>
        <v>65</v>
      </c>
      <c r="K192" s="123">
        <f t="shared" si="62"/>
        <v>70</v>
      </c>
      <c r="L192" s="123">
        <f t="shared" si="62"/>
        <v>75</v>
      </c>
      <c r="M192" s="123">
        <f t="shared" si="62"/>
        <v>80</v>
      </c>
      <c r="N192" s="123">
        <f t="shared" si="62"/>
        <v>90</v>
      </c>
    </row>
    <row r="193" spans="1:15" x14ac:dyDescent="0.25">
      <c r="A193" s="33" t="s">
        <v>92</v>
      </c>
      <c r="B193" s="39" t="s">
        <v>19</v>
      </c>
      <c r="C193" s="39"/>
      <c r="D193" s="123">
        <f t="shared" ref="D193:N194" si="63">D94</f>
        <v>-100</v>
      </c>
      <c r="E193" s="123">
        <f t="shared" si="63"/>
        <v>-100</v>
      </c>
      <c r="F193" s="123">
        <f t="shared" si="63"/>
        <v>-100</v>
      </c>
      <c r="G193" s="123">
        <f t="shared" si="63"/>
        <v>-100</v>
      </c>
      <c r="H193" s="123">
        <f t="shared" si="63"/>
        <v>-100</v>
      </c>
      <c r="I193" s="123">
        <f t="shared" si="63"/>
        <v>-100</v>
      </c>
      <c r="J193" s="123">
        <f t="shared" si="63"/>
        <v>-100</v>
      </c>
      <c r="K193" s="123">
        <f t="shared" si="63"/>
        <v>-100</v>
      </c>
      <c r="L193" s="123">
        <f t="shared" si="63"/>
        <v>-100</v>
      </c>
      <c r="M193" s="123">
        <f t="shared" si="63"/>
        <v>-100</v>
      </c>
      <c r="N193" s="123">
        <f t="shared" si="63"/>
        <v>-100</v>
      </c>
    </row>
    <row r="194" spans="1:15" x14ac:dyDescent="0.25">
      <c r="A194" s="33" t="s">
        <v>4</v>
      </c>
      <c r="B194" s="39" t="s">
        <v>19</v>
      </c>
      <c r="C194" s="39"/>
      <c r="D194" s="123">
        <f t="shared" si="63"/>
        <v>-19.256217202829117</v>
      </c>
      <c r="E194" s="123">
        <f t="shared" si="63"/>
        <v>-37.665661028607566</v>
      </c>
      <c r="F194" s="123">
        <f t="shared" si="63"/>
        <v>-46.404153725350284</v>
      </c>
      <c r="G194" s="123">
        <f t="shared" si="63"/>
        <v>-54.851562704610807</v>
      </c>
      <c r="H194" s="123">
        <f t="shared" si="63"/>
        <v>-63.017584115773666</v>
      </c>
      <c r="I194" s="123">
        <f t="shared" si="63"/>
        <v>-70.911591124465659</v>
      </c>
      <c r="J194" s="123">
        <f t="shared" si="63"/>
        <v>-78.542644671312118</v>
      </c>
      <c r="K194" s="123">
        <f t="shared" si="63"/>
        <v>-85.919503872313356</v>
      </c>
      <c r="L194" s="123">
        <f t="shared" si="63"/>
        <v>-93.050636072779298</v>
      </c>
      <c r="M194" s="123">
        <f t="shared" si="63"/>
        <v>-99.944226566362289</v>
      </c>
      <c r="N194" s="123">
        <f t="shared" si="63"/>
        <v>-53.74220983622812</v>
      </c>
    </row>
    <row r="195" spans="1:15" x14ac:dyDescent="0.25">
      <c r="A195" s="157" t="s">
        <v>185</v>
      </c>
      <c r="B195" s="158"/>
      <c r="C195" s="158"/>
      <c r="D195" s="159">
        <f>D96</f>
        <v>-15.509231528311108</v>
      </c>
      <c r="E195" s="159">
        <f t="shared" ref="E195:N195" si="64">E96</f>
        <v>-35.291783305448924</v>
      </c>
      <c r="F195" s="159">
        <f t="shared" si="64"/>
        <v>-42.811280134636043</v>
      </c>
      <c r="G195" s="159">
        <f t="shared" si="64"/>
        <v>-43.712184922491872</v>
      </c>
      <c r="H195" s="159">
        <f t="shared" si="64"/>
        <v>-45.751914707373786</v>
      </c>
      <c r="I195" s="159">
        <f t="shared" si="64"/>
        <v>-47.793068300062266</v>
      </c>
      <c r="J195" s="159">
        <f t="shared" si="64"/>
        <v>-54.316309334753164</v>
      </c>
      <c r="K195" s="159">
        <f t="shared" si="64"/>
        <v>-65.523484181130257</v>
      </c>
      <c r="L195" s="159">
        <f t="shared" si="64"/>
        <v>-77.327372974099788</v>
      </c>
      <c r="M195" s="159">
        <f t="shared" si="64"/>
        <v>-89.713921146587154</v>
      </c>
      <c r="N195" s="159">
        <f t="shared" si="64"/>
        <v>-51.951046691717764</v>
      </c>
    </row>
    <row r="196" spans="1:15" x14ac:dyDescent="0.25">
      <c r="A196" s="157" t="s">
        <v>187</v>
      </c>
      <c r="B196" s="158"/>
      <c r="C196" s="158"/>
      <c r="D196" s="159">
        <f>-D100*D121*D111</f>
        <v>0</v>
      </c>
      <c r="E196" s="159">
        <f t="shared" ref="E196:N196" si="65">-E100*E121*E111</f>
        <v>0</v>
      </c>
      <c r="F196" s="159">
        <f t="shared" si="65"/>
        <v>-0.10132167833710656</v>
      </c>
      <c r="G196" s="159">
        <f t="shared" si="65"/>
        <v>-1.1914520078606381</v>
      </c>
      <c r="H196" s="159">
        <f t="shared" si="65"/>
        <v>-1.158336146717144</v>
      </c>
      <c r="I196" s="159">
        <f t="shared" si="65"/>
        <v>-1.1130292010541456</v>
      </c>
      <c r="J196" s="159">
        <f t="shared" si="65"/>
        <v>0</v>
      </c>
      <c r="K196" s="159">
        <f t="shared" si="65"/>
        <v>0</v>
      </c>
      <c r="L196" s="159">
        <f t="shared" si="65"/>
        <v>0</v>
      </c>
      <c r="M196" s="159">
        <f t="shared" si="65"/>
        <v>0</v>
      </c>
      <c r="N196" s="159">
        <f t="shared" si="65"/>
        <v>0</v>
      </c>
    </row>
    <row r="197" spans="1:15" x14ac:dyDescent="0.25">
      <c r="A197" s="157" t="s">
        <v>190</v>
      </c>
      <c r="B197" s="158"/>
      <c r="C197" s="158"/>
      <c r="D197" s="159">
        <v>0</v>
      </c>
      <c r="E197" s="159">
        <f>IF(D198&lt;0,D198,0)</f>
        <v>-124.76544873114022</v>
      </c>
      <c r="F197" s="159">
        <f t="shared" ref="F197:O197" si="66">IF(E198&lt;0,E198,0)</f>
        <v>-277.72289306519667</v>
      </c>
      <c r="G197" s="159">
        <f t="shared" si="66"/>
        <v>0</v>
      </c>
      <c r="H197" s="159">
        <f t="shared" si="66"/>
        <v>0</v>
      </c>
      <c r="I197" s="159">
        <f t="shared" si="66"/>
        <v>0</v>
      </c>
      <c r="J197" s="159">
        <f t="shared" si="66"/>
        <v>0</v>
      </c>
      <c r="K197" s="159">
        <f t="shared" si="66"/>
        <v>-167.85895400606529</v>
      </c>
      <c r="L197" s="159">
        <f t="shared" si="66"/>
        <v>-349.30194205950892</v>
      </c>
      <c r="M197" s="159">
        <f t="shared" si="66"/>
        <v>-544.67995110638799</v>
      </c>
      <c r="N197" s="159">
        <f t="shared" si="66"/>
        <v>-754.33809881933746</v>
      </c>
      <c r="O197" s="159">
        <f t="shared" si="66"/>
        <v>-870.03135534728335</v>
      </c>
    </row>
    <row r="198" spans="1:15" x14ac:dyDescent="0.25">
      <c r="A198" s="33" t="s">
        <v>105</v>
      </c>
      <c r="B198" s="39" t="s">
        <v>19</v>
      </c>
      <c r="C198" s="39"/>
      <c r="D198" s="53">
        <f>SUM(D192:D197)</f>
        <v>-124.76544873114022</v>
      </c>
      <c r="E198" s="53">
        <f t="shared" ref="E198:N198" si="67">SUM(E192:E197)</f>
        <v>-277.72289306519667</v>
      </c>
      <c r="F198" s="53">
        <f t="shared" si="67"/>
        <v>32.960351396479894</v>
      </c>
      <c r="G198" s="53">
        <f t="shared" si="67"/>
        <v>400.24480036503672</v>
      </c>
      <c r="H198" s="53">
        <f t="shared" si="67"/>
        <v>400.07216503013541</v>
      </c>
      <c r="I198" s="53">
        <f t="shared" si="67"/>
        <v>400.18231137441796</v>
      </c>
      <c r="J198" s="53">
        <f t="shared" si="67"/>
        <v>-167.85895400606529</v>
      </c>
      <c r="K198" s="53">
        <f t="shared" si="67"/>
        <v>-349.30194205950892</v>
      </c>
      <c r="L198" s="53">
        <f t="shared" si="67"/>
        <v>-544.67995110638799</v>
      </c>
      <c r="M198" s="53">
        <f t="shared" si="67"/>
        <v>-754.33809881933746</v>
      </c>
      <c r="N198" s="53">
        <f t="shared" si="67"/>
        <v>-870.03135534728335</v>
      </c>
    </row>
    <row r="199" spans="1:15" x14ac:dyDescent="0.25">
      <c r="A199" s="33" t="s">
        <v>189</v>
      </c>
      <c r="B199" s="39" t="s">
        <v>19</v>
      </c>
      <c r="C199" s="39"/>
      <c r="D199" s="35">
        <f>MAX(D198*Inputs!D$25,0)</f>
        <v>0</v>
      </c>
      <c r="E199" s="35">
        <f>MAX(E198*Inputs!E$25,0)</f>
        <v>0</v>
      </c>
      <c r="F199" s="35">
        <f>MAX(F198*Inputs!F$25,0)</f>
        <v>9.2288983910143703</v>
      </c>
      <c r="G199" s="35">
        <f>MAX(G198*Inputs!G$25,0)</f>
        <v>112.0685441022103</v>
      </c>
      <c r="H199" s="35">
        <f>MAX(H198*Inputs!H$25,0)</f>
        <v>112.02020620843793</v>
      </c>
      <c r="I199" s="35">
        <f>MAX(I198*Inputs!I$25,0)</f>
        <v>112.05104718483705</v>
      </c>
      <c r="J199" s="35">
        <f>MAX(J198*Inputs!J$25,0)</f>
        <v>0</v>
      </c>
      <c r="K199" s="35">
        <f>MAX(K198*Inputs!K$25,0)</f>
        <v>0</v>
      </c>
      <c r="L199" s="35">
        <f>MAX(L198*Inputs!L$25,0)</f>
        <v>0</v>
      </c>
      <c r="M199" s="35">
        <f>MAX(M198*Inputs!M$25,0)</f>
        <v>0</v>
      </c>
      <c r="N199" s="35">
        <f>MAX(N198*Inputs!N$25,0)</f>
        <v>0</v>
      </c>
    </row>
    <row r="200" spans="1:15" x14ac:dyDescent="0.25">
      <c r="A200" s="33" t="s">
        <v>77</v>
      </c>
      <c r="B200" s="39" t="s">
        <v>19</v>
      </c>
      <c r="C200" s="39"/>
      <c r="D200" s="155">
        <f>D199</f>
        <v>0</v>
      </c>
      <c r="E200" s="155">
        <f t="shared" ref="E200:N200" si="68">E199</f>
        <v>0</v>
      </c>
      <c r="F200" s="155">
        <f t="shared" si="68"/>
        <v>9.2288983910143703</v>
      </c>
      <c r="G200" s="155">
        <f t="shared" si="68"/>
        <v>112.0685441022103</v>
      </c>
      <c r="H200" s="155">
        <f t="shared" si="68"/>
        <v>112.02020620843793</v>
      </c>
      <c r="I200" s="155">
        <f t="shared" si="68"/>
        <v>112.05104718483705</v>
      </c>
      <c r="J200" s="155">
        <f t="shared" si="68"/>
        <v>0</v>
      </c>
      <c r="K200" s="155">
        <f t="shared" si="68"/>
        <v>0</v>
      </c>
      <c r="L200" s="155">
        <f t="shared" si="68"/>
        <v>0</v>
      </c>
      <c r="M200" s="155">
        <f t="shared" si="68"/>
        <v>0</v>
      </c>
      <c r="N200" s="155">
        <f t="shared" si="68"/>
        <v>0</v>
      </c>
    </row>
    <row r="201" spans="1:15" x14ac:dyDescent="0.25">
      <c r="A201" s="70" t="s">
        <v>191</v>
      </c>
      <c r="D201" s="30">
        <f>D100</f>
        <v>0</v>
      </c>
      <c r="E201" s="30">
        <f t="shared" ref="E201:N201" si="69">E100</f>
        <v>0</v>
      </c>
      <c r="F201" s="30">
        <f t="shared" si="69"/>
        <v>9.2288983910143738</v>
      </c>
      <c r="G201" s="30">
        <f t="shared" si="69"/>
        <v>112.06854410221028</v>
      </c>
      <c r="H201" s="30">
        <f t="shared" si="69"/>
        <v>112.02020620843793</v>
      </c>
      <c r="I201" s="30">
        <f t="shared" si="69"/>
        <v>112.05104718483705</v>
      </c>
      <c r="J201" s="30">
        <f t="shared" si="69"/>
        <v>0</v>
      </c>
      <c r="K201" s="30">
        <f t="shared" si="69"/>
        <v>0</v>
      </c>
      <c r="L201" s="30">
        <f t="shared" si="69"/>
        <v>0</v>
      </c>
      <c r="M201" s="30">
        <f t="shared" si="69"/>
        <v>0</v>
      </c>
      <c r="N201" s="30">
        <f t="shared" si="69"/>
        <v>0</v>
      </c>
    </row>
    <row r="202" spans="1:15" x14ac:dyDescent="0.25">
      <c r="A202" s="198" t="s">
        <v>192</v>
      </c>
      <c r="B202" s="199"/>
      <c r="C202" s="199"/>
      <c r="D202" s="200" t="str">
        <f>IF(ROUND(D201-D200,6)&lt;&gt;0,"Error","Ok")</f>
        <v>Ok</v>
      </c>
      <c r="E202" s="200" t="str">
        <f t="shared" ref="E202:N202" si="70">IF(ROUND(E201-E200,6)&lt;&gt;0,"Error","Ok")</f>
        <v>Ok</v>
      </c>
      <c r="F202" s="200" t="str">
        <f t="shared" si="70"/>
        <v>Ok</v>
      </c>
      <c r="G202" s="200" t="str">
        <f t="shared" si="70"/>
        <v>Ok</v>
      </c>
      <c r="H202" s="200" t="str">
        <f t="shared" si="70"/>
        <v>Ok</v>
      </c>
      <c r="I202" s="200" t="str">
        <f t="shared" si="70"/>
        <v>Ok</v>
      </c>
      <c r="J202" s="200" t="str">
        <f t="shared" si="70"/>
        <v>Ok</v>
      </c>
      <c r="K202" s="200" t="str">
        <f t="shared" si="70"/>
        <v>Ok</v>
      </c>
      <c r="L202" s="200" t="str">
        <f t="shared" si="70"/>
        <v>Ok</v>
      </c>
      <c r="M202" s="200" t="str">
        <f t="shared" si="70"/>
        <v>Ok</v>
      </c>
      <c r="N202" s="200" t="str">
        <f t="shared" si="70"/>
        <v>Ok</v>
      </c>
      <c r="O202" s="203" t="b">
        <f>O197=O97</f>
        <v>1</v>
      </c>
    </row>
    <row r="203" spans="1:15" x14ac:dyDescent="0.25">
      <c r="A203"/>
      <c r="B203"/>
      <c r="C203"/>
      <c r="D203"/>
      <c r="E203"/>
      <c r="F203"/>
      <c r="G203"/>
      <c r="H203"/>
      <c r="I203"/>
      <c r="J203"/>
      <c r="K203"/>
      <c r="L203"/>
      <c r="M203"/>
      <c r="N203"/>
    </row>
    <row r="204" spans="1:15" x14ac:dyDescent="0.25">
      <c r="A204"/>
      <c r="B204"/>
      <c r="C204"/>
      <c r="D204"/>
      <c r="E204"/>
      <c r="F204"/>
      <c r="G204"/>
      <c r="H204"/>
      <c r="I204"/>
      <c r="J204"/>
      <c r="K204"/>
      <c r="L204"/>
      <c r="M204"/>
      <c r="N204"/>
    </row>
    <row r="205" spans="1:15" x14ac:dyDescent="0.25">
      <c r="A205"/>
      <c r="B205"/>
      <c r="C205"/>
      <c r="D205"/>
      <c r="E205"/>
      <c r="F205"/>
      <c r="G205"/>
      <c r="H205"/>
      <c r="I205"/>
      <c r="J205"/>
      <c r="K205"/>
      <c r="L205"/>
      <c r="M205"/>
      <c r="N205"/>
    </row>
    <row r="206" spans="1:15" x14ac:dyDescent="0.25">
      <c r="A206"/>
      <c r="B206"/>
      <c r="C206"/>
      <c r="D206"/>
      <c r="E206"/>
      <c r="F206"/>
      <c r="G206"/>
      <c r="H206"/>
      <c r="I206"/>
      <c r="J206"/>
      <c r="K206"/>
      <c r="L206"/>
      <c r="M206"/>
      <c r="N206"/>
    </row>
    <row r="207" spans="1:15" x14ac:dyDescent="0.25">
      <c r="A207"/>
      <c r="B207"/>
      <c r="C207"/>
      <c r="D207"/>
      <c r="E207"/>
      <c r="F207"/>
      <c r="G207"/>
      <c r="H207"/>
      <c r="I207"/>
      <c r="J207"/>
      <c r="K207"/>
      <c r="L207"/>
      <c r="M207"/>
      <c r="N207"/>
    </row>
    <row r="208" spans="1:15" x14ac:dyDescent="0.25">
      <c r="A208"/>
      <c r="B208"/>
      <c r="C208"/>
      <c r="D208"/>
      <c r="E208"/>
      <c r="F208"/>
      <c r="G208"/>
      <c r="H208"/>
      <c r="I208"/>
      <c r="J208"/>
      <c r="K208"/>
      <c r="L208"/>
      <c r="M208"/>
      <c r="N208"/>
    </row>
    <row r="209" spans="1:14" x14ac:dyDescent="0.25">
      <c r="A209"/>
      <c r="B209"/>
      <c r="C209"/>
      <c r="D209"/>
      <c r="E209"/>
      <c r="F209"/>
      <c r="G209"/>
      <c r="H209"/>
      <c r="I209"/>
      <c r="J209"/>
      <c r="K209"/>
      <c r="L209"/>
      <c r="M209"/>
      <c r="N209"/>
    </row>
  </sheetData>
  <pageMargins left="0.7" right="0.7" top="0.75" bottom="0.75" header="0.3" footer="0.3"/>
  <pageSetup paperSize="8"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Description</vt:lpstr>
      <vt:lpstr>Inputs</vt:lpstr>
      <vt:lpstr>DCF</vt:lpstr>
      <vt:lpstr>'Cover Sheet'!Print_Area</vt:lpstr>
      <vt:lpstr>DCF!Print_Area</vt:lpstr>
      <vt:lpstr>Description!Print_Area</vt:lpstr>
      <vt:lpstr>Inputs!Print_Area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2019-12-16T03:14:42Z</dcterms:created>
  <dcterms:modified xsi:type="dcterms:W3CDTF">2020-09-09T23:17:43Z</dcterms:modified>
</cp:coreProperties>
</file>