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NRPortbl\iManage\KATIES\"/>
    </mc:Choice>
  </mc:AlternateContent>
  <xr:revisionPtr revIDLastSave="0" documentId="8_{BE0E504E-8162-4ADF-9E9D-4E186084BF6A}" xr6:coauthVersionLast="45" xr6:coauthVersionMax="45" xr10:uidLastSave="{00000000-0000-0000-0000-000000000000}"/>
  <bookViews>
    <workbookView xWindow="-120" yWindow="-120" windowWidth="29040" windowHeight="15840" xr2:uid="{591EC0D7-B092-4620-BA36-9650C3B68F94}"/>
  </bookViews>
  <sheets>
    <sheet name="ComCom refined - Summary" sheetId="8" r:id="rId1"/>
    <sheet name="ComCom refined - 2017 - 19" sheetId="9" r:id="rId2"/>
    <sheet name="ComCom refined - 2014 - 19" sheetId="10" r:id="rId3"/>
    <sheet name="ComCom refined - 2009 - 14" sheetId="11" r:id="rId4"/>
    <sheet name="CEPA Summary sheet" sheetId="12" r:id="rId5"/>
    <sheet name="CEPA Rating&amp;Leverage" sheetId="20" r:id="rId6"/>
    <sheet name="ComCom refined -Rating&amp;Leverage" sheetId="2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9" l="1"/>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6" i="9"/>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6" i="10"/>
  <c r="L86" i="11"/>
  <c r="L87" i="11"/>
  <c r="L88" i="11"/>
  <c r="L85"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7" i="11"/>
  <c r="L8" i="11"/>
  <c r="L9" i="11"/>
  <c r="L10" i="11"/>
  <c r="L11" i="11"/>
  <c r="L12" i="11"/>
  <c r="L13" i="11"/>
  <c r="L14" i="11"/>
  <c r="L15" i="11"/>
  <c r="L16" i="11"/>
  <c r="L17" i="11"/>
  <c r="L18" i="11"/>
  <c r="L19" i="11"/>
  <c r="L20" i="11"/>
  <c r="L21" i="11"/>
  <c r="L22" i="11"/>
  <c r="L6" i="11"/>
  <c r="T104" i="21" l="1"/>
  <c r="T103" i="21"/>
  <c r="T102" i="21"/>
  <c r="T101" i="21"/>
  <c r="T100" i="21"/>
  <c r="T99" i="21"/>
  <c r="T98" i="21"/>
  <c r="T97" i="21"/>
  <c r="Z96" i="21"/>
  <c r="Y96" i="21"/>
  <c r="T96" i="21"/>
  <c r="Z95" i="21"/>
  <c r="Y95" i="21"/>
  <c r="T95" i="21"/>
  <c r="T94" i="21"/>
  <c r="T93" i="21"/>
  <c r="T92" i="21"/>
  <c r="T91" i="21"/>
  <c r="B87" i="21"/>
  <c r="U114" i="21" l="1"/>
  <c r="U113" i="21"/>
  <c r="U94" i="21"/>
  <c r="U111" i="21" s="1"/>
  <c r="U99" i="21"/>
  <c r="U92" i="21"/>
  <c r="U97" i="21"/>
  <c r="U110" i="21" s="1"/>
  <c r="U107" i="21"/>
  <c r="U103" i="21"/>
  <c r="U91" i="21"/>
  <c r="U93" i="21"/>
  <c r="U95" i="21"/>
  <c r="U98" i="21"/>
  <c r="U100" i="21"/>
  <c r="U102" i="21"/>
  <c r="U104" i="21"/>
  <c r="U108" i="21"/>
  <c r="U101" i="21"/>
  <c r="U96" i="21"/>
  <c r="U105" i="21"/>
  <c r="U106" i="21" s="1"/>
  <c r="C87" i="11" l="1"/>
  <c r="D87" i="11"/>
  <c r="E87" i="11" s="1"/>
  <c r="F87" i="11"/>
  <c r="G87" i="11"/>
  <c r="H87" i="11" s="1"/>
  <c r="I87" i="11"/>
  <c r="J87" i="11"/>
  <c r="K87" i="11" s="1"/>
  <c r="C88" i="11"/>
  <c r="D88" i="11"/>
  <c r="E88" i="11" s="1"/>
  <c r="F88" i="11"/>
  <c r="G88" i="11"/>
  <c r="H88" i="11" s="1"/>
  <c r="I88" i="11"/>
  <c r="J88" i="11"/>
  <c r="K88" i="11" s="1"/>
  <c r="C87" i="10"/>
  <c r="D87" i="10"/>
  <c r="E87" i="10" s="1"/>
  <c r="F87" i="10"/>
  <c r="G87" i="10"/>
  <c r="H87" i="10" s="1"/>
  <c r="I87" i="10"/>
  <c r="J87" i="10"/>
  <c r="K87" i="10" s="1"/>
  <c r="C88" i="10"/>
  <c r="D88" i="10"/>
  <c r="E88" i="10" s="1"/>
  <c r="F88" i="10"/>
  <c r="G88" i="10"/>
  <c r="H88" i="10" s="1"/>
  <c r="I88" i="10"/>
  <c r="J88" i="10"/>
  <c r="K88" i="10" s="1"/>
  <c r="C87" i="9" l="1"/>
  <c r="D87" i="9"/>
  <c r="E87" i="9" s="1"/>
  <c r="F87" i="9"/>
  <c r="G87" i="9"/>
  <c r="H87" i="9" s="1"/>
  <c r="I87" i="9"/>
  <c r="J87" i="9"/>
  <c r="K87" i="9" s="1"/>
  <c r="C88" i="9"/>
  <c r="D88" i="9"/>
  <c r="E88" i="9" s="1"/>
  <c r="F88" i="9"/>
  <c r="G88" i="9"/>
  <c r="H88" i="9" s="1"/>
  <c r="I88" i="9"/>
  <c r="J88" i="9"/>
  <c r="K88" i="9" s="1"/>
  <c r="C83" i="11" l="1"/>
  <c r="C85" i="10"/>
  <c r="J86" i="11" l="1"/>
  <c r="K86" i="11" s="1"/>
  <c r="I86" i="11"/>
  <c r="G86" i="11"/>
  <c r="H86" i="11" s="1"/>
  <c r="F86" i="11"/>
  <c r="D86" i="11"/>
  <c r="E86" i="11" s="1"/>
  <c r="C86" i="11"/>
  <c r="J84" i="11"/>
  <c r="K84" i="11" s="1"/>
  <c r="I84" i="11"/>
  <c r="G84" i="11"/>
  <c r="H84" i="11" s="1"/>
  <c r="F84" i="11"/>
  <c r="D84" i="11"/>
  <c r="E84" i="11" s="1"/>
  <c r="C84" i="11"/>
  <c r="J83" i="11"/>
  <c r="K83" i="11" s="1"/>
  <c r="I83" i="11"/>
  <c r="G83" i="11"/>
  <c r="H83" i="11" s="1"/>
  <c r="F83" i="11"/>
  <c r="D83" i="11"/>
  <c r="E83" i="11" s="1"/>
  <c r="J82" i="11"/>
  <c r="K82" i="11" s="1"/>
  <c r="I82" i="11"/>
  <c r="G82" i="11"/>
  <c r="H82" i="11" s="1"/>
  <c r="F82" i="11"/>
  <c r="D82" i="11"/>
  <c r="E82" i="11" s="1"/>
  <c r="C82" i="11"/>
  <c r="J81" i="11"/>
  <c r="K81" i="11" s="1"/>
  <c r="I81" i="11"/>
  <c r="G81" i="11"/>
  <c r="H81" i="11" s="1"/>
  <c r="F81" i="11"/>
  <c r="D81" i="11"/>
  <c r="E81" i="11" s="1"/>
  <c r="C81" i="11"/>
  <c r="J80" i="11"/>
  <c r="K80" i="11" s="1"/>
  <c r="I80" i="11"/>
  <c r="G80" i="11"/>
  <c r="H80" i="11" s="1"/>
  <c r="F80" i="11"/>
  <c r="D80" i="11"/>
  <c r="E80" i="11" s="1"/>
  <c r="C80" i="11"/>
  <c r="J79" i="11"/>
  <c r="K79" i="11" s="1"/>
  <c r="I79" i="11"/>
  <c r="G79" i="11"/>
  <c r="H79" i="11" s="1"/>
  <c r="F79" i="11"/>
  <c r="D79" i="11"/>
  <c r="E79" i="11" s="1"/>
  <c r="C79" i="11"/>
  <c r="J78" i="11"/>
  <c r="K78" i="11" s="1"/>
  <c r="I78" i="11"/>
  <c r="G78" i="11"/>
  <c r="H78" i="11" s="1"/>
  <c r="F78" i="11"/>
  <c r="D78" i="11"/>
  <c r="E78" i="11" s="1"/>
  <c r="C78" i="11"/>
  <c r="J77" i="11"/>
  <c r="K77" i="11" s="1"/>
  <c r="I77" i="11"/>
  <c r="G77" i="11"/>
  <c r="H77" i="11" s="1"/>
  <c r="F77" i="11"/>
  <c r="D77" i="11"/>
  <c r="E77" i="11" s="1"/>
  <c r="C77" i="11"/>
  <c r="J76" i="11"/>
  <c r="K76" i="11" s="1"/>
  <c r="I76" i="11"/>
  <c r="G76" i="11"/>
  <c r="H76" i="11" s="1"/>
  <c r="F76" i="11"/>
  <c r="D76" i="11"/>
  <c r="E76" i="11" s="1"/>
  <c r="C76" i="11"/>
  <c r="J75" i="11"/>
  <c r="K75" i="11" s="1"/>
  <c r="I75" i="11"/>
  <c r="G75" i="11"/>
  <c r="H75" i="11" s="1"/>
  <c r="F75" i="11"/>
  <c r="D75" i="11"/>
  <c r="E75" i="11" s="1"/>
  <c r="C75" i="11"/>
  <c r="J74" i="11"/>
  <c r="K74" i="11" s="1"/>
  <c r="I74" i="11"/>
  <c r="G74" i="11"/>
  <c r="H74" i="11" s="1"/>
  <c r="F74" i="11"/>
  <c r="D74" i="11"/>
  <c r="E74" i="11" s="1"/>
  <c r="C74" i="11"/>
  <c r="J73" i="11"/>
  <c r="K73" i="11" s="1"/>
  <c r="I73" i="11"/>
  <c r="G73" i="11"/>
  <c r="H73" i="11" s="1"/>
  <c r="F73" i="11"/>
  <c r="D73" i="11"/>
  <c r="E73" i="11" s="1"/>
  <c r="C73" i="11"/>
  <c r="J72" i="11"/>
  <c r="K72" i="11" s="1"/>
  <c r="I72" i="11"/>
  <c r="G72" i="11"/>
  <c r="H72" i="11" s="1"/>
  <c r="F72" i="11"/>
  <c r="D72" i="11"/>
  <c r="E72" i="11" s="1"/>
  <c r="C72" i="11"/>
  <c r="J71" i="11"/>
  <c r="K71" i="11" s="1"/>
  <c r="I71" i="11"/>
  <c r="G71" i="11"/>
  <c r="H71" i="11" s="1"/>
  <c r="F71" i="11"/>
  <c r="D71" i="11"/>
  <c r="E71" i="11" s="1"/>
  <c r="C71" i="11"/>
  <c r="J70" i="11"/>
  <c r="K70" i="11" s="1"/>
  <c r="I70" i="11"/>
  <c r="G70" i="11"/>
  <c r="H70" i="11" s="1"/>
  <c r="F70" i="11"/>
  <c r="D70" i="11"/>
  <c r="E70" i="11" s="1"/>
  <c r="C70" i="11"/>
  <c r="J69" i="11"/>
  <c r="K69" i="11" s="1"/>
  <c r="I69" i="11"/>
  <c r="G69" i="11"/>
  <c r="H69" i="11" s="1"/>
  <c r="F69" i="11"/>
  <c r="D69" i="11"/>
  <c r="E69" i="11" s="1"/>
  <c r="C69" i="11"/>
  <c r="J68" i="11"/>
  <c r="K68" i="11" s="1"/>
  <c r="I68" i="11"/>
  <c r="G68" i="11"/>
  <c r="H68" i="11" s="1"/>
  <c r="F68" i="11"/>
  <c r="D68" i="11"/>
  <c r="E68" i="11" s="1"/>
  <c r="C68" i="11"/>
  <c r="J67" i="11"/>
  <c r="K67" i="11" s="1"/>
  <c r="I67" i="11"/>
  <c r="G67" i="11"/>
  <c r="H67" i="11" s="1"/>
  <c r="F67" i="11"/>
  <c r="D67" i="11"/>
  <c r="E67" i="11" s="1"/>
  <c r="C67" i="11"/>
  <c r="J66" i="11"/>
  <c r="K66" i="11" s="1"/>
  <c r="I66" i="11"/>
  <c r="G66" i="11"/>
  <c r="H66" i="11" s="1"/>
  <c r="F66" i="11"/>
  <c r="D66" i="11"/>
  <c r="E66" i="11" s="1"/>
  <c r="C66" i="11"/>
  <c r="J65" i="11"/>
  <c r="K65" i="11" s="1"/>
  <c r="I65" i="11"/>
  <c r="G65" i="11"/>
  <c r="H65" i="11" s="1"/>
  <c r="F65" i="11"/>
  <c r="D65" i="11"/>
  <c r="E65" i="11" s="1"/>
  <c r="C65" i="11"/>
  <c r="J64" i="11"/>
  <c r="K64" i="11" s="1"/>
  <c r="I64" i="11"/>
  <c r="G64" i="11"/>
  <c r="H64" i="11" s="1"/>
  <c r="F64" i="11"/>
  <c r="D64" i="11"/>
  <c r="E64" i="11" s="1"/>
  <c r="C64" i="11"/>
  <c r="J63" i="11"/>
  <c r="K63" i="11" s="1"/>
  <c r="I63" i="11"/>
  <c r="G63" i="11"/>
  <c r="H63" i="11" s="1"/>
  <c r="F63" i="11"/>
  <c r="D63" i="11"/>
  <c r="E63" i="11" s="1"/>
  <c r="C63" i="11"/>
  <c r="J62" i="11"/>
  <c r="K62" i="11" s="1"/>
  <c r="I62" i="11"/>
  <c r="G62" i="11"/>
  <c r="H62" i="11" s="1"/>
  <c r="F62" i="11"/>
  <c r="D62" i="11"/>
  <c r="E62" i="11" s="1"/>
  <c r="C62" i="11"/>
  <c r="J61" i="11"/>
  <c r="K61" i="11" s="1"/>
  <c r="I61" i="11"/>
  <c r="G61" i="11"/>
  <c r="H61" i="11" s="1"/>
  <c r="F61" i="11"/>
  <c r="D61" i="11"/>
  <c r="E61" i="11" s="1"/>
  <c r="C61" i="11"/>
  <c r="J60" i="11"/>
  <c r="K60" i="11" s="1"/>
  <c r="I60" i="11"/>
  <c r="G60" i="11"/>
  <c r="H60" i="11" s="1"/>
  <c r="F60" i="11"/>
  <c r="D60" i="11"/>
  <c r="E60" i="11" s="1"/>
  <c r="C60" i="11"/>
  <c r="J59" i="11"/>
  <c r="K59" i="11" s="1"/>
  <c r="I59" i="11"/>
  <c r="G59" i="11"/>
  <c r="H59" i="11" s="1"/>
  <c r="F59" i="11"/>
  <c r="D59" i="11"/>
  <c r="E59" i="11" s="1"/>
  <c r="C59" i="11"/>
  <c r="J58" i="11"/>
  <c r="K58" i="11" s="1"/>
  <c r="I58" i="11"/>
  <c r="G58" i="11"/>
  <c r="H58" i="11" s="1"/>
  <c r="F58" i="11"/>
  <c r="D58" i="11"/>
  <c r="E58" i="11" s="1"/>
  <c r="C58" i="11"/>
  <c r="J57" i="11"/>
  <c r="K57" i="11" s="1"/>
  <c r="I57" i="11"/>
  <c r="G57" i="11"/>
  <c r="H57" i="11" s="1"/>
  <c r="F57" i="11"/>
  <c r="D57" i="11"/>
  <c r="E57" i="11" s="1"/>
  <c r="C57" i="11"/>
  <c r="J56" i="11"/>
  <c r="K56" i="11" s="1"/>
  <c r="I56" i="11"/>
  <c r="G56" i="11"/>
  <c r="H56" i="11" s="1"/>
  <c r="F56" i="11"/>
  <c r="D56" i="11"/>
  <c r="E56" i="11" s="1"/>
  <c r="C56" i="11"/>
  <c r="J55" i="11"/>
  <c r="K55" i="11" s="1"/>
  <c r="I55" i="11"/>
  <c r="G55" i="11"/>
  <c r="H55" i="11" s="1"/>
  <c r="F55" i="11"/>
  <c r="D55" i="11"/>
  <c r="E55" i="11" s="1"/>
  <c r="C55" i="11"/>
  <c r="J54" i="11"/>
  <c r="K54" i="11" s="1"/>
  <c r="I54" i="11"/>
  <c r="G54" i="11"/>
  <c r="H54" i="11" s="1"/>
  <c r="F54" i="11"/>
  <c r="D54" i="11"/>
  <c r="E54" i="11" s="1"/>
  <c r="C54" i="11"/>
  <c r="J53" i="11"/>
  <c r="K53" i="11" s="1"/>
  <c r="I53" i="11"/>
  <c r="G53" i="11"/>
  <c r="H53" i="11" s="1"/>
  <c r="F53" i="11"/>
  <c r="D53" i="11"/>
  <c r="E53" i="11" s="1"/>
  <c r="C53" i="11"/>
  <c r="J52" i="11"/>
  <c r="K52" i="11" s="1"/>
  <c r="I52" i="11"/>
  <c r="G52" i="11"/>
  <c r="H52" i="11" s="1"/>
  <c r="F52" i="11"/>
  <c r="D52" i="11"/>
  <c r="E52" i="11" s="1"/>
  <c r="C52" i="11"/>
  <c r="J51" i="11"/>
  <c r="K51" i="11" s="1"/>
  <c r="I51" i="11"/>
  <c r="G51" i="11"/>
  <c r="H51" i="11" s="1"/>
  <c r="F51" i="11"/>
  <c r="D51" i="11"/>
  <c r="E51" i="11" s="1"/>
  <c r="C51" i="11"/>
  <c r="J50" i="11"/>
  <c r="K50" i="11" s="1"/>
  <c r="I50" i="11"/>
  <c r="G50" i="11"/>
  <c r="H50" i="11" s="1"/>
  <c r="F50" i="11"/>
  <c r="D50" i="11"/>
  <c r="E50" i="11" s="1"/>
  <c r="C50" i="11"/>
  <c r="J49" i="11"/>
  <c r="K49" i="11" s="1"/>
  <c r="I49" i="11"/>
  <c r="G49" i="11"/>
  <c r="H49" i="11" s="1"/>
  <c r="F49" i="11"/>
  <c r="D49" i="11"/>
  <c r="E49" i="11" s="1"/>
  <c r="C49" i="11"/>
  <c r="J48" i="11"/>
  <c r="K48" i="11" s="1"/>
  <c r="I48" i="11"/>
  <c r="G48" i="11"/>
  <c r="H48" i="11" s="1"/>
  <c r="F48" i="11"/>
  <c r="D48" i="11"/>
  <c r="E48" i="11" s="1"/>
  <c r="C48" i="11"/>
  <c r="J47" i="11"/>
  <c r="K47" i="11" s="1"/>
  <c r="I47" i="11"/>
  <c r="G47" i="11"/>
  <c r="H47" i="11" s="1"/>
  <c r="F47" i="11"/>
  <c r="D47" i="11"/>
  <c r="E47" i="11" s="1"/>
  <c r="C47" i="11"/>
  <c r="J46" i="11"/>
  <c r="K46" i="11" s="1"/>
  <c r="I46" i="11"/>
  <c r="G46" i="11"/>
  <c r="H46" i="11" s="1"/>
  <c r="F46" i="11"/>
  <c r="D46" i="11"/>
  <c r="E46" i="11" s="1"/>
  <c r="C46" i="11"/>
  <c r="J45" i="11"/>
  <c r="K45" i="11" s="1"/>
  <c r="I45" i="11"/>
  <c r="G45" i="11"/>
  <c r="H45" i="11" s="1"/>
  <c r="F45" i="11"/>
  <c r="D45" i="11"/>
  <c r="E45" i="11" s="1"/>
  <c r="C45" i="11"/>
  <c r="J44" i="11"/>
  <c r="K44" i="11" s="1"/>
  <c r="I44" i="11"/>
  <c r="G44" i="11"/>
  <c r="H44" i="11" s="1"/>
  <c r="F44" i="11"/>
  <c r="D44" i="11"/>
  <c r="E44" i="11" s="1"/>
  <c r="C44" i="11"/>
  <c r="J43" i="11"/>
  <c r="K43" i="11" s="1"/>
  <c r="I43" i="11"/>
  <c r="G43" i="11"/>
  <c r="H43" i="11" s="1"/>
  <c r="F43" i="11"/>
  <c r="D43" i="11"/>
  <c r="E43" i="11" s="1"/>
  <c r="C43" i="11"/>
  <c r="J42" i="11"/>
  <c r="K42" i="11" s="1"/>
  <c r="I42" i="11"/>
  <c r="G42" i="11"/>
  <c r="H42" i="11" s="1"/>
  <c r="F42" i="11"/>
  <c r="D42" i="11"/>
  <c r="E42" i="11" s="1"/>
  <c r="C42" i="11"/>
  <c r="J41" i="11"/>
  <c r="K41" i="11" s="1"/>
  <c r="I41" i="11"/>
  <c r="G41" i="11"/>
  <c r="H41" i="11" s="1"/>
  <c r="F41" i="11"/>
  <c r="D41" i="11"/>
  <c r="E41" i="11" s="1"/>
  <c r="C41" i="11"/>
  <c r="J40" i="11"/>
  <c r="K40" i="11" s="1"/>
  <c r="I40" i="11"/>
  <c r="G40" i="11"/>
  <c r="H40" i="11" s="1"/>
  <c r="F40" i="11"/>
  <c r="D40" i="11"/>
  <c r="E40" i="11" s="1"/>
  <c r="C40" i="11"/>
  <c r="J39" i="11"/>
  <c r="K39" i="11" s="1"/>
  <c r="I39" i="11"/>
  <c r="G39" i="11"/>
  <c r="H39" i="11" s="1"/>
  <c r="F39" i="11"/>
  <c r="D39" i="11"/>
  <c r="E39" i="11" s="1"/>
  <c r="C39" i="11"/>
  <c r="J38" i="11"/>
  <c r="K38" i="11" s="1"/>
  <c r="I38" i="11"/>
  <c r="G38" i="11"/>
  <c r="H38" i="11" s="1"/>
  <c r="F38" i="11"/>
  <c r="D38" i="11"/>
  <c r="E38" i="11" s="1"/>
  <c r="C38" i="11"/>
  <c r="J37" i="11"/>
  <c r="K37" i="11" s="1"/>
  <c r="I37" i="11"/>
  <c r="G37" i="11"/>
  <c r="H37" i="11" s="1"/>
  <c r="F37" i="11"/>
  <c r="D37" i="11"/>
  <c r="E37" i="11" s="1"/>
  <c r="C37" i="11"/>
  <c r="J36" i="11"/>
  <c r="K36" i="11" s="1"/>
  <c r="I36" i="11"/>
  <c r="G36" i="11"/>
  <c r="H36" i="11" s="1"/>
  <c r="F36" i="11"/>
  <c r="D36" i="11"/>
  <c r="E36" i="11" s="1"/>
  <c r="C36" i="11"/>
  <c r="J35" i="11"/>
  <c r="K35" i="11" s="1"/>
  <c r="I35" i="11"/>
  <c r="G35" i="11"/>
  <c r="H35" i="11" s="1"/>
  <c r="F35" i="11"/>
  <c r="D35" i="11"/>
  <c r="E35" i="11" s="1"/>
  <c r="C35" i="11"/>
  <c r="J34" i="11"/>
  <c r="K34" i="11" s="1"/>
  <c r="I34" i="11"/>
  <c r="G34" i="11"/>
  <c r="H34" i="11" s="1"/>
  <c r="F34" i="11"/>
  <c r="D34" i="11"/>
  <c r="E34" i="11" s="1"/>
  <c r="C34" i="11"/>
  <c r="J33" i="11"/>
  <c r="K33" i="11" s="1"/>
  <c r="I33" i="11"/>
  <c r="G33" i="11"/>
  <c r="H33" i="11" s="1"/>
  <c r="F33" i="11"/>
  <c r="D33" i="11"/>
  <c r="E33" i="11" s="1"/>
  <c r="C33" i="11"/>
  <c r="J32" i="11"/>
  <c r="K32" i="11" s="1"/>
  <c r="I32" i="11"/>
  <c r="G32" i="11"/>
  <c r="H32" i="11" s="1"/>
  <c r="F32" i="11"/>
  <c r="D32" i="11"/>
  <c r="E32" i="11" s="1"/>
  <c r="C32" i="11"/>
  <c r="J31" i="11"/>
  <c r="K31" i="11" s="1"/>
  <c r="I31" i="11"/>
  <c r="G31" i="11"/>
  <c r="H31" i="11" s="1"/>
  <c r="F31" i="11"/>
  <c r="D31" i="11"/>
  <c r="E31" i="11" s="1"/>
  <c r="C31" i="11"/>
  <c r="J30" i="11"/>
  <c r="K30" i="11" s="1"/>
  <c r="I30" i="11"/>
  <c r="G30" i="11"/>
  <c r="H30" i="11" s="1"/>
  <c r="F30" i="11"/>
  <c r="D30" i="11"/>
  <c r="E30" i="11" s="1"/>
  <c r="C30" i="11"/>
  <c r="J29" i="11"/>
  <c r="K29" i="11" s="1"/>
  <c r="I29" i="11"/>
  <c r="G29" i="11"/>
  <c r="H29" i="11" s="1"/>
  <c r="F29" i="11"/>
  <c r="D29" i="11"/>
  <c r="E29" i="11" s="1"/>
  <c r="C29" i="11"/>
  <c r="J28" i="11"/>
  <c r="K28" i="11" s="1"/>
  <c r="I28" i="11"/>
  <c r="G28" i="11"/>
  <c r="H28" i="11" s="1"/>
  <c r="F28" i="11"/>
  <c r="D28" i="11"/>
  <c r="E28" i="11" s="1"/>
  <c r="C28" i="11"/>
  <c r="J27" i="11"/>
  <c r="K27" i="11" s="1"/>
  <c r="I27" i="11"/>
  <c r="G27" i="11"/>
  <c r="H27" i="11" s="1"/>
  <c r="F27" i="11"/>
  <c r="D27" i="11"/>
  <c r="E27" i="11" s="1"/>
  <c r="C27" i="11"/>
  <c r="J26" i="11"/>
  <c r="K26" i="11" s="1"/>
  <c r="I26" i="11"/>
  <c r="G26" i="11"/>
  <c r="H26" i="11" s="1"/>
  <c r="F26" i="11"/>
  <c r="D26" i="11"/>
  <c r="E26" i="11" s="1"/>
  <c r="C26" i="11"/>
  <c r="J25" i="11"/>
  <c r="K25" i="11" s="1"/>
  <c r="I25" i="11"/>
  <c r="G25" i="11"/>
  <c r="H25" i="11" s="1"/>
  <c r="F25" i="11"/>
  <c r="D25" i="11"/>
  <c r="E25" i="11" s="1"/>
  <c r="C25" i="11"/>
  <c r="J24" i="11"/>
  <c r="K24" i="11" s="1"/>
  <c r="I24" i="11"/>
  <c r="G24" i="11"/>
  <c r="H24" i="11" s="1"/>
  <c r="F24" i="11"/>
  <c r="D24" i="11"/>
  <c r="E24" i="11" s="1"/>
  <c r="C24" i="11"/>
  <c r="J23" i="11"/>
  <c r="K23" i="11" s="1"/>
  <c r="I23" i="11"/>
  <c r="G23" i="11"/>
  <c r="H23" i="11" s="1"/>
  <c r="F23" i="11"/>
  <c r="D23" i="11"/>
  <c r="E23" i="11" s="1"/>
  <c r="C23" i="11"/>
  <c r="J22" i="11"/>
  <c r="K22" i="11" s="1"/>
  <c r="I22" i="11"/>
  <c r="G22" i="11"/>
  <c r="H22" i="11" s="1"/>
  <c r="F22" i="11"/>
  <c r="D22" i="11"/>
  <c r="E22" i="11" s="1"/>
  <c r="C22" i="11"/>
  <c r="J21" i="11"/>
  <c r="K21" i="11" s="1"/>
  <c r="I21" i="11"/>
  <c r="G21" i="11"/>
  <c r="H21" i="11" s="1"/>
  <c r="F21" i="11"/>
  <c r="D21" i="11"/>
  <c r="E21" i="11" s="1"/>
  <c r="C21" i="11"/>
  <c r="J20" i="11"/>
  <c r="K20" i="11" s="1"/>
  <c r="I20" i="11"/>
  <c r="G20" i="11"/>
  <c r="H20" i="11" s="1"/>
  <c r="F20" i="11"/>
  <c r="D20" i="11"/>
  <c r="E20" i="11" s="1"/>
  <c r="C20" i="11"/>
  <c r="J19" i="11"/>
  <c r="K19" i="11" s="1"/>
  <c r="I19" i="11"/>
  <c r="G19" i="11"/>
  <c r="H19" i="11" s="1"/>
  <c r="F19" i="11"/>
  <c r="D19" i="11"/>
  <c r="E19" i="11" s="1"/>
  <c r="C19" i="11"/>
  <c r="J18" i="11"/>
  <c r="K18" i="11" s="1"/>
  <c r="I18" i="11"/>
  <c r="G18" i="11"/>
  <c r="H18" i="11" s="1"/>
  <c r="F18" i="11"/>
  <c r="D18" i="11"/>
  <c r="E18" i="11" s="1"/>
  <c r="C18" i="11"/>
  <c r="J17" i="11"/>
  <c r="K17" i="11" s="1"/>
  <c r="I17" i="11"/>
  <c r="G17" i="11"/>
  <c r="H17" i="11" s="1"/>
  <c r="F17" i="11"/>
  <c r="D17" i="11"/>
  <c r="E17" i="11" s="1"/>
  <c r="C17" i="11"/>
  <c r="J16" i="11"/>
  <c r="K16" i="11" s="1"/>
  <c r="I16" i="11"/>
  <c r="G16" i="11"/>
  <c r="H16" i="11" s="1"/>
  <c r="F16" i="11"/>
  <c r="D16" i="11"/>
  <c r="E16" i="11" s="1"/>
  <c r="C16" i="11"/>
  <c r="J15" i="11"/>
  <c r="K15" i="11" s="1"/>
  <c r="I15" i="11"/>
  <c r="G15" i="11"/>
  <c r="H15" i="11" s="1"/>
  <c r="F15" i="11"/>
  <c r="D15" i="11"/>
  <c r="E15" i="11" s="1"/>
  <c r="C15" i="11"/>
  <c r="J14" i="11"/>
  <c r="K14" i="11" s="1"/>
  <c r="I14" i="11"/>
  <c r="G14" i="11"/>
  <c r="H14" i="11" s="1"/>
  <c r="F14" i="11"/>
  <c r="D14" i="11"/>
  <c r="E14" i="11" s="1"/>
  <c r="C14" i="11"/>
  <c r="J13" i="11"/>
  <c r="K13" i="11" s="1"/>
  <c r="I13" i="11"/>
  <c r="G13" i="11"/>
  <c r="H13" i="11" s="1"/>
  <c r="F13" i="11"/>
  <c r="D13" i="11"/>
  <c r="E13" i="11" s="1"/>
  <c r="C13" i="11"/>
  <c r="J12" i="11"/>
  <c r="K12" i="11" s="1"/>
  <c r="I12" i="11"/>
  <c r="G12" i="11"/>
  <c r="H12" i="11" s="1"/>
  <c r="F12" i="11"/>
  <c r="D12" i="11"/>
  <c r="E12" i="11" s="1"/>
  <c r="C12" i="11"/>
  <c r="J11" i="11"/>
  <c r="K11" i="11" s="1"/>
  <c r="I11" i="11"/>
  <c r="G11" i="11"/>
  <c r="H11" i="11" s="1"/>
  <c r="F11" i="11"/>
  <c r="D11" i="11"/>
  <c r="E11" i="11" s="1"/>
  <c r="C11" i="11"/>
  <c r="J10" i="11"/>
  <c r="K10" i="11" s="1"/>
  <c r="I10" i="11"/>
  <c r="G10" i="11"/>
  <c r="H10" i="11" s="1"/>
  <c r="F10" i="11"/>
  <c r="D10" i="11"/>
  <c r="E10" i="11" s="1"/>
  <c r="C10" i="11"/>
  <c r="J9" i="11"/>
  <c r="K9" i="11" s="1"/>
  <c r="I9" i="11"/>
  <c r="G9" i="11"/>
  <c r="H9" i="11" s="1"/>
  <c r="F9" i="11"/>
  <c r="D9" i="11"/>
  <c r="E9" i="11" s="1"/>
  <c r="C9" i="11"/>
  <c r="J8" i="11"/>
  <c r="K8" i="11" s="1"/>
  <c r="I8" i="11"/>
  <c r="G8" i="11"/>
  <c r="H8" i="11" s="1"/>
  <c r="F8" i="11"/>
  <c r="D8" i="11"/>
  <c r="E8" i="11" s="1"/>
  <c r="C8" i="11"/>
  <c r="J7" i="11"/>
  <c r="K7" i="11" s="1"/>
  <c r="I7" i="11"/>
  <c r="G7" i="11"/>
  <c r="H7" i="11" s="1"/>
  <c r="F7" i="11"/>
  <c r="D7" i="11"/>
  <c r="E7" i="11" s="1"/>
  <c r="C7" i="11"/>
  <c r="J6" i="11"/>
  <c r="I6" i="11"/>
  <c r="G6" i="11"/>
  <c r="F6" i="11"/>
  <c r="D6" i="11"/>
  <c r="C6" i="11"/>
  <c r="J86" i="10"/>
  <c r="K86" i="10" s="1"/>
  <c r="I86" i="10"/>
  <c r="G86" i="10"/>
  <c r="H86" i="10" s="1"/>
  <c r="F86" i="10"/>
  <c r="D86" i="10"/>
  <c r="E86" i="10" s="1"/>
  <c r="C86" i="10"/>
  <c r="J85" i="10"/>
  <c r="K85" i="10" s="1"/>
  <c r="I85" i="10"/>
  <c r="G85" i="10"/>
  <c r="H85" i="10" s="1"/>
  <c r="F85" i="10"/>
  <c r="D85" i="10"/>
  <c r="E85" i="10" s="1"/>
  <c r="J84" i="10"/>
  <c r="K84" i="10" s="1"/>
  <c r="I84" i="10"/>
  <c r="G84" i="10"/>
  <c r="H84" i="10" s="1"/>
  <c r="F84" i="10"/>
  <c r="D84" i="10"/>
  <c r="E84" i="10" s="1"/>
  <c r="C84" i="10"/>
  <c r="J83" i="10"/>
  <c r="K83" i="10" s="1"/>
  <c r="I83" i="10"/>
  <c r="G83" i="10"/>
  <c r="H83" i="10" s="1"/>
  <c r="F83" i="10"/>
  <c r="D83" i="10"/>
  <c r="E83" i="10" s="1"/>
  <c r="C83" i="10"/>
  <c r="J82" i="10"/>
  <c r="K82" i="10" s="1"/>
  <c r="I82" i="10"/>
  <c r="G82" i="10"/>
  <c r="H82" i="10" s="1"/>
  <c r="F82" i="10"/>
  <c r="D82" i="10"/>
  <c r="E82" i="10" s="1"/>
  <c r="C82" i="10"/>
  <c r="J81" i="10"/>
  <c r="K81" i="10" s="1"/>
  <c r="I81" i="10"/>
  <c r="G81" i="10"/>
  <c r="H81" i="10" s="1"/>
  <c r="F81" i="10"/>
  <c r="D81" i="10"/>
  <c r="E81" i="10" s="1"/>
  <c r="C81" i="10"/>
  <c r="J80" i="10"/>
  <c r="K80" i="10" s="1"/>
  <c r="I80" i="10"/>
  <c r="G80" i="10"/>
  <c r="H80" i="10" s="1"/>
  <c r="F80" i="10"/>
  <c r="D80" i="10"/>
  <c r="E80" i="10" s="1"/>
  <c r="C80" i="10"/>
  <c r="J79" i="10"/>
  <c r="K79" i="10" s="1"/>
  <c r="I79" i="10"/>
  <c r="G79" i="10"/>
  <c r="H79" i="10" s="1"/>
  <c r="F79" i="10"/>
  <c r="D79" i="10"/>
  <c r="E79" i="10" s="1"/>
  <c r="C79" i="10"/>
  <c r="J78" i="10"/>
  <c r="K78" i="10" s="1"/>
  <c r="I78" i="10"/>
  <c r="G78" i="10"/>
  <c r="H78" i="10" s="1"/>
  <c r="F78" i="10"/>
  <c r="D78" i="10"/>
  <c r="E78" i="10" s="1"/>
  <c r="C78" i="10"/>
  <c r="J77" i="10"/>
  <c r="K77" i="10" s="1"/>
  <c r="I77" i="10"/>
  <c r="G77" i="10"/>
  <c r="H77" i="10" s="1"/>
  <c r="F77" i="10"/>
  <c r="D77" i="10"/>
  <c r="E77" i="10" s="1"/>
  <c r="C77" i="10"/>
  <c r="J76" i="10"/>
  <c r="K76" i="10" s="1"/>
  <c r="I76" i="10"/>
  <c r="G76" i="10"/>
  <c r="H76" i="10" s="1"/>
  <c r="F76" i="10"/>
  <c r="D76" i="10"/>
  <c r="E76" i="10" s="1"/>
  <c r="C76" i="10"/>
  <c r="J75" i="10"/>
  <c r="K75" i="10" s="1"/>
  <c r="I75" i="10"/>
  <c r="G75" i="10"/>
  <c r="H75" i="10" s="1"/>
  <c r="F75" i="10"/>
  <c r="D75" i="10"/>
  <c r="E75" i="10" s="1"/>
  <c r="C75" i="10"/>
  <c r="J74" i="10"/>
  <c r="K74" i="10" s="1"/>
  <c r="I74" i="10"/>
  <c r="G74" i="10"/>
  <c r="H74" i="10" s="1"/>
  <c r="F74" i="10"/>
  <c r="D74" i="10"/>
  <c r="E74" i="10" s="1"/>
  <c r="C74" i="10"/>
  <c r="J73" i="10"/>
  <c r="K73" i="10" s="1"/>
  <c r="I73" i="10"/>
  <c r="G73" i="10"/>
  <c r="H73" i="10" s="1"/>
  <c r="F73" i="10"/>
  <c r="D73" i="10"/>
  <c r="E73" i="10" s="1"/>
  <c r="C73" i="10"/>
  <c r="J72" i="10"/>
  <c r="K72" i="10" s="1"/>
  <c r="I72" i="10"/>
  <c r="G72" i="10"/>
  <c r="H72" i="10" s="1"/>
  <c r="F72" i="10"/>
  <c r="D72" i="10"/>
  <c r="E72" i="10" s="1"/>
  <c r="C72" i="10"/>
  <c r="J71" i="10"/>
  <c r="K71" i="10" s="1"/>
  <c r="I71" i="10"/>
  <c r="G71" i="10"/>
  <c r="H71" i="10" s="1"/>
  <c r="F71" i="10"/>
  <c r="D71" i="10"/>
  <c r="E71" i="10" s="1"/>
  <c r="C71" i="10"/>
  <c r="J70" i="10"/>
  <c r="K70" i="10" s="1"/>
  <c r="I70" i="10"/>
  <c r="G70" i="10"/>
  <c r="H70" i="10" s="1"/>
  <c r="F70" i="10"/>
  <c r="D70" i="10"/>
  <c r="E70" i="10" s="1"/>
  <c r="C70" i="10"/>
  <c r="J69" i="10"/>
  <c r="K69" i="10" s="1"/>
  <c r="I69" i="10"/>
  <c r="G69" i="10"/>
  <c r="H69" i="10" s="1"/>
  <c r="F69" i="10"/>
  <c r="D69" i="10"/>
  <c r="E69" i="10" s="1"/>
  <c r="C69" i="10"/>
  <c r="J68" i="10"/>
  <c r="K68" i="10" s="1"/>
  <c r="I68" i="10"/>
  <c r="G68" i="10"/>
  <c r="H68" i="10" s="1"/>
  <c r="F68" i="10"/>
  <c r="D68" i="10"/>
  <c r="E68" i="10" s="1"/>
  <c r="C68" i="10"/>
  <c r="J67" i="10"/>
  <c r="K67" i="10" s="1"/>
  <c r="I67" i="10"/>
  <c r="G67" i="10"/>
  <c r="H67" i="10" s="1"/>
  <c r="F67" i="10"/>
  <c r="D67" i="10"/>
  <c r="E67" i="10" s="1"/>
  <c r="C67" i="10"/>
  <c r="J66" i="10"/>
  <c r="K66" i="10" s="1"/>
  <c r="I66" i="10"/>
  <c r="G66" i="10"/>
  <c r="H66" i="10" s="1"/>
  <c r="F66" i="10"/>
  <c r="D66" i="10"/>
  <c r="E66" i="10" s="1"/>
  <c r="C66" i="10"/>
  <c r="J65" i="10"/>
  <c r="K65" i="10" s="1"/>
  <c r="I65" i="10"/>
  <c r="G65" i="10"/>
  <c r="H65" i="10" s="1"/>
  <c r="F65" i="10"/>
  <c r="D65" i="10"/>
  <c r="E65" i="10" s="1"/>
  <c r="C65" i="10"/>
  <c r="J64" i="10"/>
  <c r="K64" i="10" s="1"/>
  <c r="I64" i="10"/>
  <c r="G64" i="10"/>
  <c r="H64" i="10" s="1"/>
  <c r="F64" i="10"/>
  <c r="D64" i="10"/>
  <c r="E64" i="10" s="1"/>
  <c r="C64" i="10"/>
  <c r="J63" i="10"/>
  <c r="K63" i="10" s="1"/>
  <c r="I63" i="10"/>
  <c r="G63" i="10"/>
  <c r="H63" i="10" s="1"/>
  <c r="F63" i="10"/>
  <c r="D63" i="10"/>
  <c r="E63" i="10" s="1"/>
  <c r="C63" i="10"/>
  <c r="J62" i="10"/>
  <c r="K62" i="10" s="1"/>
  <c r="I62" i="10"/>
  <c r="G62" i="10"/>
  <c r="H62" i="10" s="1"/>
  <c r="F62" i="10"/>
  <c r="D62" i="10"/>
  <c r="E62" i="10" s="1"/>
  <c r="C62" i="10"/>
  <c r="J61" i="10"/>
  <c r="K61" i="10" s="1"/>
  <c r="I61" i="10"/>
  <c r="G61" i="10"/>
  <c r="H61" i="10" s="1"/>
  <c r="F61" i="10"/>
  <c r="D61" i="10"/>
  <c r="E61" i="10" s="1"/>
  <c r="C61" i="10"/>
  <c r="J60" i="10"/>
  <c r="K60" i="10" s="1"/>
  <c r="I60" i="10"/>
  <c r="G60" i="10"/>
  <c r="H60" i="10" s="1"/>
  <c r="F60" i="10"/>
  <c r="D60" i="10"/>
  <c r="E60" i="10" s="1"/>
  <c r="C60" i="10"/>
  <c r="J59" i="10"/>
  <c r="K59" i="10" s="1"/>
  <c r="I59" i="10"/>
  <c r="G59" i="10"/>
  <c r="H59" i="10" s="1"/>
  <c r="F59" i="10"/>
  <c r="D59" i="10"/>
  <c r="E59" i="10" s="1"/>
  <c r="C59" i="10"/>
  <c r="J58" i="10"/>
  <c r="K58" i="10" s="1"/>
  <c r="I58" i="10"/>
  <c r="G58" i="10"/>
  <c r="H58" i="10" s="1"/>
  <c r="F58" i="10"/>
  <c r="D58" i="10"/>
  <c r="E58" i="10" s="1"/>
  <c r="C58" i="10"/>
  <c r="J57" i="10"/>
  <c r="K57" i="10" s="1"/>
  <c r="I57" i="10"/>
  <c r="G57" i="10"/>
  <c r="H57" i="10" s="1"/>
  <c r="F57" i="10"/>
  <c r="D57" i="10"/>
  <c r="E57" i="10" s="1"/>
  <c r="C57" i="10"/>
  <c r="J56" i="10"/>
  <c r="K56" i="10" s="1"/>
  <c r="I56" i="10"/>
  <c r="G56" i="10"/>
  <c r="H56" i="10" s="1"/>
  <c r="F56" i="10"/>
  <c r="D56" i="10"/>
  <c r="E56" i="10" s="1"/>
  <c r="C56" i="10"/>
  <c r="J55" i="10"/>
  <c r="K55" i="10" s="1"/>
  <c r="I55" i="10"/>
  <c r="G55" i="10"/>
  <c r="H55" i="10" s="1"/>
  <c r="F55" i="10"/>
  <c r="D55" i="10"/>
  <c r="E55" i="10" s="1"/>
  <c r="C55" i="10"/>
  <c r="J54" i="10"/>
  <c r="K54" i="10" s="1"/>
  <c r="I54" i="10"/>
  <c r="G54" i="10"/>
  <c r="H54" i="10" s="1"/>
  <c r="F54" i="10"/>
  <c r="D54" i="10"/>
  <c r="E54" i="10" s="1"/>
  <c r="C54" i="10"/>
  <c r="J53" i="10"/>
  <c r="K53" i="10" s="1"/>
  <c r="I53" i="10"/>
  <c r="G53" i="10"/>
  <c r="H53" i="10" s="1"/>
  <c r="F53" i="10"/>
  <c r="D53" i="10"/>
  <c r="E53" i="10" s="1"/>
  <c r="C53" i="10"/>
  <c r="J52" i="10"/>
  <c r="K52" i="10" s="1"/>
  <c r="I52" i="10"/>
  <c r="G52" i="10"/>
  <c r="H52" i="10" s="1"/>
  <c r="F52" i="10"/>
  <c r="D52" i="10"/>
  <c r="E52" i="10" s="1"/>
  <c r="C52" i="10"/>
  <c r="J51" i="10"/>
  <c r="K51" i="10" s="1"/>
  <c r="I51" i="10"/>
  <c r="G51" i="10"/>
  <c r="H51" i="10" s="1"/>
  <c r="F51" i="10"/>
  <c r="D51" i="10"/>
  <c r="E51" i="10" s="1"/>
  <c r="C51" i="10"/>
  <c r="J50" i="10"/>
  <c r="K50" i="10" s="1"/>
  <c r="I50" i="10"/>
  <c r="G50" i="10"/>
  <c r="H50" i="10" s="1"/>
  <c r="F50" i="10"/>
  <c r="D50" i="10"/>
  <c r="E50" i="10" s="1"/>
  <c r="C50" i="10"/>
  <c r="J49" i="10"/>
  <c r="K49" i="10" s="1"/>
  <c r="I49" i="10"/>
  <c r="G49" i="10"/>
  <c r="H49" i="10" s="1"/>
  <c r="F49" i="10"/>
  <c r="D49" i="10"/>
  <c r="E49" i="10" s="1"/>
  <c r="C49" i="10"/>
  <c r="J48" i="10"/>
  <c r="K48" i="10" s="1"/>
  <c r="I48" i="10"/>
  <c r="G48" i="10"/>
  <c r="H48" i="10" s="1"/>
  <c r="F48" i="10"/>
  <c r="D48" i="10"/>
  <c r="E48" i="10" s="1"/>
  <c r="C48" i="10"/>
  <c r="J47" i="10"/>
  <c r="K47" i="10" s="1"/>
  <c r="I47" i="10"/>
  <c r="G47" i="10"/>
  <c r="H47" i="10" s="1"/>
  <c r="F47" i="10"/>
  <c r="D47" i="10"/>
  <c r="E47" i="10" s="1"/>
  <c r="C47" i="10"/>
  <c r="J46" i="10"/>
  <c r="K46" i="10" s="1"/>
  <c r="I46" i="10"/>
  <c r="G46" i="10"/>
  <c r="H46" i="10" s="1"/>
  <c r="F46" i="10"/>
  <c r="D46" i="10"/>
  <c r="E46" i="10" s="1"/>
  <c r="C46" i="10"/>
  <c r="J45" i="10"/>
  <c r="K45" i="10" s="1"/>
  <c r="I45" i="10"/>
  <c r="G45" i="10"/>
  <c r="H45" i="10" s="1"/>
  <c r="F45" i="10"/>
  <c r="D45" i="10"/>
  <c r="E45" i="10" s="1"/>
  <c r="C45" i="10"/>
  <c r="J44" i="10"/>
  <c r="K44" i="10" s="1"/>
  <c r="I44" i="10"/>
  <c r="G44" i="10"/>
  <c r="H44" i="10" s="1"/>
  <c r="F44" i="10"/>
  <c r="D44" i="10"/>
  <c r="E44" i="10" s="1"/>
  <c r="C44" i="10"/>
  <c r="J43" i="10"/>
  <c r="K43" i="10" s="1"/>
  <c r="I43" i="10"/>
  <c r="G43" i="10"/>
  <c r="H43" i="10" s="1"/>
  <c r="F43" i="10"/>
  <c r="D43" i="10"/>
  <c r="E43" i="10" s="1"/>
  <c r="C43" i="10"/>
  <c r="J42" i="10"/>
  <c r="K42" i="10" s="1"/>
  <c r="I42" i="10"/>
  <c r="G42" i="10"/>
  <c r="H42" i="10" s="1"/>
  <c r="F42" i="10"/>
  <c r="D42" i="10"/>
  <c r="E42" i="10" s="1"/>
  <c r="C42" i="10"/>
  <c r="J41" i="10"/>
  <c r="K41" i="10" s="1"/>
  <c r="I41" i="10"/>
  <c r="G41" i="10"/>
  <c r="H41" i="10" s="1"/>
  <c r="F41" i="10"/>
  <c r="D41" i="10"/>
  <c r="E41" i="10" s="1"/>
  <c r="C41" i="10"/>
  <c r="J40" i="10"/>
  <c r="K40" i="10" s="1"/>
  <c r="I40" i="10"/>
  <c r="G40" i="10"/>
  <c r="H40" i="10" s="1"/>
  <c r="F40" i="10"/>
  <c r="D40" i="10"/>
  <c r="E40" i="10" s="1"/>
  <c r="C40" i="10"/>
  <c r="J39" i="10"/>
  <c r="K39" i="10" s="1"/>
  <c r="I39" i="10"/>
  <c r="G39" i="10"/>
  <c r="H39" i="10" s="1"/>
  <c r="F39" i="10"/>
  <c r="D39" i="10"/>
  <c r="E39" i="10" s="1"/>
  <c r="C39" i="10"/>
  <c r="J38" i="10"/>
  <c r="K38" i="10" s="1"/>
  <c r="I38" i="10"/>
  <c r="G38" i="10"/>
  <c r="H38" i="10" s="1"/>
  <c r="F38" i="10"/>
  <c r="D38" i="10"/>
  <c r="E38" i="10" s="1"/>
  <c r="C38" i="10"/>
  <c r="J37" i="10"/>
  <c r="K37" i="10" s="1"/>
  <c r="I37" i="10"/>
  <c r="G37" i="10"/>
  <c r="H37" i="10" s="1"/>
  <c r="F37" i="10"/>
  <c r="D37" i="10"/>
  <c r="E37" i="10" s="1"/>
  <c r="C37" i="10"/>
  <c r="J36" i="10"/>
  <c r="K36" i="10" s="1"/>
  <c r="I36" i="10"/>
  <c r="G36" i="10"/>
  <c r="H36" i="10" s="1"/>
  <c r="F36" i="10"/>
  <c r="D36" i="10"/>
  <c r="E36" i="10" s="1"/>
  <c r="C36" i="10"/>
  <c r="J35" i="10"/>
  <c r="K35" i="10" s="1"/>
  <c r="I35" i="10"/>
  <c r="G35" i="10"/>
  <c r="H35" i="10" s="1"/>
  <c r="F35" i="10"/>
  <c r="D35" i="10"/>
  <c r="E35" i="10" s="1"/>
  <c r="C35" i="10"/>
  <c r="J34" i="10"/>
  <c r="K34" i="10" s="1"/>
  <c r="I34" i="10"/>
  <c r="G34" i="10"/>
  <c r="H34" i="10" s="1"/>
  <c r="F34" i="10"/>
  <c r="D34" i="10"/>
  <c r="E34" i="10" s="1"/>
  <c r="C34" i="10"/>
  <c r="J33" i="10"/>
  <c r="K33" i="10" s="1"/>
  <c r="I33" i="10"/>
  <c r="G33" i="10"/>
  <c r="H33" i="10" s="1"/>
  <c r="F33" i="10"/>
  <c r="D33" i="10"/>
  <c r="E33" i="10" s="1"/>
  <c r="C33" i="10"/>
  <c r="J32" i="10"/>
  <c r="K32" i="10" s="1"/>
  <c r="I32" i="10"/>
  <c r="G32" i="10"/>
  <c r="H32" i="10" s="1"/>
  <c r="F32" i="10"/>
  <c r="D32" i="10"/>
  <c r="E32" i="10" s="1"/>
  <c r="C32" i="10"/>
  <c r="J31" i="10"/>
  <c r="K31" i="10" s="1"/>
  <c r="I31" i="10"/>
  <c r="G31" i="10"/>
  <c r="H31" i="10" s="1"/>
  <c r="F31" i="10"/>
  <c r="D31" i="10"/>
  <c r="E31" i="10" s="1"/>
  <c r="C31" i="10"/>
  <c r="J30" i="10"/>
  <c r="K30" i="10" s="1"/>
  <c r="I30" i="10"/>
  <c r="G30" i="10"/>
  <c r="H30" i="10" s="1"/>
  <c r="F30" i="10"/>
  <c r="D30" i="10"/>
  <c r="E30" i="10" s="1"/>
  <c r="C30" i="10"/>
  <c r="J29" i="10"/>
  <c r="K29" i="10" s="1"/>
  <c r="I29" i="10"/>
  <c r="G29" i="10"/>
  <c r="H29" i="10" s="1"/>
  <c r="F29" i="10"/>
  <c r="D29" i="10"/>
  <c r="E29" i="10" s="1"/>
  <c r="C29" i="10"/>
  <c r="J28" i="10"/>
  <c r="K28" i="10" s="1"/>
  <c r="I28" i="10"/>
  <c r="G28" i="10"/>
  <c r="H28" i="10" s="1"/>
  <c r="F28" i="10"/>
  <c r="D28" i="10"/>
  <c r="E28" i="10" s="1"/>
  <c r="C28" i="10"/>
  <c r="J27" i="10"/>
  <c r="K27" i="10" s="1"/>
  <c r="I27" i="10"/>
  <c r="G27" i="10"/>
  <c r="H27" i="10" s="1"/>
  <c r="F27" i="10"/>
  <c r="D27" i="10"/>
  <c r="E27" i="10" s="1"/>
  <c r="C27" i="10"/>
  <c r="J26" i="10"/>
  <c r="K26" i="10" s="1"/>
  <c r="I26" i="10"/>
  <c r="G26" i="10"/>
  <c r="H26" i="10" s="1"/>
  <c r="F26" i="10"/>
  <c r="D26" i="10"/>
  <c r="E26" i="10" s="1"/>
  <c r="C26" i="10"/>
  <c r="J25" i="10"/>
  <c r="K25" i="10" s="1"/>
  <c r="I25" i="10"/>
  <c r="G25" i="10"/>
  <c r="H25" i="10" s="1"/>
  <c r="F25" i="10"/>
  <c r="D25" i="10"/>
  <c r="E25" i="10" s="1"/>
  <c r="C25" i="10"/>
  <c r="J24" i="10"/>
  <c r="K24" i="10" s="1"/>
  <c r="I24" i="10"/>
  <c r="G24" i="10"/>
  <c r="H24" i="10" s="1"/>
  <c r="F24" i="10"/>
  <c r="D24" i="10"/>
  <c r="E24" i="10" s="1"/>
  <c r="C24" i="10"/>
  <c r="J23" i="10"/>
  <c r="K23" i="10" s="1"/>
  <c r="I23" i="10"/>
  <c r="G23" i="10"/>
  <c r="H23" i="10" s="1"/>
  <c r="F23" i="10"/>
  <c r="D23" i="10"/>
  <c r="E23" i="10" s="1"/>
  <c r="C23" i="10"/>
  <c r="J22" i="10"/>
  <c r="K22" i="10" s="1"/>
  <c r="I22" i="10"/>
  <c r="G22" i="10"/>
  <c r="H22" i="10" s="1"/>
  <c r="F22" i="10"/>
  <c r="D22" i="10"/>
  <c r="E22" i="10" s="1"/>
  <c r="C22" i="10"/>
  <c r="J21" i="10"/>
  <c r="K21" i="10" s="1"/>
  <c r="I21" i="10"/>
  <c r="G21" i="10"/>
  <c r="H21" i="10" s="1"/>
  <c r="F21" i="10"/>
  <c r="D21" i="10"/>
  <c r="E21" i="10" s="1"/>
  <c r="C21" i="10"/>
  <c r="J20" i="10"/>
  <c r="K20" i="10" s="1"/>
  <c r="I20" i="10"/>
  <c r="G20" i="10"/>
  <c r="H20" i="10" s="1"/>
  <c r="F20" i="10"/>
  <c r="D20" i="10"/>
  <c r="E20" i="10" s="1"/>
  <c r="C20" i="10"/>
  <c r="J19" i="10"/>
  <c r="K19" i="10" s="1"/>
  <c r="I19" i="10"/>
  <c r="G19" i="10"/>
  <c r="H19" i="10" s="1"/>
  <c r="F19" i="10"/>
  <c r="D19" i="10"/>
  <c r="E19" i="10" s="1"/>
  <c r="C19" i="10"/>
  <c r="J18" i="10"/>
  <c r="K18" i="10" s="1"/>
  <c r="I18" i="10"/>
  <c r="G18" i="10"/>
  <c r="H18" i="10" s="1"/>
  <c r="F18" i="10"/>
  <c r="D18" i="10"/>
  <c r="E18" i="10" s="1"/>
  <c r="C18" i="10"/>
  <c r="J17" i="10"/>
  <c r="K17" i="10" s="1"/>
  <c r="I17" i="10"/>
  <c r="G17" i="10"/>
  <c r="H17" i="10" s="1"/>
  <c r="F17" i="10"/>
  <c r="D17" i="10"/>
  <c r="E17" i="10" s="1"/>
  <c r="C17" i="10"/>
  <c r="J16" i="10"/>
  <c r="K16" i="10" s="1"/>
  <c r="I16" i="10"/>
  <c r="G16" i="10"/>
  <c r="H16" i="10" s="1"/>
  <c r="F16" i="10"/>
  <c r="D16" i="10"/>
  <c r="E16" i="10" s="1"/>
  <c r="C16" i="10"/>
  <c r="J15" i="10"/>
  <c r="K15" i="10" s="1"/>
  <c r="I15" i="10"/>
  <c r="G15" i="10"/>
  <c r="H15" i="10" s="1"/>
  <c r="F15" i="10"/>
  <c r="D15" i="10"/>
  <c r="E15" i="10" s="1"/>
  <c r="C15" i="10"/>
  <c r="J14" i="10"/>
  <c r="K14" i="10" s="1"/>
  <c r="I14" i="10"/>
  <c r="G14" i="10"/>
  <c r="H14" i="10" s="1"/>
  <c r="F14" i="10"/>
  <c r="D14" i="10"/>
  <c r="E14" i="10" s="1"/>
  <c r="C14" i="10"/>
  <c r="J13" i="10"/>
  <c r="K13" i="10" s="1"/>
  <c r="I13" i="10"/>
  <c r="G13" i="10"/>
  <c r="H13" i="10" s="1"/>
  <c r="F13" i="10"/>
  <c r="D13" i="10"/>
  <c r="E13" i="10" s="1"/>
  <c r="C13" i="10"/>
  <c r="J12" i="10"/>
  <c r="K12" i="10" s="1"/>
  <c r="I12" i="10"/>
  <c r="G12" i="10"/>
  <c r="H12" i="10" s="1"/>
  <c r="F12" i="10"/>
  <c r="D12" i="10"/>
  <c r="E12" i="10" s="1"/>
  <c r="C12" i="10"/>
  <c r="J11" i="10"/>
  <c r="K11" i="10" s="1"/>
  <c r="I11" i="10"/>
  <c r="G11" i="10"/>
  <c r="H11" i="10" s="1"/>
  <c r="F11" i="10"/>
  <c r="D11" i="10"/>
  <c r="E11" i="10" s="1"/>
  <c r="C11" i="10"/>
  <c r="J10" i="10"/>
  <c r="K10" i="10" s="1"/>
  <c r="I10" i="10"/>
  <c r="G10" i="10"/>
  <c r="H10" i="10" s="1"/>
  <c r="F10" i="10"/>
  <c r="D10" i="10"/>
  <c r="E10" i="10" s="1"/>
  <c r="C10" i="10"/>
  <c r="J9" i="10"/>
  <c r="K9" i="10" s="1"/>
  <c r="I9" i="10"/>
  <c r="G9" i="10"/>
  <c r="H9" i="10" s="1"/>
  <c r="F9" i="10"/>
  <c r="D9" i="10"/>
  <c r="E9" i="10" s="1"/>
  <c r="C9" i="10"/>
  <c r="J8" i="10"/>
  <c r="K8" i="10" s="1"/>
  <c r="I8" i="10"/>
  <c r="G8" i="10"/>
  <c r="H8" i="10" s="1"/>
  <c r="F8" i="10"/>
  <c r="D8" i="10"/>
  <c r="E8" i="10" s="1"/>
  <c r="C8" i="10"/>
  <c r="J7" i="10"/>
  <c r="K7" i="10" s="1"/>
  <c r="I7" i="10"/>
  <c r="G7" i="10"/>
  <c r="H7" i="10" s="1"/>
  <c r="F7" i="10"/>
  <c r="D7" i="10"/>
  <c r="E7" i="10" s="1"/>
  <c r="C7" i="10"/>
  <c r="J6" i="10"/>
  <c r="I6" i="10"/>
  <c r="G6" i="10"/>
  <c r="F6" i="10"/>
  <c r="D6" i="10"/>
  <c r="C6" i="10"/>
  <c r="J86" i="9"/>
  <c r="K86" i="9" s="1"/>
  <c r="I86" i="9"/>
  <c r="G86" i="9"/>
  <c r="H86" i="9" s="1"/>
  <c r="F86" i="9"/>
  <c r="D86" i="9"/>
  <c r="E86" i="9" s="1"/>
  <c r="C86" i="9"/>
  <c r="J85" i="9"/>
  <c r="K85" i="9" s="1"/>
  <c r="I85" i="9"/>
  <c r="G85" i="9"/>
  <c r="H85" i="9" s="1"/>
  <c r="F85" i="9"/>
  <c r="D85" i="9"/>
  <c r="E85" i="9" s="1"/>
  <c r="C85" i="9"/>
  <c r="J84" i="9"/>
  <c r="K84" i="9" s="1"/>
  <c r="I84" i="9"/>
  <c r="G84" i="9"/>
  <c r="H84" i="9" s="1"/>
  <c r="F84" i="9"/>
  <c r="D84" i="9"/>
  <c r="E84" i="9" s="1"/>
  <c r="C84" i="9"/>
  <c r="J83" i="9"/>
  <c r="K83" i="9" s="1"/>
  <c r="I83" i="9"/>
  <c r="G83" i="9"/>
  <c r="H83" i="9" s="1"/>
  <c r="F83" i="9"/>
  <c r="D83" i="9"/>
  <c r="E83" i="9" s="1"/>
  <c r="C83" i="9"/>
  <c r="J82" i="9"/>
  <c r="K82" i="9" s="1"/>
  <c r="I82" i="9"/>
  <c r="G82" i="9"/>
  <c r="H82" i="9" s="1"/>
  <c r="F82" i="9"/>
  <c r="D82" i="9"/>
  <c r="E82" i="9" s="1"/>
  <c r="C82" i="9"/>
  <c r="J81" i="9"/>
  <c r="K81" i="9" s="1"/>
  <c r="I81" i="9"/>
  <c r="G81" i="9"/>
  <c r="H81" i="9" s="1"/>
  <c r="F81" i="9"/>
  <c r="D81" i="9"/>
  <c r="E81" i="9" s="1"/>
  <c r="C81" i="9"/>
  <c r="J80" i="9"/>
  <c r="K80" i="9" s="1"/>
  <c r="I80" i="9"/>
  <c r="G80" i="9"/>
  <c r="H80" i="9" s="1"/>
  <c r="F80" i="9"/>
  <c r="D80" i="9"/>
  <c r="E80" i="9" s="1"/>
  <c r="C80" i="9"/>
  <c r="J79" i="9"/>
  <c r="K79" i="9" s="1"/>
  <c r="I79" i="9"/>
  <c r="G79" i="9"/>
  <c r="H79" i="9" s="1"/>
  <c r="F79" i="9"/>
  <c r="D79" i="9"/>
  <c r="E79" i="9" s="1"/>
  <c r="C79" i="9"/>
  <c r="J78" i="9"/>
  <c r="K78" i="9" s="1"/>
  <c r="I78" i="9"/>
  <c r="G78" i="9"/>
  <c r="H78" i="9" s="1"/>
  <c r="F78" i="9"/>
  <c r="D78" i="9"/>
  <c r="E78" i="9" s="1"/>
  <c r="C78" i="9"/>
  <c r="J77" i="9"/>
  <c r="K77" i="9" s="1"/>
  <c r="I77" i="9"/>
  <c r="G77" i="9"/>
  <c r="H77" i="9" s="1"/>
  <c r="F77" i="9"/>
  <c r="D77" i="9"/>
  <c r="E77" i="9" s="1"/>
  <c r="C77" i="9"/>
  <c r="J76" i="9"/>
  <c r="K76" i="9" s="1"/>
  <c r="I76" i="9"/>
  <c r="G76" i="9"/>
  <c r="H76" i="9" s="1"/>
  <c r="F76" i="9"/>
  <c r="D76" i="9"/>
  <c r="E76" i="9" s="1"/>
  <c r="C76" i="9"/>
  <c r="J75" i="9"/>
  <c r="K75" i="9" s="1"/>
  <c r="I75" i="9"/>
  <c r="G75" i="9"/>
  <c r="H75" i="9" s="1"/>
  <c r="F75" i="9"/>
  <c r="D75" i="9"/>
  <c r="E75" i="9" s="1"/>
  <c r="C75" i="9"/>
  <c r="J74" i="9"/>
  <c r="K74" i="9" s="1"/>
  <c r="I74" i="9"/>
  <c r="G74" i="9"/>
  <c r="H74" i="9" s="1"/>
  <c r="F74" i="9"/>
  <c r="D74" i="9"/>
  <c r="E74" i="9" s="1"/>
  <c r="C74" i="9"/>
  <c r="J73" i="9"/>
  <c r="K73" i="9" s="1"/>
  <c r="I73" i="9"/>
  <c r="G73" i="9"/>
  <c r="H73" i="9" s="1"/>
  <c r="F73" i="9"/>
  <c r="D73" i="9"/>
  <c r="E73" i="9" s="1"/>
  <c r="C73" i="9"/>
  <c r="J72" i="9"/>
  <c r="K72" i="9" s="1"/>
  <c r="I72" i="9"/>
  <c r="G72" i="9"/>
  <c r="H72" i="9" s="1"/>
  <c r="F72" i="9"/>
  <c r="D72" i="9"/>
  <c r="E72" i="9" s="1"/>
  <c r="C72" i="9"/>
  <c r="J71" i="9"/>
  <c r="K71" i="9" s="1"/>
  <c r="I71" i="9"/>
  <c r="G71" i="9"/>
  <c r="H71" i="9" s="1"/>
  <c r="F71" i="9"/>
  <c r="D71" i="9"/>
  <c r="E71" i="9" s="1"/>
  <c r="C71" i="9"/>
  <c r="J70" i="9"/>
  <c r="K70" i="9" s="1"/>
  <c r="I70" i="9"/>
  <c r="G70" i="9"/>
  <c r="H70" i="9" s="1"/>
  <c r="F70" i="9"/>
  <c r="D70" i="9"/>
  <c r="E70" i="9" s="1"/>
  <c r="C70" i="9"/>
  <c r="J69" i="9"/>
  <c r="K69" i="9" s="1"/>
  <c r="I69" i="9"/>
  <c r="G69" i="9"/>
  <c r="H69" i="9" s="1"/>
  <c r="F69" i="9"/>
  <c r="D69" i="9"/>
  <c r="E69" i="9" s="1"/>
  <c r="C69" i="9"/>
  <c r="J68" i="9"/>
  <c r="K68" i="9" s="1"/>
  <c r="I68" i="9"/>
  <c r="G68" i="9"/>
  <c r="H68" i="9" s="1"/>
  <c r="F68" i="9"/>
  <c r="D68" i="9"/>
  <c r="E68" i="9" s="1"/>
  <c r="C68" i="9"/>
  <c r="J67" i="9"/>
  <c r="K67" i="9" s="1"/>
  <c r="I67" i="9"/>
  <c r="G67" i="9"/>
  <c r="H67" i="9" s="1"/>
  <c r="F67" i="9"/>
  <c r="D67" i="9"/>
  <c r="E67" i="9" s="1"/>
  <c r="C67" i="9"/>
  <c r="J66" i="9"/>
  <c r="K66" i="9" s="1"/>
  <c r="I66" i="9"/>
  <c r="G66" i="9"/>
  <c r="H66" i="9" s="1"/>
  <c r="F66" i="9"/>
  <c r="D66" i="9"/>
  <c r="E66" i="9" s="1"/>
  <c r="C66" i="9"/>
  <c r="J65" i="9"/>
  <c r="K65" i="9" s="1"/>
  <c r="I65" i="9"/>
  <c r="G65" i="9"/>
  <c r="H65" i="9" s="1"/>
  <c r="F65" i="9"/>
  <c r="D65" i="9"/>
  <c r="E65" i="9" s="1"/>
  <c r="C65" i="9"/>
  <c r="J64" i="9"/>
  <c r="K64" i="9" s="1"/>
  <c r="I64" i="9"/>
  <c r="G64" i="9"/>
  <c r="H64" i="9" s="1"/>
  <c r="F64" i="9"/>
  <c r="D64" i="9"/>
  <c r="E64" i="9" s="1"/>
  <c r="C64" i="9"/>
  <c r="J63" i="9"/>
  <c r="K63" i="9" s="1"/>
  <c r="I63" i="9"/>
  <c r="G63" i="9"/>
  <c r="H63" i="9" s="1"/>
  <c r="F63" i="9"/>
  <c r="D63" i="9"/>
  <c r="E63" i="9" s="1"/>
  <c r="C63" i="9"/>
  <c r="J62" i="9"/>
  <c r="K62" i="9" s="1"/>
  <c r="I62" i="9"/>
  <c r="G62" i="9"/>
  <c r="H62" i="9" s="1"/>
  <c r="F62" i="9"/>
  <c r="D62" i="9"/>
  <c r="E62" i="9" s="1"/>
  <c r="C62" i="9"/>
  <c r="J61" i="9"/>
  <c r="K61" i="9" s="1"/>
  <c r="I61" i="9"/>
  <c r="G61" i="9"/>
  <c r="H61" i="9" s="1"/>
  <c r="F61" i="9"/>
  <c r="D61" i="9"/>
  <c r="E61" i="9" s="1"/>
  <c r="C61" i="9"/>
  <c r="J60" i="9"/>
  <c r="K60" i="9" s="1"/>
  <c r="I60" i="9"/>
  <c r="G60" i="9"/>
  <c r="H60" i="9" s="1"/>
  <c r="F60" i="9"/>
  <c r="D60" i="9"/>
  <c r="E60" i="9" s="1"/>
  <c r="C60" i="9"/>
  <c r="J59" i="9"/>
  <c r="K59" i="9" s="1"/>
  <c r="I59" i="9"/>
  <c r="G59" i="9"/>
  <c r="H59" i="9" s="1"/>
  <c r="F59" i="9"/>
  <c r="D59" i="9"/>
  <c r="E59" i="9" s="1"/>
  <c r="C59" i="9"/>
  <c r="J58" i="9"/>
  <c r="K58" i="9" s="1"/>
  <c r="I58" i="9"/>
  <c r="G58" i="9"/>
  <c r="H58" i="9" s="1"/>
  <c r="F58" i="9"/>
  <c r="D58" i="9"/>
  <c r="E58" i="9" s="1"/>
  <c r="C58" i="9"/>
  <c r="J57" i="9"/>
  <c r="K57" i="9" s="1"/>
  <c r="I57" i="9"/>
  <c r="G57" i="9"/>
  <c r="H57" i="9" s="1"/>
  <c r="F57" i="9"/>
  <c r="D57" i="9"/>
  <c r="E57" i="9" s="1"/>
  <c r="C57" i="9"/>
  <c r="J56" i="9"/>
  <c r="K56" i="9" s="1"/>
  <c r="I56" i="9"/>
  <c r="G56" i="9"/>
  <c r="H56" i="9" s="1"/>
  <c r="F56" i="9"/>
  <c r="D56" i="9"/>
  <c r="E56" i="9" s="1"/>
  <c r="C56" i="9"/>
  <c r="J55" i="9"/>
  <c r="K55" i="9" s="1"/>
  <c r="I55" i="9"/>
  <c r="G55" i="9"/>
  <c r="H55" i="9" s="1"/>
  <c r="F55" i="9"/>
  <c r="D55" i="9"/>
  <c r="E55" i="9" s="1"/>
  <c r="C55" i="9"/>
  <c r="J54" i="9"/>
  <c r="K54" i="9" s="1"/>
  <c r="I54" i="9"/>
  <c r="G54" i="9"/>
  <c r="H54" i="9" s="1"/>
  <c r="F54" i="9"/>
  <c r="D54" i="9"/>
  <c r="E54" i="9" s="1"/>
  <c r="C54" i="9"/>
  <c r="J53" i="9"/>
  <c r="K53" i="9" s="1"/>
  <c r="I53" i="9"/>
  <c r="G53" i="9"/>
  <c r="H53" i="9" s="1"/>
  <c r="F53" i="9"/>
  <c r="D53" i="9"/>
  <c r="E53" i="9" s="1"/>
  <c r="C53" i="9"/>
  <c r="J52" i="9"/>
  <c r="K52" i="9" s="1"/>
  <c r="I52" i="9"/>
  <c r="G52" i="9"/>
  <c r="H52" i="9" s="1"/>
  <c r="F52" i="9"/>
  <c r="D52" i="9"/>
  <c r="E52" i="9" s="1"/>
  <c r="C52" i="9"/>
  <c r="J51" i="9"/>
  <c r="K51" i="9" s="1"/>
  <c r="I51" i="9"/>
  <c r="G51" i="9"/>
  <c r="H51" i="9" s="1"/>
  <c r="F51" i="9"/>
  <c r="D51" i="9"/>
  <c r="E51" i="9" s="1"/>
  <c r="C51" i="9"/>
  <c r="J50" i="9"/>
  <c r="K50" i="9" s="1"/>
  <c r="I50" i="9"/>
  <c r="G50" i="9"/>
  <c r="H50" i="9" s="1"/>
  <c r="F50" i="9"/>
  <c r="D50" i="9"/>
  <c r="E50" i="9" s="1"/>
  <c r="C50" i="9"/>
  <c r="J49" i="9"/>
  <c r="K49" i="9" s="1"/>
  <c r="I49" i="9"/>
  <c r="G49" i="9"/>
  <c r="H49" i="9" s="1"/>
  <c r="F49" i="9"/>
  <c r="D49" i="9"/>
  <c r="E49" i="9" s="1"/>
  <c r="C49" i="9"/>
  <c r="J48" i="9"/>
  <c r="K48" i="9" s="1"/>
  <c r="I48" i="9"/>
  <c r="G48" i="9"/>
  <c r="H48" i="9" s="1"/>
  <c r="F48" i="9"/>
  <c r="D48" i="9"/>
  <c r="E48" i="9" s="1"/>
  <c r="C48" i="9"/>
  <c r="J47" i="9"/>
  <c r="K47" i="9" s="1"/>
  <c r="I47" i="9"/>
  <c r="G47" i="9"/>
  <c r="H47" i="9" s="1"/>
  <c r="F47" i="9"/>
  <c r="D47" i="9"/>
  <c r="E47" i="9" s="1"/>
  <c r="C47" i="9"/>
  <c r="J46" i="9"/>
  <c r="K46" i="9" s="1"/>
  <c r="I46" i="9"/>
  <c r="G46" i="9"/>
  <c r="H46" i="9" s="1"/>
  <c r="F46" i="9"/>
  <c r="D46" i="9"/>
  <c r="E46" i="9" s="1"/>
  <c r="C46" i="9"/>
  <c r="J45" i="9"/>
  <c r="K45" i="9" s="1"/>
  <c r="I45" i="9"/>
  <c r="G45" i="9"/>
  <c r="H45" i="9" s="1"/>
  <c r="F45" i="9"/>
  <c r="D45" i="9"/>
  <c r="E45" i="9" s="1"/>
  <c r="C45" i="9"/>
  <c r="J44" i="9"/>
  <c r="K44" i="9" s="1"/>
  <c r="I44" i="9"/>
  <c r="G44" i="9"/>
  <c r="H44" i="9" s="1"/>
  <c r="F44" i="9"/>
  <c r="D44" i="9"/>
  <c r="E44" i="9" s="1"/>
  <c r="C44" i="9"/>
  <c r="J43" i="9"/>
  <c r="K43" i="9" s="1"/>
  <c r="I43" i="9"/>
  <c r="G43" i="9"/>
  <c r="H43" i="9" s="1"/>
  <c r="F43" i="9"/>
  <c r="D43" i="9"/>
  <c r="E43" i="9" s="1"/>
  <c r="C43" i="9"/>
  <c r="J42" i="9"/>
  <c r="K42" i="9" s="1"/>
  <c r="I42" i="9"/>
  <c r="G42" i="9"/>
  <c r="H42" i="9" s="1"/>
  <c r="F42" i="9"/>
  <c r="D42" i="9"/>
  <c r="E42" i="9" s="1"/>
  <c r="C42" i="9"/>
  <c r="J41" i="9"/>
  <c r="K41" i="9" s="1"/>
  <c r="I41" i="9"/>
  <c r="G41" i="9"/>
  <c r="H41" i="9" s="1"/>
  <c r="F41" i="9"/>
  <c r="D41" i="9"/>
  <c r="E41" i="9" s="1"/>
  <c r="C41" i="9"/>
  <c r="J40" i="9"/>
  <c r="K40" i="9" s="1"/>
  <c r="I40" i="9"/>
  <c r="G40" i="9"/>
  <c r="H40" i="9" s="1"/>
  <c r="F40" i="9"/>
  <c r="D40" i="9"/>
  <c r="E40" i="9" s="1"/>
  <c r="C40" i="9"/>
  <c r="J39" i="9"/>
  <c r="K39" i="9" s="1"/>
  <c r="I39" i="9"/>
  <c r="G39" i="9"/>
  <c r="H39" i="9" s="1"/>
  <c r="F39" i="9"/>
  <c r="D39" i="9"/>
  <c r="E39" i="9" s="1"/>
  <c r="C39" i="9"/>
  <c r="J38" i="9"/>
  <c r="K38" i="9" s="1"/>
  <c r="I38" i="9"/>
  <c r="G38" i="9"/>
  <c r="H38" i="9" s="1"/>
  <c r="F38" i="9"/>
  <c r="D38" i="9"/>
  <c r="E38" i="9" s="1"/>
  <c r="C38" i="9"/>
  <c r="J37" i="9"/>
  <c r="K37" i="9" s="1"/>
  <c r="I37" i="9"/>
  <c r="G37" i="9"/>
  <c r="H37" i="9" s="1"/>
  <c r="F37" i="9"/>
  <c r="D37" i="9"/>
  <c r="E37" i="9" s="1"/>
  <c r="C37" i="9"/>
  <c r="J36" i="9"/>
  <c r="K36" i="9" s="1"/>
  <c r="I36" i="9"/>
  <c r="G36" i="9"/>
  <c r="H36" i="9" s="1"/>
  <c r="F36" i="9"/>
  <c r="D36" i="9"/>
  <c r="E36" i="9" s="1"/>
  <c r="C36" i="9"/>
  <c r="J35" i="9"/>
  <c r="K35" i="9" s="1"/>
  <c r="I35" i="9"/>
  <c r="G35" i="9"/>
  <c r="H35" i="9" s="1"/>
  <c r="F35" i="9"/>
  <c r="D35" i="9"/>
  <c r="E35" i="9" s="1"/>
  <c r="C35" i="9"/>
  <c r="J34" i="9"/>
  <c r="K34" i="9" s="1"/>
  <c r="I34" i="9"/>
  <c r="G34" i="9"/>
  <c r="H34" i="9" s="1"/>
  <c r="F34" i="9"/>
  <c r="D34" i="9"/>
  <c r="E34" i="9" s="1"/>
  <c r="C34" i="9"/>
  <c r="J33" i="9"/>
  <c r="K33" i="9" s="1"/>
  <c r="I33" i="9"/>
  <c r="G33" i="9"/>
  <c r="H33" i="9" s="1"/>
  <c r="F33" i="9"/>
  <c r="D33" i="9"/>
  <c r="E33" i="9" s="1"/>
  <c r="C33" i="9"/>
  <c r="J32" i="9"/>
  <c r="K32" i="9" s="1"/>
  <c r="I32" i="9"/>
  <c r="G32" i="9"/>
  <c r="H32" i="9" s="1"/>
  <c r="F32" i="9"/>
  <c r="D32" i="9"/>
  <c r="E32" i="9" s="1"/>
  <c r="C32" i="9"/>
  <c r="J31" i="9"/>
  <c r="K31" i="9" s="1"/>
  <c r="I31" i="9"/>
  <c r="G31" i="9"/>
  <c r="H31" i="9" s="1"/>
  <c r="F31" i="9"/>
  <c r="D31" i="9"/>
  <c r="E31" i="9" s="1"/>
  <c r="C31" i="9"/>
  <c r="J30" i="9"/>
  <c r="K30" i="9" s="1"/>
  <c r="I30" i="9"/>
  <c r="G30" i="9"/>
  <c r="H30" i="9" s="1"/>
  <c r="F30" i="9"/>
  <c r="D30" i="9"/>
  <c r="E30" i="9" s="1"/>
  <c r="C30" i="9"/>
  <c r="J29" i="9"/>
  <c r="K29" i="9" s="1"/>
  <c r="I29" i="9"/>
  <c r="G29" i="9"/>
  <c r="H29" i="9" s="1"/>
  <c r="F29" i="9"/>
  <c r="D29" i="9"/>
  <c r="E29" i="9" s="1"/>
  <c r="C29" i="9"/>
  <c r="J28" i="9"/>
  <c r="K28" i="9" s="1"/>
  <c r="I28" i="9"/>
  <c r="G28" i="9"/>
  <c r="H28" i="9" s="1"/>
  <c r="F28" i="9"/>
  <c r="D28" i="9"/>
  <c r="E28" i="9" s="1"/>
  <c r="C28" i="9"/>
  <c r="J27" i="9"/>
  <c r="K27" i="9" s="1"/>
  <c r="I27" i="9"/>
  <c r="G27" i="9"/>
  <c r="H27" i="9" s="1"/>
  <c r="F27" i="9"/>
  <c r="D27" i="9"/>
  <c r="E27" i="9" s="1"/>
  <c r="C27" i="9"/>
  <c r="J26" i="9"/>
  <c r="K26" i="9" s="1"/>
  <c r="I26" i="9"/>
  <c r="G26" i="9"/>
  <c r="H26" i="9" s="1"/>
  <c r="F26" i="9"/>
  <c r="D26" i="9"/>
  <c r="E26" i="9" s="1"/>
  <c r="C26" i="9"/>
  <c r="J25" i="9"/>
  <c r="K25" i="9" s="1"/>
  <c r="I25" i="9"/>
  <c r="G25" i="9"/>
  <c r="H25" i="9" s="1"/>
  <c r="F25" i="9"/>
  <c r="D25" i="9"/>
  <c r="E25" i="9" s="1"/>
  <c r="C25" i="9"/>
  <c r="J24" i="9"/>
  <c r="K24" i="9" s="1"/>
  <c r="I24" i="9"/>
  <c r="G24" i="9"/>
  <c r="H24" i="9" s="1"/>
  <c r="F24" i="9"/>
  <c r="D24" i="9"/>
  <c r="E24" i="9" s="1"/>
  <c r="C24" i="9"/>
  <c r="J23" i="9"/>
  <c r="K23" i="9" s="1"/>
  <c r="I23" i="9"/>
  <c r="G23" i="9"/>
  <c r="H23" i="9" s="1"/>
  <c r="F23" i="9"/>
  <c r="D23" i="9"/>
  <c r="E23" i="9" s="1"/>
  <c r="C23" i="9"/>
  <c r="J22" i="9"/>
  <c r="K22" i="9" s="1"/>
  <c r="I22" i="9"/>
  <c r="G22" i="9"/>
  <c r="H22" i="9" s="1"/>
  <c r="F22" i="9"/>
  <c r="D22" i="9"/>
  <c r="E22" i="9" s="1"/>
  <c r="C22" i="9"/>
  <c r="J21" i="9"/>
  <c r="K21" i="9" s="1"/>
  <c r="I21" i="9"/>
  <c r="G21" i="9"/>
  <c r="H21" i="9" s="1"/>
  <c r="F21" i="9"/>
  <c r="D21" i="9"/>
  <c r="E21" i="9" s="1"/>
  <c r="C21" i="9"/>
  <c r="J20" i="9"/>
  <c r="K20" i="9" s="1"/>
  <c r="I20" i="9"/>
  <c r="G20" i="9"/>
  <c r="H20" i="9" s="1"/>
  <c r="F20" i="9"/>
  <c r="D20" i="9"/>
  <c r="E20" i="9" s="1"/>
  <c r="C20" i="9"/>
  <c r="J19" i="9"/>
  <c r="K19" i="9" s="1"/>
  <c r="I19" i="9"/>
  <c r="G19" i="9"/>
  <c r="H19" i="9" s="1"/>
  <c r="F19" i="9"/>
  <c r="D19" i="9"/>
  <c r="E19" i="9" s="1"/>
  <c r="C19" i="9"/>
  <c r="J18" i="9"/>
  <c r="K18" i="9" s="1"/>
  <c r="I18" i="9"/>
  <c r="G18" i="9"/>
  <c r="H18" i="9" s="1"/>
  <c r="F18" i="9"/>
  <c r="D18" i="9"/>
  <c r="E18" i="9" s="1"/>
  <c r="C18" i="9"/>
  <c r="J17" i="9"/>
  <c r="K17" i="9" s="1"/>
  <c r="I17" i="9"/>
  <c r="G17" i="9"/>
  <c r="H17" i="9" s="1"/>
  <c r="F17" i="9"/>
  <c r="D17" i="9"/>
  <c r="E17" i="9" s="1"/>
  <c r="C17" i="9"/>
  <c r="J16" i="9"/>
  <c r="K16" i="9" s="1"/>
  <c r="I16" i="9"/>
  <c r="G16" i="9"/>
  <c r="H16" i="9" s="1"/>
  <c r="F16" i="9"/>
  <c r="D16" i="9"/>
  <c r="E16" i="9" s="1"/>
  <c r="C16" i="9"/>
  <c r="J15" i="9"/>
  <c r="K15" i="9" s="1"/>
  <c r="I15" i="9"/>
  <c r="G15" i="9"/>
  <c r="H15" i="9" s="1"/>
  <c r="F15" i="9"/>
  <c r="D15" i="9"/>
  <c r="E15" i="9" s="1"/>
  <c r="C15" i="9"/>
  <c r="J14" i="9"/>
  <c r="K14" i="9" s="1"/>
  <c r="I14" i="9"/>
  <c r="G14" i="9"/>
  <c r="H14" i="9" s="1"/>
  <c r="F14" i="9"/>
  <c r="D14" i="9"/>
  <c r="E14" i="9" s="1"/>
  <c r="C14" i="9"/>
  <c r="J13" i="9"/>
  <c r="K13" i="9" s="1"/>
  <c r="I13" i="9"/>
  <c r="G13" i="9"/>
  <c r="H13" i="9" s="1"/>
  <c r="F13" i="9"/>
  <c r="D13" i="9"/>
  <c r="E13" i="9" s="1"/>
  <c r="C13" i="9"/>
  <c r="J12" i="9"/>
  <c r="K12" i="9" s="1"/>
  <c r="I12" i="9"/>
  <c r="G12" i="9"/>
  <c r="H12" i="9" s="1"/>
  <c r="F12" i="9"/>
  <c r="D12" i="9"/>
  <c r="E12" i="9" s="1"/>
  <c r="C12" i="9"/>
  <c r="J11" i="9"/>
  <c r="K11" i="9" s="1"/>
  <c r="I11" i="9"/>
  <c r="G11" i="9"/>
  <c r="H11" i="9" s="1"/>
  <c r="F11" i="9"/>
  <c r="D11" i="9"/>
  <c r="E11" i="9" s="1"/>
  <c r="C11" i="9"/>
  <c r="J10" i="9"/>
  <c r="K10" i="9" s="1"/>
  <c r="I10" i="9"/>
  <c r="G10" i="9"/>
  <c r="H10" i="9" s="1"/>
  <c r="F10" i="9"/>
  <c r="D10" i="9"/>
  <c r="E10" i="9" s="1"/>
  <c r="C10" i="9"/>
  <c r="J9" i="9"/>
  <c r="K9" i="9" s="1"/>
  <c r="I9" i="9"/>
  <c r="G9" i="9"/>
  <c r="H9" i="9" s="1"/>
  <c r="F9" i="9"/>
  <c r="D9" i="9"/>
  <c r="E9" i="9" s="1"/>
  <c r="C9" i="9"/>
  <c r="J8" i="9"/>
  <c r="K8" i="9" s="1"/>
  <c r="I8" i="9"/>
  <c r="G8" i="9"/>
  <c r="H8" i="9" s="1"/>
  <c r="F8" i="9"/>
  <c r="D8" i="9"/>
  <c r="E8" i="9" s="1"/>
  <c r="C8" i="9"/>
  <c r="J7" i="9"/>
  <c r="K7" i="9" s="1"/>
  <c r="I7" i="9"/>
  <c r="G7" i="9"/>
  <c r="H7" i="9" s="1"/>
  <c r="F7" i="9"/>
  <c r="D7" i="9"/>
  <c r="E7" i="9" s="1"/>
  <c r="C7" i="9"/>
  <c r="J6" i="9"/>
  <c r="I6" i="9"/>
  <c r="G6" i="9"/>
  <c r="F6" i="9"/>
  <c r="D6" i="9"/>
  <c r="C6" i="9"/>
  <c r="J5" i="9" l="1"/>
  <c r="D5" i="9"/>
  <c r="F5" i="9"/>
  <c r="H6" i="8" s="1"/>
  <c r="Q5" i="9"/>
  <c r="Q6" i="9" s="1"/>
  <c r="R5" i="10"/>
  <c r="R6" i="10" s="1"/>
  <c r="I5" i="10"/>
  <c r="L5" i="8" s="1"/>
  <c r="G5" i="9"/>
  <c r="J5" i="10"/>
  <c r="P5" i="11"/>
  <c r="P6" i="11" s="1"/>
  <c r="C5" i="11"/>
  <c r="R5" i="9"/>
  <c r="R6" i="9" s="1"/>
  <c r="I5" i="9"/>
  <c r="F5" i="11"/>
  <c r="Q5" i="11"/>
  <c r="Q6" i="11" s="1"/>
  <c r="P5" i="10"/>
  <c r="P6" i="10" s="1"/>
  <c r="C5" i="10"/>
  <c r="G5" i="11"/>
  <c r="D5" i="10"/>
  <c r="R5" i="11"/>
  <c r="R6" i="11" s="1"/>
  <c r="I5" i="11"/>
  <c r="K5" i="8" s="1"/>
  <c r="M5" i="8" s="1"/>
  <c r="P5" i="9"/>
  <c r="P6" i="9" s="1"/>
  <c r="C5" i="9"/>
  <c r="H5" i="8" s="1"/>
  <c r="H7" i="8" s="1"/>
  <c r="F5" i="10"/>
  <c r="Q5" i="10"/>
  <c r="Q6" i="10" s="1"/>
  <c r="J5" i="11"/>
  <c r="E6" i="11"/>
  <c r="E5" i="11" s="1"/>
  <c r="P7" i="11" s="1"/>
  <c r="D5" i="11"/>
  <c r="G5" i="10"/>
  <c r="L5" i="10"/>
  <c r="L5" i="9"/>
  <c r="H17" i="8" s="1"/>
  <c r="H22" i="8" s="1"/>
  <c r="L5" i="11"/>
  <c r="E6" i="9"/>
  <c r="E5" i="9" s="1"/>
  <c r="P9" i="11" l="1"/>
  <c r="P10" i="11" s="1"/>
  <c r="D17" i="8"/>
  <c r="F17" i="8" s="1"/>
  <c r="E17" i="8"/>
  <c r="E5" i="8"/>
  <c r="D5" i="8" l="1"/>
  <c r="F5" i="8" s="1"/>
  <c r="E6" i="10"/>
  <c r="E5" i="10" s="1"/>
  <c r="P7" i="10" l="1"/>
  <c r="P9" i="10" s="1"/>
  <c r="P10" i="10" s="1"/>
  <c r="E11" i="8" s="1"/>
  <c r="P7" i="9"/>
  <c r="P9" i="9" s="1"/>
  <c r="P10" i="9" s="1"/>
  <c r="H11" i="8" s="1"/>
  <c r="D11" i="8" l="1"/>
  <c r="F11" i="8" s="1"/>
  <c r="D6" i="8"/>
  <c r="E6" i="8"/>
  <c r="E7" i="8" s="1"/>
  <c r="E22" i="8" s="1"/>
  <c r="H6" i="9"/>
  <c r="H5" i="9" s="1"/>
  <c r="Q7" i="9" l="1"/>
  <c r="Q9" i="9" s="1"/>
  <c r="Q10" i="9" s="1"/>
  <c r="H12" i="8" s="1"/>
  <c r="H13" i="8" s="1"/>
  <c r="D7" i="8"/>
  <c r="F7" i="8" s="1"/>
  <c r="F22" i="8" s="1"/>
  <c r="F6" i="8"/>
  <c r="H6" i="11"/>
  <c r="H5" i="11" s="1"/>
  <c r="H6" i="10"/>
  <c r="H5" i="10" s="1"/>
  <c r="D22" i="8" l="1"/>
  <c r="Q7" i="11"/>
  <c r="Q9" i="11" s="1"/>
  <c r="Q10" i="11" s="1"/>
  <c r="D12" i="8" s="1"/>
  <c r="D13" i="8" s="1"/>
  <c r="Q7" i="10"/>
  <c r="Q9" i="10" s="1"/>
  <c r="Q10" i="10" s="1"/>
  <c r="E12" i="8" s="1"/>
  <c r="K6" i="9"/>
  <c r="K5" i="9" s="1"/>
  <c r="E13" i="8" l="1"/>
  <c r="F13" i="8" s="1"/>
  <c r="F12" i="8"/>
  <c r="R7" i="9"/>
  <c r="R9" i="9" s="1"/>
  <c r="R10" i="9" s="1"/>
  <c r="K6" i="11"/>
  <c r="K5" i="11" s="1"/>
  <c r="K6" i="10"/>
  <c r="K5" i="10" s="1"/>
  <c r="R7" i="11" l="1"/>
  <c r="R9" i="11" s="1"/>
  <c r="R10" i="11" s="1"/>
  <c r="R7" i="10"/>
  <c r="R9" i="10" s="1"/>
  <c r="R10" i="10" s="1"/>
</calcChain>
</file>

<file path=xl/sharedStrings.xml><?xml version="1.0" encoding="utf-8"?>
<sst xmlns="http://schemas.openxmlformats.org/spreadsheetml/2006/main" count="2700" uniqueCount="287">
  <si>
    <t>Leverage</t>
  </si>
  <si>
    <t>Asset beta</t>
  </si>
  <si>
    <t>2009-14</t>
  </si>
  <si>
    <t>2014-19</t>
  </si>
  <si>
    <t>Average</t>
  </si>
  <si>
    <t>Daily</t>
  </si>
  <si>
    <t>4 Weekly</t>
  </si>
  <si>
    <t>Weekly</t>
  </si>
  <si>
    <t>Standard Error</t>
  </si>
  <si>
    <t>4 weekly</t>
  </si>
  <si>
    <t>Commerce Commission refined sample: 2017-19</t>
  </si>
  <si>
    <t>4-weekly</t>
  </si>
  <si>
    <t>Bloomberg ticker</t>
  </si>
  <si>
    <t>Standard error</t>
  </si>
  <si>
    <t>Variance</t>
  </si>
  <si>
    <t>Parameter</t>
  </si>
  <si>
    <t xml:space="preserve">  Notes</t>
  </si>
  <si>
    <t>N</t>
  </si>
  <si>
    <t xml:space="preserve">  Number of firms in the comparator sample.</t>
  </si>
  <si>
    <t>CNU NZ Equity</t>
  </si>
  <si>
    <t>ν</t>
  </si>
  <si>
    <t xml:space="preserve">  Expectation of the cross-sectional sample variance in the estimated asset betas. See Lally (2008), page 171.</t>
  </si>
  <si>
    <t>UNIT US Equity</t>
  </si>
  <si>
    <r>
      <t>σ</t>
    </r>
    <r>
      <rPr>
        <vertAlign val="subscript"/>
        <sz val="11"/>
        <rFont val="Calibri"/>
        <family val="2"/>
      </rPr>
      <t>e</t>
    </r>
    <r>
      <rPr>
        <vertAlign val="superscript"/>
        <sz val="11"/>
        <rFont val="Calibri"/>
        <family val="2"/>
      </rPr>
      <t>2</t>
    </r>
  </si>
  <si>
    <t xml:space="preserve">  Average variance of asset beta for the comparator sample.</t>
  </si>
  <si>
    <t>AMT US Equity</t>
  </si>
  <si>
    <t>ρ</t>
  </si>
  <si>
    <r>
      <t xml:space="preserve">  Lally (2008) estimate of </t>
    </r>
    <r>
      <rPr>
        <i/>
        <sz val="11"/>
        <rFont val="Calibri"/>
        <family val="2"/>
      </rPr>
      <t>ρ, page 176.</t>
    </r>
  </si>
  <si>
    <t>CCI US Equity</t>
  </si>
  <si>
    <t>Variance of asset beta estimate</t>
  </si>
  <si>
    <t xml:space="preserve">  Lally (2008) equation (31), page 172.</t>
  </si>
  <si>
    <t>CLNX SM Equity</t>
  </si>
  <si>
    <t>Standard error of asset beta</t>
  </si>
  <si>
    <t xml:space="preserve">INW IM Equity </t>
  </si>
  <si>
    <t>RWAY IM Equity</t>
  </si>
  <si>
    <t>SBAC US Equity</t>
  </si>
  <si>
    <t>ETL FP Equity</t>
  </si>
  <si>
    <t>SESG FP Equity</t>
  </si>
  <si>
    <t>T US Equity</t>
  </si>
  <si>
    <t>BT/A LN Equity</t>
  </si>
  <si>
    <t>CTL US Equity</t>
  </si>
  <si>
    <t>CBB US Equity</t>
  </si>
  <si>
    <t>CCOI US Equity</t>
  </si>
  <si>
    <t>CNSL US Equity</t>
  </si>
  <si>
    <t>DNA FH Equity</t>
  </si>
  <si>
    <t>DTE GR Equity</t>
  </si>
  <si>
    <t>ELISA FH Equity</t>
  </si>
  <si>
    <t>GAMA LN Equity</t>
  </si>
  <si>
    <t>GO MV Equity</t>
  </si>
  <si>
    <t>HTO GA Equity</t>
  </si>
  <si>
    <t>HTA AU Equity</t>
  </si>
  <si>
    <t>ILD FP Equity</t>
  </si>
  <si>
    <t>KCOM LN Equity</t>
  </si>
  <si>
    <t>KPN NA Equity</t>
  </si>
  <si>
    <t>MANX LN Equity</t>
  </si>
  <si>
    <t>MAS SM Equity</t>
  </si>
  <si>
    <t>MNF AU Equity</t>
  </si>
  <si>
    <t>ORA FP Equity</t>
  </si>
  <si>
    <t>PROX BB Equity</t>
  </si>
  <si>
    <t>QSC GR Equity</t>
  </si>
  <si>
    <t>LIT IM Equity</t>
  </si>
  <si>
    <t>SHEN US Equity</t>
  </si>
  <si>
    <t>SIMINN IR Equity</t>
  </si>
  <si>
    <t>SNC PL Equity</t>
  </si>
  <si>
    <t>SPK NZ Equity</t>
  </si>
  <si>
    <t>SRCG SW Equity</t>
  </si>
  <si>
    <t>SCMN SW Equity</t>
  </si>
  <si>
    <t>TALK LN Equity</t>
  </si>
  <si>
    <t>TDC LI Equity</t>
  </si>
  <si>
    <t>TEF SM Equity</t>
  </si>
  <si>
    <t>TEL2B SS Equity</t>
  </si>
  <si>
    <t>TIT IM Equity</t>
  </si>
  <si>
    <t>O2D GR Equity</t>
  </si>
  <si>
    <t>TKA AV Equity</t>
  </si>
  <si>
    <t>TDS US Equity</t>
  </si>
  <si>
    <t>TELIA SS Equity</t>
  </si>
  <si>
    <t>TEL NO Equity</t>
  </si>
  <si>
    <t>TLS AU Equity</t>
  </si>
  <si>
    <t>TMUS US Equity</t>
  </si>
  <si>
    <t>TPM AU Equity</t>
  </si>
  <si>
    <t>TRL CN Equity</t>
  </si>
  <si>
    <t>USM US Equity</t>
  </si>
  <si>
    <t>VZ US Equity</t>
  </si>
  <si>
    <t>VOC AU Equity</t>
  </si>
  <si>
    <t>VOD LN Equity</t>
  </si>
  <si>
    <t>ZAYO US Equity</t>
  </si>
  <si>
    <t>017670 KS Equity</t>
  </si>
  <si>
    <t>030200 KS Equity</t>
  </si>
  <si>
    <t>032640 KS Equity</t>
  </si>
  <si>
    <t>036630 KS Equity</t>
  </si>
  <si>
    <t>9432 JP Equity</t>
  </si>
  <si>
    <t>9433 JP Equity</t>
  </si>
  <si>
    <t>9984 JP Equity</t>
  </si>
  <si>
    <t>BCE CN Equity</t>
  </si>
  <si>
    <t>CABO US Equity</t>
  </si>
  <si>
    <t>CCA CN Equity</t>
  </si>
  <si>
    <t>CHTR US Equity</t>
  </si>
  <si>
    <t>EKT SM Equity</t>
  </si>
  <si>
    <t>IDT US Equity</t>
  </si>
  <si>
    <t>LBTYA US Equity</t>
  </si>
  <si>
    <t>RCI/B CN Equity</t>
  </si>
  <si>
    <t>SJR/B CN Equity</t>
  </si>
  <si>
    <t>SLC AU Equity</t>
  </si>
  <si>
    <t>ST SP Equity</t>
  </si>
  <si>
    <t>STH SP Equity</t>
  </si>
  <si>
    <t>TNET BB Equity</t>
  </si>
  <si>
    <t>Commerce Commission refined sample: 2014 - 2019</t>
  </si>
  <si>
    <t>Commerce Commission refined sample: 2009-14</t>
  </si>
  <si>
    <t>Flags for VLOOKUP</t>
  </si>
  <si>
    <t>2014-2019</t>
  </si>
  <si>
    <t>2009-2014</t>
  </si>
  <si>
    <t>2017-2019</t>
  </si>
  <si>
    <t>Ticker</t>
  </si>
  <si>
    <t>Company</t>
  </si>
  <si>
    <t>4-weekly results</t>
  </si>
  <si>
    <t>Weekly results</t>
  </si>
  <si>
    <t>Daily results</t>
  </si>
  <si>
    <t>Chorus</t>
  </si>
  <si>
    <t>Uniti</t>
  </si>
  <si>
    <t>American Tower Corporation</t>
  </si>
  <si>
    <t>Crown Castle</t>
  </si>
  <si>
    <t>Cellnex Telecom</t>
  </si>
  <si>
    <t>INWIT</t>
  </si>
  <si>
    <t>Rai Way</t>
  </si>
  <si>
    <t>SBAC</t>
  </si>
  <si>
    <t>Tower Companies - Average</t>
  </si>
  <si>
    <t>Eutelsat</t>
  </si>
  <si>
    <t>SES</t>
  </si>
  <si>
    <t>Satellite Operators - Average</t>
  </si>
  <si>
    <t>Wholesale  - Average</t>
  </si>
  <si>
    <t>AT&amp;T</t>
  </si>
  <si>
    <t>BT Group</t>
  </si>
  <si>
    <t>CenturyLink</t>
  </si>
  <si>
    <t>Cincinnati Bell</t>
  </si>
  <si>
    <t>Cogent Communications Holdings</t>
  </si>
  <si>
    <t>Consolidated Communications Holdings</t>
  </si>
  <si>
    <t>DNA Oyj</t>
  </si>
  <si>
    <t>Deutsche Telekom</t>
  </si>
  <si>
    <t>Elisa Oyj</t>
  </si>
  <si>
    <t>Gamma</t>
  </si>
  <si>
    <t>Go</t>
  </si>
  <si>
    <t>Hellenic Telecommunications Organisation</t>
  </si>
  <si>
    <t>Hutchison Telecommunications</t>
  </si>
  <si>
    <t>Iliad</t>
  </si>
  <si>
    <t>KCOM Group</t>
  </si>
  <si>
    <t>Koninklijke KPN</t>
  </si>
  <si>
    <t>Manx Telecom</t>
  </si>
  <si>
    <t>Masmovil Ibercom</t>
  </si>
  <si>
    <t>MNF Group</t>
  </si>
  <si>
    <t>Orange</t>
  </si>
  <si>
    <t>Proximus</t>
  </si>
  <si>
    <t>QSC</t>
  </si>
  <si>
    <t>Retelit</t>
  </si>
  <si>
    <t>Shenandoah Telecommunications Company</t>
  </si>
  <si>
    <t>Siminn</t>
  </si>
  <si>
    <t>Sonaecom</t>
  </si>
  <si>
    <t>Spark</t>
  </si>
  <si>
    <t>Sunrise</t>
  </si>
  <si>
    <t>Swisscom</t>
  </si>
  <si>
    <t>TalkTalk</t>
  </si>
  <si>
    <t>TDC</t>
  </si>
  <si>
    <t>Telefonica</t>
  </si>
  <si>
    <t>Tele2</t>
  </si>
  <si>
    <t>Telecom Italia</t>
  </si>
  <si>
    <t>Telefonica Deutschland Holdings</t>
  </si>
  <si>
    <t>Telekom Austria</t>
  </si>
  <si>
    <t>Telephone and Data Systems</t>
  </si>
  <si>
    <t>Telia Company</t>
  </si>
  <si>
    <t>Telenor</t>
  </si>
  <si>
    <t>Telstra</t>
  </si>
  <si>
    <t>T-Mobile US</t>
  </si>
  <si>
    <t>TPG Telecom</t>
  </si>
  <si>
    <t>Trilogy International Partners</t>
  </si>
  <si>
    <t>US Cellular Corporation</t>
  </si>
  <si>
    <t>Verizon Communications</t>
  </si>
  <si>
    <t>Vocus</t>
  </si>
  <si>
    <t>Vodafone</t>
  </si>
  <si>
    <t>Zayo Group Holdings</t>
  </si>
  <si>
    <t>SK Telecom</t>
  </si>
  <si>
    <t>KT</t>
  </si>
  <si>
    <t>LG U+</t>
  </si>
  <si>
    <t>Sejong Telecom</t>
  </si>
  <si>
    <t>NTT</t>
  </si>
  <si>
    <t>KDDI</t>
  </si>
  <si>
    <t>Softbank Group</t>
  </si>
  <si>
    <t>BCE</t>
  </si>
  <si>
    <t>Cable One</t>
  </si>
  <si>
    <t>Cogeco</t>
  </si>
  <si>
    <t>Charter Communications</t>
  </si>
  <si>
    <t>Euskaltel</t>
  </si>
  <si>
    <t>IDT</t>
  </si>
  <si>
    <t>Liberty Global</t>
  </si>
  <si>
    <t>Rogers</t>
  </si>
  <si>
    <t>Shaw Communications</t>
  </si>
  <si>
    <t>Superloop</t>
  </si>
  <si>
    <t>SingTel</t>
  </si>
  <si>
    <t>StarHub</t>
  </si>
  <si>
    <t>Telenet</t>
  </si>
  <si>
    <t>Integrated - Average</t>
  </si>
  <si>
    <t>Most recent 5-year periods (4-weekly and weekly)</t>
  </si>
  <si>
    <t>Min</t>
  </si>
  <si>
    <t>Max</t>
  </si>
  <si>
    <t>Mid-point</t>
  </si>
  <si>
    <t>Wholesale range</t>
  </si>
  <si>
    <t>Integrated range</t>
  </si>
  <si>
    <t>Average of midpoints</t>
  </si>
  <si>
    <t>2 and 5 year periods (4-weekly and weekly)</t>
  </si>
  <si>
    <t>2 and 5 year periods (4-weekly, weekly and daily)</t>
  </si>
  <si>
    <t>Four-weekly on two-years excluded due to low number of observations.</t>
  </si>
  <si>
    <t>Only companies included in the 2014-2019 asset beta sample</t>
  </si>
  <si>
    <t>2014 - 2019</t>
  </si>
  <si>
    <t>2009 - 2014</t>
  </si>
  <si>
    <t>2017 - 2019</t>
  </si>
  <si>
    <t>Company 
(included in 2014 - 2019 asset beta sample only)</t>
  </si>
  <si>
    <t>S&amp;P Credit Rating</t>
  </si>
  <si>
    <t>#</t>
  </si>
  <si>
    <t>Investment grade?</t>
  </si>
  <si>
    <t>Average gearing (all rated)</t>
  </si>
  <si>
    <t>Average gearing (investment grade only)</t>
  </si>
  <si>
    <t>BBB</t>
  </si>
  <si>
    <t>BBB-</t>
  </si>
  <si>
    <t/>
  </si>
  <si>
    <t>BB</t>
  </si>
  <si>
    <t>B</t>
  </si>
  <si>
    <t>B+</t>
  </si>
  <si>
    <t>BBB+</t>
  </si>
  <si>
    <t>BB+</t>
  </si>
  <si>
    <t>A</t>
  </si>
  <si>
    <t>A-</t>
  </si>
  <si>
    <t>BB-</t>
  </si>
  <si>
    <t>AA-</t>
  </si>
  <si>
    <t>A+</t>
  </si>
  <si>
    <t>S&amp;P rating</t>
  </si>
  <si>
    <t>Count</t>
  </si>
  <si>
    <t>B-</t>
  </si>
  <si>
    <t>CCC+</t>
  </si>
  <si>
    <t>Check:</t>
  </si>
  <si>
    <t>BBB / BBB-</t>
  </si>
  <si>
    <t>Asset Beta</t>
  </si>
  <si>
    <t>Summary</t>
  </si>
  <si>
    <t>BBB+ *-</t>
  </si>
  <si>
    <t>A *-</t>
  </si>
  <si>
    <t>BB+ *-</t>
  </si>
  <si>
    <t>NR</t>
  </si>
  <si>
    <t>Integrated (October 2019 sample) - Average</t>
  </si>
  <si>
    <t>NET PW Equity</t>
  </si>
  <si>
    <t>Netia</t>
  </si>
  <si>
    <t>T CN Equity</t>
  </si>
  <si>
    <t>TELUS</t>
  </si>
  <si>
    <t>TCELL TI Equity</t>
  </si>
  <si>
    <t>Turkcell</t>
  </si>
  <si>
    <t>TELEC CP Equity</t>
  </si>
  <si>
    <t>O2 Czech Republic</t>
  </si>
  <si>
    <t>TGO CN Equity</t>
  </si>
  <si>
    <t>TeraGo</t>
  </si>
  <si>
    <t>TTKOM TI Equity</t>
  </si>
  <si>
    <t>Turk Telekom</t>
  </si>
  <si>
    <t>UTDI GR Equity</t>
  </si>
  <si>
    <t>United Internet</t>
  </si>
  <si>
    <t>Integrated (Damodaran's additions) - Average</t>
  </si>
  <si>
    <t>Equity Beta</t>
  </si>
  <si>
    <t>2017-19</t>
  </si>
  <si>
    <t xml:space="preserve">CF </t>
  </si>
  <si>
    <t xml:space="preserve">median - all </t>
  </si>
  <si>
    <t xml:space="preserve">median - IG only </t>
  </si>
  <si>
    <t>Summary - credit rating</t>
  </si>
  <si>
    <t>Summary - leverage of credit rated comparators</t>
  </si>
  <si>
    <t>mode - all</t>
  </si>
  <si>
    <t xml:space="preserve">mode - IG only </t>
  </si>
  <si>
    <t>average - all</t>
  </si>
  <si>
    <t>average - IG only</t>
  </si>
  <si>
    <t>Average Leverage</t>
  </si>
  <si>
    <t>Company 
(2014 - 2019 sample)</t>
  </si>
  <si>
    <t>S&amp;P Credit Rating (B'berg raw)</t>
  </si>
  <si>
    <t>S&amp;P Credit Rating (hard coded)</t>
  </si>
  <si>
    <t>Average leverage (all rated)</t>
  </si>
  <si>
    <t>Average leverage (investment grade only)</t>
  </si>
  <si>
    <t>Whole Sample (excl. Damodaran) - Average</t>
  </si>
  <si>
    <t>Whole Sample (incl. Damodaran) - Average</t>
  </si>
  <si>
    <t>Summary - All</t>
  </si>
  <si>
    <t>Average Leverage of Rated Companies</t>
  </si>
  <si>
    <t>Average - all</t>
  </si>
  <si>
    <t>Average - IG only</t>
  </si>
  <si>
    <t>Summary - Wholesale</t>
  </si>
  <si>
    <t>BBB- / BB+</t>
  </si>
  <si>
    <t>Summary - Integrated</t>
  </si>
  <si>
    <t>BBB+/A-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</si>
</sst>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0000"/>
    <numFmt numFmtId="167" formatCode="#,##0.0"/>
    <numFmt numFmtId="168" formatCode="_(* #,##0_);_(* \(#,##0\);_(* &quot;-&quot;??_);_(@_)"/>
    <numFmt numFmtId="169" formatCode="0.000000"/>
  </numFmts>
  <fonts count="4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sz val="11"/>
      <name val="Calibri"/>
      <family val="2"/>
    </font>
    <font>
      <i/>
      <sz val="1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1"/>
      <color theme="1"/>
      <name val="Gill Sans MT"/>
      <family val="2"/>
    </font>
    <font>
      <vertAlign val="subscript"/>
      <sz val="11"/>
      <name val="Calibri"/>
      <family val="2"/>
    </font>
    <font>
      <vertAlign val="superscript"/>
      <sz val="11"/>
      <name val="Calibri"/>
      <family val="2"/>
    </font>
    <font>
      <i/>
      <sz val="11"/>
      <name val="Calibri"/>
      <family val="2"/>
    </font>
    <font>
      <sz val="11"/>
      <color theme="0" tint="-0.499984740745262"/>
      <name val="Gill Sans MT"/>
      <family val="2"/>
    </font>
    <font>
      <b/>
      <sz val="11"/>
      <color rgb="FFFFFFFF"/>
      <name val="Gill Sans MT"/>
      <family val="2"/>
    </font>
    <font>
      <b/>
      <sz val="11"/>
      <color theme="1"/>
      <name val="Gill Sans MT"/>
      <family val="2"/>
    </font>
    <font>
      <sz val="11"/>
      <color rgb="FF000000"/>
      <name val="Gill Sans MT"/>
      <family val="2"/>
    </font>
    <font>
      <b/>
      <i/>
      <sz val="11"/>
      <color theme="1"/>
      <name val="Gill Sans MT"/>
      <family val="2"/>
    </font>
    <font>
      <i/>
      <sz val="11"/>
      <color theme="1"/>
      <name val="Gill Sans MT"/>
      <family val="2"/>
    </font>
    <font>
      <i/>
      <sz val="11"/>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1"/>
      <color rgb="FF3F3F76"/>
      <name val="Calibri"/>
      <family val="2"/>
      <scheme val="minor"/>
    </font>
    <font>
      <b/>
      <sz val="11"/>
      <name val="Gill Sans MT"/>
      <family val="2"/>
    </font>
    <font>
      <b/>
      <sz val="12"/>
      <color theme="1"/>
      <name val="Calibri"/>
      <family val="2"/>
      <scheme val="minor"/>
    </font>
    <font>
      <sz val="12"/>
      <color theme="1"/>
      <name val="Calibri"/>
      <family val="2"/>
      <scheme val="minor"/>
    </font>
    <font>
      <b/>
      <sz val="10"/>
      <color theme="0"/>
      <name val="Arial"/>
      <family val="2"/>
    </font>
    <font>
      <b/>
      <sz val="10"/>
      <name val="Arial"/>
      <family val="2"/>
    </font>
    <font>
      <sz val="10"/>
      <name val="Calibri"/>
      <family val="2"/>
      <scheme val="minor"/>
    </font>
    <font>
      <i/>
      <sz val="10"/>
      <name val="Calibri"/>
      <family val="2"/>
      <scheme val="minor"/>
    </font>
    <font>
      <i/>
      <sz val="10"/>
      <color theme="1"/>
      <name val="Calibri"/>
      <family val="2"/>
      <scheme val="minor"/>
    </font>
    <font>
      <sz val="11"/>
      <color theme="0"/>
      <name val="Calibri"/>
      <family val="2"/>
      <scheme val="minor"/>
    </font>
    <font>
      <b/>
      <sz val="11"/>
      <color rgb="FFFF0000"/>
      <name val="Gill Sans MT"/>
      <family val="2"/>
    </font>
    <font>
      <b/>
      <sz val="11"/>
      <color theme="0"/>
      <name val="Gill Sans MT"/>
      <family val="2"/>
    </font>
    <font>
      <sz val="11"/>
      <color theme="0"/>
      <name val="Gill Sans MT"/>
      <family val="2"/>
    </font>
  </fonts>
  <fills count="9">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4186CD"/>
        <bgColor indexed="64"/>
      </patternFill>
    </fill>
    <fill>
      <patternFill patternType="solid">
        <fgColor rgb="FFD9E6F5"/>
        <bgColor indexed="64"/>
      </patternFill>
    </fill>
    <fill>
      <patternFill patternType="solid">
        <fgColor rgb="FFFFCC99"/>
      </patternFill>
    </fill>
    <fill>
      <patternFill patternType="solid">
        <fgColor theme="8" tint="0.39997558519241921"/>
        <bgColor indexed="64"/>
      </patternFill>
    </fill>
    <fill>
      <patternFill patternType="solid">
        <fgColor theme="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BEBEBE"/>
      </left>
      <right style="thin">
        <color rgb="FFBEBEBE"/>
      </right>
      <top style="thin">
        <color rgb="FFBEBEBE"/>
      </top>
      <bottom style="thin">
        <color rgb="FFBEBEBE"/>
      </bottom>
      <diagonal/>
    </border>
    <border>
      <left style="thin">
        <color theme="6"/>
      </left>
      <right style="thin">
        <color theme="6"/>
      </right>
      <top style="thin">
        <color theme="6"/>
      </top>
      <bottom style="thin">
        <color theme="6"/>
      </bottom>
      <diagonal/>
    </border>
    <border>
      <left/>
      <right/>
      <top/>
      <bottom style="thin">
        <color rgb="FFBEBEBE"/>
      </bottom>
      <diagonal/>
    </border>
    <border>
      <left style="thin">
        <color rgb="FF7F7F7F"/>
      </left>
      <right style="thin">
        <color rgb="FF7F7F7F"/>
      </right>
      <top style="thin">
        <color rgb="FF7F7F7F"/>
      </top>
      <bottom style="thin">
        <color rgb="FF7F7F7F"/>
      </bottom>
      <diagonal/>
    </border>
    <border>
      <left style="thin">
        <color rgb="FFBEBEBE"/>
      </left>
      <right style="thin">
        <color rgb="FFBEBEBE"/>
      </right>
      <top/>
      <bottom style="thin">
        <color rgb="FFBEBEBE"/>
      </bottom>
      <diagonal/>
    </border>
    <border>
      <left style="thin">
        <color rgb="FFBEBEBE"/>
      </left>
      <right style="thin">
        <color rgb="FFBEBEBE"/>
      </right>
      <top style="thin">
        <color rgb="FFBEBEBE"/>
      </top>
      <bottom/>
      <diagonal/>
    </border>
    <border>
      <left/>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bottom/>
      <diagonal/>
    </border>
    <border>
      <left/>
      <right style="thin">
        <color theme="2" tint="-9.9978637043366805E-2"/>
      </right>
      <top style="thin">
        <color theme="2" tint="-9.9978637043366805E-2"/>
      </top>
      <bottom style="thin">
        <color theme="2" tint="-9.9978637043366805E-2"/>
      </bottom>
      <diagonal/>
    </border>
    <border>
      <left style="thin">
        <color rgb="FFBEBEBE"/>
      </left>
      <right/>
      <top/>
      <bottom style="thin">
        <color rgb="FFBEBEBE"/>
      </bottom>
      <diagonal/>
    </border>
    <border>
      <left style="thin">
        <color indexed="64"/>
      </left>
      <right/>
      <top/>
      <bottom/>
      <diagonal/>
    </border>
  </borders>
  <cellStyleXfs count="21">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lignment vertical="top"/>
    </xf>
    <xf numFmtId="164" fontId="5"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27" fillId="6" borderId="13" applyNumberFormat="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208">
    <xf numFmtId="0" fontId="0" fillId="0" borderId="0" xfId="0"/>
    <xf numFmtId="0" fontId="4" fillId="0" borderId="0" xfId="11"/>
    <xf numFmtId="2" fontId="4" fillId="0" borderId="0" xfId="11" applyNumberFormat="1"/>
    <xf numFmtId="0" fontId="12" fillId="0" borderId="0" xfId="11" applyFont="1"/>
    <xf numFmtId="169" fontId="4" fillId="0" borderId="0" xfId="11" applyNumberFormat="1"/>
    <xf numFmtId="0" fontId="4" fillId="0" borderId="0" xfId="11" applyFill="1" applyBorder="1"/>
    <xf numFmtId="0" fontId="11" fillId="0" borderId="0" xfId="11" applyFont="1" applyFill="1" applyBorder="1" applyAlignment="1"/>
    <xf numFmtId="0" fontId="4" fillId="0" borderId="0" xfId="11" applyBorder="1"/>
    <xf numFmtId="0" fontId="11" fillId="0" borderId="1" xfId="11" applyFont="1" applyFill="1" applyBorder="1" applyAlignment="1">
      <alignment horizontal="center"/>
    </xf>
    <xf numFmtId="0" fontId="11" fillId="0" borderId="6" xfId="11" applyFont="1" applyFill="1" applyBorder="1" applyAlignment="1">
      <alignment horizontal="center"/>
    </xf>
    <xf numFmtId="0" fontId="11" fillId="0" borderId="5" xfId="11" applyFont="1" applyFill="1" applyBorder="1" applyAlignment="1">
      <alignment horizontal="center"/>
    </xf>
    <xf numFmtId="0" fontId="11" fillId="0" borderId="4" xfId="11" applyFont="1" applyFill="1" applyBorder="1" applyAlignment="1">
      <alignment horizontal="center"/>
    </xf>
    <xf numFmtId="0" fontId="11" fillId="0" borderId="7" xfId="11" applyFont="1" applyFill="1" applyBorder="1" applyAlignment="1">
      <alignment horizontal="center"/>
    </xf>
    <xf numFmtId="0" fontId="11" fillId="0" borderId="0" xfId="11" applyFont="1" applyBorder="1" applyAlignment="1">
      <alignment horizontal="center"/>
    </xf>
    <xf numFmtId="0" fontId="7" fillId="0" borderId="9" xfId="11" applyFont="1" applyFill="1" applyBorder="1"/>
    <xf numFmtId="0" fontId="7" fillId="0" borderId="9" xfId="11" applyFont="1" applyFill="1" applyBorder="1" applyAlignment="1">
      <alignment horizontal="center" wrapText="1"/>
    </xf>
    <xf numFmtId="0" fontId="7" fillId="0" borderId="0" xfId="11" applyFont="1" applyFill="1" applyBorder="1"/>
    <xf numFmtId="0" fontId="10" fillId="3" borderId="0" xfId="11" applyFont="1" applyFill="1" applyBorder="1" applyAlignment="1">
      <alignment horizontal="left"/>
    </xf>
    <xf numFmtId="2" fontId="10" fillId="3" borderId="5" xfId="11" applyNumberFormat="1" applyFont="1" applyFill="1" applyBorder="1" applyAlignment="1">
      <alignment horizontal="center"/>
    </xf>
    <xf numFmtId="9" fontId="0" fillId="0" borderId="0" xfId="13" applyNumberFormat="1" applyFont="1" applyBorder="1" applyAlignment="1">
      <alignment horizontal="center"/>
    </xf>
    <xf numFmtId="0" fontId="6" fillId="0" borderId="6" xfId="11" applyFont="1" applyFill="1" applyBorder="1"/>
    <xf numFmtId="0" fontId="9" fillId="0" borderId="0" xfId="11" applyFont="1" applyFill="1" applyBorder="1"/>
    <xf numFmtId="2" fontId="4" fillId="2" borderId="9" xfId="11" applyNumberFormat="1" applyFill="1" applyBorder="1" applyAlignment="1">
      <alignment horizontal="center"/>
    </xf>
    <xf numFmtId="166" fontId="4" fillId="0" borderId="9" xfId="11" applyNumberFormat="1" applyFill="1" applyBorder="1" applyAlignment="1">
      <alignment horizontal="center"/>
    </xf>
    <xf numFmtId="9" fontId="4" fillId="2" borderId="9" xfId="11" applyNumberFormat="1" applyFill="1" applyBorder="1" applyAlignment="1">
      <alignment horizontal="center"/>
    </xf>
    <xf numFmtId="0" fontId="8" fillId="0" borderId="7" xfId="11" applyFont="1" applyFill="1" applyBorder="1"/>
    <xf numFmtId="166" fontId="6" fillId="0" borderId="7" xfId="11" applyNumberFormat="1" applyFont="1" applyFill="1" applyBorder="1"/>
    <xf numFmtId="2" fontId="6" fillId="0" borderId="7" xfId="11" applyNumberFormat="1" applyFont="1" applyFill="1" applyBorder="1"/>
    <xf numFmtId="0" fontId="6" fillId="0" borderId="8" xfId="11" applyFont="1" applyFill="1" applyBorder="1"/>
    <xf numFmtId="166" fontId="6" fillId="0" borderId="8" xfId="11" applyNumberFormat="1" applyFont="1" applyFill="1" applyBorder="1"/>
    <xf numFmtId="0" fontId="7" fillId="0" borderId="1" xfId="11" applyFont="1" applyFill="1" applyBorder="1"/>
    <xf numFmtId="166" fontId="6" fillId="0" borderId="9" xfId="11" applyNumberFormat="1" applyFont="1" applyFill="1" applyBorder="1"/>
    <xf numFmtId="0" fontId="10" fillId="3" borderId="9" xfId="11" applyFont="1" applyFill="1" applyBorder="1" applyAlignment="1">
      <alignment horizontal="left"/>
    </xf>
    <xf numFmtId="2" fontId="10" fillId="3" borderId="9" xfId="11" applyNumberFormat="1" applyFont="1" applyFill="1" applyBorder="1" applyAlignment="1">
      <alignment horizontal="center"/>
    </xf>
    <xf numFmtId="0" fontId="4" fillId="0" borderId="0" xfId="11" applyAlignment="1">
      <alignment horizontal="center"/>
    </xf>
    <xf numFmtId="0" fontId="24" fillId="0" borderId="0" xfId="11" applyFont="1"/>
    <xf numFmtId="0" fontId="25" fillId="0" borderId="0" xfId="11" applyFont="1"/>
    <xf numFmtId="0" fontId="0" fillId="2" borderId="0" xfId="0" applyFill="1" applyAlignment="1">
      <alignment vertical="top" wrapText="1"/>
    </xf>
    <xf numFmtId="0" fontId="0" fillId="2" borderId="0" xfId="0" applyFill="1"/>
    <xf numFmtId="0" fontId="19" fillId="5" borderId="10" xfId="0" applyFont="1" applyFill="1" applyBorder="1" applyAlignment="1">
      <alignment vertical="center"/>
    </xf>
    <xf numFmtId="0" fontId="6" fillId="2" borderId="10" xfId="0" applyFont="1" applyFill="1" applyBorder="1" applyAlignment="1">
      <alignment horizontal="left"/>
    </xf>
    <xf numFmtId="0" fontId="13" fillId="0" borderId="10" xfId="0" applyFont="1" applyBorder="1" applyAlignment="1">
      <alignment vertical="center"/>
    </xf>
    <xf numFmtId="0" fontId="0" fillId="2" borderId="11" xfId="0" applyFill="1" applyBorder="1"/>
    <xf numFmtId="0" fontId="18" fillId="4" borderId="10" xfId="0" applyFont="1" applyFill="1" applyBorder="1" applyAlignment="1">
      <alignment vertical="center"/>
    </xf>
    <xf numFmtId="0" fontId="0" fillId="2" borderId="10" xfId="0" applyFill="1" applyBorder="1"/>
    <xf numFmtId="0" fontId="0" fillId="2" borderId="0" xfId="0" applyFill="1" applyAlignment="1">
      <alignment horizontal="left"/>
    </xf>
    <xf numFmtId="0" fontId="23" fillId="2" borderId="0" xfId="0" applyFont="1" applyFill="1"/>
    <xf numFmtId="0" fontId="0" fillId="2" borderId="12" xfId="0" applyFill="1" applyBorder="1"/>
    <xf numFmtId="0" fontId="0" fillId="2" borderId="12" xfId="0" applyFill="1" applyBorder="1" applyAlignment="1">
      <alignment horizontal="right"/>
    </xf>
    <xf numFmtId="0" fontId="0" fillId="2" borderId="0" xfId="0" applyFill="1" applyAlignment="1">
      <alignment horizontal="right"/>
    </xf>
    <xf numFmtId="0" fontId="0" fillId="2" borderId="0" xfId="0" applyFill="1" applyAlignment="1">
      <alignment horizontal="left" indent="2"/>
    </xf>
    <xf numFmtId="164" fontId="0" fillId="2" borderId="0" xfId="1" applyFont="1" applyFill="1"/>
    <xf numFmtId="0" fontId="26" fillId="0" borderId="0" xfId="11" applyFont="1"/>
    <xf numFmtId="0" fontId="17" fillId="2" borderId="0" xfId="0" applyFont="1" applyFill="1"/>
    <xf numFmtId="0" fontId="13" fillId="2" borderId="0" xfId="0" applyFont="1" applyFill="1"/>
    <xf numFmtId="0" fontId="19" fillId="2" borderId="0" xfId="0" applyFont="1" applyFill="1"/>
    <xf numFmtId="0" fontId="18" fillId="4" borderId="10" xfId="0" applyFont="1" applyFill="1" applyBorder="1" applyAlignment="1">
      <alignment vertical="center" wrapText="1"/>
    </xf>
    <xf numFmtId="164" fontId="19" fillId="5" borderId="10" xfId="1" applyFont="1" applyFill="1" applyBorder="1" applyAlignment="1">
      <alignment vertical="center"/>
    </xf>
    <xf numFmtId="164" fontId="19" fillId="5" borderId="10" xfId="1" applyFont="1" applyFill="1" applyBorder="1" applyAlignment="1">
      <alignment vertical="center" wrapText="1"/>
    </xf>
    <xf numFmtId="164" fontId="20" fillId="0" borderId="10" xfId="1" applyFont="1" applyBorder="1" applyAlignment="1">
      <alignment vertical="center"/>
    </xf>
    <xf numFmtId="164" fontId="20" fillId="0" borderId="10" xfId="1" applyFont="1" applyBorder="1" applyAlignment="1">
      <alignment vertical="center" wrapText="1"/>
    </xf>
    <xf numFmtId="164" fontId="13" fillId="0" borderId="10" xfId="1" applyFont="1" applyBorder="1" applyAlignment="1">
      <alignment vertical="center"/>
    </xf>
    <xf numFmtId="164" fontId="13" fillId="0" borderId="10" xfId="1" applyFont="1" applyBorder="1" applyAlignment="1">
      <alignment vertical="center" wrapText="1"/>
    </xf>
    <xf numFmtId="164" fontId="18" fillId="4" borderId="10" xfId="1" applyFont="1" applyFill="1" applyBorder="1" applyAlignment="1">
      <alignment vertical="center"/>
    </xf>
    <xf numFmtId="0" fontId="28" fillId="7" borderId="14" xfId="0" applyFont="1" applyFill="1" applyBorder="1" applyAlignment="1">
      <alignment vertical="center"/>
    </xf>
    <xf numFmtId="2" fontId="28" fillId="7" borderId="14" xfId="0" applyNumberFormat="1" applyFont="1" applyFill="1" applyBorder="1" applyAlignment="1">
      <alignment vertical="center"/>
    </xf>
    <xf numFmtId="0" fontId="18" fillId="4" borderId="15" xfId="0" applyFont="1" applyFill="1" applyBorder="1" applyAlignment="1">
      <alignment vertical="center"/>
    </xf>
    <xf numFmtId="164" fontId="18" fillId="4" borderId="15" xfId="1" applyFont="1" applyFill="1" applyBorder="1" applyAlignment="1">
      <alignment vertical="center"/>
    </xf>
    <xf numFmtId="0" fontId="18" fillId="2" borderId="0" xfId="0" applyFont="1" applyFill="1" applyAlignment="1">
      <alignment vertical="center"/>
    </xf>
    <xf numFmtId="164" fontId="18" fillId="2" borderId="0" xfId="1" applyFont="1" applyFill="1" applyAlignment="1">
      <alignment vertical="center"/>
    </xf>
    <xf numFmtId="0" fontId="21" fillId="2" borderId="0" xfId="0" applyFont="1" applyFill="1"/>
    <xf numFmtId="164" fontId="13" fillId="2" borderId="0" xfId="0" applyNumberFormat="1" applyFont="1" applyFill="1"/>
    <xf numFmtId="0" fontId="22" fillId="2" borderId="0" xfId="0" applyFont="1" applyFill="1"/>
    <xf numFmtId="165" fontId="0" fillId="2" borderId="0" xfId="0" applyNumberFormat="1" applyFill="1"/>
    <xf numFmtId="9" fontId="20" fillId="0" borderId="10" xfId="8" applyFont="1" applyBorder="1" applyAlignment="1">
      <alignment vertical="center"/>
    </xf>
    <xf numFmtId="9" fontId="20" fillId="0" borderId="10" xfId="8" applyFont="1" applyBorder="1" applyAlignment="1">
      <alignment vertical="center" wrapText="1"/>
    </xf>
    <xf numFmtId="9" fontId="0" fillId="2" borderId="11" xfId="8" applyFont="1" applyFill="1" applyBorder="1"/>
    <xf numFmtId="9" fontId="13" fillId="0" borderId="10" xfId="8" applyFont="1" applyBorder="1" applyAlignment="1">
      <alignment vertical="center"/>
    </xf>
    <xf numFmtId="9" fontId="13" fillId="0" borderId="10" xfId="8" applyFont="1" applyBorder="1" applyAlignment="1">
      <alignment vertical="center" wrapText="1"/>
    </xf>
    <xf numFmtId="9" fontId="0" fillId="2" borderId="0" xfId="8" applyFont="1" applyFill="1"/>
    <xf numFmtId="9" fontId="10" fillId="3" borderId="5" xfId="8" applyFont="1" applyFill="1" applyBorder="1" applyAlignment="1">
      <alignment horizontal="center"/>
    </xf>
    <xf numFmtId="9" fontId="10" fillId="3" borderId="9" xfId="8" applyFont="1" applyFill="1" applyBorder="1" applyAlignment="1">
      <alignment horizontal="center"/>
    </xf>
    <xf numFmtId="168" fontId="0" fillId="0" borderId="0" xfId="1" applyNumberFormat="1" applyFont="1" applyBorder="1" applyAlignment="1">
      <alignment horizontal="center"/>
    </xf>
    <xf numFmtId="0" fontId="3" fillId="0" borderId="0" xfId="11" applyFont="1"/>
    <xf numFmtId="0" fontId="3" fillId="0" borderId="0" xfId="11" applyFont="1" applyAlignment="1">
      <alignment horizontal="center"/>
    </xf>
    <xf numFmtId="0" fontId="3" fillId="0" borderId="0" xfId="11" applyFont="1" applyFill="1"/>
    <xf numFmtId="0" fontId="3" fillId="0" borderId="0" xfId="11" applyFont="1" applyFill="1" applyAlignment="1">
      <alignment horizontal="center"/>
    </xf>
    <xf numFmtId="164" fontId="3" fillId="0" borderId="0" xfId="11" applyNumberFormat="1" applyFont="1" applyAlignment="1">
      <alignment horizontal="center"/>
    </xf>
    <xf numFmtId="164" fontId="29" fillId="0" borderId="9" xfId="1" applyFont="1" applyBorder="1" applyAlignment="1">
      <alignment horizontal="center" vertical="center"/>
    </xf>
    <xf numFmtId="164" fontId="30" fillId="0" borderId="9" xfId="1" applyFont="1" applyBorder="1" applyAlignment="1">
      <alignment vertical="center"/>
    </xf>
    <xf numFmtId="164" fontId="30" fillId="0" borderId="9" xfId="1" applyFont="1" applyBorder="1" applyAlignment="1">
      <alignment horizontal="center" vertical="center"/>
    </xf>
    <xf numFmtId="164" fontId="30" fillId="0" borderId="9" xfId="1" applyFont="1" applyFill="1" applyBorder="1" applyAlignment="1">
      <alignment horizontal="center" vertical="center"/>
    </xf>
    <xf numFmtId="164" fontId="30" fillId="0" borderId="9" xfId="1" applyNumberFormat="1" applyFont="1" applyFill="1" applyBorder="1" applyAlignment="1">
      <alignment horizontal="center" vertical="center"/>
    </xf>
    <xf numFmtId="164" fontId="29" fillId="0" borderId="9" xfId="1" applyFont="1" applyFill="1" applyBorder="1" applyAlignment="1">
      <alignment horizontal="center" vertical="center"/>
    </xf>
    <xf numFmtId="9" fontId="30" fillId="0" borderId="9" xfId="8" applyNumberFormat="1" applyFont="1" applyFill="1" applyBorder="1" applyAlignment="1">
      <alignment horizontal="center" vertical="center"/>
    </xf>
    <xf numFmtId="0" fontId="30" fillId="0" borderId="9" xfId="11" applyFont="1" applyBorder="1"/>
    <xf numFmtId="164" fontId="30" fillId="0" borderId="9" xfId="11" applyNumberFormat="1" applyFont="1" applyFill="1" applyBorder="1" applyAlignment="1">
      <alignment horizontal="center"/>
    </xf>
    <xf numFmtId="0" fontId="30" fillId="0" borderId="0" xfId="11" applyFont="1" applyAlignment="1">
      <alignment horizontal="center"/>
    </xf>
    <xf numFmtId="164" fontId="30" fillId="0" borderId="0" xfId="11" applyNumberFormat="1" applyFont="1" applyAlignment="1">
      <alignment horizontal="center"/>
    </xf>
    <xf numFmtId="0" fontId="30" fillId="0" borderId="0" xfId="11" applyFont="1"/>
    <xf numFmtId="0" fontId="0" fillId="0" borderId="0" xfId="0" applyFill="1"/>
    <xf numFmtId="9" fontId="0" fillId="0" borderId="0" xfId="8" applyFont="1" applyFill="1"/>
    <xf numFmtId="0" fontId="31" fillId="3" borderId="0" xfId="0" applyFont="1" applyFill="1"/>
    <xf numFmtId="0" fontId="10" fillId="3" borderId="0" xfId="0" applyFont="1" applyFill="1"/>
    <xf numFmtId="0" fontId="0" fillId="2" borderId="16" xfId="0" applyFill="1" applyBorder="1"/>
    <xf numFmtId="0" fontId="0" fillId="2" borderId="16" xfId="0" applyFill="1" applyBorder="1" applyAlignment="1">
      <alignment horizontal="right"/>
    </xf>
    <xf numFmtId="9" fontId="0" fillId="2" borderId="0" xfId="8" applyFont="1" applyFill="1" applyAlignment="1">
      <alignment horizontal="left" indent="6"/>
    </xf>
    <xf numFmtId="0" fontId="0" fillId="8" borderId="0" xfId="0" applyFill="1"/>
    <xf numFmtId="0" fontId="0" fillId="8" borderId="0" xfId="0" applyFill="1" applyAlignment="1">
      <alignment horizontal="right"/>
    </xf>
    <xf numFmtId="9" fontId="0" fillId="8" borderId="0" xfId="8" applyFont="1" applyFill="1"/>
    <xf numFmtId="9" fontId="0" fillId="2" borderId="16" xfId="8" applyFont="1" applyFill="1" applyBorder="1"/>
    <xf numFmtId="9" fontId="0" fillId="2" borderId="16" xfId="8" applyFont="1" applyFill="1" applyBorder="1" applyAlignment="1">
      <alignment horizontal="left" indent="6"/>
    </xf>
    <xf numFmtId="0" fontId="0" fillId="2" borderId="0" xfId="0" applyFill="1" applyAlignment="1">
      <alignment horizontal="left" indent="3"/>
    </xf>
    <xf numFmtId="0" fontId="0" fillId="2" borderId="18" xfId="0" applyFill="1" applyBorder="1" applyAlignment="1">
      <alignment horizontal="left" indent="3"/>
    </xf>
    <xf numFmtId="0" fontId="0" fillId="2" borderId="17" xfId="0" applyFill="1" applyBorder="1" applyAlignment="1">
      <alignment horizontal="left" indent="3"/>
    </xf>
    <xf numFmtId="0" fontId="32" fillId="2" borderId="0" xfId="0" applyFont="1" applyFill="1" applyAlignment="1">
      <alignment horizontal="right"/>
    </xf>
    <xf numFmtId="10" fontId="0" fillId="2" borderId="0" xfId="0" applyNumberFormat="1" applyFill="1"/>
    <xf numFmtId="0" fontId="0" fillId="0" borderId="17" xfId="0" applyFill="1" applyBorder="1" applyAlignment="1">
      <alignment horizontal="left" indent="3"/>
    </xf>
    <xf numFmtId="0" fontId="0" fillId="0" borderId="18" xfId="0" applyFill="1" applyBorder="1" applyAlignment="1">
      <alignment horizontal="left" indent="3"/>
    </xf>
    <xf numFmtId="0" fontId="23" fillId="2" borderId="0" xfId="0" applyFont="1" applyFill="1" applyBorder="1"/>
    <xf numFmtId="0" fontId="0" fillId="2" borderId="0" xfId="0" applyFill="1" applyBorder="1"/>
    <xf numFmtId="0" fontId="0" fillId="2" borderId="0" xfId="0" applyFill="1" applyBorder="1" applyAlignment="1">
      <alignment horizontal="right"/>
    </xf>
    <xf numFmtId="9" fontId="0" fillId="2" borderId="0" xfId="8" applyFont="1" applyFill="1" applyBorder="1"/>
    <xf numFmtId="164" fontId="0" fillId="2" borderId="0" xfId="1" applyFont="1" applyFill="1" applyBorder="1"/>
    <xf numFmtId="0" fontId="27" fillId="2" borderId="0" xfId="14" applyFill="1" applyBorder="1"/>
    <xf numFmtId="0" fontId="33" fillId="2" borderId="0" xfId="0" applyFont="1" applyFill="1"/>
    <xf numFmtId="0" fontId="34" fillId="2" borderId="0" xfId="0" applyFont="1" applyFill="1"/>
    <xf numFmtId="0" fontId="35" fillId="2" borderId="0" xfId="0" applyFont="1" applyFill="1"/>
    <xf numFmtId="0" fontId="0" fillId="2" borderId="19" xfId="0" applyFill="1" applyBorder="1"/>
    <xf numFmtId="0" fontId="0" fillId="2" borderId="21" xfId="0" applyFill="1" applyBorder="1" applyAlignment="1">
      <alignment horizontal="center"/>
    </xf>
    <xf numFmtId="0" fontId="0" fillId="0" borderId="17" xfId="0" applyBorder="1" applyAlignment="1">
      <alignment horizontal="center"/>
    </xf>
    <xf numFmtId="0" fontId="32" fillId="2" borderId="0" xfId="0" applyFont="1" applyFill="1" applyBorder="1"/>
    <xf numFmtId="0" fontId="0" fillId="2" borderId="0" xfId="0" applyFont="1" applyFill="1" applyBorder="1"/>
    <xf numFmtId="9" fontId="0" fillId="8" borderId="0" xfId="8" applyFont="1" applyFill="1" applyAlignment="1">
      <alignment horizontal="left" indent="6"/>
    </xf>
    <xf numFmtId="0" fontId="10" fillId="3" borderId="10" xfId="0" applyFont="1" applyFill="1" applyBorder="1" applyAlignment="1">
      <alignment horizontal="left" vertical="top" wrapText="1"/>
    </xf>
    <xf numFmtId="0" fontId="18" fillId="3" borderId="10" xfId="0" applyFont="1" applyFill="1" applyBorder="1" applyAlignment="1">
      <alignment vertical="top" wrapText="1"/>
    </xf>
    <xf numFmtId="0" fontId="10" fillId="3" borderId="11" xfId="0" applyFont="1" applyFill="1" applyBorder="1" applyAlignment="1">
      <alignment vertical="top" wrapText="1"/>
    </xf>
    <xf numFmtId="0" fontId="6" fillId="0" borderId="10" xfId="0" applyFont="1" applyFill="1" applyBorder="1" applyAlignment="1">
      <alignment horizontal="left"/>
    </xf>
    <xf numFmtId="0" fontId="0" fillId="2" borderId="0" xfId="0" applyFont="1" applyFill="1"/>
    <xf numFmtId="0" fontId="13" fillId="0" borderId="10" xfId="0" applyFont="1" applyFill="1" applyBorder="1" applyAlignment="1">
      <alignment vertical="center"/>
    </xf>
    <xf numFmtId="9" fontId="13" fillId="0" borderId="10" xfId="8" applyFont="1" applyFill="1" applyBorder="1" applyAlignment="1">
      <alignment vertical="center"/>
    </xf>
    <xf numFmtId="9" fontId="13" fillId="0" borderId="10" xfId="8" applyFont="1" applyFill="1" applyBorder="1" applyAlignment="1">
      <alignment vertical="center" wrapText="1"/>
    </xf>
    <xf numFmtId="0" fontId="2" fillId="0" borderId="11" xfId="0" applyFont="1" applyFill="1" applyBorder="1"/>
    <xf numFmtId="9" fontId="2" fillId="0" borderId="11" xfId="8" applyFont="1" applyFill="1" applyBorder="1"/>
    <xf numFmtId="0" fontId="7" fillId="2" borderId="0" xfId="0" applyFont="1" applyFill="1"/>
    <xf numFmtId="1" fontId="0" fillId="2" borderId="0" xfId="0" applyNumberFormat="1" applyFill="1"/>
    <xf numFmtId="1" fontId="0" fillId="2" borderId="20" xfId="0" applyNumberFormat="1" applyFill="1" applyBorder="1"/>
    <xf numFmtId="1" fontId="0" fillId="0" borderId="20" xfId="0" applyNumberFormat="1" applyBorder="1"/>
    <xf numFmtId="0" fontId="1" fillId="2" borderId="0" xfId="18" applyFill="1"/>
    <xf numFmtId="0" fontId="17" fillId="2" borderId="0" xfId="18" applyFont="1" applyFill="1"/>
    <xf numFmtId="0" fontId="1" fillId="0" borderId="0" xfId="18"/>
    <xf numFmtId="0" fontId="1" fillId="2" borderId="0" xfId="18" applyFill="1" applyAlignment="1">
      <alignment horizontal="left"/>
    </xf>
    <xf numFmtId="0" fontId="13" fillId="2" borderId="0" xfId="18" applyFont="1" applyFill="1"/>
    <xf numFmtId="0" fontId="37" fillId="2" borderId="0" xfId="18" applyFont="1" applyFill="1"/>
    <xf numFmtId="0" fontId="1" fillId="2" borderId="0" xfId="18" applyFill="1" applyAlignment="1">
      <alignment vertical="top" wrapText="1"/>
    </xf>
    <xf numFmtId="0" fontId="10" fillId="4" borderId="10" xfId="18" applyFont="1" applyFill="1" applyBorder="1" applyAlignment="1">
      <alignment horizontal="left" vertical="top" wrapText="1"/>
    </xf>
    <xf numFmtId="0" fontId="18" fillId="4" borderId="10" xfId="18" applyFont="1" applyFill="1" applyBorder="1" applyAlignment="1">
      <alignment vertical="top" wrapText="1"/>
    </xf>
    <xf numFmtId="0" fontId="13" fillId="2" borderId="0" xfId="18" applyFont="1" applyFill="1" applyAlignment="1">
      <alignment vertical="top" wrapText="1"/>
    </xf>
    <xf numFmtId="0" fontId="38" fillId="4" borderId="11" xfId="18" applyFont="1" applyFill="1" applyBorder="1" applyAlignment="1">
      <alignment vertical="top" wrapText="1"/>
    </xf>
    <xf numFmtId="0" fontId="7" fillId="5" borderId="10" xfId="18" applyFont="1" applyFill="1" applyBorder="1" applyAlignment="1">
      <alignment horizontal="left"/>
    </xf>
    <xf numFmtId="0" fontId="19" fillId="5" borderId="10" xfId="18" applyFont="1" applyFill="1" applyBorder="1" applyAlignment="1">
      <alignment vertical="center"/>
    </xf>
    <xf numFmtId="9" fontId="19" fillId="5" borderId="10" xfId="19" applyFont="1" applyFill="1" applyBorder="1" applyAlignment="1">
      <alignment vertical="center"/>
    </xf>
    <xf numFmtId="9" fontId="19" fillId="5" borderId="10" xfId="19" applyFont="1" applyFill="1" applyBorder="1" applyAlignment="1">
      <alignment vertical="center" wrapText="1"/>
    </xf>
    <xf numFmtId="0" fontId="19" fillId="5" borderId="11" xfId="18" applyFont="1" applyFill="1" applyBorder="1"/>
    <xf numFmtId="9" fontId="19" fillId="5" borderId="11" xfId="19" applyFont="1" applyFill="1" applyBorder="1"/>
    <xf numFmtId="0" fontId="6" fillId="2" borderId="10" xfId="18" applyFont="1" applyFill="1" applyBorder="1" applyAlignment="1">
      <alignment horizontal="left"/>
    </xf>
    <xf numFmtId="0" fontId="13" fillId="0" borderId="10" xfId="18" applyFont="1" applyBorder="1" applyAlignment="1">
      <alignment vertical="center"/>
    </xf>
    <xf numFmtId="9" fontId="20" fillId="0" borderId="10" xfId="19" applyFont="1" applyBorder="1" applyAlignment="1">
      <alignment vertical="center"/>
    </xf>
    <xf numFmtId="9" fontId="20" fillId="0" borderId="10" xfId="19" applyFont="1" applyBorder="1" applyAlignment="1">
      <alignment vertical="center" wrapText="1"/>
    </xf>
    <xf numFmtId="0" fontId="13" fillId="2" borderId="11" xfId="18" applyFont="1" applyFill="1" applyBorder="1"/>
    <xf numFmtId="9" fontId="13" fillId="2" borderId="11" xfId="19" applyFont="1" applyFill="1" applyBorder="1"/>
    <xf numFmtId="9" fontId="13" fillId="0" borderId="10" xfId="19" applyFont="1" applyBorder="1" applyAlignment="1">
      <alignment vertical="center"/>
    </xf>
    <xf numFmtId="9" fontId="13" fillId="0" borderId="10" xfId="19" applyFont="1" applyBorder="1" applyAlignment="1">
      <alignment vertical="center" wrapText="1"/>
    </xf>
    <xf numFmtId="0" fontId="36" fillId="2" borderId="0" xfId="18" applyFont="1" applyFill="1"/>
    <xf numFmtId="0" fontId="18" fillId="4" borderId="10" xfId="18" applyFont="1" applyFill="1" applyBorder="1" applyAlignment="1">
      <alignment vertical="center"/>
    </xf>
    <xf numFmtId="9" fontId="38" fillId="4" borderId="10" xfId="19" applyFont="1" applyFill="1" applyBorder="1" applyAlignment="1">
      <alignment vertical="center"/>
    </xf>
    <xf numFmtId="0" fontId="39" fillId="2" borderId="0" xfId="18" applyFont="1" applyFill="1"/>
    <xf numFmtId="0" fontId="38" fillId="4" borderId="11" xfId="18" applyFont="1" applyFill="1" applyBorder="1"/>
    <xf numFmtId="9" fontId="38" fillId="4" borderId="11" xfId="19" applyFont="1" applyFill="1" applyBorder="1"/>
    <xf numFmtId="0" fontId="1" fillId="2" borderId="10" xfId="18" applyFill="1" applyBorder="1"/>
    <xf numFmtId="9" fontId="13" fillId="2" borderId="0" xfId="19" applyFont="1" applyFill="1"/>
    <xf numFmtId="9" fontId="0" fillId="2" borderId="0" xfId="19" applyFont="1" applyFill="1"/>
    <xf numFmtId="0" fontId="28" fillId="7" borderId="14" xfId="18" applyFont="1" applyFill="1" applyBorder="1" applyAlignment="1">
      <alignment vertical="center"/>
    </xf>
    <xf numFmtId="9" fontId="28" fillId="7" borderId="14" xfId="19" applyFont="1" applyFill="1" applyBorder="1" applyAlignment="1">
      <alignment vertical="center"/>
    </xf>
    <xf numFmtId="0" fontId="18" fillId="4" borderId="15" xfId="18" applyFont="1" applyFill="1" applyBorder="1" applyAlignment="1">
      <alignment vertical="center"/>
    </xf>
    <xf numFmtId="0" fontId="23" fillId="2" borderId="0" xfId="18" applyFont="1" applyFill="1"/>
    <xf numFmtId="0" fontId="1" fillId="2" borderId="12" xfId="18" applyFill="1" applyBorder="1"/>
    <xf numFmtId="0" fontId="1" fillId="2" borderId="12" xfId="18" applyFill="1" applyBorder="1" applyAlignment="1">
      <alignment horizontal="left"/>
    </xf>
    <xf numFmtId="0" fontId="11" fillId="2" borderId="12" xfId="18" applyFont="1" applyFill="1" applyBorder="1" applyAlignment="1">
      <alignment horizontal="left"/>
    </xf>
    <xf numFmtId="0" fontId="1" fillId="2" borderId="0" xfId="18" applyFill="1" applyAlignment="1">
      <alignment horizontal="right"/>
    </xf>
    <xf numFmtId="9" fontId="11" fillId="2" borderId="0" xfId="19" applyFont="1" applyFill="1"/>
    <xf numFmtId="0" fontId="1" fillId="2" borderId="0" xfId="18" applyFill="1" applyAlignment="1">
      <alignment horizontal="left" indent="2"/>
    </xf>
    <xf numFmtId="9" fontId="11" fillId="2" borderId="12" xfId="19" applyFont="1" applyFill="1" applyBorder="1"/>
    <xf numFmtId="164" fontId="0" fillId="2" borderId="0" xfId="20" applyFont="1" applyFill="1"/>
    <xf numFmtId="0" fontId="27" fillId="6" borderId="13" xfId="14"/>
    <xf numFmtId="0" fontId="1" fillId="2" borderId="12" xfId="18" applyFill="1" applyBorder="1" applyAlignment="1">
      <alignment horizontal="right"/>
    </xf>
    <xf numFmtId="164" fontId="30" fillId="0" borderId="9" xfId="1" applyNumberFormat="1" applyFont="1" applyBorder="1" applyAlignment="1">
      <alignment horizontal="center" vertical="center"/>
    </xf>
    <xf numFmtId="10" fontId="3" fillId="0" borderId="0" xfId="11" applyNumberFormat="1" applyFont="1" applyFill="1"/>
    <xf numFmtId="9" fontId="30" fillId="0" borderId="9" xfId="8" applyNumberFormat="1" applyFont="1" applyBorder="1" applyAlignment="1">
      <alignment horizontal="center" vertical="center"/>
    </xf>
    <xf numFmtId="164" fontId="3" fillId="0" borderId="0" xfId="11" applyNumberFormat="1" applyFont="1" applyFill="1"/>
    <xf numFmtId="0" fontId="4" fillId="0" borderId="23" xfId="11" applyBorder="1"/>
    <xf numFmtId="0" fontId="11" fillId="0" borderId="1" xfId="11" applyFont="1" applyFill="1" applyBorder="1" applyAlignment="1">
      <alignment horizontal="center"/>
    </xf>
    <xf numFmtId="0" fontId="11" fillId="0" borderId="2" xfId="11" applyFont="1" applyFill="1" applyBorder="1" applyAlignment="1">
      <alignment horizontal="center"/>
    </xf>
    <xf numFmtId="0" fontId="11" fillId="0" borderId="3" xfId="11" applyFont="1" applyFill="1" applyBorder="1" applyAlignment="1">
      <alignment horizontal="center"/>
    </xf>
    <xf numFmtId="0" fontId="11" fillId="0" borderId="6" xfId="11" applyFont="1" applyFill="1" applyBorder="1" applyAlignment="1">
      <alignment horizontal="center" vertical="center"/>
    </xf>
    <xf numFmtId="0" fontId="11" fillId="0" borderId="8" xfId="11" applyFont="1" applyFill="1" applyBorder="1" applyAlignment="1">
      <alignment horizontal="center" vertical="center"/>
    </xf>
    <xf numFmtId="0" fontId="18" fillId="4" borderId="22" xfId="18" applyFont="1" applyFill="1" applyBorder="1" applyAlignment="1">
      <alignment horizontal="center" vertical="top" wrapText="1"/>
    </xf>
    <xf numFmtId="0" fontId="18" fillId="4" borderId="12" xfId="18" applyFont="1" applyFill="1" applyBorder="1" applyAlignment="1">
      <alignment horizontal="center" vertical="top" wrapText="1"/>
    </xf>
  </cellXfs>
  <cellStyles count="21">
    <cellStyle name="Comma" xfId="1" builtinId="3"/>
    <cellStyle name="Comma 10" xfId="10" xr:uid="{E82EE3B8-7CA5-4716-9DD5-42B2D2C896C1}"/>
    <cellStyle name="Comma 2" xfId="12" xr:uid="{0CB06DFC-55AB-476C-9915-FDECD0188AA6}"/>
    <cellStyle name="Comma 3" xfId="17" xr:uid="{E062C92D-8A2D-404B-9A9F-F1EB70A2584C}"/>
    <cellStyle name="Comma 4" xfId="20" xr:uid="{A4CBC139-81D2-444A-A84A-E416BA241210}"/>
    <cellStyle name="Input" xfId="14" builtinId="20"/>
    <cellStyle name="Normal" xfId="0" builtinId="0"/>
    <cellStyle name="Normal 152" xfId="9" xr:uid="{82942966-74A7-4469-BCDE-C333B2535572}"/>
    <cellStyle name="Normal 2" xfId="11" xr:uid="{837C0E9B-2EE5-41EC-905E-FEAFC17BE068}"/>
    <cellStyle name="Normal 3" xfId="15" xr:uid="{5F1815DF-5D28-4B64-9B96-ECAAE8E75220}"/>
    <cellStyle name="Normal 4" xfId="18" xr:uid="{1139B2C9-1CEC-4CE5-B57B-29B0B9DB93E8}"/>
    <cellStyle name="Normal 74" xfId="3" xr:uid="{15ADF3D0-1604-4DBA-9A75-E8D99321BED9}"/>
    <cellStyle name="Normal 75" xfId="4" xr:uid="{E5B4E4D9-5E8E-4890-AFB3-89E0DFBFB497}"/>
    <cellStyle name="Normal 76" xfId="5" xr:uid="{8175DD8C-4373-4C40-B625-F2E830B2E92D}"/>
    <cellStyle name="Normal 77" xfId="6" xr:uid="{58F5BC07-DEBD-4766-9E25-12681D5ED619}"/>
    <cellStyle name="Normal 78" xfId="7" xr:uid="{96466552-0778-44F3-A16E-D6BDB47FC95F}"/>
    <cellStyle name="Percent" xfId="8" builtinId="5"/>
    <cellStyle name="Percent 2" xfId="2" xr:uid="{84CCBDC9-D9D0-4F64-9E88-5B1C1987179F}"/>
    <cellStyle name="Percent 3" xfId="13" xr:uid="{960DEBEE-CF1D-425A-94E7-81D97026D029}"/>
    <cellStyle name="Percent 4" xfId="16" xr:uid="{6AF65634-DFDA-46E0-95D2-A4FAA6D50D86}"/>
    <cellStyle name="Percent 5" xfId="19" xr:uid="{2695D29E-8C8E-4745-8348-C3D7E0E877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11</xdr:row>
      <xdr:rowOff>0</xdr:rowOff>
    </xdr:from>
    <xdr:to>
      <xdr:col>23</xdr:col>
      <xdr:colOff>200025</xdr:colOff>
      <xdr:row>13</xdr:row>
      <xdr:rowOff>114300</xdr:rowOff>
    </xdr:to>
    <xdr:sp macro="" textlink="">
      <xdr:nvSpPr>
        <xdr:cNvPr id="2" name="TextBox 1">
          <a:extLst>
            <a:ext uri="{FF2B5EF4-FFF2-40B4-BE49-F238E27FC236}">
              <a16:creationId xmlns:a16="http://schemas.microsoft.com/office/drawing/2014/main" id="{A1DA756B-E5A5-4C54-978B-6C434BC79CD6}"/>
            </a:ext>
          </a:extLst>
        </xdr:cNvPr>
        <xdr:cNvSpPr txBox="1"/>
      </xdr:nvSpPr>
      <xdr:spPr>
        <a:xfrm>
          <a:off x="11925300" y="2390775"/>
          <a:ext cx="70961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1"/>
            <a:t>Note: </a:t>
          </a:r>
          <a:r>
            <a:rPr lang="en-NZ" sz="1100" i="1"/>
            <a:t>We</a:t>
          </a:r>
          <a:r>
            <a:rPr lang="en-NZ" sz="1100" i="1" baseline="0"/>
            <a:t> have followed the </a:t>
          </a:r>
          <a:r>
            <a:rPr lang="en-NZ" sz="1100" i="1"/>
            <a:t>approach described by Lally (2008) to estimate the standard error of the asset beta. For further details see Martin Lally "The weighted average cost of capital for gas pipeline businesses" (28 October 2008), Appendix 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11</xdr:row>
      <xdr:rowOff>0</xdr:rowOff>
    </xdr:from>
    <xdr:to>
      <xdr:col>23</xdr:col>
      <xdr:colOff>200025</xdr:colOff>
      <xdr:row>13</xdr:row>
      <xdr:rowOff>114300</xdr:rowOff>
    </xdr:to>
    <xdr:sp macro="" textlink="">
      <xdr:nvSpPr>
        <xdr:cNvPr id="2" name="TextBox 1">
          <a:extLst>
            <a:ext uri="{FF2B5EF4-FFF2-40B4-BE49-F238E27FC236}">
              <a16:creationId xmlns:a16="http://schemas.microsoft.com/office/drawing/2014/main" id="{E998098F-4EAF-4078-B1B5-491E85EE7AB8}"/>
            </a:ext>
          </a:extLst>
        </xdr:cNvPr>
        <xdr:cNvSpPr txBox="1"/>
      </xdr:nvSpPr>
      <xdr:spPr>
        <a:xfrm>
          <a:off x="11925300" y="2390775"/>
          <a:ext cx="70961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1"/>
            <a:t>Note: </a:t>
          </a:r>
          <a:r>
            <a:rPr lang="en-NZ" sz="1100" i="1"/>
            <a:t>We</a:t>
          </a:r>
          <a:r>
            <a:rPr lang="en-NZ" sz="1100" i="1" baseline="0"/>
            <a:t> have followed the </a:t>
          </a:r>
          <a:r>
            <a:rPr lang="en-NZ" sz="1100" i="1"/>
            <a:t>approach described by Lally (2008) to estimate the standard error of the asset beta. For further details see Martin Lally "The weighted average cost of capital for gas pipeline businesses" (28 October 2008), Appendix 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11</xdr:row>
      <xdr:rowOff>0</xdr:rowOff>
    </xdr:from>
    <xdr:to>
      <xdr:col>23</xdr:col>
      <xdr:colOff>200025</xdr:colOff>
      <xdr:row>13</xdr:row>
      <xdr:rowOff>114300</xdr:rowOff>
    </xdr:to>
    <xdr:sp macro="" textlink="">
      <xdr:nvSpPr>
        <xdr:cNvPr id="2" name="TextBox 1">
          <a:extLst>
            <a:ext uri="{FF2B5EF4-FFF2-40B4-BE49-F238E27FC236}">
              <a16:creationId xmlns:a16="http://schemas.microsoft.com/office/drawing/2014/main" id="{51875348-AA51-4938-B5BD-0F765499830B}"/>
            </a:ext>
          </a:extLst>
        </xdr:cNvPr>
        <xdr:cNvSpPr txBox="1"/>
      </xdr:nvSpPr>
      <xdr:spPr>
        <a:xfrm>
          <a:off x="11925300" y="2390775"/>
          <a:ext cx="70961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i="1"/>
            <a:t>Note: </a:t>
          </a:r>
          <a:r>
            <a:rPr lang="en-NZ" sz="1100" i="1"/>
            <a:t>We</a:t>
          </a:r>
          <a:r>
            <a:rPr lang="en-NZ" sz="1100" i="1" baseline="0"/>
            <a:t> have followed the </a:t>
          </a:r>
          <a:r>
            <a:rPr lang="en-NZ" sz="1100" i="1"/>
            <a:t>approach described by Lally (2008) to estimate the standard error of the asset beta. For further details see Martin Lally "The weighted average cost of capital for gas pipeline businesses" (28 October 2008), Appendix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D9A4-001E-45FF-B1FE-EF7F3A928254}">
  <sheetPr>
    <tabColor theme="5" tint="-0.249977111117893"/>
  </sheetPr>
  <dimension ref="A1:N22"/>
  <sheetViews>
    <sheetView showGridLines="0" tabSelected="1" workbookViewId="0">
      <selection activeCell="O10" sqref="O10"/>
    </sheetView>
  </sheetViews>
  <sheetFormatPr defaultColWidth="9.140625" defaultRowHeight="15" x14ac:dyDescent="0.25"/>
  <cols>
    <col min="1" max="1" width="3.28515625" style="1" customWidth="1"/>
    <col min="2" max="2" width="3.5703125" style="1" customWidth="1"/>
    <col min="3" max="3" width="16.7109375" style="1" customWidth="1"/>
    <col min="4" max="7" width="15.7109375" style="34" customWidth="1"/>
    <col min="8" max="8" width="14.42578125" style="1" customWidth="1"/>
    <col min="9" max="12" width="9.140625" style="1"/>
    <col min="13" max="13" width="10.42578125" style="1" customWidth="1"/>
    <col min="14" max="16384" width="9.140625" style="1"/>
  </cols>
  <sheetData>
    <row r="1" spans="1:14" ht="21" x14ac:dyDescent="0.35">
      <c r="A1" s="52" t="s">
        <v>239</v>
      </c>
      <c r="B1" s="83"/>
      <c r="C1" s="83"/>
      <c r="D1" s="84"/>
      <c r="E1" s="84"/>
      <c r="F1" s="84"/>
      <c r="G1" s="84"/>
      <c r="H1" s="83"/>
      <c r="I1" s="83"/>
      <c r="J1" s="83"/>
      <c r="K1" s="83"/>
      <c r="L1" s="83"/>
      <c r="M1" s="83"/>
    </row>
    <row r="2" spans="1:14" ht="18.75" x14ac:dyDescent="0.3">
      <c r="A2" s="83"/>
      <c r="B2" s="35"/>
      <c r="C2" s="83"/>
      <c r="D2" s="84"/>
      <c r="E2" s="84"/>
      <c r="F2" s="84"/>
      <c r="G2" s="83"/>
      <c r="H2" s="83"/>
      <c r="I2" s="83"/>
      <c r="J2" s="83"/>
      <c r="K2" s="83"/>
      <c r="L2" s="83"/>
      <c r="M2" s="83"/>
    </row>
    <row r="3" spans="1:14" ht="18.75" x14ac:dyDescent="0.3">
      <c r="A3" s="83"/>
      <c r="B3" s="36" t="s">
        <v>238</v>
      </c>
      <c r="C3" s="83"/>
      <c r="D3" s="84"/>
      <c r="E3" s="84"/>
      <c r="F3" s="84"/>
      <c r="G3" s="83"/>
      <c r="H3" s="83"/>
      <c r="I3" s="83"/>
      <c r="J3" s="83"/>
      <c r="K3" s="83"/>
      <c r="L3" s="83"/>
      <c r="M3" s="83"/>
    </row>
    <row r="4" spans="1:14" ht="18.75" x14ac:dyDescent="0.3">
      <c r="A4" s="83"/>
      <c r="B4" s="35"/>
      <c r="C4" s="88"/>
      <c r="D4" s="88" t="s">
        <v>2</v>
      </c>
      <c r="E4" s="88" t="s">
        <v>3</v>
      </c>
      <c r="F4" s="88" t="s">
        <v>4</v>
      </c>
      <c r="G4" s="83"/>
      <c r="H4" s="88" t="s">
        <v>261</v>
      </c>
      <c r="I4" s="83"/>
      <c r="J4" s="88"/>
      <c r="K4" s="88" t="s">
        <v>2</v>
      </c>
      <c r="L4" s="88" t="s">
        <v>3</v>
      </c>
      <c r="M4" s="88" t="s">
        <v>4</v>
      </c>
      <c r="N4" s="200"/>
    </row>
    <row r="5" spans="1:14" ht="18.75" x14ac:dyDescent="0.3">
      <c r="A5" s="83"/>
      <c r="B5" s="35"/>
      <c r="C5" s="89" t="s">
        <v>6</v>
      </c>
      <c r="D5" s="196">
        <f>'ComCom refined - 2009 - 14'!C5</f>
        <v>0.504701052828192</v>
      </c>
      <c r="E5" s="90">
        <f>'ComCom refined - 2014 - 19'!C5</f>
        <v>0.45677131339907889</v>
      </c>
      <c r="F5" s="90">
        <f>AVERAGE(D5:E5)</f>
        <v>0.48073618311363542</v>
      </c>
      <c r="G5" s="83"/>
      <c r="H5" s="90">
        <f>'ComCom refined - 2017 - 19'!C5</f>
        <v>0.43924311152648454</v>
      </c>
      <c r="I5" s="83"/>
      <c r="J5" s="89" t="s">
        <v>5</v>
      </c>
      <c r="K5" s="90">
        <f>'ComCom refined - 2009 - 14'!I5</f>
        <v>0.50406974067846788</v>
      </c>
      <c r="L5" s="90">
        <f>'ComCom refined - 2014 - 19'!I5</f>
        <v>0.51463117121847035</v>
      </c>
      <c r="M5" s="90">
        <f>AVERAGE(K5:L5)</f>
        <v>0.50935045594846917</v>
      </c>
    </row>
    <row r="6" spans="1:14" ht="18.75" x14ac:dyDescent="0.3">
      <c r="A6" s="83"/>
      <c r="B6" s="35"/>
      <c r="C6" s="89" t="s">
        <v>7</v>
      </c>
      <c r="D6" s="90">
        <f>'ComCom refined - 2009 - 14'!F5</f>
        <v>0.50695638123730247</v>
      </c>
      <c r="E6" s="90">
        <f>'ComCom refined - 2014 - 19'!F5</f>
        <v>0.5319525434132989</v>
      </c>
      <c r="F6" s="91">
        <f>AVERAGE(D6:E6)</f>
        <v>0.51945446232530068</v>
      </c>
      <c r="G6" s="85"/>
      <c r="H6" s="90">
        <f>'ComCom refined - 2017 - 19'!F5</f>
        <v>0.48660402710081802</v>
      </c>
      <c r="I6" s="83"/>
      <c r="J6" s="83"/>
      <c r="K6" s="83"/>
      <c r="L6" s="83"/>
      <c r="M6" s="83"/>
    </row>
    <row r="7" spans="1:14" ht="18.75" x14ac:dyDescent="0.3">
      <c r="A7" s="83"/>
      <c r="B7" s="35"/>
      <c r="C7" s="89" t="s">
        <v>4</v>
      </c>
      <c r="D7" s="90">
        <f>AVERAGE(D5:D6)</f>
        <v>0.50582871703274723</v>
      </c>
      <c r="E7" s="90">
        <f>AVERAGE(E5:E6)</f>
        <v>0.49436192840618887</v>
      </c>
      <c r="F7" s="92">
        <f>ROUNDDOWN(AVERAGE(D7:E7), 2)</f>
        <v>0.5</v>
      </c>
      <c r="G7" s="85"/>
      <c r="H7" s="90">
        <f>AVERAGE(H5:H6)</f>
        <v>0.46292356931365131</v>
      </c>
      <c r="I7" s="83"/>
      <c r="J7" s="83"/>
      <c r="K7" s="83"/>
      <c r="L7" s="83"/>
      <c r="M7" s="83"/>
    </row>
    <row r="8" spans="1:14" ht="18.75" x14ac:dyDescent="0.3">
      <c r="A8" s="83"/>
      <c r="B8" s="35"/>
      <c r="C8" s="83"/>
      <c r="D8" s="84"/>
      <c r="E8" s="84"/>
      <c r="F8" s="86"/>
      <c r="G8" s="85"/>
      <c r="H8" s="97"/>
      <c r="I8" s="83"/>
      <c r="J8" s="83"/>
      <c r="K8" s="83"/>
      <c r="L8" s="83"/>
      <c r="M8" s="83"/>
    </row>
    <row r="9" spans="1:14" ht="18.75" x14ac:dyDescent="0.3">
      <c r="A9" s="83"/>
      <c r="B9" s="36" t="s">
        <v>8</v>
      </c>
      <c r="C9" s="83"/>
      <c r="D9" s="84"/>
      <c r="E9" s="84"/>
      <c r="F9" s="86"/>
      <c r="G9" s="85"/>
      <c r="H9" s="97"/>
      <c r="I9" s="83"/>
      <c r="J9" s="83"/>
      <c r="K9" s="83"/>
      <c r="L9" s="83"/>
      <c r="M9" s="83"/>
    </row>
    <row r="10" spans="1:14" ht="18.75" x14ac:dyDescent="0.3">
      <c r="A10" s="83"/>
      <c r="B10" s="35"/>
      <c r="C10" s="88"/>
      <c r="D10" s="88" t="s">
        <v>2</v>
      </c>
      <c r="E10" s="88" t="s">
        <v>3</v>
      </c>
      <c r="F10" s="93" t="s">
        <v>4</v>
      </c>
      <c r="G10" s="85"/>
      <c r="H10" s="88" t="s">
        <v>261</v>
      </c>
      <c r="I10" s="83"/>
      <c r="J10" s="83"/>
      <c r="K10" s="83"/>
      <c r="L10" s="83"/>
      <c r="M10" s="83"/>
    </row>
    <row r="11" spans="1:14" ht="18.75" x14ac:dyDescent="0.3">
      <c r="A11" s="83"/>
      <c r="B11" s="35"/>
      <c r="C11" s="89" t="s">
        <v>9</v>
      </c>
      <c r="D11" s="91">
        <f>'ComCom refined - 2009 - 14'!P10</f>
        <v>0.32443532449829754</v>
      </c>
      <c r="E11" s="90">
        <f>'ComCom refined - 2014 - 19'!P10</f>
        <v>9.9031626059936706E-2</v>
      </c>
      <c r="F11" s="91">
        <f>AVERAGE(D11:E11)</f>
        <v>0.21173347527911712</v>
      </c>
      <c r="G11" s="85"/>
      <c r="H11" s="91">
        <f>'ComCom refined - 2017 - 19'!P10</f>
        <v>0.16064354323570601</v>
      </c>
      <c r="I11" s="83"/>
      <c r="J11" s="83"/>
      <c r="K11" s="83"/>
      <c r="L11" s="83"/>
      <c r="M11" s="83"/>
    </row>
    <row r="12" spans="1:14" ht="18.75" x14ac:dyDescent="0.3">
      <c r="A12" s="83"/>
      <c r="B12" s="35"/>
      <c r="C12" s="89" t="s">
        <v>7</v>
      </c>
      <c r="D12" s="90">
        <f>'ComCom refined - 2009 - 14'!Q10</f>
        <v>0.25823094493183479</v>
      </c>
      <c r="E12" s="90">
        <f>'ComCom refined - 2014 - 19'!Q10</f>
        <v>0.17192090943322955</v>
      </c>
      <c r="F12" s="91">
        <f>AVERAGE(D12:E12)</f>
        <v>0.21507592718253216</v>
      </c>
      <c r="G12" s="85"/>
      <c r="H12" s="91">
        <f>'ComCom refined - 2017 - 19'!Q10</f>
        <v>0.17049241412681082</v>
      </c>
      <c r="I12" s="83"/>
      <c r="J12" s="83"/>
      <c r="K12" s="83"/>
      <c r="L12" s="83"/>
      <c r="M12" s="83"/>
    </row>
    <row r="13" spans="1:14" ht="18.75" x14ac:dyDescent="0.3">
      <c r="A13" s="83"/>
      <c r="B13" s="35"/>
      <c r="C13" s="89" t="s">
        <v>4</v>
      </c>
      <c r="D13" s="90">
        <f>AVERAGE(D11:D12)</f>
        <v>0.29133313471506617</v>
      </c>
      <c r="E13" s="91">
        <f>AVERAGE(E11:E12)</f>
        <v>0.13547626774658311</v>
      </c>
      <c r="F13" s="91">
        <f>AVERAGE(D13:E13)</f>
        <v>0.21340470123082464</v>
      </c>
      <c r="G13" s="85"/>
      <c r="H13" s="91">
        <f>AVERAGE(H11:H12)</f>
        <v>0.16556797868125842</v>
      </c>
      <c r="I13" s="83"/>
      <c r="J13" s="83"/>
      <c r="K13" s="83"/>
      <c r="L13" s="83"/>
      <c r="M13" s="83"/>
    </row>
    <row r="14" spans="1:14" ht="18.75" x14ac:dyDescent="0.3">
      <c r="A14" s="83"/>
      <c r="B14" s="35"/>
      <c r="C14" s="83"/>
      <c r="D14" s="87"/>
      <c r="E14" s="87"/>
      <c r="F14" s="86"/>
      <c r="G14" s="85"/>
      <c r="H14" s="98"/>
      <c r="I14" s="83"/>
      <c r="J14" s="83"/>
      <c r="K14" s="83"/>
      <c r="L14" s="83"/>
      <c r="M14" s="83"/>
    </row>
    <row r="15" spans="1:14" ht="18.75" x14ac:dyDescent="0.3">
      <c r="A15" s="83"/>
      <c r="B15" s="36" t="s">
        <v>0</v>
      </c>
      <c r="C15" s="83"/>
      <c r="D15" s="87"/>
      <c r="E15" s="87"/>
      <c r="F15" s="86"/>
      <c r="G15" s="85"/>
      <c r="H15" s="98"/>
      <c r="I15" s="83"/>
      <c r="J15" s="83"/>
      <c r="K15" s="83"/>
      <c r="L15" s="83"/>
      <c r="M15" s="83"/>
    </row>
    <row r="16" spans="1:14" ht="18.75" x14ac:dyDescent="0.3">
      <c r="A16" s="83"/>
      <c r="B16" s="35"/>
      <c r="C16" s="88"/>
      <c r="D16" s="88" t="s">
        <v>2</v>
      </c>
      <c r="E16" s="88" t="s">
        <v>3</v>
      </c>
      <c r="F16" s="93" t="s">
        <v>4</v>
      </c>
      <c r="G16" s="85"/>
      <c r="H16" s="88" t="s">
        <v>261</v>
      </c>
      <c r="I16" s="83"/>
      <c r="J16" s="83"/>
      <c r="K16" s="83"/>
      <c r="L16" s="83"/>
      <c r="M16" s="83"/>
    </row>
    <row r="17" spans="1:13" ht="15.75" x14ac:dyDescent="0.25">
      <c r="A17" s="83"/>
      <c r="B17" s="83"/>
      <c r="C17" s="89" t="s">
        <v>4</v>
      </c>
      <c r="D17" s="198">
        <f>'ComCom refined - 2009 - 14'!L5</f>
        <v>0.30230249442843399</v>
      </c>
      <c r="E17" s="198">
        <f>'ComCom refined - 2014 - 19'!L5</f>
        <v>0.28083579448911922</v>
      </c>
      <c r="F17" s="94">
        <f>ROUNDDOWN(AVERAGE(D17:E17),2)</f>
        <v>0.28999999999999998</v>
      </c>
      <c r="G17" s="197"/>
      <c r="H17" s="198">
        <f>'ComCom refined - 2017 - 19'!L5</f>
        <v>0.27894430644029011</v>
      </c>
      <c r="I17" s="83"/>
      <c r="J17" s="83"/>
      <c r="K17" s="83"/>
      <c r="L17" s="83"/>
      <c r="M17" s="83"/>
    </row>
    <row r="18" spans="1:13" ht="15.75" x14ac:dyDescent="0.25">
      <c r="A18" s="83"/>
      <c r="B18" s="83"/>
      <c r="C18" s="83"/>
      <c r="D18" s="84"/>
      <c r="E18" s="84"/>
      <c r="F18" s="86"/>
      <c r="G18" s="85"/>
      <c r="H18" s="99"/>
      <c r="I18" s="83"/>
      <c r="J18" s="83"/>
      <c r="K18" s="83"/>
      <c r="L18" s="83"/>
      <c r="M18" s="83"/>
    </row>
    <row r="19" spans="1:13" ht="15.75" x14ac:dyDescent="0.25">
      <c r="A19" s="83"/>
      <c r="B19" s="83"/>
      <c r="C19" s="83"/>
      <c r="D19" s="84"/>
      <c r="E19" s="84"/>
      <c r="F19" s="86"/>
      <c r="G19" s="85"/>
      <c r="H19" s="99"/>
      <c r="I19" s="83"/>
      <c r="J19" s="83"/>
      <c r="K19" s="83"/>
      <c r="L19" s="83"/>
      <c r="M19" s="83"/>
    </row>
    <row r="20" spans="1:13" ht="18.75" x14ac:dyDescent="0.3">
      <c r="A20" s="83"/>
      <c r="B20" s="36" t="s">
        <v>260</v>
      </c>
      <c r="C20" s="83"/>
      <c r="D20" s="84"/>
      <c r="E20" s="84"/>
      <c r="F20" s="86"/>
      <c r="G20" s="86"/>
      <c r="H20" s="99"/>
      <c r="I20" s="83"/>
      <c r="J20" s="83"/>
      <c r="K20" s="83"/>
      <c r="L20" s="83"/>
      <c r="M20" s="83"/>
    </row>
    <row r="21" spans="1:13" ht="14.25" customHeight="1" x14ac:dyDescent="0.3">
      <c r="A21" s="83"/>
      <c r="B21" s="36"/>
      <c r="C21" s="95"/>
      <c r="D21" s="88" t="s">
        <v>2</v>
      </c>
      <c r="E21" s="88" t="s">
        <v>3</v>
      </c>
      <c r="F21" s="93" t="s">
        <v>4</v>
      </c>
      <c r="G21" s="86"/>
      <c r="H21" s="88" t="s">
        <v>261</v>
      </c>
      <c r="I21" s="83"/>
      <c r="J21" s="83"/>
      <c r="K21" s="83"/>
      <c r="L21" s="83"/>
      <c r="M21" s="83"/>
    </row>
    <row r="22" spans="1:13" ht="15.75" x14ac:dyDescent="0.25">
      <c r="A22" s="83"/>
      <c r="B22" s="83"/>
      <c r="C22" s="89" t="s">
        <v>4</v>
      </c>
      <c r="D22" s="96">
        <f>D7/(1-D17)</f>
        <v>0.72499716996746821</v>
      </c>
      <c r="E22" s="96">
        <f>E7/(1-E17)</f>
        <v>0.68741175467013604</v>
      </c>
      <c r="F22" s="96">
        <f>F7/(1-F17)</f>
        <v>0.70422535211267612</v>
      </c>
      <c r="G22" s="199"/>
      <c r="H22" s="96">
        <f>H7/(1-H17)</f>
        <v>0.6420080632444477</v>
      </c>
      <c r="I22" s="83"/>
      <c r="J22" s="83"/>
      <c r="K22" s="83"/>
      <c r="L22" s="83"/>
      <c r="M22" s="8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F4596-19DE-43BC-9BAF-8B4AAA418C2F}">
  <sheetPr>
    <tabColor theme="5" tint="-0.249977111117893"/>
  </sheetPr>
  <dimension ref="A1:S88"/>
  <sheetViews>
    <sheetView showGridLines="0" workbookViewId="0">
      <pane xSplit="2" ySplit="5" topLeftCell="C6" activePane="bottomRight" state="frozen"/>
      <selection activeCell="F6" sqref="F6"/>
      <selection pane="topRight" activeCell="F6" sqref="F6"/>
      <selection pane="bottomLeft" activeCell="F6" sqref="F6"/>
      <selection pane="bottomRight" activeCell="L6" sqref="L6:L88"/>
    </sheetView>
  </sheetViews>
  <sheetFormatPr defaultColWidth="9.140625" defaultRowHeight="15" x14ac:dyDescent="0.25"/>
  <cols>
    <col min="1" max="1" width="2.28515625" style="1" customWidth="1"/>
    <col min="2" max="2" width="20" style="1" customWidth="1"/>
    <col min="3" max="3" width="12.42578125" style="1" customWidth="1"/>
    <col min="4" max="4" width="15.5703125" style="1" customWidth="1"/>
    <col min="5" max="5" width="11.85546875" style="1" customWidth="1"/>
    <col min="6" max="6" width="14.28515625" style="1" customWidth="1"/>
    <col min="7" max="7" width="14.42578125" style="1" customWidth="1"/>
    <col min="8" max="8" width="11.28515625" style="1" customWidth="1"/>
    <col min="9" max="9" width="12" style="1" customWidth="1"/>
    <col min="10" max="11" width="14.5703125" style="1" customWidth="1"/>
    <col min="12" max="12" width="13" style="1" customWidth="1"/>
    <col min="13" max="13" width="13.42578125" style="1" customWidth="1"/>
    <col min="14" max="14" width="9.140625" style="1"/>
    <col min="15" max="15" width="30.28515625" style="1" customWidth="1"/>
    <col min="16" max="16384" width="9.140625" style="1"/>
  </cols>
  <sheetData>
    <row r="1" spans="1:19" ht="23.25" x14ac:dyDescent="0.35">
      <c r="A1" s="3" t="s">
        <v>10</v>
      </c>
      <c r="G1" s="2"/>
    </row>
    <row r="2" spans="1:19" x14ac:dyDescent="0.25">
      <c r="D2" s="4"/>
      <c r="E2" s="4"/>
    </row>
    <row r="3" spans="1:19" x14ac:dyDescent="0.25">
      <c r="B3" s="5"/>
      <c r="C3" s="201" t="s">
        <v>11</v>
      </c>
      <c r="D3" s="202"/>
      <c r="E3" s="203"/>
      <c r="F3" s="201" t="s">
        <v>7</v>
      </c>
      <c r="G3" s="202"/>
      <c r="H3" s="203"/>
      <c r="I3" s="201" t="s">
        <v>5</v>
      </c>
      <c r="J3" s="202"/>
      <c r="K3" s="203"/>
      <c r="L3" s="204" t="s">
        <v>0</v>
      </c>
      <c r="M3" s="6"/>
      <c r="N3" s="7"/>
    </row>
    <row r="4" spans="1:19" x14ac:dyDescent="0.25">
      <c r="B4" s="8" t="s">
        <v>12</v>
      </c>
      <c r="C4" s="9" t="s">
        <v>1</v>
      </c>
      <c r="D4" s="10" t="s">
        <v>13</v>
      </c>
      <c r="E4" s="9" t="s">
        <v>14</v>
      </c>
      <c r="F4" s="9" t="s">
        <v>1</v>
      </c>
      <c r="G4" s="9" t="s">
        <v>13</v>
      </c>
      <c r="H4" s="9" t="s">
        <v>14</v>
      </c>
      <c r="I4" s="11" t="s">
        <v>1</v>
      </c>
      <c r="J4" s="12" t="s">
        <v>13</v>
      </c>
      <c r="K4" s="9" t="s">
        <v>14</v>
      </c>
      <c r="L4" s="205"/>
      <c r="M4" s="13"/>
      <c r="O4" s="14" t="s">
        <v>15</v>
      </c>
      <c r="P4" s="15" t="s">
        <v>11</v>
      </c>
      <c r="Q4" s="15" t="s">
        <v>7</v>
      </c>
      <c r="R4" s="15" t="s">
        <v>5</v>
      </c>
      <c r="S4" s="16" t="s">
        <v>16</v>
      </c>
    </row>
    <row r="5" spans="1:19" x14ac:dyDescent="0.25">
      <c r="B5" s="17" t="s">
        <v>4</v>
      </c>
      <c r="C5" s="18">
        <f t="shared" ref="C5:L5" si="0">AVERAGE(C6:C88)</f>
        <v>0.43924311152648454</v>
      </c>
      <c r="D5" s="18">
        <f t="shared" si="0"/>
        <v>0.2529408621750297</v>
      </c>
      <c r="E5" s="18">
        <f t="shared" si="0"/>
        <v>8.1301403982455014E-2</v>
      </c>
      <c r="F5" s="18">
        <f t="shared" si="0"/>
        <v>0.48660402710081802</v>
      </c>
      <c r="G5" s="18">
        <f t="shared" si="0"/>
        <v>0.12256592757559288</v>
      </c>
      <c r="H5" s="18">
        <f t="shared" si="0"/>
        <v>1.8850221660780916E-2</v>
      </c>
      <c r="I5" s="18">
        <f t="shared" si="0"/>
        <v>0.46451932651772543</v>
      </c>
      <c r="J5" s="18">
        <f t="shared" si="0"/>
        <v>6.2318794471738312E-2</v>
      </c>
      <c r="K5" s="18">
        <f t="shared" si="0"/>
        <v>4.6277608553226641E-3</v>
      </c>
      <c r="L5" s="80">
        <f t="shared" si="0"/>
        <v>0.27894430644029011</v>
      </c>
      <c r="M5" s="19"/>
      <c r="O5" s="20" t="s">
        <v>17</v>
      </c>
      <c r="P5" s="20">
        <f>COUNT(C6:C88)</f>
        <v>68</v>
      </c>
      <c r="Q5" s="20">
        <f>COUNT(F6:F88)</f>
        <v>68</v>
      </c>
      <c r="R5" s="20">
        <f>COUNT(I6:I88)</f>
        <v>68</v>
      </c>
      <c r="S5" s="21" t="s">
        <v>18</v>
      </c>
    </row>
    <row r="6" spans="1:19" ht="17.25" x14ac:dyDescent="0.25">
      <c r="B6" s="41" t="s">
        <v>19</v>
      </c>
      <c r="C6" s="22">
        <f>IFERROR(VLOOKUP($B6,'CEPA Summary sheet'!$B$5:$AB$93,22,),)</f>
        <v>0.49246312635834466</v>
      </c>
      <c r="D6" s="22">
        <f>IFERROR(VLOOKUP($B6,'CEPA Summary sheet'!$B$5:$AB$93,23,),)</f>
        <v>0.23370948919676882</v>
      </c>
      <c r="E6" s="23">
        <f>IFERROR(D6^2,"-")</f>
        <v>5.4620125340614598E-2</v>
      </c>
      <c r="F6" s="22">
        <f>IFERROR(VLOOKUP($B6,'CEPA Summary sheet'!$B$5:$AB$93,24,),)</f>
        <v>0.29455292519822407</v>
      </c>
      <c r="G6" s="22">
        <f>IFERROR(VLOOKUP($B6,'CEPA Summary sheet'!$B$5:$AB$93,25,),)</f>
        <v>0.11152594412971137</v>
      </c>
      <c r="H6" s="23">
        <f>IFERROR(G6^2,"-")</f>
        <v>1.2438036214023502E-2</v>
      </c>
      <c r="I6" s="22">
        <f>IFERROR(VLOOKUP($B6,'CEPA Summary sheet'!$B$5:$AB$93,26,),)</f>
        <v>0.35021649522184106</v>
      </c>
      <c r="J6" s="22">
        <f>IFERROR(VLOOKUP($B6,'CEPA Summary sheet'!$B$5:$AB$93,27,),)</f>
        <v>4.950610559345086E-2</v>
      </c>
      <c r="K6" s="23">
        <f>IFERROR(J6^2,"-")</f>
        <v>2.4508544910299065E-3</v>
      </c>
      <c r="L6" s="24">
        <f>IFERROR(VLOOKUP('ComCom refined - 2017 - 19'!$B6,'CEPA Rating&amp;Leverage'!$B$5:$G$93,6,),"")</f>
        <v>0.49771083002246519</v>
      </c>
      <c r="M6" s="19"/>
      <c r="O6" s="25" t="s">
        <v>20</v>
      </c>
      <c r="P6" s="26">
        <f>(P5/(P5-1))*_xlfn.VAR.S(C6:C88)</f>
        <v>7.3506216599276392E-2</v>
      </c>
      <c r="Q6" s="26">
        <f>(Q5/(Q5-1))*_xlfn.VAR.S(F6:F88)</f>
        <v>3.9792610818049898E-2</v>
      </c>
      <c r="R6" s="26">
        <f>(R5/(R5-1))*_xlfn.VAR.S(I6:I88)</f>
        <v>3.0991620168329261E-2</v>
      </c>
      <c r="S6" s="21" t="s">
        <v>21</v>
      </c>
    </row>
    <row r="7" spans="1:19" ht="18.75" x14ac:dyDescent="0.35">
      <c r="B7" s="41" t="s">
        <v>22</v>
      </c>
      <c r="C7" s="22">
        <f>IFERROR(VLOOKUP($B7,'CEPA Summary sheet'!$B$5:$AB$93,22,),)</f>
        <v>0.46633504679843973</v>
      </c>
      <c r="D7" s="22">
        <f>IFERROR(VLOOKUP($B7,'CEPA Summary sheet'!$B$5:$AB$93,23,),)</f>
        <v>0.3366400934699228</v>
      </c>
      <c r="E7" s="23">
        <f t="shared" ref="E7:E70" si="1">IFERROR(D7^2,"-")</f>
        <v>0.11332655253143836</v>
      </c>
      <c r="F7" s="22">
        <f>IFERROR(VLOOKUP($B7,'CEPA Summary sheet'!$B$5:$AB$93,24,),)</f>
        <v>0.51945486502603178</v>
      </c>
      <c r="G7" s="22">
        <f>IFERROR(VLOOKUP($B7,'CEPA Summary sheet'!$B$5:$AB$93,25,),)</f>
        <v>0.16094757764379167</v>
      </c>
      <c r="H7" s="23">
        <f t="shared" ref="H7:H70" si="2">IFERROR(G7^2,"-")</f>
        <v>2.5904122749404346E-2</v>
      </c>
      <c r="I7" s="22">
        <f>IFERROR(VLOOKUP($B7,'CEPA Summary sheet'!$B$5:$AB$93,26,),)</f>
        <v>0.43756677194817528</v>
      </c>
      <c r="J7" s="22">
        <f>IFERROR(VLOOKUP($B7,'CEPA Summary sheet'!$B$5:$AB$93,27,),)</f>
        <v>6.9420850400379777E-2</v>
      </c>
      <c r="K7" s="23">
        <f t="shared" ref="K7:K70" si="3">IFERROR(J7^2,"-")</f>
        <v>4.8192544703119095E-3</v>
      </c>
      <c r="L7" s="24">
        <f>IFERROR(VLOOKUP('ComCom refined - 2017 - 19'!$B7,'CEPA Rating&amp;Leverage'!$B$5:$G$93,6,),"")</f>
        <v>0.55514521621159907</v>
      </c>
      <c r="M7" s="19"/>
      <c r="O7" s="25" t="s">
        <v>23</v>
      </c>
      <c r="P7" s="26">
        <f>E5</f>
        <v>8.1301403982455014E-2</v>
      </c>
      <c r="Q7" s="26">
        <f>H5</f>
        <v>1.8850221660780916E-2</v>
      </c>
      <c r="R7" s="26">
        <f>K5</f>
        <v>4.6277608553226641E-3</v>
      </c>
      <c r="S7" s="21" t="s">
        <v>24</v>
      </c>
    </row>
    <row r="8" spans="1:19" ht="17.25" x14ac:dyDescent="0.25">
      <c r="B8" s="41" t="s">
        <v>25</v>
      </c>
      <c r="C8" s="22">
        <f>IFERROR(VLOOKUP($B8,'CEPA Summary sheet'!$B$5:$AB$93,22,),)</f>
        <v>8.8854607553762996E-2</v>
      </c>
      <c r="D8" s="22">
        <f>IFERROR(VLOOKUP($B8,'CEPA Summary sheet'!$B$5:$AB$93,23,),)</f>
        <v>0.20622478703622871</v>
      </c>
      <c r="E8" s="23">
        <f t="shared" si="1"/>
        <v>4.2528662788137883E-2</v>
      </c>
      <c r="F8" s="22">
        <f>IFERROR(VLOOKUP($B8,'CEPA Summary sheet'!$B$5:$AB$93,24,),)</f>
        <v>0.26213523067123951</v>
      </c>
      <c r="G8" s="22">
        <f>IFERROR(VLOOKUP($B8,'CEPA Summary sheet'!$B$5:$AB$93,25,),)</f>
        <v>8.9033808805898604E-2</v>
      </c>
      <c r="H8" s="23">
        <f t="shared" si="2"/>
        <v>7.9270191104853071E-3</v>
      </c>
      <c r="I8" s="22">
        <f>IFERROR(VLOOKUP($B8,'CEPA Summary sheet'!$B$5:$AB$93,26,),)</f>
        <v>0.30647142512384695</v>
      </c>
      <c r="J8" s="22">
        <f>IFERROR(VLOOKUP($B8,'CEPA Summary sheet'!$B$5:$AB$93,27,),)</f>
        <v>4.3847906435624778E-2</v>
      </c>
      <c r="K8" s="23">
        <f t="shared" si="3"/>
        <v>1.9226388987873049E-3</v>
      </c>
      <c r="L8" s="24">
        <f>IFERROR(VLOOKUP('ComCom refined - 2017 - 19'!$B8,'CEPA Rating&amp;Leverage'!$B$5:$G$93,6,),"")</f>
        <v>0.23806922911486064</v>
      </c>
      <c r="M8" s="19"/>
      <c r="O8" s="25" t="s">
        <v>26</v>
      </c>
      <c r="P8" s="27">
        <v>0.2</v>
      </c>
      <c r="Q8" s="27">
        <v>0.2</v>
      </c>
      <c r="R8" s="27">
        <v>0.2</v>
      </c>
      <c r="S8" s="21" t="s">
        <v>27</v>
      </c>
    </row>
    <row r="9" spans="1:19" ht="17.25" x14ac:dyDescent="0.25">
      <c r="B9" s="41" t="s">
        <v>28</v>
      </c>
      <c r="C9" s="22">
        <f>IFERROR(VLOOKUP($B9,'CEPA Summary sheet'!$B$5:$AB$93,22,),)</f>
        <v>0.25103321702134196</v>
      </c>
      <c r="D9" s="22">
        <f>IFERROR(VLOOKUP($B9,'CEPA Summary sheet'!$B$5:$AB$93,23,),)</f>
        <v>0.21256856452110087</v>
      </c>
      <c r="E9" s="23">
        <f t="shared" si="1"/>
        <v>4.5185394622561423E-2</v>
      </c>
      <c r="F9" s="22">
        <f>IFERROR(VLOOKUP($B9,'CEPA Summary sheet'!$B$5:$AB$93,24,),)</f>
        <v>0.32129043600044505</v>
      </c>
      <c r="G9" s="22">
        <f>IFERROR(VLOOKUP($B9,'CEPA Summary sheet'!$B$5:$AB$93,25,),)</f>
        <v>9.2772676913969204E-2</v>
      </c>
      <c r="H9" s="23">
        <f t="shared" si="2"/>
        <v>8.6067695817837152E-3</v>
      </c>
      <c r="I9" s="22">
        <f>IFERROR(VLOOKUP($B9,'CEPA Summary sheet'!$B$5:$AB$93,26,),)</f>
        <v>0.30180911772275687</v>
      </c>
      <c r="J9" s="22">
        <f>IFERROR(VLOOKUP($B9,'CEPA Summary sheet'!$B$5:$AB$93,27,),)</f>
        <v>4.2712442157367456E-2</v>
      </c>
      <c r="K9" s="23">
        <f t="shared" si="3"/>
        <v>1.8243527150464606E-3</v>
      </c>
      <c r="L9" s="24">
        <f>IFERROR(VLOOKUP('ComCom refined - 2017 - 19'!$B9,'CEPA Rating&amp;Leverage'!$B$5:$G$93,6,),"")</f>
        <v>0.24833237506823508</v>
      </c>
      <c r="M9" s="19"/>
      <c r="O9" s="28" t="s">
        <v>29</v>
      </c>
      <c r="P9" s="29">
        <f>P6*((P5+1)/P5)-P7*(1-2*P8)</f>
        <v>2.5806347983322146E-2</v>
      </c>
      <c r="Q9" s="29">
        <f>Q6*((Q5+1)/Q5)-Q7*(1-2*Q8)</f>
        <v>2.9067663274787964E-2</v>
      </c>
      <c r="R9" s="29">
        <f t="shared" ref="R9" si="4">R6*((R5+1)/R5)-R7*(1-2*R8)</f>
        <v>2.8670722775258149E-2</v>
      </c>
      <c r="S9" s="21" t="s">
        <v>30</v>
      </c>
    </row>
    <row r="10" spans="1:19" ht="17.25" x14ac:dyDescent="0.25">
      <c r="B10" s="41" t="s">
        <v>31</v>
      </c>
      <c r="C10" s="22">
        <f>IFERROR(VLOOKUP($B10,'CEPA Summary sheet'!$B$5:$AB$93,22,),)</f>
        <v>0.60524243786170961</v>
      </c>
      <c r="D10" s="22">
        <f>IFERROR(VLOOKUP($B10,'CEPA Summary sheet'!$B$5:$AB$93,23,),)</f>
        <v>0.17786143202002019</v>
      </c>
      <c r="E10" s="23">
        <f t="shared" si="1"/>
        <v>3.1634689000212261E-2</v>
      </c>
      <c r="F10" s="22">
        <f>IFERROR(VLOOKUP($B10,'CEPA Summary sheet'!$B$5:$AB$93,24,),)</f>
        <v>0.54621452044279106</v>
      </c>
      <c r="G10" s="22">
        <f>IFERROR(VLOOKUP($B10,'CEPA Summary sheet'!$B$5:$AB$93,25,),)</f>
        <v>9.5936204301435624E-2</v>
      </c>
      <c r="H10" s="23">
        <f t="shared" si="2"/>
        <v>9.2037552957667957E-3</v>
      </c>
      <c r="I10" s="22">
        <f>IFERROR(VLOOKUP($B10,'CEPA Summary sheet'!$B$5:$AB$93,26,),)</f>
        <v>0.46285474904972312</v>
      </c>
      <c r="J10" s="22">
        <f>IFERROR(VLOOKUP($B10,'CEPA Summary sheet'!$B$5:$AB$93,27,),)</f>
        <v>4.3649972143956349E-2</v>
      </c>
      <c r="K10" s="23">
        <f t="shared" si="3"/>
        <v>1.9053200681681652E-3</v>
      </c>
      <c r="L10" s="24">
        <f>IFERROR(VLOOKUP('ComCom refined - 2017 - 19'!$B10,'CEPA Rating&amp;Leverage'!$B$5:$G$93,6,),"")</f>
        <v>0.31822349640177178</v>
      </c>
      <c r="M10" s="19"/>
      <c r="O10" s="30" t="s">
        <v>32</v>
      </c>
      <c r="P10" s="31">
        <f>SQRT(P9)</f>
        <v>0.16064354323570601</v>
      </c>
      <c r="Q10" s="31">
        <f t="shared" ref="Q10:R10" si="5">SQRT(Q9)</f>
        <v>0.17049241412681082</v>
      </c>
      <c r="R10" s="31">
        <f t="shared" si="5"/>
        <v>0.1693243124163159</v>
      </c>
    </row>
    <row r="11" spans="1:19" ht="17.25" x14ac:dyDescent="0.25">
      <c r="B11" s="41" t="s">
        <v>33</v>
      </c>
      <c r="C11" s="22">
        <f>IFERROR(VLOOKUP($B11,'CEPA Summary sheet'!$B$5:$AB$93,22,),)</f>
        <v>0.6947393461367487</v>
      </c>
      <c r="D11" s="22">
        <f>IFERROR(VLOOKUP($B11,'CEPA Summary sheet'!$B$5:$AB$93,23,),)</f>
        <v>0.25778994891534285</v>
      </c>
      <c r="E11" s="23">
        <f t="shared" si="1"/>
        <v>6.6455657761775075E-2</v>
      </c>
      <c r="F11" s="22">
        <f>IFERROR(VLOOKUP($B11,'CEPA Summary sheet'!$B$5:$AB$93,24,),)</f>
        <v>0.57119874621876598</v>
      </c>
      <c r="G11" s="22">
        <f>IFERROR(VLOOKUP($B11,'CEPA Summary sheet'!$B$5:$AB$93,25,),)</f>
        <v>0.13614960937690407</v>
      </c>
      <c r="H11" s="23">
        <f t="shared" si="2"/>
        <v>1.8536716133483563E-2</v>
      </c>
      <c r="I11" s="22">
        <f>IFERROR(VLOOKUP($B11,'CEPA Summary sheet'!$B$5:$AB$93,26,),)</f>
        <v>0.49145627863413233</v>
      </c>
      <c r="J11" s="22">
        <f>IFERROR(VLOOKUP($B11,'CEPA Summary sheet'!$B$5:$AB$93,27,),)</f>
        <v>6.7889085605094809E-2</v>
      </c>
      <c r="K11" s="23">
        <f t="shared" si="3"/>
        <v>4.6089279442958911E-3</v>
      </c>
      <c r="L11" s="24">
        <f>IFERROR(VLOOKUP('ComCom refined - 2017 - 19'!$B11,'CEPA Rating&amp;Leverage'!$B$5:$G$93,6,),"")</f>
        <v>1.3074426031438942E-2</v>
      </c>
      <c r="M11" s="19"/>
    </row>
    <row r="12" spans="1:19" ht="17.25" x14ac:dyDescent="0.25">
      <c r="B12" s="41" t="s">
        <v>34</v>
      </c>
      <c r="C12" s="22">
        <f>IFERROR(VLOOKUP($B12,'CEPA Summary sheet'!$B$5:$AB$93,22,),)</f>
        <v>0.72408372835133039</v>
      </c>
      <c r="D12" s="22">
        <f>IFERROR(VLOOKUP($B12,'CEPA Summary sheet'!$B$5:$AB$93,23,),)</f>
        <v>0.28358849663204833</v>
      </c>
      <c r="E12" s="23">
        <f t="shared" si="1"/>
        <v>8.042243542202529E-2</v>
      </c>
      <c r="F12" s="22">
        <f>IFERROR(VLOOKUP($B12,'CEPA Summary sheet'!$B$5:$AB$93,24,),)</f>
        <v>0.6534633250553572</v>
      </c>
      <c r="G12" s="22">
        <f>IFERROR(VLOOKUP($B12,'CEPA Summary sheet'!$B$5:$AB$93,25,),)</f>
        <v>0.17253288560340443</v>
      </c>
      <c r="H12" s="23">
        <f t="shared" si="2"/>
        <v>2.9767596614637442E-2</v>
      </c>
      <c r="I12" s="22">
        <f>IFERROR(VLOOKUP($B12,'CEPA Summary sheet'!$B$5:$AB$93,26,),)</f>
        <v>0.57497632019180134</v>
      </c>
      <c r="J12" s="22">
        <f>IFERROR(VLOOKUP($B12,'CEPA Summary sheet'!$B$5:$AB$93,27,),)</f>
        <v>7.9598621218233925E-2</v>
      </c>
      <c r="K12" s="23">
        <f t="shared" si="3"/>
        <v>6.3359404998438798E-3</v>
      </c>
      <c r="L12" s="24">
        <f>IFERROR(VLOOKUP('ComCom refined - 2017 - 19'!$B12,'CEPA Rating&amp;Leverage'!$B$5:$G$93,6,),"")</f>
        <v>5.754694463363544E-3</v>
      </c>
      <c r="M12" s="19"/>
    </row>
    <row r="13" spans="1:19" ht="17.25" x14ac:dyDescent="0.25">
      <c r="B13" s="41" t="s">
        <v>35</v>
      </c>
      <c r="C13" s="22">
        <f>IFERROR(VLOOKUP($B13,'CEPA Summary sheet'!$B$5:$AB$93,22,),)</f>
        <v>0.18927501578710404</v>
      </c>
      <c r="D13" s="22">
        <f>IFERROR(VLOOKUP($B13,'CEPA Summary sheet'!$B$5:$AB$93,23,),)</f>
        <v>0.2200166782245187</v>
      </c>
      <c r="E13" s="23">
        <f t="shared" si="1"/>
        <v>4.8407338696951401E-2</v>
      </c>
      <c r="F13" s="22">
        <f>IFERROR(VLOOKUP($B13,'CEPA Summary sheet'!$B$5:$AB$93,24,),)</f>
        <v>0.34386496727485838</v>
      </c>
      <c r="G13" s="22">
        <f>IFERROR(VLOOKUP($B13,'CEPA Summary sheet'!$B$5:$AB$93,25,),)</f>
        <v>9.361560343371611E-2</v>
      </c>
      <c r="H13" s="23">
        <f t="shared" si="2"/>
        <v>8.7638812062587994E-3</v>
      </c>
      <c r="I13" s="22">
        <f>IFERROR(VLOOKUP($B13,'CEPA Summary sheet'!$B$5:$AB$93,26,),)</f>
        <v>0.31762590100317278</v>
      </c>
      <c r="J13" s="22">
        <f>IFERROR(VLOOKUP($B13,'CEPA Summary sheet'!$B$5:$AB$93,27,),)</f>
        <v>4.1624113893530323E-2</v>
      </c>
      <c r="K13" s="23">
        <f t="shared" si="3"/>
        <v>1.7325668574215841E-3</v>
      </c>
      <c r="L13" s="24">
        <f>IFERROR(VLOOKUP('ComCom refined - 2017 - 19'!$B13,'CEPA Rating&amp;Leverage'!$B$5:$G$93,6,),"")</f>
        <v>0.33571178338979268</v>
      </c>
      <c r="M13" s="19"/>
    </row>
    <row r="14" spans="1:19" ht="17.25" x14ac:dyDescent="0.25">
      <c r="B14" s="41" t="s">
        <v>36</v>
      </c>
      <c r="C14" s="22">
        <f>IFERROR(VLOOKUP($B14,'CEPA Summary sheet'!$B$5:$AB$93,22,),)</f>
        <v>0.3543329439175541</v>
      </c>
      <c r="D14" s="22">
        <f>IFERROR(VLOOKUP($B14,'CEPA Summary sheet'!$B$5:$AB$93,23,),)</f>
        <v>0.29598970616224868</v>
      </c>
      <c r="E14" s="23">
        <f t="shared" si="1"/>
        <v>8.7609906154014316E-2</v>
      </c>
      <c r="F14" s="22">
        <f>IFERROR(VLOOKUP($B14,'CEPA Summary sheet'!$B$5:$AB$93,24,),)</f>
        <v>0.23855103469457889</v>
      </c>
      <c r="G14" s="22">
        <f>IFERROR(VLOOKUP($B14,'CEPA Summary sheet'!$B$5:$AB$93,25,),)</f>
        <v>0.14242938511710188</v>
      </c>
      <c r="H14" s="23">
        <f t="shared" si="2"/>
        <v>2.0286129744835721E-2</v>
      </c>
      <c r="I14" s="22">
        <f>IFERROR(VLOOKUP($B14,'CEPA Summary sheet'!$B$5:$AB$93,26,),)</f>
        <v>0.28100185610015105</v>
      </c>
      <c r="J14" s="22">
        <f>IFERROR(VLOOKUP($B14,'CEPA Summary sheet'!$B$5:$AB$93,27,),)</f>
        <v>7.0152838662214903E-2</v>
      </c>
      <c r="K14" s="23">
        <f t="shared" si="3"/>
        <v>4.921420772366754E-3</v>
      </c>
      <c r="L14" s="24">
        <f>IFERROR(VLOOKUP('ComCom refined - 2017 - 19'!$B14,'CEPA Rating&amp;Leverage'!$B$5:$G$93,6,),"")</f>
        <v>0.39093730162876594</v>
      </c>
      <c r="M14" s="19"/>
    </row>
    <row r="15" spans="1:19" ht="17.25" x14ac:dyDescent="0.25">
      <c r="B15" s="41" t="s">
        <v>37</v>
      </c>
      <c r="C15" s="22">
        <f>IFERROR(VLOOKUP($B15,'CEPA Summary sheet'!$B$5:$AB$93,22,),)</f>
        <v>0.24442481074437428</v>
      </c>
      <c r="D15" s="22">
        <f>IFERROR(VLOOKUP($B15,'CEPA Summary sheet'!$B$5:$AB$93,23,),)</f>
        <v>0.40447121800567093</v>
      </c>
      <c r="E15" s="23">
        <f t="shared" si="1"/>
        <v>0.16359696619499098</v>
      </c>
      <c r="F15" s="22">
        <f>IFERROR(VLOOKUP($B15,'CEPA Summary sheet'!$B$5:$AB$93,24,),)</f>
        <v>0.24441320159832386</v>
      </c>
      <c r="G15" s="22">
        <f>IFERROR(VLOOKUP($B15,'CEPA Summary sheet'!$B$5:$AB$93,25,),)</f>
        <v>0.18524883776365378</v>
      </c>
      <c r="H15" s="23">
        <f t="shared" si="2"/>
        <v>3.4317131892784521E-2</v>
      </c>
      <c r="I15" s="22">
        <f>IFERROR(VLOOKUP($B15,'CEPA Summary sheet'!$B$5:$AB$93,26,),)</f>
        <v>0.2823511234583867</v>
      </c>
      <c r="J15" s="22">
        <f>IFERROR(VLOOKUP($B15,'CEPA Summary sheet'!$B$5:$AB$93,27,),)</f>
        <v>8.62130254101552E-2</v>
      </c>
      <c r="K15" s="23">
        <f t="shared" si="3"/>
        <v>7.4326857503720662E-3</v>
      </c>
      <c r="L15" s="24">
        <f>IFERROR(VLOOKUP('ComCom refined - 2017 - 19'!$B15,'CEPA Rating&amp;Leverage'!$B$5:$G$93,6,),"")</f>
        <v>0.33339095911789457</v>
      </c>
      <c r="M15" s="19"/>
    </row>
    <row r="16" spans="1:19" ht="17.25" x14ac:dyDescent="0.25">
      <c r="B16" s="41" t="s">
        <v>38</v>
      </c>
      <c r="C16" s="22" t="str">
        <f>IFERROR(VLOOKUP($B16,'CEPA Summary sheet'!$B$5:$AB$93,22,),)</f>
        <v/>
      </c>
      <c r="D16" s="22" t="str">
        <f>IFERROR(VLOOKUP($B16,'CEPA Summary sheet'!$B$5:$AB$93,23,),)</f>
        <v/>
      </c>
      <c r="E16" s="23" t="str">
        <f t="shared" si="1"/>
        <v>-</v>
      </c>
      <c r="F16" s="22" t="str">
        <f>IFERROR(VLOOKUP($B16,'CEPA Summary sheet'!$B$5:$AB$93,24,),)</f>
        <v/>
      </c>
      <c r="G16" s="22" t="str">
        <f>IFERROR(VLOOKUP($B16,'CEPA Summary sheet'!$B$5:$AB$93,25,),)</f>
        <v/>
      </c>
      <c r="H16" s="23" t="str">
        <f t="shared" si="2"/>
        <v>-</v>
      </c>
      <c r="I16" s="22" t="str">
        <f>IFERROR(VLOOKUP($B16,'CEPA Summary sheet'!$B$5:$AB$93,26,),)</f>
        <v/>
      </c>
      <c r="J16" s="22" t="str">
        <f>IFERROR(VLOOKUP($B16,'CEPA Summary sheet'!$B$5:$AB$93,27,),)</f>
        <v/>
      </c>
      <c r="K16" s="23" t="str">
        <f t="shared" si="3"/>
        <v>-</v>
      </c>
      <c r="L16" s="24" t="str">
        <f>IFERROR(VLOOKUP('ComCom refined - 2017 - 19'!$B16,'CEPA Rating&amp;Leverage'!$B$5:$G$93,6,),"")</f>
        <v/>
      </c>
      <c r="M16" s="19"/>
    </row>
    <row r="17" spans="2:15" ht="17.25" x14ac:dyDescent="0.25">
      <c r="B17" s="41" t="s">
        <v>39</v>
      </c>
      <c r="C17" s="22">
        <f>IFERROR(VLOOKUP($B17,'CEPA Summary sheet'!$B$5:$AB$93,22,),)</f>
        <v>0.24888202717724309</v>
      </c>
      <c r="D17" s="22">
        <f>IFERROR(VLOOKUP($B17,'CEPA Summary sheet'!$B$5:$AB$93,23,),)</f>
        <v>0.30673938732242395</v>
      </c>
      <c r="E17" s="23">
        <f t="shared" si="1"/>
        <v>9.4089051734936022E-2</v>
      </c>
      <c r="F17" s="22">
        <f>IFERROR(VLOOKUP($B17,'CEPA Summary sheet'!$B$5:$AB$93,24,),)</f>
        <v>0.26931312862439832</v>
      </c>
      <c r="G17" s="22">
        <f>IFERROR(VLOOKUP($B17,'CEPA Summary sheet'!$B$5:$AB$93,25,),)</f>
        <v>0.13895777102863002</v>
      </c>
      <c r="H17" s="23">
        <f t="shared" si="2"/>
        <v>1.9309262129245171E-2</v>
      </c>
      <c r="I17" s="22">
        <f>IFERROR(VLOOKUP($B17,'CEPA Summary sheet'!$B$5:$AB$93,26,),)</f>
        <v>0.45241596109468191</v>
      </c>
      <c r="J17" s="22">
        <f>IFERROR(VLOOKUP($B17,'CEPA Summary sheet'!$B$5:$AB$93,27,),)</f>
        <v>5.9843260887900943E-2</v>
      </c>
      <c r="K17" s="23">
        <f t="shared" si="3"/>
        <v>3.5812158736973749E-3</v>
      </c>
      <c r="L17" s="24">
        <f>IFERROR(VLOOKUP('ComCom refined - 2017 - 19'!$B17,'CEPA Rating&amp;Leverage'!$B$5:$G$93,6,),"")</f>
        <v>0.30905020496433588</v>
      </c>
      <c r="M17" s="19"/>
    </row>
    <row r="18" spans="2:15" ht="17.25" x14ac:dyDescent="0.25">
      <c r="B18" s="41" t="s">
        <v>40</v>
      </c>
      <c r="C18" s="22">
        <f>IFERROR(VLOOKUP($B18,'CEPA Summary sheet'!$B$5:$AB$93,22,),)</f>
        <v>0.30174454951355101</v>
      </c>
      <c r="D18" s="22">
        <f>IFERROR(VLOOKUP($B18,'CEPA Summary sheet'!$B$5:$AB$93,23,),)</f>
        <v>0.21956818798614303</v>
      </c>
      <c r="E18" s="23">
        <f t="shared" si="1"/>
        <v>4.8210189175518239E-2</v>
      </c>
      <c r="F18" s="22">
        <f>IFERROR(VLOOKUP($B18,'CEPA Summary sheet'!$B$5:$AB$93,24,),)</f>
        <v>0.3779943568936</v>
      </c>
      <c r="G18" s="22">
        <f>IFERROR(VLOOKUP($B18,'CEPA Summary sheet'!$B$5:$AB$93,25,),)</f>
        <v>9.262749029022023E-2</v>
      </c>
      <c r="H18" s="23">
        <f t="shared" si="2"/>
        <v>8.579851957464843E-3</v>
      </c>
      <c r="I18" s="22">
        <f>IFERROR(VLOOKUP($B18,'CEPA Summary sheet'!$B$5:$AB$93,26,),)</f>
        <v>0.37671302705219711</v>
      </c>
      <c r="J18" s="22">
        <f>IFERROR(VLOOKUP($B18,'CEPA Summary sheet'!$B$5:$AB$93,27,),)</f>
        <v>4.308480560159729E-2</v>
      </c>
      <c r="K18" s="23">
        <f t="shared" si="3"/>
        <v>1.8563004737274292E-3</v>
      </c>
      <c r="L18" s="24">
        <f>IFERROR(VLOOKUP('ComCom refined - 2017 - 19'!$B18,'CEPA Rating&amp;Leverage'!$B$5:$G$93,6,),"")</f>
        <v>0.64261699192528954</v>
      </c>
      <c r="M18" s="19"/>
    </row>
    <row r="19" spans="2:15" ht="17.25" x14ac:dyDescent="0.25">
      <c r="B19" s="41" t="s">
        <v>41</v>
      </c>
      <c r="C19" s="22" t="str">
        <f>IFERROR(VLOOKUP($B19,'CEPA Summary sheet'!$B$5:$AB$93,22,),)</f>
        <v/>
      </c>
      <c r="D19" s="22" t="str">
        <f>IFERROR(VLOOKUP($B19,'CEPA Summary sheet'!$B$5:$AB$93,23,),)</f>
        <v/>
      </c>
      <c r="E19" s="23" t="str">
        <f t="shared" si="1"/>
        <v>-</v>
      </c>
      <c r="F19" s="22" t="str">
        <f>IFERROR(VLOOKUP($B19,'CEPA Summary sheet'!$B$5:$AB$93,24,),)</f>
        <v/>
      </c>
      <c r="G19" s="22" t="str">
        <f>IFERROR(VLOOKUP($B19,'CEPA Summary sheet'!$B$5:$AB$93,25,),)</f>
        <v/>
      </c>
      <c r="H19" s="23" t="str">
        <f t="shared" si="2"/>
        <v>-</v>
      </c>
      <c r="I19" s="22" t="str">
        <f>IFERROR(VLOOKUP($B19,'CEPA Summary sheet'!$B$5:$AB$93,26,),)</f>
        <v/>
      </c>
      <c r="J19" s="22" t="str">
        <f>IFERROR(VLOOKUP($B19,'CEPA Summary sheet'!$B$5:$AB$93,27,),)</f>
        <v/>
      </c>
      <c r="K19" s="23" t="str">
        <f t="shared" si="3"/>
        <v>-</v>
      </c>
      <c r="L19" s="24" t="str">
        <f>IFERROR(VLOOKUP('ComCom refined - 2017 - 19'!$B19,'CEPA Rating&amp;Leverage'!$B$5:$G$93,6,),"")</f>
        <v/>
      </c>
      <c r="M19" s="19"/>
    </row>
    <row r="20" spans="2:15" ht="17.25" x14ac:dyDescent="0.25">
      <c r="B20" s="41" t="s">
        <v>42</v>
      </c>
      <c r="C20" s="22">
        <f>IFERROR(VLOOKUP($B20,'CEPA Summary sheet'!$B$5:$AB$93,22,),)</f>
        <v>0.60288051524904451</v>
      </c>
      <c r="D20" s="22">
        <f>IFERROR(VLOOKUP($B20,'CEPA Summary sheet'!$B$5:$AB$93,23,),)</f>
        <v>0.29453968590572038</v>
      </c>
      <c r="E20" s="23">
        <f t="shared" si="1"/>
        <v>8.675362657344042E-2</v>
      </c>
      <c r="F20" s="22">
        <f>IFERROR(VLOOKUP($B20,'CEPA Summary sheet'!$B$5:$AB$93,24,),)</f>
        <v>0.7127750035814221</v>
      </c>
      <c r="G20" s="22">
        <f>IFERROR(VLOOKUP($B20,'CEPA Summary sheet'!$B$5:$AB$93,25,),)</f>
        <v>0.14418508264970603</v>
      </c>
      <c r="H20" s="23">
        <f t="shared" si="2"/>
        <v>2.0789338058702558E-2</v>
      </c>
      <c r="I20" s="22">
        <f>IFERROR(VLOOKUP($B20,'CEPA Summary sheet'!$B$5:$AB$93,26,),)</f>
        <v>0.66976142101608038</v>
      </c>
      <c r="J20" s="22">
        <f>IFERROR(VLOOKUP($B20,'CEPA Summary sheet'!$B$5:$AB$93,27,),)</f>
        <v>7.1402685469049862E-2</v>
      </c>
      <c r="K20" s="23">
        <f t="shared" si="3"/>
        <v>5.098343492192064E-3</v>
      </c>
      <c r="L20" s="24">
        <f>IFERROR(VLOOKUP('ComCom refined - 2017 - 19'!$B20,'CEPA Rating&amp;Leverage'!$B$5:$G$93,6,),"")</f>
        <v>0.18324249713272908</v>
      </c>
      <c r="M20" s="19"/>
    </row>
    <row r="21" spans="2:15" ht="17.25" x14ac:dyDescent="0.25">
      <c r="B21" s="41" t="s">
        <v>43</v>
      </c>
      <c r="C21" s="22">
        <f>IFERROR(VLOOKUP($B21,'CEPA Summary sheet'!$B$5:$AB$93,22,),)</f>
        <v>0.261824599268702</v>
      </c>
      <c r="D21" s="22">
        <f>IFERROR(VLOOKUP($B21,'CEPA Summary sheet'!$B$5:$AB$93,23,),)</f>
        <v>0.20447321592592377</v>
      </c>
      <c r="E21" s="23">
        <f t="shared" si="1"/>
        <v>4.1809296031089446E-2</v>
      </c>
      <c r="F21" s="22">
        <f>IFERROR(VLOOKUP($B21,'CEPA Summary sheet'!$B$5:$AB$93,24,),)</f>
        <v>0.41086321260115211</v>
      </c>
      <c r="G21" s="22">
        <f>IFERROR(VLOOKUP($B21,'CEPA Summary sheet'!$B$5:$AB$93,25,),)</f>
        <v>9.2196347354153843E-2</v>
      </c>
      <c r="H21" s="23">
        <f t="shared" si="2"/>
        <v>8.5001664654477897E-3</v>
      </c>
      <c r="I21" s="22">
        <f>IFERROR(VLOOKUP($B21,'CEPA Summary sheet'!$B$5:$AB$93,26,),)</f>
        <v>0.35872579755629908</v>
      </c>
      <c r="J21" s="22">
        <f>IFERROR(VLOOKUP($B21,'CEPA Summary sheet'!$B$5:$AB$93,27,),)</f>
        <v>4.0591200461016594E-2</v>
      </c>
      <c r="K21" s="23">
        <f t="shared" si="3"/>
        <v>1.6476455548664337E-3</v>
      </c>
      <c r="L21" s="24">
        <f>IFERROR(VLOOKUP('ComCom refined - 2017 - 19'!$B21,'CEPA Rating&amp;Leverage'!$B$5:$G$93,6,),"")</f>
        <v>0.66963688060423598</v>
      </c>
      <c r="M21" s="19"/>
    </row>
    <row r="22" spans="2:15" ht="17.25" x14ac:dyDescent="0.25">
      <c r="B22" s="41" t="s">
        <v>44</v>
      </c>
      <c r="C22" s="22">
        <f>IFERROR(VLOOKUP($B22,'CEPA Summary sheet'!$B$5:$AB$93,22,),)</f>
        <v>0.53379611896145085</v>
      </c>
      <c r="D22" s="22">
        <f>IFERROR(VLOOKUP($B22,'CEPA Summary sheet'!$B$5:$AB$93,23,),)</f>
        <v>0.36532413998294688</v>
      </c>
      <c r="E22" s="23">
        <f t="shared" si="1"/>
        <v>0.13346172725427977</v>
      </c>
      <c r="F22" s="22">
        <f>IFERROR(VLOOKUP($B22,'CEPA Summary sheet'!$B$5:$AB$93,24,),)</f>
        <v>0.4490817130939605</v>
      </c>
      <c r="G22" s="22">
        <f>IFERROR(VLOOKUP($B22,'CEPA Summary sheet'!$B$5:$AB$93,25,),)</f>
        <v>0.18114811498233424</v>
      </c>
      <c r="H22" s="23">
        <f t="shared" si="2"/>
        <v>3.2814639561652988E-2</v>
      </c>
      <c r="I22" s="22">
        <f>IFERROR(VLOOKUP($B22,'CEPA Summary sheet'!$B$5:$AB$93,26,),)</f>
        <v>0.59117317025998539</v>
      </c>
      <c r="J22" s="22">
        <f>IFERROR(VLOOKUP($B22,'CEPA Summary sheet'!$B$5:$AB$93,27,),)</f>
        <v>8.3367193317800903E-2</v>
      </c>
      <c r="K22" s="23">
        <f t="shared" si="3"/>
        <v>6.9500889216875875E-3</v>
      </c>
      <c r="L22" s="24">
        <f>IFERROR(VLOOKUP('ComCom refined - 2017 - 19'!$B22,'CEPA Rating&amp;Leverage'!$B$5:$G$93,6,),"")</f>
        <v>0.13963445282956188</v>
      </c>
      <c r="M22" s="19"/>
      <c r="O22" s="2"/>
    </row>
    <row r="23" spans="2:15" ht="17.25" x14ac:dyDescent="0.25">
      <c r="B23" s="41" t="s">
        <v>45</v>
      </c>
      <c r="C23" s="22">
        <f>IFERROR(VLOOKUP($B23,'CEPA Summary sheet'!$B$5:$AB$93,22,),)</f>
        <v>0.23802297890338178</v>
      </c>
      <c r="D23" s="22">
        <f>IFERROR(VLOOKUP($B23,'CEPA Summary sheet'!$B$5:$AB$93,23,),)</f>
        <v>0.14446695310106034</v>
      </c>
      <c r="E23" s="23">
        <f t="shared" si="1"/>
        <v>2.0870700538303966E-2</v>
      </c>
      <c r="F23" s="22">
        <f>IFERROR(VLOOKUP($B23,'CEPA Summary sheet'!$B$5:$AB$93,24,),)</f>
        <v>0.30502637938288701</v>
      </c>
      <c r="G23" s="22">
        <f>IFERROR(VLOOKUP($B23,'CEPA Summary sheet'!$B$5:$AB$93,25,),)</f>
        <v>5.5409609878414881E-2</v>
      </c>
      <c r="H23" s="23">
        <f t="shared" si="2"/>
        <v>3.0702248668781321E-3</v>
      </c>
      <c r="I23" s="22">
        <f>IFERROR(VLOOKUP($B23,'CEPA Summary sheet'!$B$5:$AB$93,26,),)</f>
        <v>0.29803132423864909</v>
      </c>
      <c r="J23" s="22">
        <f>IFERROR(VLOOKUP($B23,'CEPA Summary sheet'!$B$5:$AB$93,27,),)</f>
        <v>2.5855536593466538E-2</v>
      </c>
      <c r="K23" s="23">
        <f t="shared" si="3"/>
        <v>6.6850877253608724E-4</v>
      </c>
      <c r="L23" s="24">
        <f>IFERROR(VLOOKUP('ComCom refined - 2017 - 19'!$B23,'CEPA Rating&amp;Leverage'!$B$5:$G$93,6,),"")</f>
        <v>0.42722412739916144</v>
      </c>
      <c r="M23" s="19"/>
    </row>
    <row r="24" spans="2:15" ht="17.25" x14ac:dyDescent="0.25">
      <c r="B24" s="41" t="s">
        <v>46</v>
      </c>
      <c r="C24" s="22">
        <f>IFERROR(VLOOKUP($B24,'CEPA Summary sheet'!$B$5:$AB$93,22,),)</f>
        <v>0.13719013987257517</v>
      </c>
      <c r="D24" s="22">
        <f>IFERROR(VLOOKUP($B24,'CEPA Summary sheet'!$B$5:$AB$93,23,),)</f>
        <v>0.23562800559545974</v>
      </c>
      <c r="E24" s="23">
        <f t="shared" si="1"/>
        <v>5.5520557020894007E-2</v>
      </c>
      <c r="F24" s="22">
        <f>IFERROR(VLOOKUP($B24,'CEPA Summary sheet'!$B$5:$AB$93,24,),)</f>
        <v>0.38978637653185866</v>
      </c>
      <c r="G24" s="22">
        <f>IFERROR(VLOOKUP($B24,'CEPA Summary sheet'!$B$5:$AB$93,25,),)</f>
        <v>0.13389268675277435</v>
      </c>
      <c r="H24" s="23">
        <f t="shared" si="2"/>
        <v>1.7927251565876556E-2</v>
      </c>
      <c r="I24" s="22">
        <f>IFERROR(VLOOKUP($B24,'CEPA Summary sheet'!$B$5:$AB$93,26,),)</f>
        <v>0.56160308989404661</v>
      </c>
      <c r="J24" s="22">
        <f>IFERROR(VLOOKUP($B24,'CEPA Summary sheet'!$B$5:$AB$93,27,),)</f>
        <v>5.9768672160687299E-2</v>
      </c>
      <c r="K24" s="23">
        <f t="shared" si="3"/>
        <v>3.572294171851717E-3</v>
      </c>
      <c r="L24" s="24">
        <f>IFERROR(VLOOKUP('ComCom refined - 2017 - 19'!$B24,'CEPA Rating&amp;Leverage'!$B$5:$G$93,6,),"")</f>
        <v>0.15763205028314009</v>
      </c>
      <c r="M24" s="19"/>
    </row>
    <row r="25" spans="2:15" ht="17.25" x14ac:dyDescent="0.25">
      <c r="B25" s="41" t="s">
        <v>47</v>
      </c>
      <c r="C25" s="22">
        <f>IFERROR(VLOOKUP($B25,'CEPA Summary sheet'!$B$5:$AB$93,22,),)</f>
        <v>0.1595140629529703</v>
      </c>
      <c r="D25" s="22">
        <f>IFERROR(VLOOKUP($B25,'CEPA Summary sheet'!$B$5:$AB$93,23,),)</f>
        <v>0.4861111802594994</v>
      </c>
      <c r="E25" s="23">
        <f t="shared" si="1"/>
        <v>0.2363040795732835</v>
      </c>
      <c r="F25" s="22">
        <f>IFERROR(VLOOKUP($B25,'CEPA Summary sheet'!$B$5:$AB$93,24,),)</f>
        <v>0.4965963427000798</v>
      </c>
      <c r="G25" s="22">
        <f>IFERROR(VLOOKUP($B25,'CEPA Summary sheet'!$B$5:$AB$93,25,),)</f>
        <v>0.26838162530201293</v>
      </c>
      <c r="H25" s="23">
        <f t="shared" si="2"/>
        <v>7.2028696799750061E-2</v>
      </c>
      <c r="I25" s="22">
        <f>IFERROR(VLOOKUP($B25,'CEPA Summary sheet'!$B$5:$AB$93,26,),)</f>
        <v>0.3464177</v>
      </c>
      <c r="J25" s="22">
        <f>IFERROR(VLOOKUP($B25,'CEPA Summary sheet'!$B$5:$AB$93,27,),)</f>
        <v>0.11898590000000001</v>
      </c>
      <c r="K25" s="23">
        <f t="shared" si="3"/>
        <v>1.4157644398810001E-2</v>
      </c>
      <c r="L25" s="24">
        <f>IFERROR(VLOOKUP('ComCom refined - 2017 - 19'!$B25,'CEPA Rating&amp;Leverage'!$B$5:$G$93,6,),"")</f>
        <v>0</v>
      </c>
      <c r="M25" s="19"/>
    </row>
    <row r="26" spans="2:15" ht="17.25" x14ac:dyDescent="0.25">
      <c r="B26" s="41" t="s">
        <v>48</v>
      </c>
      <c r="C26" s="22">
        <f>IFERROR(VLOOKUP($B26,'CEPA Summary sheet'!$B$5:$AB$93,22,),)</f>
        <v>0.77350862175057533</v>
      </c>
      <c r="D26" s="22">
        <f>IFERROR(VLOOKUP($B26,'CEPA Summary sheet'!$B$5:$AB$93,23,),)</f>
        <v>0.32715571669982818</v>
      </c>
      <c r="E26" s="23">
        <f t="shared" si="1"/>
        <v>0.10703086296937823</v>
      </c>
      <c r="F26" s="22">
        <f>IFERROR(VLOOKUP($B26,'CEPA Summary sheet'!$B$5:$AB$93,24,),)</f>
        <v>0.53691788973331689</v>
      </c>
      <c r="G26" s="22">
        <f>IFERROR(VLOOKUP($B26,'CEPA Summary sheet'!$B$5:$AB$93,25,),)</f>
        <v>0.16347584840583926</v>
      </c>
      <c r="H26" s="23">
        <f t="shared" si="2"/>
        <v>2.6724353012008938E-2</v>
      </c>
      <c r="I26" s="22">
        <f>IFERROR(VLOOKUP($B26,'CEPA Summary sheet'!$B$5:$AB$93,26,),)</f>
        <v>0.67613170278612511</v>
      </c>
      <c r="J26" s="22">
        <f>IFERROR(VLOOKUP($B26,'CEPA Summary sheet'!$B$5:$AB$93,27,),)</f>
        <v>0.10908022951145019</v>
      </c>
      <c r="K26" s="23">
        <f t="shared" si="3"/>
        <v>1.1898496470270649E-2</v>
      </c>
      <c r="L26" s="24">
        <f>IFERROR(VLOOKUP('ComCom refined - 2017 - 19'!$B26,'CEPA Rating&amp;Leverage'!$B$5:$G$93,6,),"")</f>
        <v>0.13868956917246208</v>
      </c>
      <c r="M26" s="19"/>
    </row>
    <row r="27" spans="2:15" ht="17.25" x14ac:dyDescent="0.25">
      <c r="B27" s="41" t="s">
        <v>49</v>
      </c>
      <c r="C27" s="22">
        <f>IFERROR(VLOOKUP($B27,'CEPA Summary sheet'!$B$5:$AB$93,22,),)</f>
        <v>0.73586357038059058</v>
      </c>
      <c r="D27" s="22">
        <f>IFERROR(VLOOKUP($B27,'CEPA Summary sheet'!$B$5:$AB$93,23,),)</f>
        <v>0.12107090841785971</v>
      </c>
      <c r="E27" s="23">
        <f t="shared" si="1"/>
        <v>1.4658164865125773E-2</v>
      </c>
      <c r="F27" s="22">
        <f>IFERROR(VLOOKUP($B27,'CEPA Summary sheet'!$B$5:$AB$93,24,),)</f>
        <v>0.77585360329461195</v>
      </c>
      <c r="G27" s="22">
        <f>IFERROR(VLOOKUP($B27,'CEPA Summary sheet'!$B$5:$AB$93,25,),)</f>
        <v>7.8244282866277132E-2</v>
      </c>
      <c r="H27" s="23">
        <f t="shared" si="2"/>
        <v>6.1221678012579892E-3</v>
      </c>
      <c r="I27" s="22">
        <f>IFERROR(VLOOKUP($B27,'CEPA Summary sheet'!$B$5:$AB$93,26,),)</f>
        <v>0.71417298841899945</v>
      </c>
      <c r="J27" s="22">
        <f>IFERROR(VLOOKUP($B27,'CEPA Summary sheet'!$B$5:$AB$93,27,),)</f>
        <v>4.2389835764349806E-2</v>
      </c>
      <c r="K27" s="23">
        <f t="shared" si="3"/>
        <v>1.79689817612855E-3</v>
      </c>
      <c r="L27" s="24">
        <f>IFERROR(VLOOKUP('ComCom refined - 2017 - 19'!$B27,'CEPA Rating&amp;Leverage'!$B$5:$G$93,6,),"")</f>
        <v>0.11546493981478631</v>
      </c>
      <c r="M27" s="19"/>
    </row>
    <row r="28" spans="2:15" ht="17.25" x14ac:dyDescent="0.25">
      <c r="B28" s="41" t="s">
        <v>50</v>
      </c>
      <c r="C28" s="22" t="str">
        <f>IFERROR(VLOOKUP($B28,'CEPA Summary sheet'!$B$5:$AB$93,22,),)</f>
        <v/>
      </c>
      <c r="D28" s="22" t="str">
        <f>IFERROR(VLOOKUP($B28,'CEPA Summary sheet'!$B$5:$AB$93,23,),)</f>
        <v/>
      </c>
      <c r="E28" s="23" t="str">
        <f t="shared" si="1"/>
        <v>-</v>
      </c>
      <c r="F28" s="22" t="str">
        <f>IFERROR(VLOOKUP($B28,'CEPA Summary sheet'!$B$5:$AB$93,24,),)</f>
        <v/>
      </c>
      <c r="G28" s="22" t="str">
        <f>IFERROR(VLOOKUP($B28,'CEPA Summary sheet'!$B$5:$AB$93,25,),)</f>
        <v/>
      </c>
      <c r="H28" s="23" t="str">
        <f t="shared" si="2"/>
        <v>-</v>
      </c>
      <c r="I28" s="22" t="str">
        <f>IFERROR(VLOOKUP($B28,'CEPA Summary sheet'!$B$5:$AB$93,26,),)</f>
        <v/>
      </c>
      <c r="J28" s="22" t="str">
        <f>IFERROR(VLOOKUP($B28,'CEPA Summary sheet'!$B$5:$AB$93,27,),)</f>
        <v/>
      </c>
      <c r="K28" s="23" t="str">
        <f t="shared" si="3"/>
        <v>-</v>
      </c>
      <c r="L28" s="24" t="str">
        <f>IFERROR(VLOOKUP('ComCom refined - 2017 - 19'!$B28,'CEPA Rating&amp;Leverage'!$B$5:$G$93,6,),"")</f>
        <v/>
      </c>
      <c r="M28" s="19"/>
    </row>
    <row r="29" spans="2:15" ht="17.25" x14ac:dyDescent="0.25">
      <c r="B29" s="41" t="s">
        <v>51</v>
      </c>
      <c r="C29" s="22">
        <f>IFERROR(VLOOKUP($B29,'CEPA Summary sheet'!$B$5:$AB$93,22,),)</f>
        <v>9.8803577996112599E-2</v>
      </c>
      <c r="D29" s="22">
        <f>IFERROR(VLOOKUP($B29,'CEPA Summary sheet'!$B$5:$AB$93,23,),)</f>
        <v>0.39265373658852287</v>
      </c>
      <c r="E29" s="23">
        <f t="shared" si="1"/>
        <v>0.15417695685692911</v>
      </c>
      <c r="F29" s="22">
        <f>IFERROR(VLOOKUP($B29,'CEPA Summary sheet'!$B$5:$AB$93,24,),)</f>
        <v>0.49811599103294757</v>
      </c>
      <c r="G29" s="22">
        <f>IFERROR(VLOOKUP($B29,'CEPA Summary sheet'!$B$5:$AB$93,25,),)</f>
        <v>0.20185659046596974</v>
      </c>
      <c r="H29" s="23">
        <f t="shared" si="2"/>
        <v>4.0746083114546222E-2</v>
      </c>
      <c r="I29" s="22">
        <f>IFERROR(VLOOKUP($B29,'CEPA Summary sheet'!$B$5:$AB$93,26,),)</f>
        <v>0.59676440424930721</v>
      </c>
      <c r="J29" s="22">
        <f>IFERROR(VLOOKUP($B29,'CEPA Summary sheet'!$B$5:$AB$93,27,),)</f>
        <v>9.2450710092452329E-2</v>
      </c>
      <c r="K29" s="23">
        <f t="shared" si="3"/>
        <v>8.5471337965986674E-3</v>
      </c>
      <c r="L29" s="24">
        <f>IFERROR(VLOOKUP('ComCom refined - 2017 - 19'!$B29,'CEPA Rating&amp;Leverage'!$B$5:$G$93,6,),"")</f>
        <v>0.21097309394038363</v>
      </c>
      <c r="M29" s="19"/>
    </row>
    <row r="30" spans="2:15" ht="17.25" x14ac:dyDescent="0.25">
      <c r="B30" s="41" t="s">
        <v>52</v>
      </c>
      <c r="C30" s="22" t="str">
        <f>IFERROR(VLOOKUP($B30,'CEPA Summary sheet'!$B$5:$AB$93,22,),)</f>
        <v/>
      </c>
      <c r="D30" s="22" t="str">
        <f>IFERROR(VLOOKUP($B30,'CEPA Summary sheet'!$B$5:$AB$93,23,),)</f>
        <v/>
      </c>
      <c r="E30" s="23" t="str">
        <f t="shared" si="1"/>
        <v>-</v>
      </c>
      <c r="F30" s="22" t="str">
        <f>IFERROR(VLOOKUP($B30,'CEPA Summary sheet'!$B$5:$AB$93,24,),)</f>
        <v/>
      </c>
      <c r="G30" s="22" t="str">
        <f>IFERROR(VLOOKUP($B30,'CEPA Summary sheet'!$B$5:$AB$93,25,),)</f>
        <v/>
      </c>
      <c r="H30" s="23" t="str">
        <f t="shared" si="2"/>
        <v>-</v>
      </c>
      <c r="I30" s="22" t="str">
        <f>IFERROR(VLOOKUP($B30,'CEPA Summary sheet'!$B$5:$AB$93,26,),)</f>
        <v/>
      </c>
      <c r="J30" s="22" t="str">
        <f>IFERROR(VLOOKUP($B30,'CEPA Summary sheet'!$B$5:$AB$93,27,),)</f>
        <v/>
      </c>
      <c r="K30" s="23" t="str">
        <f t="shared" si="3"/>
        <v>-</v>
      </c>
      <c r="L30" s="24" t="str">
        <f>IFERROR(VLOOKUP('ComCom refined - 2017 - 19'!$B30,'CEPA Rating&amp;Leverage'!$B$5:$G$93,6,),"")</f>
        <v/>
      </c>
      <c r="M30" s="19"/>
    </row>
    <row r="31" spans="2:15" ht="17.25" x14ac:dyDescent="0.25">
      <c r="B31" s="41" t="s">
        <v>53</v>
      </c>
      <c r="C31" s="22">
        <f>IFERROR(VLOOKUP($B31,'CEPA Summary sheet'!$B$5:$AB$93,22,),)</f>
        <v>0.44280344320263409</v>
      </c>
      <c r="D31" s="22">
        <f>IFERROR(VLOOKUP($B31,'CEPA Summary sheet'!$B$5:$AB$93,23,),)</f>
        <v>0.21427890822136558</v>
      </c>
      <c r="E31" s="23">
        <f t="shared" si="1"/>
        <v>4.5915450508540415E-2</v>
      </c>
      <c r="F31" s="22">
        <f>IFERROR(VLOOKUP($B31,'CEPA Summary sheet'!$B$5:$AB$93,24,),)</f>
        <v>0.48941206145261107</v>
      </c>
      <c r="G31" s="22">
        <f>IFERROR(VLOOKUP($B31,'CEPA Summary sheet'!$B$5:$AB$93,25,),)</f>
        <v>9.9952371650576854E-2</v>
      </c>
      <c r="H31" s="23">
        <f t="shared" si="2"/>
        <v>9.9904765985750401E-3</v>
      </c>
      <c r="I31" s="22">
        <f>IFERROR(VLOOKUP($B31,'CEPA Summary sheet'!$B$5:$AB$93,26,),)</f>
        <v>0.54055716597983128</v>
      </c>
      <c r="J31" s="22">
        <f>IFERROR(VLOOKUP($B31,'CEPA Summary sheet'!$B$5:$AB$93,27,),)</f>
        <v>5.0383227450856174E-2</v>
      </c>
      <c r="K31" s="23">
        <f t="shared" si="3"/>
        <v>2.5384696083647074E-3</v>
      </c>
      <c r="L31" s="24">
        <f>IFERROR(VLOOKUP('ComCom refined - 2017 - 19'!$B31,'CEPA Rating&amp;Leverage'!$B$5:$G$93,6,),"")</f>
        <v>0.29354289913208248</v>
      </c>
      <c r="M31" s="19"/>
    </row>
    <row r="32" spans="2:15" ht="17.25" x14ac:dyDescent="0.25">
      <c r="B32" s="41" t="s">
        <v>54</v>
      </c>
      <c r="C32" s="22">
        <f>IFERROR(VLOOKUP($B32,'CEPA Summary sheet'!$B$5:$AB$93,22,),)</f>
        <v>0.40871895933538099</v>
      </c>
      <c r="D32" s="22">
        <f>IFERROR(VLOOKUP($B32,'CEPA Summary sheet'!$B$5:$AB$93,23,),)</f>
        <v>0.25765137908111951</v>
      </c>
      <c r="E32" s="23">
        <f t="shared" si="1"/>
        <v>6.6384233142402757E-2</v>
      </c>
      <c r="F32" s="22">
        <f>IFERROR(VLOOKUP($B32,'CEPA Summary sheet'!$B$5:$AB$93,24,),)</f>
        <v>0.37155875238019354</v>
      </c>
      <c r="G32" s="22">
        <f>IFERROR(VLOOKUP($B32,'CEPA Summary sheet'!$B$5:$AB$93,25,),)</f>
        <v>0.12539034327476567</v>
      </c>
      <c r="H32" s="23">
        <f t="shared" si="2"/>
        <v>1.5722738186563574E-2</v>
      </c>
      <c r="I32" s="22">
        <f>IFERROR(VLOOKUP($B32,'CEPA Summary sheet'!$B$5:$AB$93,26,),)</f>
        <v>0.19087859684172451</v>
      </c>
      <c r="J32" s="22">
        <f>IFERROR(VLOOKUP($B32,'CEPA Summary sheet'!$B$5:$AB$93,27,),)</f>
        <v>5.236232424311902E-2</v>
      </c>
      <c r="K32" s="23">
        <f t="shared" si="3"/>
        <v>2.7418130001415296E-3</v>
      </c>
      <c r="L32" s="24">
        <f>IFERROR(VLOOKUP('ComCom refined - 2017 - 19'!$B32,'CEPA Rating&amp;Leverage'!$B$5:$G$93,6,),"")</f>
        <v>0.22192629751214929</v>
      </c>
      <c r="M32" s="19"/>
    </row>
    <row r="33" spans="2:13" ht="17.25" x14ac:dyDescent="0.25">
      <c r="B33" s="41" t="s">
        <v>55</v>
      </c>
      <c r="C33" s="22" t="str">
        <f>IFERROR(VLOOKUP($B33,'CEPA Summary sheet'!$B$5:$AB$93,22,),)</f>
        <v/>
      </c>
      <c r="D33" s="22" t="str">
        <f>IFERROR(VLOOKUP($B33,'CEPA Summary sheet'!$B$5:$AB$93,23,),)</f>
        <v/>
      </c>
      <c r="E33" s="23" t="str">
        <f t="shared" si="1"/>
        <v>-</v>
      </c>
      <c r="F33" s="22" t="str">
        <f>IFERROR(VLOOKUP($B33,'CEPA Summary sheet'!$B$5:$AB$93,24,),)</f>
        <v/>
      </c>
      <c r="G33" s="22" t="str">
        <f>IFERROR(VLOOKUP($B33,'CEPA Summary sheet'!$B$5:$AB$93,25,),)</f>
        <v/>
      </c>
      <c r="H33" s="23" t="str">
        <f t="shared" si="2"/>
        <v>-</v>
      </c>
      <c r="I33" s="22" t="str">
        <f>IFERROR(VLOOKUP($B33,'CEPA Summary sheet'!$B$5:$AB$93,26,),)</f>
        <v/>
      </c>
      <c r="J33" s="22" t="str">
        <f>IFERROR(VLOOKUP($B33,'CEPA Summary sheet'!$B$5:$AB$93,27,),)</f>
        <v/>
      </c>
      <c r="K33" s="23" t="str">
        <f t="shared" si="3"/>
        <v>-</v>
      </c>
      <c r="L33" s="24" t="str">
        <f>IFERROR(VLOOKUP('ComCom refined - 2017 - 19'!$B33,'CEPA Rating&amp;Leverage'!$B$5:$G$93,6,),"")</f>
        <v/>
      </c>
      <c r="M33" s="19"/>
    </row>
    <row r="34" spans="2:13" ht="17.25" x14ac:dyDescent="0.25">
      <c r="B34" s="41" t="s">
        <v>56</v>
      </c>
      <c r="C34" s="22" t="str">
        <f>IFERROR(VLOOKUP($B34,'CEPA Summary sheet'!$B$5:$AB$93,22,),)</f>
        <v/>
      </c>
      <c r="D34" s="22" t="str">
        <f>IFERROR(VLOOKUP($B34,'CEPA Summary sheet'!$B$5:$AB$93,23,),)</f>
        <v/>
      </c>
      <c r="E34" s="23" t="str">
        <f t="shared" si="1"/>
        <v>-</v>
      </c>
      <c r="F34" s="22" t="str">
        <f>IFERROR(VLOOKUP($B34,'CEPA Summary sheet'!$B$5:$AB$93,24,),)</f>
        <v/>
      </c>
      <c r="G34" s="22" t="str">
        <f>IFERROR(VLOOKUP($B34,'CEPA Summary sheet'!$B$5:$AB$93,25,),)</f>
        <v/>
      </c>
      <c r="H34" s="23" t="str">
        <f t="shared" si="2"/>
        <v>-</v>
      </c>
      <c r="I34" s="22" t="str">
        <f>IFERROR(VLOOKUP($B34,'CEPA Summary sheet'!$B$5:$AB$93,26,),)</f>
        <v/>
      </c>
      <c r="J34" s="22" t="str">
        <f>IFERROR(VLOOKUP($B34,'CEPA Summary sheet'!$B$5:$AB$93,27,),)</f>
        <v/>
      </c>
      <c r="K34" s="23" t="str">
        <f t="shared" si="3"/>
        <v>-</v>
      </c>
      <c r="L34" s="24" t="str">
        <f>IFERROR(VLOOKUP('ComCom refined - 2017 - 19'!$B34,'CEPA Rating&amp;Leverage'!$B$5:$G$93,6,),"")</f>
        <v/>
      </c>
      <c r="M34" s="19"/>
    </row>
    <row r="35" spans="2:13" ht="17.25" x14ac:dyDescent="0.25">
      <c r="B35" s="41" t="s">
        <v>57</v>
      </c>
      <c r="C35" s="22">
        <f>IFERROR(VLOOKUP($B35,'CEPA Summary sheet'!$B$5:$AB$93,22,),)</f>
        <v>0.24476299832787968</v>
      </c>
      <c r="D35" s="22">
        <f>IFERROR(VLOOKUP($B35,'CEPA Summary sheet'!$B$5:$AB$93,23,),)</f>
        <v>0.14157917355052752</v>
      </c>
      <c r="E35" s="23">
        <f t="shared" si="1"/>
        <v>2.0044662383250391E-2</v>
      </c>
      <c r="F35" s="22">
        <f>IFERROR(VLOOKUP($B35,'CEPA Summary sheet'!$B$5:$AB$93,24,),)</f>
        <v>0.34798292450353963</v>
      </c>
      <c r="G35" s="22">
        <f>IFERROR(VLOOKUP($B35,'CEPA Summary sheet'!$B$5:$AB$93,25,),)</f>
        <v>6.0269075400378562E-2</v>
      </c>
      <c r="H35" s="23">
        <f t="shared" si="2"/>
        <v>3.6323614496165165E-3</v>
      </c>
      <c r="I35" s="22">
        <f>IFERROR(VLOOKUP($B35,'CEPA Summary sheet'!$B$5:$AB$93,26,),)</f>
        <v>0.38857537454903163</v>
      </c>
      <c r="J35" s="22">
        <f>IFERROR(VLOOKUP($B35,'CEPA Summary sheet'!$B$5:$AB$93,27,),)</f>
        <v>2.7513805159198646E-2</v>
      </c>
      <c r="K35" s="23">
        <f t="shared" si="3"/>
        <v>7.5700947433834606E-4</v>
      </c>
      <c r="L35" s="24">
        <f>IFERROR(VLOOKUP('ComCom refined - 2017 - 19'!$B35,'CEPA Rating&amp;Leverage'!$B$5:$G$93,6,),"")</f>
        <v>0.38152082533679232</v>
      </c>
      <c r="M35" s="19"/>
    </row>
    <row r="36" spans="2:13" ht="17.25" x14ac:dyDescent="0.25">
      <c r="B36" s="41" t="s">
        <v>58</v>
      </c>
      <c r="C36" s="22">
        <f>IFERROR(VLOOKUP($B36,'CEPA Summary sheet'!$B$5:$AB$93,22,),)</f>
        <v>0.15828480525339014</v>
      </c>
      <c r="D36" s="22">
        <f>IFERROR(VLOOKUP($B36,'CEPA Summary sheet'!$B$5:$AB$93,23,),)</f>
        <v>0.25187614998219698</v>
      </c>
      <c r="E36" s="23">
        <f t="shared" si="1"/>
        <v>6.3441594929854184E-2</v>
      </c>
      <c r="F36" s="22">
        <f>IFERROR(VLOOKUP($B36,'CEPA Summary sheet'!$B$5:$AB$93,24,),)</f>
        <v>0.32595698293124453</v>
      </c>
      <c r="G36" s="22">
        <f>IFERROR(VLOOKUP($B36,'CEPA Summary sheet'!$B$5:$AB$93,25,),)</f>
        <v>0.11466288975105463</v>
      </c>
      <c r="H36" s="23">
        <f t="shared" si="2"/>
        <v>1.3147578286062507E-2</v>
      </c>
      <c r="I36" s="22">
        <f>IFERROR(VLOOKUP($B36,'CEPA Summary sheet'!$B$5:$AB$93,26,),)</f>
        <v>0.55277384580832833</v>
      </c>
      <c r="J36" s="22">
        <f>IFERROR(VLOOKUP($B36,'CEPA Summary sheet'!$B$5:$AB$93,27,),)</f>
        <v>5.618646919897613E-2</v>
      </c>
      <c r="K36" s="23">
        <f t="shared" si="3"/>
        <v>3.1569193210474935E-3</v>
      </c>
      <c r="L36" s="24">
        <f>IFERROR(VLOOKUP('ComCom refined - 2017 - 19'!$B36,'CEPA Rating&amp;Leverage'!$B$5:$G$93,6,),"")</f>
        <v>0.18848735899399327</v>
      </c>
      <c r="M36" s="19"/>
    </row>
    <row r="37" spans="2:13" ht="17.25" x14ac:dyDescent="0.25">
      <c r="B37" s="41" t="s">
        <v>59</v>
      </c>
      <c r="C37" s="22" t="str">
        <f>IFERROR(VLOOKUP($B37,'CEPA Summary sheet'!$B$5:$AB$93,22,),)</f>
        <v/>
      </c>
      <c r="D37" s="22" t="str">
        <f>IFERROR(VLOOKUP($B37,'CEPA Summary sheet'!$B$5:$AB$93,23,),)</f>
        <v/>
      </c>
      <c r="E37" s="23" t="str">
        <f t="shared" si="1"/>
        <v>-</v>
      </c>
      <c r="F37" s="22" t="str">
        <f>IFERROR(VLOOKUP($B37,'CEPA Summary sheet'!$B$5:$AB$93,24,),)</f>
        <v/>
      </c>
      <c r="G37" s="22" t="str">
        <f>IFERROR(VLOOKUP($B37,'CEPA Summary sheet'!$B$5:$AB$93,25,),)</f>
        <v/>
      </c>
      <c r="H37" s="23" t="str">
        <f t="shared" si="2"/>
        <v>-</v>
      </c>
      <c r="I37" s="22" t="str">
        <f>IFERROR(VLOOKUP($B37,'CEPA Summary sheet'!$B$5:$AB$93,26,),)</f>
        <v/>
      </c>
      <c r="J37" s="22" t="str">
        <f>IFERROR(VLOOKUP($B37,'CEPA Summary sheet'!$B$5:$AB$93,27,),)</f>
        <v/>
      </c>
      <c r="K37" s="23" t="str">
        <f t="shared" si="3"/>
        <v>-</v>
      </c>
      <c r="L37" s="24" t="str">
        <f>IFERROR(VLOOKUP('ComCom refined - 2017 - 19'!$B37,'CEPA Rating&amp;Leverage'!$B$5:$G$93,6,),"")</f>
        <v/>
      </c>
      <c r="M37" s="19"/>
    </row>
    <row r="38" spans="2:13" ht="17.25" x14ac:dyDescent="0.25">
      <c r="B38" s="41" t="s">
        <v>60</v>
      </c>
      <c r="C38" s="22">
        <f>IFERROR(VLOOKUP($B38,'CEPA Summary sheet'!$B$5:$AB$93,22,),)</f>
        <v>1.3554543608060263</v>
      </c>
      <c r="D38" s="22">
        <f>IFERROR(VLOOKUP($B38,'CEPA Summary sheet'!$B$5:$AB$93,23,),)</f>
        <v>0.39189340386143678</v>
      </c>
      <c r="E38" s="23">
        <f t="shared" si="1"/>
        <v>0.15358043999010321</v>
      </c>
      <c r="F38" s="22">
        <f>IFERROR(VLOOKUP($B38,'CEPA Summary sheet'!$B$5:$AB$93,24,),)</f>
        <v>1.2768717690422375</v>
      </c>
      <c r="G38" s="22">
        <f>IFERROR(VLOOKUP($B38,'CEPA Summary sheet'!$B$5:$AB$93,25,),)</f>
        <v>0.19705308779738179</v>
      </c>
      <c r="H38" s="23">
        <f t="shared" si="2"/>
        <v>3.8829919410482652E-2</v>
      </c>
      <c r="I38" s="22">
        <f>IFERROR(VLOOKUP($B38,'CEPA Summary sheet'!$B$5:$AB$93,26,),)</f>
        <v>0.94257219999999997</v>
      </c>
      <c r="J38" s="22">
        <f>IFERROR(VLOOKUP($B38,'CEPA Summary sheet'!$B$5:$AB$93,27,),)</f>
        <v>8.8452909999999996E-2</v>
      </c>
      <c r="K38" s="23">
        <f t="shared" si="3"/>
        <v>7.8239172874680993E-3</v>
      </c>
      <c r="L38" s="24">
        <f>IFERROR(VLOOKUP('ComCom refined - 2017 - 19'!$B38,'CEPA Rating&amp;Leverage'!$B$5:$G$93,6,),"")</f>
        <v>0</v>
      </c>
      <c r="M38" s="19"/>
    </row>
    <row r="39" spans="2:13" ht="17.25" x14ac:dyDescent="0.25">
      <c r="B39" s="41" t="s">
        <v>61</v>
      </c>
      <c r="C39" s="22">
        <f>IFERROR(VLOOKUP($B39,'CEPA Summary sheet'!$B$5:$AB$93,22,),)</f>
        <v>4.3152801803667869E-3</v>
      </c>
      <c r="D39" s="22">
        <f>IFERROR(VLOOKUP($B39,'CEPA Summary sheet'!$B$5:$AB$93,23,),)</f>
        <v>0.41420921610900019</v>
      </c>
      <c r="E39" s="23">
        <f t="shared" si="1"/>
        <v>0.17156927470963243</v>
      </c>
      <c r="F39" s="22">
        <f>IFERROR(VLOOKUP($B39,'CEPA Summary sheet'!$B$5:$AB$93,24,),)</f>
        <v>0.51327328443157016</v>
      </c>
      <c r="G39" s="22">
        <f>IFERROR(VLOOKUP($B39,'CEPA Summary sheet'!$B$5:$AB$93,25,),)</f>
        <v>0.18136780869381444</v>
      </c>
      <c r="H39" s="23">
        <f t="shared" si="2"/>
        <v>3.2894282030396071E-2</v>
      </c>
      <c r="I39" s="22">
        <f>IFERROR(VLOOKUP($B39,'CEPA Summary sheet'!$B$5:$AB$93,26,),)</f>
        <v>0.62852131877742734</v>
      </c>
      <c r="J39" s="22">
        <f>IFERROR(VLOOKUP($B39,'CEPA Summary sheet'!$B$5:$AB$93,27,),)</f>
        <v>7.0884146437878104E-2</v>
      </c>
      <c r="K39" s="23">
        <f t="shared" si="3"/>
        <v>5.0245622162265469E-3</v>
      </c>
      <c r="L39" s="24">
        <f>IFERROR(VLOOKUP('ComCom refined - 2017 - 19'!$B39,'CEPA Rating&amp;Leverage'!$B$5:$G$93,6,),"")</f>
        <v>0.30100233912920171</v>
      </c>
      <c r="M39" s="19"/>
    </row>
    <row r="40" spans="2:13" ht="17.25" x14ac:dyDescent="0.25">
      <c r="B40" s="41" t="s">
        <v>62</v>
      </c>
      <c r="C40" s="22">
        <f>IFERROR(VLOOKUP($B40,'CEPA Summary sheet'!$B$5:$AB$93,22,),)</f>
        <v>0.50581385185067351</v>
      </c>
      <c r="D40" s="22">
        <f>IFERROR(VLOOKUP($B40,'CEPA Summary sheet'!$B$5:$AB$93,23,),)</f>
        <v>0.17843943304586748</v>
      </c>
      <c r="E40" s="23">
        <f t="shared" si="1"/>
        <v>3.1840631265730626E-2</v>
      </c>
      <c r="F40" s="22">
        <f>IFERROR(VLOOKUP($B40,'CEPA Summary sheet'!$B$5:$AB$93,24,),)</f>
        <v>0.58730041788627985</v>
      </c>
      <c r="G40" s="22">
        <f>IFERROR(VLOOKUP($B40,'CEPA Summary sheet'!$B$5:$AB$93,25,),)</f>
        <v>8.2570219675595566E-2</v>
      </c>
      <c r="H40" s="23">
        <f t="shared" si="2"/>
        <v>6.8178411772761094E-3</v>
      </c>
      <c r="I40" s="22">
        <f>IFERROR(VLOOKUP($B40,'CEPA Summary sheet'!$B$5:$AB$93,26,),)</f>
        <v>0.5680245594982557</v>
      </c>
      <c r="J40" s="22">
        <f>IFERROR(VLOOKUP($B40,'CEPA Summary sheet'!$B$5:$AB$93,27,),)</f>
        <v>3.7316309521044831E-2</v>
      </c>
      <c r="K40" s="23">
        <f t="shared" si="3"/>
        <v>1.3925069562704211E-3</v>
      </c>
      <c r="L40" s="24">
        <f>IFERROR(VLOOKUP('ComCom refined - 2017 - 19'!$B40,'CEPA Rating&amp;Leverage'!$B$5:$G$93,6,),"")</f>
        <v>0.25476192509991635</v>
      </c>
      <c r="M40" s="19"/>
    </row>
    <row r="41" spans="2:13" ht="17.25" x14ac:dyDescent="0.25">
      <c r="B41" s="41" t="s">
        <v>63</v>
      </c>
      <c r="C41" s="22">
        <f>IFERROR(VLOOKUP($B41,'CEPA Summary sheet'!$B$5:$AB$93,22,),)</f>
        <v>5.3140535092375873E-2</v>
      </c>
      <c r="D41" s="22">
        <f>IFERROR(VLOOKUP($B41,'CEPA Summary sheet'!$B$5:$AB$93,23,),)</f>
        <v>0.2612150434861612</v>
      </c>
      <c r="E41" s="23">
        <f t="shared" si="1"/>
        <v>6.8233298943477086E-2</v>
      </c>
      <c r="F41" s="22">
        <f>IFERROR(VLOOKUP($B41,'CEPA Summary sheet'!$B$5:$AB$93,24,),)</f>
        <v>0.24538662682449788</v>
      </c>
      <c r="G41" s="22">
        <f>IFERROR(VLOOKUP($B41,'CEPA Summary sheet'!$B$5:$AB$93,25,),)</f>
        <v>0.15873031764715054</v>
      </c>
      <c r="H41" s="23">
        <f t="shared" si="2"/>
        <v>2.5195313740365308E-2</v>
      </c>
      <c r="I41" s="22">
        <f>IFERROR(VLOOKUP($B41,'CEPA Summary sheet'!$B$5:$AB$93,26,),)</f>
        <v>0.15466579999999999</v>
      </c>
      <c r="J41" s="22">
        <f>IFERROR(VLOOKUP($B41,'CEPA Summary sheet'!$B$5:$AB$93,27,),)</f>
        <v>0.1179293</v>
      </c>
      <c r="K41" s="23">
        <f t="shared" si="3"/>
        <v>1.3907319798489999E-2</v>
      </c>
      <c r="L41" s="24">
        <f>IFERROR(VLOOKUP('ComCom refined - 2017 - 19'!$B41,'CEPA Rating&amp;Leverage'!$B$5:$G$93,6,),"")</f>
        <v>0</v>
      </c>
      <c r="M41" s="19"/>
    </row>
    <row r="42" spans="2:13" ht="17.25" x14ac:dyDescent="0.25">
      <c r="B42" s="41" t="s">
        <v>64</v>
      </c>
      <c r="C42" s="22">
        <f>IFERROR(VLOOKUP($B42,'CEPA Summary sheet'!$B$5:$AB$93,22,),)</f>
        <v>0.47957884974121689</v>
      </c>
      <c r="D42" s="22">
        <f>IFERROR(VLOOKUP($B42,'CEPA Summary sheet'!$B$5:$AB$93,23,),)</f>
        <v>0.28688833559307458</v>
      </c>
      <c r="E42" s="23">
        <f t="shared" si="1"/>
        <v>8.2304917099364591E-2</v>
      </c>
      <c r="F42" s="22">
        <f>IFERROR(VLOOKUP($B42,'CEPA Summary sheet'!$B$5:$AB$93,24,),)</f>
        <v>0.68621940158873396</v>
      </c>
      <c r="G42" s="22">
        <f>IFERROR(VLOOKUP($B42,'CEPA Summary sheet'!$B$5:$AB$93,25,),)</f>
        <v>0.15323670440534787</v>
      </c>
      <c r="H42" s="23">
        <f t="shared" si="2"/>
        <v>2.3481487577011958E-2</v>
      </c>
      <c r="I42" s="22">
        <f>IFERROR(VLOOKUP($B42,'CEPA Summary sheet'!$B$5:$AB$93,26,),)</f>
        <v>0.82834265521278883</v>
      </c>
      <c r="J42" s="22">
        <f>IFERROR(VLOOKUP($B42,'CEPA Summary sheet'!$B$5:$AB$93,27,),)</f>
        <v>8.2531076744842335E-2</v>
      </c>
      <c r="K42" s="23">
        <f t="shared" si="3"/>
        <v>6.8113786286630555E-3</v>
      </c>
      <c r="L42" s="24">
        <f>IFERROR(VLOOKUP('ComCom refined - 2017 - 19'!$B42,'CEPA Rating&amp;Leverage'!$B$5:$G$93,6,),"")</f>
        <v>0.13699725598138673</v>
      </c>
      <c r="M42" s="19"/>
    </row>
    <row r="43" spans="2:13" ht="17.25" x14ac:dyDescent="0.25">
      <c r="B43" s="41" t="s">
        <v>65</v>
      </c>
      <c r="C43" s="22">
        <f>IFERROR(VLOOKUP($B43,'CEPA Summary sheet'!$B$5:$AB$93,22,),)</f>
        <v>0.17260402214982756</v>
      </c>
      <c r="D43" s="22">
        <f>IFERROR(VLOOKUP($B43,'CEPA Summary sheet'!$B$5:$AB$93,23,),)</f>
        <v>0.24195969761699004</v>
      </c>
      <c r="E43" s="23">
        <f t="shared" si="1"/>
        <v>5.8544495270905259E-2</v>
      </c>
      <c r="F43" s="22">
        <f>IFERROR(VLOOKUP($B43,'CEPA Summary sheet'!$B$5:$AB$93,24,),)</f>
        <v>0.33636900620419569</v>
      </c>
      <c r="G43" s="22">
        <f>IFERROR(VLOOKUP($B43,'CEPA Summary sheet'!$B$5:$AB$93,25,),)</f>
        <v>0.1097985347422368</v>
      </c>
      <c r="H43" s="23">
        <f t="shared" si="2"/>
        <v>1.2055718231542183E-2</v>
      </c>
      <c r="I43" s="22">
        <f>IFERROR(VLOOKUP($B43,'CEPA Summary sheet'!$B$5:$AB$93,26,),)</f>
        <v>0.43203927204523512</v>
      </c>
      <c r="J43" s="22">
        <f>IFERROR(VLOOKUP($B43,'CEPA Summary sheet'!$B$5:$AB$93,27,),)</f>
        <v>5.4535932043529814E-2</v>
      </c>
      <c r="K43" s="23">
        <f t="shared" si="3"/>
        <v>2.9741678838565021E-3</v>
      </c>
      <c r="L43" s="24">
        <f>IFERROR(VLOOKUP('ComCom refined - 2017 - 19'!$B43,'CEPA Rating&amp;Leverage'!$B$5:$G$93,6,),"")</f>
        <v>0.25815420122105798</v>
      </c>
      <c r="M43" s="19"/>
    </row>
    <row r="44" spans="2:13" ht="17.25" x14ac:dyDescent="0.25">
      <c r="B44" s="41" t="s">
        <v>66</v>
      </c>
      <c r="C44" s="22">
        <f>IFERROR(VLOOKUP($B44,'CEPA Summary sheet'!$B$5:$AB$93,22,),)</f>
        <v>0.34477961334583085</v>
      </c>
      <c r="D44" s="22">
        <f>IFERROR(VLOOKUP($B44,'CEPA Summary sheet'!$B$5:$AB$93,23,),)</f>
        <v>0.16440560132723059</v>
      </c>
      <c r="E44" s="23">
        <f t="shared" si="1"/>
        <v>2.7029201747768284E-2</v>
      </c>
      <c r="F44" s="22">
        <f>IFERROR(VLOOKUP($B44,'CEPA Summary sheet'!$B$5:$AB$93,24,),)</f>
        <v>0.4103177070591621</v>
      </c>
      <c r="G44" s="22">
        <f>IFERROR(VLOOKUP($B44,'CEPA Summary sheet'!$B$5:$AB$93,25,),)</f>
        <v>7.8162400744747049E-2</v>
      </c>
      <c r="H44" s="23">
        <f t="shared" si="2"/>
        <v>6.1093608901824342E-3</v>
      </c>
      <c r="I44" s="22">
        <f>IFERROR(VLOOKUP($B44,'CEPA Summary sheet'!$B$5:$AB$93,26,),)</f>
        <v>0.53618105423908524</v>
      </c>
      <c r="J44" s="22">
        <f>IFERROR(VLOOKUP($B44,'CEPA Summary sheet'!$B$5:$AB$93,27,),)</f>
        <v>3.2845901487534281E-2</v>
      </c>
      <c r="K44" s="23">
        <f t="shared" si="3"/>
        <v>1.0788532445288068E-3</v>
      </c>
      <c r="L44" s="24">
        <f>IFERROR(VLOOKUP('ComCom refined - 2017 - 19'!$B44,'CEPA Rating&amp;Leverage'!$B$5:$G$93,6,),"")</f>
        <v>0.2454173821910447</v>
      </c>
      <c r="M44" s="19"/>
    </row>
    <row r="45" spans="2:13" ht="17.25" x14ac:dyDescent="0.25">
      <c r="B45" s="41" t="s">
        <v>67</v>
      </c>
      <c r="C45" s="22">
        <f>IFERROR(VLOOKUP($B45,'CEPA Summary sheet'!$B$5:$AB$93,22,),)</f>
        <v>0.37095970240734971</v>
      </c>
      <c r="D45" s="22">
        <f>IFERROR(VLOOKUP($B45,'CEPA Summary sheet'!$B$5:$AB$93,23,),)</f>
        <v>0.44663486609057229</v>
      </c>
      <c r="E45" s="23">
        <f t="shared" si="1"/>
        <v>0.19948270360774345</v>
      </c>
      <c r="F45" s="22">
        <f>IFERROR(VLOOKUP($B45,'CEPA Summary sheet'!$B$5:$AB$93,24,),)</f>
        <v>0.26637876808110228</v>
      </c>
      <c r="G45" s="22">
        <f>IFERROR(VLOOKUP($B45,'CEPA Summary sheet'!$B$5:$AB$93,25,),)</f>
        <v>0.21603377802815782</v>
      </c>
      <c r="H45" s="23">
        <f t="shared" si="2"/>
        <v>4.6670593249119367E-2</v>
      </c>
      <c r="I45" s="22">
        <f>IFERROR(VLOOKUP($B45,'CEPA Summary sheet'!$B$5:$AB$93,26,),)</f>
        <v>0.37276785982354954</v>
      </c>
      <c r="J45" s="22">
        <f>IFERROR(VLOOKUP($B45,'CEPA Summary sheet'!$B$5:$AB$93,27,),)</f>
        <v>9.9557494932329238E-2</v>
      </c>
      <c r="K45" s="23">
        <f t="shared" si="3"/>
        <v>9.9116947972007624E-3</v>
      </c>
      <c r="L45" s="24">
        <f>IFERROR(VLOOKUP('ComCom refined - 2017 - 19'!$B45,'CEPA Rating&amp;Leverage'!$B$5:$G$93,6,),"")</f>
        <v>0.35440665007477518</v>
      </c>
      <c r="M45" s="19"/>
    </row>
    <row r="46" spans="2:13" ht="17.25" x14ac:dyDescent="0.25">
      <c r="B46" s="41" t="s">
        <v>68</v>
      </c>
      <c r="C46" s="22" t="str">
        <f>IFERROR(VLOOKUP($B46,'CEPA Summary sheet'!$B$5:$AB$93,22,),)</f>
        <v/>
      </c>
      <c r="D46" s="22" t="str">
        <f>IFERROR(VLOOKUP($B46,'CEPA Summary sheet'!$B$5:$AB$93,23,),)</f>
        <v/>
      </c>
      <c r="E46" s="23" t="str">
        <f t="shared" si="1"/>
        <v>-</v>
      </c>
      <c r="F46" s="22" t="str">
        <f>IFERROR(VLOOKUP($B46,'CEPA Summary sheet'!$B$5:$AB$93,24,),)</f>
        <v/>
      </c>
      <c r="G46" s="22" t="str">
        <f>IFERROR(VLOOKUP($B46,'CEPA Summary sheet'!$B$5:$AB$93,25,),)</f>
        <v/>
      </c>
      <c r="H46" s="23" t="str">
        <f t="shared" si="2"/>
        <v>-</v>
      </c>
      <c r="I46" s="22" t="str">
        <f>IFERROR(VLOOKUP($B46,'CEPA Summary sheet'!$B$5:$AB$93,26,),)</f>
        <v/>
      </c>
      <c r="J46" s="22" t="str">
        <f>IFERROR(VLOOKUP($B46,'CEPA Summary sheet'!$B$5:$AB$93,27,),)</f>
        <v/>
      </c>
      <c r="K46" s="23" t="str">
        <f t="shared" si="3"/>
        <v>-</v>
      </c>
      <c r="L46" s="24" t="str">
        <f>IFERROR(VLOOKUP('ComCom refined - 2017 - 19'!$B46,'CEPA Rating&amp;Leverage'!$B$5:$G$93,6,),"")</f>
        <v/>
      </c>
      <c r="M46" s="19"/>
    </row>
    <row r="47" spans="2:13" ht="17.25" x14ac:dyDescent="0.25">
      <c r="B47" s="41" t="s">
        <v>69</v>
      </c>
      <c r="C47" s="22">
        <f>IFERROR(VLOOKUP($B47,'CEPA Summary sheet'!$B$5:$AB$93,22,),)</f>
        <v>0.3758411634992862</v>
      </c>
      <c r="D47" s="22">
        <f>IFERROR(VLOOKUP($B47,'CEPA Summary sheet'!$B$5:$AB$93,23,),)</f>
        <v>0.11516707073774984</v>
      </c>
      <c r="E47" s="23">
        <f t="shared" si="1"/>
        <v>1.3263454182313877E-2</v>
      </c>
      <c r="F47" s="22">
        <f>IFERROR(VLOOKUP($B47,'CEPA Summary sheet'!$B$5:$AB$93,24,),)</f>
        <v>0.47588426395278399</v>
      </c>
      <c r="G47" s="22">
        <f>IFERROR(VLOOKUP($B47,'CEPA Summary sheet'!$B$5:$AB$93,25,),)</f>
        <v>4.1938108016883656E-2</v>
      </c>
      <c r="H47" s="23">
        <f t="shared" si="2"/>
        <v>1.7588049040358012E-3</v>
      </c>
      <c r="I47" s="22">
        <f>IFERROR(VLOOKUP($B47,'CEPA Summary sheet'!$B$5:$AB$93,26,),)</f>
        <v>0.46847905551362834</v>
      </c>
      <c r="J47" s="22">
        <f>IFERROR(VLOOKUP($B47,'CEPA Summary sheet'!$B$5:$AB$93,27,),)</f>
        <v>1.8369751446858203E-2</v>
      </c>
      <c r="K47" s="23">
        <f t="shared" si="3"/>
        <v>3.3744776821934908E-4</v>
      </c>
      <c r="L47" s="24">
        <f>IFERROR(VLOOKUP('ComCom refined - 2017 - 19'!$B47,'CEPA Rating&amp;Leverage'!$B$5:$G$93,6,),"")</f>
        <v>0.53723653602986676</v>
      </c>
      <c r="M47" s="19"/>
    </row>
    <row r="48" spans="2:13" ht="17.25" x14ac:dyDescent="0.25">
      <c r="B48" s="41" t="s">
        <v>70</v>
      </c>
      <c r="C48" s="22">
        <f>IFERROR(VLOOKUP($B48,'CEPA Summary sheet'!$B$5:$AB$93,22,),)</f>
        <v>0.47141940272133365</v>
      </c>
      <c r="D48" s="22">
        <f>IFERROR(VLOOKUP($B48,'CEPA Summary sheet'!$B$5:$AB$93,23,),)</f>
        <v>0.24947744314251361</v>
      </c>
      <c r="E48" s="23">
        <f t="shared" si="1"/>
        <v>6.2238994636926108E-2</v>
      </c>
      <c r="F48" s="22">
        <f>IFERROR(VLOOKUP($B48,'CEPA Summary sheet'!$B$5:$AB$93,24,),)</f>
        <v>0.53075715078674768</v>
      </c>
      <c r="G48" s="22">
        <f>IFERROR(VLOOKUP($B48,'CEPA Summary sheet'!$B$5:$AB$93,25,),)</f>
        <v>0.13230295387216762</v>
      </c>
      <c r="H48" s="23">
        <f t="shared" si="2"/>
        <v>1.7504071603300912E-2</v>
      </c>
      <c r="I48" s="22">
        <f>IFERROR(VLOOKUP($B48,'CEPA Summary sheet'!$B$5:$AB$93,26,),)</f>
        <v>0.64912898360741533</v>
      </c>
      <c r="J48" s="22">
        <f>IFERROR(VLOOKUP($B48,'CEPA Summary sheet'!$B$5:$AB$93,27,),)</f>
        <v>6.1906910839835599E-2</v>
      </c>
      <c r="K48" s="23">
        <f t="shared" si="3"/>
        <v>3.8324656097313546E-3</v>
      </c>
      <c r="L48" s="24">
        <f>IFERROR(VLOOKUP('ComCom refined - 2017 - 19'!$B48,'CEPA Rating&amp;Leverage'!$B$5:$G$93,6,),"")</f>
        <v>0.19587484797756216</v>
      </c>
      <c r="M48" s="19"/>
    </row>
    <row r="49" spans="2:17" ht="17.25" x14ac:dyDescent="0.25">
      <c r="B49" s="41" t="s">
        <v>71</v>
      </c>
      <c r="C49" s="22">
        <f>IFERROR(VLOOKUP($B49,'CEPA Summary sheet'!$B$5:$AB$93,22,),)</f>
        <v>0.30196750710306924</v>
      </c>
      <c r="D49" s="22">
        <f>IFERROR(VLOOKUP($B49,'CEPA Summary sheet'!$B$5:$AB$93,23,),)</f>
        <v>0.11263737652285187</v>
      </c>
      <c r="E49" s="23">
        <f t="shared" si="1"/>
        <v>1.2687178589950701E-2</v>
      </c>
      <c r="F49" s="22">
        <f>IFERROR(VLOOKUP($B49,'CEPA Summary sheet'!$B$5:$AB$93,24,),)</f>
        <v>0.38653549114255237</v>
      </c>
      <c r="G49" s="22">
        <f>IFERROR(VLOOKUP($B49,'CEPA Summary sheet'!$B$5:$AB$93,25,),)</f>
        <v>5.7964431559953573E-2</v>
      </c>
      <c r="H49" s="23">
        <f t="shared" si="2"/>
        <v>3.359875326068542E-3</v>
      </c>
      <c r="I49" s="22">
        <f>IFERROR(VLOOKUP($B49,'CEPA Summary sheet'!$B$5:$AB$93,26,),)</f>
        <v>0.31837753339036157</v>
      </c>
      <c r="J49" s="22">
        <f>IFERROR(VLOOKUP($B49,'CEPA Summary sheet'!$B$5:$AB$93,27,),)</f>
        <v>2.3277596440906323E-2</v>
      </c>
      <c r="K49" s="23">
        <f t="shared" si="3"/>
        <v>5.4184649606569472E-4</v>
      </c>
      <c r="L49" s="24">
        <f>IFERROR(VLOOKUP('ComCom refined - 2017 - 19'!$B49,'CEPA Rating&amp;Leverage'!$B$5:$G$93,6,),"")</f>
        <v>0.65535086232735174</v>
      </c>
      <c r="M49" s="19"/>
    </row>
    <row r="50" spans="2:17" ht="17.25" x14ac:dyDescent="0.25">
      <c r="B50" s="41" t="s">
        <v>72</v>
      </c>
      <c r="C50" s="22" t="str">
        <f>IFERROR(VLOOKUP($B50,'CEPA Summary sheet'!$B$5:$AB$93,22,),)</f>
        <v/>
      </c>
      <c r="D50" s="22" t="str">
        <f>IFERROR(VLOOKUP($B50,'CEPA Summary sheet'!$B$5:$AB$93,23,),)</f>
        <v/>
      </c>
      <c r="E50" s="23" t="str">
        <f t="shared" si="1"/>
        <v>-</v>
      </c>
      <c r="F50" s="22" t="str">
        <f>IFERROR(VLOOKUP($B50,'CEPA Summary sheet'!$B$5:$AB$93,24,),)</f>
        <v/>
      </c>
      <c r="G50" s="22" t="str">
        <f>IFERROR(VLOOKUP($B50,'CEPA Summary sheet'!$B$5:$AB$93,25,),)</f>
        <v/>
      </c>
      <c r="H50" s="23" t="str">
        <f t="shared" si="2"/>
        <v>-</v>
      </c>
      <c r="I50" s="22" t="str">
        <f>IFERROR(VLOOKUP($B50,'CEPA Summary sheet'!$B$5:$AB$93,26,),)</f>
        <v/>
      </c>
      <c r="J50" s="22" t="str">
        <f>IFERROR(VLOOKUP($B50,'CEPA Summary sheet'!$B$5:$AB$93,27,),)</f>
        <v/>
      </c>
      <c r="K50" s="23" t="str">
        <f t="shared" si="3"/>
        <v>-</v>
      </c>
      <c r="L50" s="24" t="str">
        <f>IFERROR(VLOOKUP('ComCom refined - 2017 - 19'!$B50,'CEPA Rating&amp;Leverage'!$B$5:$G$93,6,),"")</f>
        <v/>
      </c>
      <c r="M50" s="19"/>
    </row>
    <row r="51" spans="2:17" ht="17.25" x14ac:dyDescent="0.25">
      <c r="B51" s="41" t="s">
        <v>73</v>
      </c>
      <c r="C51" s="22">
        <f>IFERROR(VLOOKUP($B51,'CEPA Summary sheet'!$B$5:$AB$93,22,),)</f>
        <v>0.39656495131575964</v>
      </c>
      <c r="D51" s="22">
        <f>IFERROR(VLOOKUP($B51,'CEPA Summary sheet'!$B$5:$AB$93,23,),)</f>
        <v>0.15628435527723361</v>
      </c>
      <c r="E51" s="23">
        <f t="shared" si="1"/>
        <v>2.4424799704420578E-2</v>
      </c>
      <c r="F51" s="22">
        <f>IFERROR(VLOOKUP($B51,'CEPA Summary sheet'!$B$5:$AB$93,24,),)</f>
        <v>0.30227083789999043</v>
      </c>
      <c r="G51" s="22">
        <f>IFERROR(VLOOKUP($B51,'CEPA Summary sheet'!$B$5:$AB$93,25,),)</f>
        <v>8.4378410098932155E-2</v>
      </c>
      <c r="H51" s="23">
        <f t="shared" si="2"/>
        <v>7.119716090823576E-3</v>
      </c>
      <c r="I51" s="22">
        <f>IFERROR(VLOOKUP($B51,'CEPA Summary sheet'!$B$5:$AB$93,26,),)</f>
        <v>0.2823908042253277</v>
      </c>
      <c r="J51" s="22">
        <f>IFERROR(VLOOKUP($B51,'CEPA Summary sheet'!$B$5:$AB$93,27,),)</f>
        <v>4.1426809923963005E-2</v>
      </c>
      <c r="K51" s="23">
        <f t="shared" si="3"/>
        <v>1.7161805804761596E-3</v>
      </c>
      <c r="L51" s="24">
        <f>IFERROR(VLOOKUP('ComCom refined - 2017 - 19'!$B51,'CEPA Rating&amp;Leverage'!$B$5:$G$93,6,),"")</f>
        <v>0.34880253425221658</v>
      </c>
      <c r="M51" s="19"/>
    </row>
    <row r="52" spans="2:17" ht="17.25" x14ac:dyDescent="0.25">
      <c r="B52" s="41" t="s">
        <v>74</v>
      </c>
      <c r="C52" s="22">
        <f>IFERROR(VLOOKUP($B52,'CEPA Summary sheet'!$B$5:$AB$93,22,),)</f>
        <v>0.17781839269771776</v>
      </c>
      <c r="D52" s="22">
        <f>IFERROR(VLOOKUP($B52,'CEPA Summary sheet'!$B$5:$AB$93,23,),)</f>
        <v>0.33492724750276853</v>
      </c>
      <c r="E52" s="23">
        <f t="shared" si="1"/>
        <v>0.11217626111978077</v>
      </c>
      <c r="F52" s="22">
        <f>IFERROR(VLOOKUP($B52,'CEPA Summary sheet'!$B$5:$AB$93,24,),)</f>
        <v>0.55358736469721137</v>
      </c>
      <c r="G52" s="22">
        <f>IFERROR(VLOOKUP($B52,'CEPA Summary sheet'!$B$5:$AB$93,25,),)</f>
        <v>0.15244002775532975</v>
      </c>
      <c r="H52" s="23">
        <f t="shared" si="2"/>
        <v>2.3237962062045703E-2</v>
      </c>
      <c r="I52" s="22">
        <f>IFERROR(VLOOKUP($B52,'CEPA Summary sheet'!$B$5:$AB$93,26,),)</f>
        <v>0.53549182437475185</v>
      </c>
      <c r="J52" s="22">
        <f>IFERROR(VLOOKUP($B52,'CEPA Summary sheet'!$B$5:$AB$93,27,),)</f>
        <v>6.6218594968738068E-2</v>
      </c>
      <c r="K52" s="23">
        <f t="shared" si="3"/>
        <v>4.3849023196337825E-3</v>
      </c>
      <c r="L52" s="24">
        <f>IFERROR(VLOOKUP('ComCom refined - 2017 - 19'!$B52,'CEPA Rating&amp;Leverage'!$B$5:$G$93,6,),"")</f>
        <v>0.33290231069908899</v>
      </c>
      <c r="M52" s="19"/>
    </row>
    <row r="53" spans="2:17" ht="17.25" x14ac:dyDescent="0.25">
      <c r="B53" s="41" t="s">
        <v>75</v>
      </c>
      <c r="C53" s="22">
        <f>IFERROR(VLOOKUP($B53,'CEPA Summary sheet'!$B$5:$AB$93,22,),)</f>
        <v>0.23185236279189034</v>
      </c>
      <c r="D53" s="22">
        <f>IFERROR(VLOOKUP($B53,'CEPA Summary sheet'!$B$5:$AB$93,23,),)</f>
        <v>0.16236446520222647</v>
      </c>
      <c r="E53" s="23">
        <f t="shared" si="1"/>
        <v>2.636221956040501E-2</v>
      </c>
      <c r="F53" s="22">
        <f>IFERROR(VLOOKUP($B53,'CEPA Summary sheet'!$B$5:$AB$93,24,),)</f>
        <v>0.38177672463611062</v>
      </c>
      <c r="G53" s="22">
        <f>IFERROR(VLOOKUP($B53,'CEPA Summary sheet'!$B$5:$AB$93,25,),)</f>
        <v>8.9163639790704005E-2</v>
      </c>
      <c r="H53" s="23">
        <f t="shared" si="2"/>
        <v>7.9501546607264138E-3</v>
      </c>
      <c r="I53" s="22">
        <f>IFERROR(VLOOKUP($B53,'CEPA Summary sheet'!$B$5:$AB$93,26,),)</f>
        <v>0.45434328206660346</v>
      </c>
      <c r="J53" s="22">
        <f>IFERROR(VLOOKUP($B53,'CEPA Summary sheet'!$B$5:$AB$93,27,),)</f>
        <v>3.8586878320698237E-2</v>
      </c>
      <c r="K53" s="23">
        <f t="shared" si="3"/>
        <v>1.4889471785363717E-3</v>
      </c>
      <c r="L53" s="24">
        <f>IFERROR(VLOOKUP('ComCom refined - 2017 - 19'!$B53,'CEPA Rating&amp;Leverage'!$B$5:$G$93,6,),"")</f>
        <v>0.28787413286347097</v>
      </c>
      <c r="M53" s="19"/>
      <c r="Q53" s="7"/>
    </row>
    <row r="54" spans="2:17" ht="17.25" x14ac:dyDescent="0.25">
      <c r="B54" s="41" t="s">
        <v>76</v>
      </c>
      <c r="C54" s="22">
        <f>IFERROR(VLOOKUP($B54,'CEPA Summary sheet'!$B$5:$AB$93,22,),)</f>
        <v>0.22521993483728159</v>
      </c>
      <c r="D54" s="22">
        <f>IFERROR(VLOOKUP($B54,'CEPA Summary sheet'!$B$5:$AB$93,23,),)</f>
        <v>0.22923230786275442</v>
      </c>
      <c r="E54" s="23">
        <f t="shared" si="1"/>
        <v>5.2547450968084622E-2</v>
      </c>
      <c r="F54" s="22">
        <f>IFERROR(VLOOKUP($B54,'CEPA Summary sheet'!$B$5:$AB$93,24,),)</f>
        <v>0.407002092163194</v>
      </c>
      <c r="G54" s="22">
        <f>IFERROR(VLOOKUP($B54,'CEPA Summary sheet'!$B$5:$AB$93,25,),)</f>
        <v>0.11052668623339705</v>
      </c>
      <c r="H54" s="23">
        <f t="shared" si="2"/>
        <v>1.2216148369735801E-2</v>
      </c>
      <c r="I54" s="22">
        <f>IFERROR(VLOOKUP($B54,'CEPA Summary sheet'!$B$5:$AB$93,26,),)</f>
        <v>0.5393190300647237</v>
      </c>
      <c r="J54" s="22">
        <f>IFERROR(VLOOKUP($B54,'CEPA Summary sheet'!$B$5:$AB$93,27,),)</f>
        <v>4.5929064255074252E-2</v>
      </c>
      <c r="K54" s="23">
        <f t="shared" si="3"/>
        <v>2.1094789433467394E-3</v>
      </c>
      <c r="L54" s="24">
        <f>IFERROR(VLOOKUP('ComCom refined - 2017 - 19'!$B54,'CEPA Rating&amp;Leverage'!$B$5:$G$93,6,),"")</f>
        <v>0.16673833515045283</v>
      </c>
    </row>
    <row r="55" spans="2:17" ht="17.25" x14ac:dyDescent="0.25">
      <c r="B55" s="41" t="s">
        <v>77</v>
      </c>
      <c r="C55" s="22">
        <f>IFERROR(VLOOKUP($B55,'CEPA Summary sheet'!$B$5:$AB$93,22,),)</f>
        <v>0.42088410360497486</v>
      </c>
      <c r="D55" s="22">
        <f>IFERROR(VLOOKUP($B55,'CEPA Summary sheet'!$B$5:$AB$93,23,),)</f>
        <v>0.32667301595508308</v>
      </c>
      <c r="E55" s="23">
        <f t="shared" si="1"/>
        <v>0.10671525935318997</v>
      </c>
      <c r="F55" s="22">
        <f>IFERROR(VLOOKUP($B55,'CEPA Summary sheet'!$B$5:$AB$93,24,),)</f>
        <v>0.39425935371174531</v>
      </c>
      <c r="G55" s="22">
        <f>IFERROR(VLOOKUP($B55,'CEPA Summary sheet'!$B$5:$AB$93,25,),)</f>
        <v>0.16299521948729143</v>
      </c>
      <c r="H55" s="23">
        <f t="shared" si="2"/>
        <v>2.6567441575710306E-2</v>
      </c>
      <c r="I55" s="22">
        <f>IFERROR(VLOOKUP($B55,'CEPA Summary sheet'!$B$5:$AB$93,26,),)</f>
        <v>0.4433747736831754</v>
      </c>
      <c r="J55" s="22">
        <f>IFERROR(VLOOKUP($B55,'CEPA Summary sheet'!$B$5:$AB$93,27,),)</f>
        <v>7.0419802529275891E-2</v>
      </c>
      <c r="K55" s="23">
        <f t="shared" si="3"/>
        <v>4.958948588262211E-3</v>
      </c>
      <c r="L55" s="24">
        <f>IFERROR(VLOOKUP('ComCom refined - 2017 - 19'!$B55,'CEPA Rating&amp;Leverage'!$B$5:$G$93,6,),"")</f>
        <v>0.29095828636396276</v>
      </c>
    </row>
    <row r="56" spans="2:17" ht="17.25" x14ac:dyDescent="0.25">
      <c r="B56" s="41" t="s">
        <v>78</v>
      </c>
      <c r="C56" s="22">
        <f>IFERROR(VLOOKUP($B56,'CEPA Summary sheet'!$B$5:$AB$93,22,),)</f>
        <v>0.40883335597070064</v>
      </c>
      <c r="D56" s="22">
        <f>IFERROR(VLOOKUP($B56,'CEPA Summary sheet'!$B$5:$AB$93,23,),)</f>
        <v>0.19432526176873066</v>
      </c>
      <c r="E56" s="23">
        <f t="shared" si="1"/>
        <v>3.7762307361485697E-2</v>
      </c>
      <c r="F56" s="22">
        <f>IFERROR(VLOOKUP($B56,'CEPA Summary sheet'!$B$5:$AB$93,24,),)</f>
        <v>0.51080215076981716</v>
      </c>
      <c r="G56" s="22">
        <f>IFERROR(VLOOKUP($B56,'CEPA Summary sheet'!$B$5:$AB$93,25,),)</f>
        <v>9.3780867105281718E-2</v>
      </c>
      <c r="H56" s="23">
        <f t="shared" si="2"/>
        <v>8.79485103501851E-3</v>
      </c>
      <c r="I56" s="22">
        <f>IFERROR(VLOOKUP($B56,'CEPA Summary sheet'!$B$5:$AB$93,26,),)</f>
        <v>0.55686909471875157</v>
      </c>
      <c r="J56" s="22">
        <f>IFERROR(VLOOKUP($B56,'CEPA Summary sheet'!$B$5:$AB$93,27,),)</f>
        <v>4.3766506187028612E-2</v>
      </c>
      <c r="K56" s="23">
        <f t="shared" si="3"/>
        <v>1.9155070638192137E-3</v>
      </c>
      <c r="L56" s="24">
        <f>IFERROR(VLOOKUP('ComCom refined - 2017 - 19'!$B56,'CEPA Rating&amp;Leverage'!$B$5:$G$93,6,),"")</f>
        <v>0.35400562389402596</v>
      </c>
    </row>
    <row r="57" spans="2:17" ht="17.25" x14ac:dyDescent="0.25">
      <c r="B57" s="41" t="s">
        <v>79</v>
      </c>
      <c r="C57" s="22">
        <f>IFERROR(VLOOKUP($B57,'CEPA Summary sheet'!$B$5:$AB$93,22,),)</f>
        <v>0.91895333833123494</v>
      </c>
      <c r="D57" s="22">
        <f>IFERROR(VLOOKUP($B57,'CEPA Summary sheet'!$B$5:$AB$93,23,),)</f>
        <v>0.71140276700884886</v>
      </c>
      <c r="E57" s="23">
        <f t="shared" si="1"/>
        <v>0.50609389690784645</v>
      </c>
      <c r="F57" s="22">
        <f>IFERROR(VLOOKUP($B57,'CEPA Summary sheet'!$B$5:$AB$93,24,),)</f>
        <v>0.76076409627296193</v>
      </c>
      <c r="G57" s="22">
        <f>IFERROR(VLOOKUP($B57,'CEPA Summary sheet'!$B$5:$AB$93,25,),)</f>
        <v>0.28449287436005644</v>
      </c>
      <c r="H57" s="23">
        <f t="shared" si="2"/>
        <v>8.0936195561646856E-2</v>
      </c>
      <c r="I57" s="22">
        <f>IFERROR(VLOOKUP($B57,'CEPA Summary sheet'!$B$5:$AB$93,26,),)</f>
        <v>0.68835363888002254</v>
      </c>
      <c r="J57" s="22">
        <f>IFERROR(VLOOKUP($B57,'CEPA Summary sheet'!$B$5:$AB$93,27,),)</f>
        <v>0.1271396647851602</v>
      </c>
      <c r="K57" s="23">
        <f t="shared" si="3"/>
        <v>1.6164494361682904E-2</v>
      </c>
      <c r="L57" s="24">
        <f>IFERROR(VLOOKUP('ComCom refined - 2017 - 19'!$B57,'CEPA Rating&amp;Leverage'!$B$5:$G$93,6,),"")</f>
        <v>0.17392335921414401</v>
      </c>
    </row>
    <row r="58" spans="2:17" ht="17.25" x14ac:dyDescent="0.25">
      <c r="B58" s="41" t="s">
        <v>80</v>
      </c>
      <c r="C58" s="22" t="str">
        <f>IFERROR(VLOOKUP($B58,'CEPA Summary sheet'!$B$5:$AB$93,22,),)</f>
        <v/>
      </c>
      <c r="D58" s="22" t="str">
        <f>IFERROR(VLOOKUP($B58,'CEPA Summary sheet'!$B$5:$AB$93,23,),)</f>
        <v/>
      </c>
      <c r="E58" s="23" t="str">
        <f t="shared" si="1"/>
        <v>-</v>
      </c>
      <c r="F58" s="22" t="str">
        <f>IFERROR(VLOOKUP($B58,'CEPA Summary sheet'!$B$5:$AB$93,24,),)</f>
        <v/>
      </c>
      <c r="G58" s="22" t="str">
        <f>IFERROR(VLOOKUP($B58,'CEPA Summary sheet'!$B$5:$AB$93,25,),)</f>
        <v/>
      </c>
      <c r="H58" s="23" t="str">
        <f t="shared" si="2"/>
        <v>-</v>
      </c>
      <c r="I58" s="22" t="str">
        <f>IFERROR(VLOOKUP($B58,'CEPA Summary sheet'!$B$5:$AB$93,26,),)</f>
        <v/>
      </c>
      <c r="J58" s="22" t="str">
        <f>IFERROR(VLOOKUP($B58,'CEPA Summary sheet'!$B$5:$AB$93,27,),)</f>
        <v/>
      </c>
      <c r="K58" s="23" t="str">
        <f t="shared" si="3"/>
        <v>-</v>
      </c>
      <c r="L58" s="24" t="str">
        <f>IFERROR(VLOOKUP('ComCom refined - 2017 - 19'!$B58,'CEPA Rating&amp;Leverage'!$B$5:$G$93,6,),"")</f>
        <v/>
      </c>
    </row>
    <row r="59" spans="2:17" ht="17.25" x14ac:dyDescent="0.25">
      <c r="B59" s="41" t="s">
        <v>81</v>
      </c>
      <c r="C59" s="22">
        <f>IFERROR(VLOOKUP($B59,'CEPA Summary sheet'!$B$5:$AB$93,22,),)</f>
        <v>-1.0431553620583007E-2</v>
      </c>
      <c r="D59" s="22">
        <f>IFERROR(VLOOKUP($B59,'CEPA Summary sheet'!$B$5:$AB$93,23,),)</f>
        <v>0.45297859520512995</v>
      </c>
      <c r="E59" s="23">
        <f t="shared" si="1"/>
        <v>0.20518960771401298</v>
      </c>
      <c r="F59" s="22">
        <f>IFERROR(VLOOKUP($B59,'CEPA Summary sheet'!$B$5:$AB$93,24,),)</f>
        <v>0.44839083271233171</v>
      </c>
      <c r="G59" s="22">
        <f>IFERROR(VLOOKUP($B59,'CEPA Summary sheet'!$B$5:$AB$93,25,),)</f>
        <v>0.19941338138065329</v>
      </c>
      <c r="H59" s="23">
        <f t="shared" si="2"/>
        <v>3.9765696673665876E-2</v>
      </c>
      <c r="I59" s="22">
        <f>IFERROR(VLOOKUP($B59,'CEPA Summary sheet'!$B$5:$AB$93,26,),)</f>
        <v>0.53766548310129381</v>
      </c>
      <c r="J59" s="22">
        <f>IFERROR(VLOOKUP($B59,'CEPA Summary sheet'!$B$5:$AB$93,27,),)</f>
        <v>8.7562352458500192E-2</v>
      </c>
      <c r="K59" s="23">
        <f t="shared" si="3"/>
        <v>7.6671655680666147E-3</v>
      </c>
      <c r="L59" s="24">
        <f>IFERROR(VLOOKUP('ComCom refined - 2017 - 19'!$B59,'CEPA Rating&amp;Leverage'!$B$5:$G$93,6,),"")</f>
        <v>0.23953829630453999</v>
      </c>
    </row>
    <row r="60" spans="2:17" ht="17.25" x14ac:dyDescent="0.25">
      <c r="B60" s="41" t="s">
        <v>82</v>
      </c>
      <c r="C60" s="22">
        <f>IFERROR(VLOOKUP($B60,'CEPA Summary sheet'!$B$5:$AB$93,22,),)</f>
        <v>0.21553774355060576</v>
      </c>
      <c r="D60" s="22">
        <f>IFERROR(VLOOKUP($B60,'CEPA Summary sheet'!$B$5:$AB$93,23,),)</f>
        <v>0.21532977318812138</v>
      </c>
      <c r="E60" s="23">
        <f t="shared" si="1"/>
        <v>4.6366911221247795E-2</v>
      </c>
      <c r="F60" s="22">
        <f>IFERROR(VLOOKUP($B60,'CEPA Summary sheet'!$B$5:$AB$93,24,),)</f>
        <v>0.24068426329796586</v>
      </c>
      <c r="G60" s="22">
        <f>IFERROR(VLOOKUP($B60,'CEPA Summary sheet'!$B$5:$AB$93,25,),)</f>
        <v>8.4937243372040103E-2</v>
      </c>
      <c r="H60" s="23">
        <f t="shared" si="2"/>
        <v>7.21433531164117E-3</v>
      </c>
      <c r="I60" s="22">
        <f>IFERROR(VLOOKUP($B60,'CEPA Summary sheet'!$B$5:$AB$93,26,),)</f>
        <v>0.31061249412611186</v>
      </c>
      <c r="J60" s="22">
        <f>IFERROR(VLOOKUP($B60,'CEPA Summary sheet'!$B$5:$AB$93,27,),)</f>
        <v>3.8873870745002058E-2</v>
      </c>
      <c r="K60" s="23">
        <f t="shared" si="3"/>
        <v>1.511177826699127E-3</v>
      </c>
      <c r="L60" s="24">
        <f>IFERROR(VLOOKUP('ComCom refined - 2017 - 19'!$B60,'CEPA Rating&amp;Leverage'!$B$5:$G$93,6,),"")</f>
        <v>0.35262362707989048</v>
      </c>
    </row>
    <row r="61" spans="2:17" ht="17.25" x14ac:dyDescent="0.25">
      <c r="B61" s="41" t="s">
        <v>83</v>
      </c>
      <c r="C61" s="22">
        <f>IFERROR(VLOOKUP($B61,'CEPA Summary sheet'!$B$5:$AB$93,22,),)</f>
        <v>0.54215428124826182</v>
      </c>
      <c r="D61" s="22">
        <f>IFERROR(VLOOKUP($B61,'CEPA Summary sheet'!$B$5:$AB$93,23,),)</f>
        <v>0.70251410239822576</v>
      </c>
      <c r="E61" s="23">
        <f t="shared" si="1"/>
        <v>0.49352606406838484</v>
      </c>
      <c r="F61" s="22">
        <f>IFERROR(VLOOKUP($B61,'CEPA Summary sheet'!$B$5:$AB$93,24,),)</f>
        <v>0.72550297735171276</v>
      </c>
      <c r="G61" s="22">
        <f>IFERROR(VLOOKUP($B61,'CEPA Summary sheet'!$B$5:$AB$93,25,),)</f>
        <v>0.33101495064616293</v>
      </c>
      <c r="H61" s="23">
        <f t="shared" si="2"/>
        <v>0.10957089755128169</v>
      </c>
      <c r="I61" s="22">
        <f>IFERROR(VLOOKUP($B61,'CEPA Summary sheet'!$B$5:$AB$93,26,),)</f>
        <v>0.85017793026834154</v>
      </c>
      <c r="J61" s="22">
        <f>IFERROR(VLOOKUP($B61,'CEPA Summary sheet'!$B$5:$AB$93,27,),)</f>
        <v>0.1280660083937975</v>
      </c>
      <c r="K61" s="23">
        <f t="shared" si="3"/>
        <v>1.6400902505920214E-2</v>
      </c>
      <c r="L61" s="24">
        <f>IFERROR(VLOOKUP('ComCom refined - 2017 - 19'!$B61,'CEPA Rating&amp;Leverage'!$B$5:$G$93,6,),"")</f>
        <v>0.36052518456770655</v>
      </c>
    </row>
    <row r="62" spans="2:17" ht="17.25" x14ac:dyDescent="0.25">
      <c r="B62" s="41" t="s">
        <v>84</v>
      </c>
      <c r="C62" s="22">
        <f>IFERROR(VLOOKUP($B62,'CEPA Summary sheet'!$B$5:$AB$93,22,),)</f>
        <v>0.57600327563275866</v>
      </c>
      <c r="D62" s="22">
        <f>IFERROR(VLOOKUP($B62,'CEPA Summary sheet'!$B$5:$AB$93,23,),)</f>
        <v>0.22427698254996409</v>
      </c>
      <c r="E62" s="23">
        <f t="shared" si="1"/>
        <v>5.0300164901716897E-2</v>
      </c>
      <c r="F62" s="22">
        <f>IFERROR(VLOOKUP($B62,'CEPA Summary sheet'!$B$5:$AB$93,24,),)</f>
        <v>0.6030998921119739</v>
      </c>
      <c r="G62" s="22">
        <f>IFERROR(VLOOKUP($B62,'CEPA Summary sheet'!$B$5:$AB$93,25,),)</f>
        <v>0.10358213963283225</v>
      </c>
      <c r="H62" s="23">
        <f t="shared" si="2"/>
        <v>1.0729259650915557E-2</v>
      </c>
      <c r="I62" s="22">
        <f>IFERROR(VLOOKUP($B62,'CEPA Summary sheet'!$B$5:$AB$93,26,),)</f>
        <v>0.64270079276825476</v>
      </c>
      <c r="J62" s="22">
        <f>IFERROR(VLOOKUP($B62,'CEPA Summary sheet'!$B$5:$AB$93,27,),)</f>
        <v>4.4585464208928942E-2</v>
      </c>
      <c r="K62" s="23">
        <f t="shared" si="3"/>
        <v>1.9878636187256838E-3</v>
      </c>
      <c r="L62" s="24">
        <f>IFERROR(VLOOKUP('ComCom refined - 2017 - 19'!$B62,'CEPA Rating&amp;Leverage'!$B$5:$G$93,6,),"")</f>
        <v>0.36182957905006868</v>
      </c>
    </row>
    <row r="63" spans="2:17" ht="17.25" x14ac:dyDescent="0.25">
      <c r="B63" s="41" t="s">
        <v>85</v>
      </c>
      <c r="C63" s="22">
        <f>IFERROR(VLOOKUP($B63,'CEPA Summary sheet'!$B$5:$AB$93,22,),)</f>
        <v>0.65070507403632549</v>
      </c>
      <c r="D63" s="22">
        <f>IFERROR(VLOOKUP($B63,'CEPA Summary sheet'!$B$5:$AB$93,23,),)</f>
        <v>0.25668030048225843</v>
      </c>
      <c r="E63" s="23">
        <f t="shared" si="1"/>
        <v>6.5884776655662475E-2</v>
      </c>
      <c r="F63" s="22">
        <f>IFERROR(VLOOKUP($B63,'CEPA Summary sheet'!$B$5:$AB$93,24,),)</f>
        <v>0.5214414572808761</v>
      </c>
      <c r="G63" s="22">
        <f>IFERROR(VLOOKUP($B63,'CEPA Summary sheet'!$B$5:$AB$93,25,),)</f>
        <v>0.11686720227897709</v>
      </c>
      <c r="H63" s="23">
        <f t="shared" si="2"/>
        <v>1.3657942968515349E-2</v>
      </c>
      <c r="I63" s="22">
        <f>IFERROR(VLOOKUP($B63,'CEPA Summary sheet'!$B$5:$AB$93,26,),)</f>
        <v>0.45382068680516507</v>
      </c>
      <c r="J63" s="22">
        <f>IFERROR(VLOOKUP($B63,'CEPA Summary sheet'!$B$5:$AB$93,27,),)</f>
        <v>6.0611441046826614E-2</v>
      </c>
      <c r="K63" s="23">
        <f t="shared" si="3"/>
        <v>3.6737467857729379E-3</v>
      </c>
      <c r="L63" s="24">
        <f>IFERROR(VLOOKUP('ComCom refined - 2017 - 19'!$B63,'CEPA Rating&amp;Leverage'!$B$5:$G$93,6,),"")</f>
        <v>0.40284325948832023</v>
      </c>
    </row>
    <row r="64" spans="2:17" ht="17.25" x14ac:dyDescent="0.25">
      <c r="B64" s="41" t="s">
        <v>86</v>
      </c>
      <c r="C64" s="22">
        <f>IFERROR(VLOOKUP($B64,'CEPA Summary sheet'!$B$5:$AB$93,22,),)</f>
        <v>0.15430017863271955</v>
      </c>
      <c r="D64" s="22">
        <f>IFERROR(VLOOKUP($B64,'CEPA Summary sheet'!$B$5:$AB$93,23,),)</f>
        <v>0.24341225444285877</v>
      </c>
      <c r="E64" s="23">
        <f t="shared" si="1"/>
        <v>5.9249525612955017E-2</v>
      </c>
      <c r="F64" s="22">
        <f>IFERROR(VLOOKUP($B64,'CEPA Summary sheet'!$B$5:$AB$93,24,),)</f>
        <v>0.26213166260408982</v>
      </c>
      <c r="G64" s="22">
        <f>IFERROR(VLOOKUP($B64,'CEPA Summary sheet'!$B$5:$AB$93,25,),)</f>
        <v>0.13033489846529522</v>
      </c>
      <c r="H64" s="23">
        <f t="shared" si="2"/>
        <v>1.6987185757958816E-2</v>
      </c>
      <c r="I64" s="22">
        <f>IFERROR(VLOOKUP($B64,'CEPA Summary sheet'!$B$5:$AB$93,26,),)</f>
        <v>0.16780721926345779</v>
      </c>
      <c r="J64" s="22">
        <f>IFERROR(VLOOKUP($B64,'CEPA Summary sheet'!$B$5:$AB$93,27,),)</f>
        <v>6.8695064201719877E-2</v>
      </c>
      <c r="K64" s="23">
        <f t="shared" si="3"/>
        <v>4.7190118456784157E-3</v>
      </c>
      <c r="L64" s="24">
        <f>IFERROR(VLOOKUP('ComCom refined - 2017 - 19'!$B64,'CEPA Rating&amp;Leverage'!$B$5:$G$93,6,),"")</f>
        <v>0.20689949200525842</v>
      </c>
    </row>
    <row r="65" spans="2:12" ht="17.25" x14ac:dyDescent="0.25">
      <c r="B65" s="41" t="s">
        <v>87</v>
      </c>
      <c r="C65" s="22" t="str">
        <f>IFERROR(VLOOKUP($B65,'CEPA Summary sheet'!$B$5:$AB$93,22,),)</f>
        <v/>
      </c>
      <c r="D65" s="22" t="str">
        <f>IFERROR(VLOOKUP($B65,'CEPA Summary sheet'!$B$5:$AB$93,23,),)</f>
        <v/>
      </c>
      <c r="E65" s="23" t="str">
        <f t="shared" si="1"/>
        <v>-</v>
      </c>
      <c r="F65" s="22" t="str">
        <f>IFERROR(VLOOKUP($B65,'CEPA Summary sheet'!$B$5:$AB$93,24,),)</f>
        <v/>
      </c>
      <c r="G65" s="22" t="str">
        <f>IFERROR(VLOOKUP($B65,'CEPA Summary sheet'!$B$5:$AB$93,25,),)</f>
        <v/>
      </c>
      <c r="H65" s="23" t="str">
        <f t="shared" si="2"/>
        <v>-</v>
      </c>
      <c r="I65" s="22" t="str">
        <f>IFERROR(VLOOKUP($B65,'CEPA Summary sheet'!$B$5:$AB$93,26,),)</f>
        <v/>
      </c>
      <c r="J65" s="22" t="str">
        <f>IFERROR(VLOOKUP($B65,'CEPA Summary sheet'!$B$5:$AB$93,27,),)</f>
        <v/>
      </c>
      <c r="K65" s="23" t="str">
        <f t="shared" si="3"/>
        <v>-</v>
      </c>
      <c r="L65" s="24" t="str">
        <f>IFERROR(VLOOKUP('ComCom refined - 2017 - 19'!$B65,'CEPA Rating&amp;Leverage'!$B$5:$G$93,6,),"")</f>
        <v/>
      </c>
    </row>
    <row r="66" spans="2:12" ht="17.25" x14ac:dyDescent="0.25">
      <c r="B66" s="41" t="s">
        <v>88</v>
      </c>
      <c r="C66" s="22">
        <f>IFERROR(VLOOKUP($B66,'CEPA Summary sheet'!$B$5:$AB$93,22,),)</f>
        <v>2.9541631963665931E-2</v>
      </c>
      <c r="D66" s="22">
        <f>IFERROR(VLOOKUP($B66,'CEPA Summary sheet'!$B$5:$AB$93,23,),)</f>
        <v>0.3349449871300999</v>
      </c>
      <c r="E66" s="23">
        <f t="shared" si="1"/>
        <v>0.1121881444035828</v>
      </c>
      <c r="F66" s="22">
        <f>IFERROR(VLOOKUP($B66,'CEPA Summary sheet'!$B$5:$AB$93,24,),)</f>
        <v>0.25491194407247642</v>
      </c>
      <c r="G66" s="22">
        <f>IFERROR(VLOOKUP($B66,'CEPA Summary sheet'!$B$5:$AB$93,25,),)</f>
        <v>0.16157365139001997</v>
      </c>
      <c r="H66" s="23">
        <f t="shared" si="2"/>
        <v>2.6106044823503705E-2</v>
      </c>
      <c r="I66" s="22">
        <f>IFERROR(VLOOKUP($B66,'CEPA Summary sheet'!$B$5:$AB$93,26,),)</f>
        <v>0.17396391257659896</v>
      </c>
      <c r="J66" s="22">
        <f>IFERROR(VLOOKUP($B66,'CEPA Summary sheet'!$B$5:$AB$93,27,),)</f>
        <v>8.3682644191939243E-2</v>
      </c>
      <c r="K66" s="23">
        <f t="shared" si="3"/>
        <v>7.0027849389547028E-3</v>
      </c>
      <c r="L66" s="24">
        <f>IFERROR(VLOOKUP('ComCom refined - 2017 - 19'!$B66,'CEPA Rating&amp;Leverage'!$B$5:$G$93,6,),"")</f>
        <v>0.31776396412498426</v>
      </c>
    </row>
    <row r="67" spans="2:12" ht="17.25" x14ac:dyDescent="0.25">
      <c r="B67" s="41" t="s">
        <v>89</v>
      </c>
      <c r="C67" s="22" t="str">
        <f>IFERROR(VLOOKUP($B67,'CEPA Summary sheet'!$B$5:$AB$93,22,),)</f>
        <v/>
      </c>
      <c r="D67" s="22" t="str">
        <f>IFERROR(VLOOKUP($B67,'CEPA Summary sheet'!$B$5:$AB$93,23,),)</f>
        <v/>
      </c>
      <c r="E67" s="23" t="str">
        <f t="shared" si="1"/>
        <v>-</v>
      </c>
      <c r="F67" s="22" t="str">
        <f>IFERROR(VLOOKUP($B67,'CEPA Summary sheet'!$B$5:$AB$93,24,),)</f>
        <v/>
      </c>
      <c r="G67" s="22" t="str">
        <f>IFERROR(VLOOKUP($B67,'CEPA Summary sheet'!$B$5:$AB$93,25,),)</f>
        <v/>
      </c>
      <c r="H67" s="23" t="str">
        <f t="shared" si="2"/>
        <v>-</v>
      </c>
      <c r="I67" s="22" t="str">
        <f>IFERROR(VLOOKUP($B67,'CEPA Summary sheet'!$B$5:$AB$93,26,),)</f>
        <v/>
      </c>
      <c r="J67" s="22" t="str">
        <f>IFERROR(VLOOKUP($B67,'CEPA Summary sheet'!$B$5:$AB$93,27,),)</f>
        <v/>
      </c>
      <c r="K67" s="23" t="str">
        <f t="shared" si="3"/>
        <v>-</v>
      </c>
      <c r="L67" s="24" t="str">
        <f>IFERROR(VLOOKUP('ComCom refined - 2017 - 19'!$B67,'CEPA Rating&amp;Leverage'!$B$5:$G$93,6,),"")</f>
        <v/>
      </c>
    </row>
    <row r="68" spans="2:12" ht="17.25" x14ac:dyDescent="0.25">
      <c r="B68" s="41" t="s">
        <v>90</v>
      </c>
      <c r="C68" s="22">
        <f>IFERROR(VLOOKUP($B68,'CEPA Summary sheet'!$B$5:$AB$93,22,),)</f>
        <v>0.51795367595120778</v>
      </c>
      <c r="D68" s="22">
        <f>IFERROR(VLOOKUP($B68,'CEPA Summary sheet'!$B$5:$AB$93,23,),)</f>
        <v>0.15961158828665895</v>
      </c>
      <c r="E68" s="23">
        <f t="shared" si="1"/>
        <v>2.5475859115389923E-2</v>
      </c>
      <c r="F68" s="22">
        <f>IFERROR(VLOOKUP($B68,'CEPA Summary sheet'!$B$5:$AB$93,24,),)</f>
        <v>0.43786281685084799</v>
      </c>
      <c r="G68" s="22">
        <f>IFERROR(VLOOKUP($B68,'CEPA Summary sheet'!$B$5:$AB$93,25,),)</f>
        <v>9.4286010679649326E-2</v>
      </c>
      <c r="H68" s="23">
        <f t="shared" si="2"/>
        <v>8.8898518098829461E-3</v>
      </c>
      <c r="I68" s="22">
        <f>IFERROR(VLOOKUP($B68,'CEPA Summary sheet'!$B$5:$AB$93,26,),)</f>
        <v>0.51440265034434374</v>
      </c>
      <c r="J68" s="22">
        <f>IFERROR(VLOOKUP($B68,'CEPA Summary sheet'!$B$5:$AB$93,27,),)</f>
        <v>4.7061583111388451E-2</v>
      </c>
      <c r="K68" s="23">
        <f t="shared" si="3"/>
        <v>2.2147926049501227E-3</v>
      </c>
      <c r="L68" s="24">
        <f>IFERROR(VLOOKUP('ComCom refined - 2017 - 19'!$B68,'CEPA Rating&amp;Leverage'!$B$5:$G$93,6,),"")</f>
        <v>0.23724410725273648</v>
      </c>
    </row>
    <row r="69" spans="2:12" ht="17.25" x14ac:dyDescent="0.25">
      <c r="B69" s="41" t="s">
        <v>91</v>
      </c>
      <c r="C69" s="22">
        <f>IFERROR(VLOOKUP($B69,'CEPA Summary sheet'!$B$5:$AB$93,22,),)</f>
        <v>0.4729895514151356</v>
      </c>
      <c r="D69" s="22">
        <f>IFERROR(VLOOKUP($B69,'CEPA Summary sheet'!$B$5:$AB$93,23,),)</f>
        <v>0.21695443362718331</v>
      </c>
      <c r="E69" s="23">
        <f t="shared" si="1"/>
        <v>4.7069226270491885E-2</v>
      </c>
      <c r="F69" s="22">
        <f>IFERROR(VLOOKUP($B69,'CEPA Summary sheet'!$B$5:$AB$93,24,),)</f>
        <v>0.4311182597363753</v>
      </c>
      <c r="G69" s="22">
        <f>IFERROR(VLOOKUP($B69,'CEPA Summary sheet'!$B$5:$AB$93,25,),)</f>
        <v>0.10904936513802507</v>
      </c>
      <c r="H69" s="23">
        <f t="shared" si="2"/>
        <v>1.1891764037006317E-2</v>
      </c>
      <c r="I69" s="22">
        <f>IFERROR(VLOOKUP($B69,'CEPA Summary sheet'!$B$5:$AB$93,26,),)</f>
        <v>0.61949664145537708</v>
      </c>
      <c r="J69" s="22">
        <f>IFERROR(VLOOKUP($B69,'CEPA Summary sheet'!$B$5:$AB$93,27,),)</f>
        <v>5.255025839562362E-2</v>
      </c>
      <c r="K69" s="23">
        <f t="shared" si="3"/>
        <v>2.7615296574468105E-3</v>
      </c>
      <c r="L69" s="24">
        <f>IFERROR(VLOOKUP('ComCom refined - 2017 - 19'!$B69,'CEPA Rating&amp;Leverage'!$B$5:$G$93,6,),"")</f>
        <v>0.10746633104811235</v>
      </c>
    </row>
    <row r="70" spans="2:12" ht="17.25" x14ac:dyDescent="0.25">
      <c r="B70" s="41" t="s">
        <v>92</v>
      </c>
      <c r="C70" s="22">
        <f>IFERROR(VLOOKUP($B70,'CEPA Summary sheet'!$B$5:$AB$93,22,),)</f>
        <v>0.66964887311829968</v>
      </c>
      <c r="D70" s="22">
        <f>IFERROR(VLOOKUP($B70,'CEPA Summary sheet'!$B$5:$AB$93,23,),)</f>
        <v>0.17189275804480636</v>
      </c>
      <c r="E70" s="23">
        <f t="shared" si="1"/>
        <v>2.9547120268250342E-2</v>
      </c>
      <c r="F70" s="22">
        <f>IFERROR(VLOOKUP($B70,'CEPA Summary sheet'!$B$5:$AB$93,24,),)</f>
        <v>0.53797542828537692</v>
      </c>
      <c r="G70" s="22">
        <f>IFERROR(VLOOKUP($B70,'CEPA Summary sheet'!$B$5:$AB$93,25,),)</f>
        <v>8.3394644985005831E-2</v>
      </c>
      <c r="H70" s="23">
        <f t="shared" si="2"/>
        <v>6.9546668121751578E-3</v>
      </c>
      <c r="I70" s="22">
        <f>IFERROR(VLOOKUP($B70,'CEPA Summary sheet'!$B$5:$AB$93,26,),)</f>
        <v>0.53395150951185721</v>
      </c>
      <c r="J70" s="22">
        <f>IFERROR(VLOOKUP($B70,'CEPA Summary sheet'!$B$5:$AB$93,27,),)</f>
        <v>3.9413047806259899E-2</v>
      </c>
      <c r="K70" s="23">
        <f t="shared" si="3"/>
        <v>1.5533883373785283E-3</v>
      </c>
      <c r="L70" s="24">
        <f>IFERROR(VLOOKUP('ComCom refined - 2017 - 19'!$B70,'CEPA Rating&amp;Leverage'!$B$5:$G$93,6,),"")</f>
        <v>0.56603350337707214</v>
      </c>
    </row>
    <row r="71" spans="2:12" ht="17.25" x14ac:dyDescent="0.25">
      <c r="B71" s="41" t="s">
        <v>93</v>
      </c>
      <c r="C71" s="22">
        <f>IFERROR(VLOOKUP($B71,'CEPA Summary sheet'!$B$5:$AB$93,22,),)</f>
        <v>0.32059511897241544</v>
      </c>
      <c r="D71" s="22">
        <f>IFERROR(VLOOKUP($B71,'CEPA Summary sheet'!$B$5:$AB$93,23,),)</f>
        <v>0.14065505279701762</v>
      </c>
      <c r="E71" s="23">
        <f t="shared" ref="E71:E86" si="6">IFERROR(D71^2,"-")</f>
        <v>1.9783843877331814E-2</v>
      </c>
      <c r="F71" s="22">
        <f>IFERROR(VLOOKUP($B71,'CEPA Summary sheet'!$B$5:$AB$93,24,),)</f>
        <v>0.45064981024080952</v>
      </c>
      <c r="G71" s="22">
        <f>IFERROR(VLOOKUP($B71,'CEPA Summary sheet'!$B$5:$AB$93,25,),)</f>
        <v>7.3792848690915847E-2</v>
      </c>
      <c r="H71" s="23">
        <f t="shared" ref="H71:H86" si="7">IFERROR(G71^2,"-")</f>
        <v>5.4453845179204003E-3</v>
      </c>
      <c r="I71" s="22">
        <f>IFERROR(VLOOKUP($B71,'CEPA Summary sheet'!$B$5:$AB$93,26,),)</f>
        <v>0.40321377805156766</v>
      </c>
      <c r="J71" s="22">
        <f>IFERROR(VLOOKUP($B71,'CEPA Summary sheet'!$B$5:$AB$93,27,),)</f>
        <v>4.1307850041160256E-2</v>
      </c>
      <c r="K71" s="23">
        <f t="shared" ref="K71:K86" si="8">IFERROR(J71^2,"-")</f>
        <v>1.7063384750229834E-3</v>
      </c>
      <c r="L71" s="24">
        <f>IFERROR(VLOOKUP('ComCom refined - 2017 - 19'!$B71,'CEPA Rating&amp;Leverage'!$B$5:$G$93,6,),"")</f>
        <v>0.31230539342297226</v>
      </c>
    </row>
    <row r="72" spans="2:12" ht="17.25" x14ac:dyDescent="0.25">
      <c r="B72" s="41" t="s">
        <v>94</v>
      </c>
      <c r="C72" s="22">
        <f>IFERROR(VLOOKUP($B72,'CEPA Summary sheet'!$B$5:$AB$93,22,),)</f>
        <v>0.56190998662819325</v>
      </c>
      <c r="D72" s="22">
        <f>IFERROR(VLOOKUP($B72,'CEPA Summary sheet'!$B$5:$AB$93,23,),)</f>
        <v>0.25253002537597441</v>
      </c>
      <c r="E72" s="23">
        <f t="shared" si="6"/>
        <v>6.3771413716390279E-2</v>
      </c>
      <c r="F72" s="22">
        <f>IFERROR(VLOOKUP($B72,'CEPA Summary sheet'!$B$5:$AB$93,24,),)</f>
        <v>0.64741094104640928</v>
      </c>
      <c r="G72" s="22">
        <f>IFERROR(VLOOKUP($B72,'CEPA Summary sheet'!$B$5:$AB$93,25,),)</f>
        <v>0.10797706902982095</v>
      </c>
      <c r="H72" s="23">
        <f t="shared" si="7"/>
        <v>1.1659047436270718E-2</v>
      </c>
      <c r="I72" s="22">
        <f>IFERROR(VLOOKUP($B72,'CEPA Summary sheet'!$B$5:$AB$93,26,),)</f>
        <v>0.56190875083255543</v>
      </c>
      <c r="J72" s="22">
        <f>IFERROR(VLOOKUP($B72,'CEPA Summary sheet'!$B$5:$AB$93,27,),)</f>
        <v>5.12545928973481E-2</v>
      </c>
      <c r="K72" s="23">
        <f t="shared" si="8"/>
        <v>2.6270332930728862E-3</v>
      </c>
      <c r="L72" s="24">
        <f>IFERROR(VLOOKUP('ComCom refined - 2017 - 19'!$B72,'CEPA Rating&amp;Leverage'!$B$5:$G$93,6,),"")</f>
        <v>0.17155059060356717</v>
      </c>
    </row>
    <row r="73" spans="2:12" ht="17.25" x14ac:dyDescent="0.25">
      <c r="B73" s="41" t="s">
        <v>95</v>
      </c>
      <c r="C73" s="22">
        <f>IFERROR(VLOOKUP($B73,'CEPA Summary sheet'!$B$5:$AB$93,22,),)</f>
        <v>0.35562710618378024</v>
      </c>
      <c r="D73" s="22">
        <f>IFERROR(VLOOKUP($B73,'CEPA Summary sheet'!$B$5:$AB$93,23,),)</f>
        <v>0.20867594349435764</v>
      </c>
      <c r="E73" s="23">
        <f t="shared" si="6"/>
        <v>4.354564939326034E-2</v>
      </c>
      <c r="F73" s="22">
        <f>IFERROR(VLOOKUP($B73,'CEPA Summary sheet'!$B$5:$AB$93,24,),)</f>
        <v>0.3188095027630059</v>
      </c>
      <c r="G73" s="22">
        <f>IFERROR(VLOOKUP($B73,'CEPA Summary sheet'!$B$5:$AB$93,25,),)</f>
        <v>0.11297745215374488</v>
      </c>
      <c r="H73" s="23">
        <f t="shared" si="7"/>
        <v>1.2763904695151715E-2</v>
      </c>
      <c r="I73" s="22">
        <f>IFERROR(VLOOKUP($B73,'CEPA Summary sheet'!$B$5:$AB$93,26,),)</f>
        <v>0.3081741875836283</v>
      </c>
      <c r="J73" s="22">
        <f>IFERROR(VLOOKUP($B73,'CEPA Summary sheet'!$B$5:$AB$93,27,),)</f>
        <v>5.6933507277028103E-2</v>
      </c>
      <c r="K73" s="23">
        <f t="shared" si="8"/>
        <v>3.2414242508634118E-3</v>
      </c>
      <c r="L73" s="24">
        <f>IFERROR(VLOOKUP('ComCom refined - 2017 - 19'!$B73,'CEPA Rating&amp;Leverage'!$B$5:$G$93,6,),"")</f>
        <v>0.45678584961326985</v>
      </c>
    </row>
    <row r="74" spans="2:12" ht="17.25" x14ac:dyDescent="0.25">
      <c r="B74" s="41" t="s">
        <v>96</v>
      </c>
      <c r="C74" s="22" t="str">
        <f>IFERROR(VLOOKUP($B74,'CEPA Summary sheet'!$B$5:$AB$93,22,),)</f>
        <v/>
      </c>
      <c r="D74" s="22" t="str">
        <f>IFERROR(VLOOKUP($B74,'CEPA Summary sheet'!$B$5:$AB$93,23,),)</f>
        <v/>
      </c>
      <c r="E74" s="23" t="str">
        <f t="shared" si="6"/>
        <v>-</v>
      </c>
      <c r="F74" s="22" t="str">
        <f>IFERROR(VLOOKUP($B74,'CEPA Summary sheet'!$B$5:$AB$93,24,),)</f>
        <v/>
      </c>
      <c r="G74" s="22" t="str">
        <f>IFERROR(VLOOKUP($B74,'CEPA Summary sheet'!$B$5:$AB$93,25,),)</f>
        <v/>
      </c>
      <c r="H74" s="23" t="str">
        <f t="shared" si="7"/>
        <v>-</v>
      </c>
      <c r="I74" s="22" t="str">
        <f>IFERROR(VLOOKUP($B74,'CEPA Summary sheet'!$B$5:$AB$93,26,),)</f>
        <v/>
      </c>
      <c r="J74" s="22" t="str">
        <f>IFERROR(VLOOKUP($B74,'CEPA Summary sheet'!$B$5:$AB$93,27,),)</f>
        <v/>
      </c>
      <c r="K74" s="23" t="str">
        <f t="shared" si="8"/>
        <v>-</v>
      </c>
      <c r="L74" s="24" t="str">
        <f>IFERROR(VLOOKUP('ComCom refined - 2017 - 19'!$B74,'CEPA Rating&amp;Leverage'!$B$5:$G$93,6,),"")</f>
        <v/>
      </c>
    </row>
    <row r="75" spans="2:12" ht="17.25" x14ac:dyDescent="0.25">
      <c r="B75" s="41" t="s">
        <v>97</v>
      </c>
      <c r="C75" s="22">
        <f>IFERROR(VLOOKUP($B75,'CEPA Summary sheet'!$B$5:$AB$93,22,),)</f>
        <v>0.47870454443497651</v>
      </c>
      <c r="D75" s="22">
        <f>IFERROR(VLOOKUP($B75,'CEPA Summary sheet'!$B$5:$AB$93,23,),)</f>
        <v>0.18044859430467064</v>
      </c>
      <c r="E75" s="23">
        <f t="shared" si="6"/>
        <v>3.2561695186531611E-2</v>
      </c>
      <c r="F75" s="22">
        <f>IFERROR(VLOOKUP($B75,'CEPA Summary sheet'!$B$5:$AB$93,24,),)</f>
        <v>0.29686892434906836</v>
      </c>
      <c r="G75" s="22">
        <f>IFERROR(VLOOKUP($B75,'CEPA Summary sheet'!$B$5:$AB$93,25,),)</f>
        <v>8.212745056591067E-2</v>
      </c>
      <c r="H75" s="23">
        <f t="shared" si="7"/>
        <v>6.7449181364561007E-3</v>
      </c>
      <c r="I75" s="22">
        <f>IFERROR(VLOOKUP($B75,'CEPA Summary sheet'!$B$5:$AB$93,26,),)</f>
        <v>0.25758754414409679</v>
      </c>
      <c r="J75" s="22">
        <f>IFERROR(VLOOKUP($B75,'CEPA Summary sheet'!$B$5:$AB$93,27,),)</f>
        <v>3.8599390781252033E-2</v>
      </c>
      <c r="K75" s="23">
        <f t="shared" si="8"/>
        <v>1.4899129686838043E-3</v>
      </c>
      <c r="L75" s="24">
        <f>IFERROR(VLOOKUP('ComCom refined - 2017 - 19'!$B75,'CEPA Rating&amp;Leverage'!$B$5:$G$93,6,),"")</f>
        <v>0.51085932624431785</v>
      </c>
    </row>
    <row r="76" spans="2:12" ht="17.25" x14ac:dyDescent="0.25">
      <c r="B76" s="41" t="s">
        <v>98</v>
      </c>
      <c r="C76" s="22" t="str">
        <f>IFERROR(VLOOKUP($B76,'CEPA Summary sheet'!$B$5:$AB$93,22,),)</f>
        <v/>
      </c>
      <c r="D76" s="22" t="str">
        <f>IFERROR(VLOOKUP($B76,'CEPA Summary sheet'!$B$5:$AB$93,23,),)</f>
        <v/>
      </c>
      <c r="E76" s="23" t="str">
        <f t="shared" si="6"/>
        <v>-</v>
      </c>
      <c r="F76" s="22" t="str">
        <f>IFERROR(VLOOKUP($B76,'CEPA Summary sheet'!$B$5:$AB$93,24,),)</f>
        <v/>
      </c>
      <c r="G76" s="22" t="str">
        <f>IFERROR(VLOOKUP($B76,'CEPA Summary sheet'!$B$5:$AB$93,25,),)</f>
        <v/>
      </c>
      <c r="H76" s="23" t="str">
        <f t="shared" si="7"/>
        <v>-</v>
      </c>
      <c r="I76" s="22" t="str">
        <f>IFERROR(VLOOKUP($B76,'CEPA Summary sheet'!$B$5:$AB$93,26,),)</f>
        <v/>
      </c>
      <c r="J76" s="22" t="str">
        <f>IFERROR(VLOOKUP($B76,'CEPA Summary sheet'!$B$5:$AB$93,27,),)</f>
        <v/>
      </c>
      <c r="K76" s="23" t="str">
        <f t="shared" si="8"/>
        <v>-</v>
      </c>
      <c r="L76" s="24" t="str">
        <f>IFERROR(VLOOKUP('ComCom refined - 2017 - 19'!$B76,'CEPA Rating&amp;Leverage'!$B$5:$G$93,6,),"")</f>
        <v/>
      </c>
    </row>
    <row r="77" spans="2:12" ht="17.25" x14ac:dyDescent="0.25">
      <c r="B77" s="41" t="s">
        <v>99</v>
      </c>
      <c r="C77" s="22">
        <f>IFERROR(VLOOKUP($B77,'CEPA Summary sheet'!$B$5:$AB$93,22,),)</f>
        <v>0.48637186229046614</v>
      </c>
      <c r="D77" s="22">
        <f>IFERROR(VLOOKUP($B77,'CEPA Summary sheet'!$B$5:$AB$93,23,),)</f>
        <v>0.1621965061240446</v>
      </c>
      <c r="E77" s="23">
        <f t="shared" si="6"/>
        <v>2.6307706598847236E-2</v>
      </c>
      <c r="F77" s="22">
        <f>IFERROR(VLOOKUP($B77,'CEPA Summary sheet'!$B$5:$AB$93,24,),)</f>
        <v>0.36339837512985274</v>
      </c>
      <c r="G77" s="22">
        <f>IFERROR(VLOOKUP($B77,'CEPA Summary sheet'!$B$5:$AB$93,25,),)</f>
        <v>7.9400991497985643E-2</v>
      </c>
      <c r="H77" s="23">
        <f t="shared" si="7"/>
        <v>6.3045174508631887E-3</v>
      </c>
      <c r="I77" s="22">
        <f>IFERROR(VLOOKUP($B77,'CEPA Summary sheet'!$B$5:$AB$93,26,),)</f>
        <v>0.35450973951324516</v>
      </c>
      <c r="J77" s="22">
        <f>IFERROR(VLOOKUP($B77,'CEPA Summary sheet'!$B$5:$AB$93,27,),)</f>
        <v>3.720431677099327E-2</v>
      </c>
      <c r="K77" s="23">
        <f t="shared" si="8"/>
        <v>1.3841611863964112E-3</v>
      </c>
      <c r="L77" s="24">
        <f>IFERROR(VLOOKUP('ComCom refined - 2017 - 19'!$B77,'CEPA Rating&amp;Leverage'!$B$5:$G$93,6,),"")</f>
        <v>0.60416078322585687</v>
      </c>
    </row>
    <row r="78" spans="2:12" ht="17.25" x14ac:dyDescent="0.25">
      <c r="B78" s="41" t="s">
        <v>100</v>
      </c>
      <c r="C78" s="22">
        <f>IFERROR(VLOOKUP($B78,'CEPA Summary sheet'!$B$5:$AB$93,22,),)</f>
        <v>0.3221169577528874</v>
      </c>
      <c r="D78" s="22">
        <f>IFERROR(VLOOKUP($B78,'CEPA Summary sheet'!$B$5:$AB$93,23,),)</f>
        <v>0.15916400869844413</v>
      </c>
      <c r="E78" s="23">
        <f t="shared" si="6"/>
        <v>2.5333181664958401E-2</v>
      </c>
      <c r="F78" s="22">
        <f>IFERROR(VLOOKUP($B78,'CEPA Summary sheet'!$B$5:$AB$93,24,),)</f>
        <v>0.36587870500638581</v>
      </c>
      <c r="G78" s="22">
        <f>IFERROR(VLOOKUP($B78,'CEPA Summary sheet'!$B$5:$AB$93,25,),)</f>
        <v>8.5084328710409399E-2</v>
      </c>
      <c r="H78" s="23">
        <f t="shared" si="7"/>
        <v>7.239342992100997E-3</v>
      </c>
      <c r="I78" s="22">
        <f>IFERROR(VLOOKUP($B78,'CEPA Summary sheet'!$B$5:$AB$93,26,),)</f>
        <v>0.32231744003658724</v>
      </c>
      <c r="J78" s="22">
        <f>IFERROR(VLOOKUP($B78,'CEPA Summary sheet'!$B$5:$AB$93,27,),)</f>
        <v>4.1309143017132129E-2</v>
      </c>
      <c r="K78" s="23">
        <f t="shared" si="8"/>
        <v>1.7064452968098762E-3</v>
      </c>
      <c r="L78" s="24">
        <f>IFERROR(VLOOKUP('ComCom refined - 2017 - 19'!$B78,'CEPA Rating&amp;Leverage'!$B$5:$G$93,6,),"")</f>
        <v>0.33289819861920239</v>
      </c>
    </row>
    <row r="79" spans="2:12" ht="17.25" x14ac:dyDescent="0.25">
      <c r="B79" s="41" t="s">
        <v>101</v>
      </c>
      <c r="C79" s="22">
        <f>IFERROR(VLOOKUP($B79,'CEPA Summary sheet'!$B$5:$AB$93,22,),)</f>
        <v>0.50810203304617407</v>
      </c>
      <c r="D79" s="22">
        <f>IFERROR(VLOOKUP($B79,'CEPA Summary sheet'!$B$5:$AB$93,23,),)</f>
        <v>0.19140932285557555</v>
      </c>
      <c r="E79" s="23">
        <f t="shared" si="6"/>
        <v>3.6637528876029953E-2</v>
      </c>
      <c r="F79" s="22">
        <f>IFERROR(VLOOKUP($B79,'CEPA Summary sheet'!$B$5:$AB$93,24,),)</f>
        <v>0.46868266515919332</v>
      </c>
      <c r="G79" s="22">
        <f>IFERROR(VLOOKUP($B79,'CEPA Summary sheet'!$B$5:$AB$93,25,),)</f>
        <v>0.11529602138588062</v>
      </c>
      <c r="H79" s="23">
        <f t="shared" si="7"/>
        <v>1.329317254741344E-2</v>
      </c>
      <c r="I79" s="22">
        <f>IFERROR(VLOOKUP($B79,'CEPA Summary sheet'!$B$5:$AB$93,26,),)</f>
        <v>0.48291191680084689</v>
      </c>
      <c r="J79" s="22">
        <f>IFERROR(VLOOKUP($B79,'CEPA Summary sheet'!$B$5:$AB$93,27,),)</f>
        <v>5.7454090613941577E-2</v>
      </c>
      <c r="K79" s="23">
        <f t="shared" si="8"/>
        <v>3.3009725282750098E-3</v>
      </c>
      <c r="L79" s="24">
        <f>IFERROR(VLOOKUP('ComCom refined - 2017 - 19'!$B79,'CEPA Rating&amp;Leverage'!$B$5:$G$93,6,),"")</f>
        <v>0.24117462326664479</v>
      </c>
    </row>
    <row r="80" spans="2:12" ht="17.25" x14ac:dyDescent="0.25">
      <c r="B80" s="41" t="s">
        <v>102</v>
      </c>
      <c r="C80" s="22">
        <f>IFERROR(VLOOKUP($B80,'CEPA Summary sheet'!$B$5:$AB$93,22,),)</f>
        <v>1.1544718454203284</v>
      </c>
      <c r="D80" s="22">
        <f>IFERROR(VLOOKUP($B80,'CEPA Summary sheet'!$B$5:$AB$93,23,),)</f>
        <v>0.5393905896807738</v>
      </c>
      <c r="E80" s="23">
        <f t="shared" si="6"/>
        <v>0.29094220823617289</v>
      </c>
      <c r="F80" s="22">
        <f>IFERROR(VLOOKUP($B80,'CEPA Summary sheet'!$B$5:$AB$93,24,),)</f>
        <v>0.88024978310923419</v>
      </c>
      <c r="G80" s="22">
        <f>IFERROR(VLOOKUP($B80,'CEPA Summary sheet'!$B$5:$AB$93,25,),)</f>
        <v>0.27177917754830871</v>
      </c>
      <c r="H80" s="23">
        <f t="shared" si="7"/>
        <v>7.3863921348835113E-2</v>
      </c>
      <c r="I80" s="22">
        <f>IFERROR(VLOOKUP($B80,'CEPA Summary sheet'!$B$5:$AB$93,26,),)</f>
        <v>0.58972639437950181</v>
      </c>
      <c r="J80" s="22">
        <f>IFERROR(VLOOKUP($B80,'CEPA Summary sheet'!$B$5:$AB$93,27,),)</f>
        <v>0.13952402704749142</v>
      </c>
      <c r="K80" s="23">
        <f t="shared" si="8"/>
        <v>1.9466954123549117E-2</v>
      </c>
      <c r="L80" s="24">
        <f>IFERROR(VLOOKUP('ComCom refined - 2017 - 19'!$B80,'CEPA Rating&amp;Leverage'!$B$5:$G$93,6,),"")</f>
        <v>6.0489838737914074E-2</v>
      </c>
    </row>
    <row r="81" spans="2:12" ht="17.25" x14ac:dyDescent="0.25">
      <c r="B81" s="41" t="s">
        <v>103</v>
      </c>
      <c r="C81" s="22">
        <f>IFERROR(VLOOKUP($B81,'CEPA Summary sheet'!$B$5:$AB$93,22,),)</f>
        <v>0.50208338679068987</v>
      </c>
      <c r="D81" s="22">
        <f>IFERROR(VLOOKUP($B81,'CEPA Summary sheet'!$B$5:$AB$93,23,),)</f>
        <v>0.16270113285622825</v>
      </c>
      <c r="E81" s="23">
        <f t="shared" si="6"/>
        <v>2.6471658632700037E-2</v>
      </c>
      <c r="F81" s="22">
        <f>IFERROR(VLOOKUP($B81,'CEPA Summary sheet'!$B$5:$AB$93,24,),)</f>
        <v>0.53806700378497574</v>
      </c>
      <c r="G81" s="22">
        <f>IFERROR(VLOOKUP($B81,'CEPA Summary sheet'!$B$5:$AB$93,25,),)</f>
        <v>8.6412108078056549E-2</v>
      </c>
      <c r="H81" s="23">
        <f t="shared" si="7"/>
        <v>7.4670524224937258E-3</v>
      </c>
      <c r="I81" s="22">
        <f>IFERROR(VLOOKUP($B81,'CEPA Summary sheet'!$B$5:$AB$93,26,),)</f>
        <v>0.51280841410803479</v>
      </c>
      <c r="J81" s="22">
        <f>IFERROR(VLOOKUP($B81,'CEPA Summary sheet'!$B$5:$AB$93,27,),)</f>
        <v>4.0082545909828689E-2</v>
      </c>
      <c r="K81" s="23">
        <f t="shared" si="8"/>
        <v>1.6066104866135245E-3</v>
      </c>
      <c r="L81" s="24">
        <f>IFERROR(VLOOKUP('ComCom refined - 2017 - 19'!$B81,'CEPA Rating&amp;Leverage'!$B$5:$G$93,6,),"")</f>
        <v>0.14821707532967049</v>
      </c>
    </row>
    <row r="82" spans="2:12" ht="17.25" x14ac:dyDescent="0.25">
      <c r="B82" s="41" t="s">
        <v>104</v>
      </c>
      <c r="C82" s="22">
        <f>IFERROR(VLOOKUP($B82,'CEPA Summary sheet'!$B$5:$AB$93,22,),)</f>
        <v>0.66996077712957847</v>
      </c>
      <c r="D82" s="22">
        <f>IFERROR(VLOOKUP($B82,'CEPA Summary sheet'!$B$5:$AB$93,23,),)</f>
        <v>0.37387077762801985</v>
      </c>
      <c r="E82" s="23">
        <f t="shared" si="6"/>
        <v>0.13977935836418026</v>
      </c>
      <c r="F82" s="22">
        <f>IFERROR(VLOOKUP($B82,'CEPA Summary sheet'!$B$5:$AB$93,24,),)</f>
        <v>0.5001991217831312</v>
      </c>
      <c r="G82" s="22">
        <f>IFERROR(VLOOKUP($B82,'CEPA Summary sheet'!$B$5:$AB$93,25,),)</f>
        <v>0.15842483025896856</v>
      </c>
      <c r="H82" s="23">
        <f t="shared" si="7"/>
        <v>2.5098426842583E-2</v>
      </c>
      <c r="I82" s="22">
        <f>IFERROR(VLOOKUP($B82,'CEPA Summary sheet'!$B$5:$AB$93,26,),)</f>
        <v>0.49432637464594376</v>
      </c>
      <c r="J82" s="22">
        <f>IFERROR(VLOOKUP($B82,'CEPA Summary sheet'!$B$5:$AB$93,27,),)</f>
        <v>7.6236336750747771E-2</v>
      </c>
      <c r="K82" s="23">
        <f t="shared" si="8"/>
        <v>5.8119790411734155E-3</v>
      </c>
      <c r="L82" s="24">
        <f>IFERROR(VLOOKUP('ComCom refined - 2017 - 19'!$B82,'CEPA Rating&amp;Leverage'!$B$5:$G$93,6,),"")</f>
        <v>0.14575560193895401</v>
      </c>
    </row>
    <row r="83" spans="2:12" ht="17.25" x14ac:dyDescent="0.25">
      <c r="B83" s="41" t="s">
        <v>105</v>
      </c>
      <c r="C83" s="22" t="str">
        <f>IFERROR(VLOOKUP($B83,'CEPA Summary sheet'!$B$5:$AB$93,22,),)</f>
        <v/>
      </c>
      <c r="D83" s="22" t="str">
        <f>IFERROR(VLOOKUP($B83,'CEPA Summary sheet'!$B$5:$AB$93,23,),)</f>
        <v/>
      </c>
      <c r="E83" s="23" t="str">
        <f t="shared" si="6"/>
        <v>-</v>
      </c>
      <c r="F83" s="22" t="str">
        <f>IFERROR(VLOOKUP($B83,'CEPA Summary sheet'!$B$5:$AB$93,24,),)</f>
        <v/>
      </c>
      <c r="G83" s="22" t="str">
        <f>IFERROR(VLOOKUP($B83,'CEPA Summary sheet'!$B$5:$AB$93,25,),)</f>
        <v/>
      </c>
      <c r="H83" s="23" t="str">
        <f t="shared" si="7"/>
        <v>-</v>
      </c>
      <c r="I83" s="22" t="str">
        <f>IFERROR(VLOOKUP($B83,'CEPA Summary sheet'!$B$5:$AB$93,26,),)</f>
        <v/>
      </c>
      <c r="J83" s="22" t="str">
        <f>IFERROR(VLOOKUP($B83,'CEPA Summary sheet'!$B$5:$AB$93,27,),)</f>
        <v/>
      </c>
      <c r="K83" s="23" t="str">
        <f t="shared" si="8"/>
        <v>-</v>
      </c>
      <c r="L83" s="24" t="str">
        <f>IFERROR(VLOOKUP('ComCom refined - 2017 - 19'!$B83,'CEPA Rating&amp;Leverage'!$B$5:$G$93,6,),"")</f>
        <v/>
      </c>
    </row>
    <row r="84" spans="2:12" ht="17.25" x14ac:dyDescent="0.25">
      <c r="B84" s="41" t="s">
        <v>247</v>
      </c>
      <c r="C84" s="22">
        <f>IFERROR(VLOOKUP($B84,'CEPA Summary sheet'!$B$5:$AB$93,22,),)</f>
        <v>0.67132576546277534</v>
      </c>
      <c r="D84" s="22">
        <f>IFERROR(VLOOKUP($B84,'CEPA Summary sheet'!$B$5:$AB$93,23,),)</f>
        <v>1.9824869866230534E-2</v>
      </c>
      <c r="E84" s="23">
        <f t="shared" si="6"/>
        <v>3.9302546521297548E-4</v>
      </c>
      <c r="F84" s="22">
        <f>IFERROR(VLOOKUP($B84,'CEPA Summary sheet'!$B$5:$AB$93,24,),)</f>
        <v>0.67032970419375459</v>
      </c>
      <c r="G84" s="22">
        <f>IFERROR(VLOOKUP($B84,'CEPA Summary sheet'!$B$5:$AB$93,25,),)</f>
        <v>9.9992234779426054E-3</v>
      </c>
      <c r="H84" s="23">
        <f t="shared" si="7"/>
        <v>9.9984470161838617E-5</v>
      </c>
      <c r="I84" s="22">
        <f>IFERROR(VLOOKUP($B84,'CEPA Summary sheet'!$B$5:$AB$93,26,),)</f>
        <v>0.31980863019685773</v>
      </c>
      <c r="J84" s="22">
        <f>IFERROR(VLOOKUP($B84,'CEPA Summary sheet'!$B$5:$AB$93,27,),)</f>
        <v>3.1657621235228389E-2</v>
      </c>
      <c r="K84" s="23">
        <f t="shared" si="8"/>
        <v>1.0022049822731834E-3</v>
      </c>
      <c r="L84" s="24">
        <f>IFERROR(VLOOKUP('ComCom refined - 2017 - 19'!$B84,'CEPA Rating&amp;Leverage'!$B$5:$G$93,6,),"")</f>
        <v>0.32343641405408102</v>
      </c>
    </row>
    <row r="85" spans="2:12" ht="17.25" x14ac:dyDescent="0.25">
      <c r="B85" s="41" t="s">
        <v>253</v>
      </c>
      <c r="C85" s="22">
        <f>IFERROR(VLOOKUP($B85,'CEPA Summary sheet'!$B$5:$AB$93,22,),)</f>
        <v>0.7525376556546195</v>
      </c>
      <c r="D85" s="22">
        <f>IFERROR(VLOOKUP($B85,'CEPA Summary sheet'!$B$5:$AB$93,23,),)</f>
        <v>9.7542472277683978E-2</v>
      </c>
      <c r="E85" s="23">
        <f t="shared" si="6"/>
        <v>9.5145338980427482E-3</v>
      </c>
      <c r="F85" s="22">
        <f>IFERROR(VLOOKUP($B85,'CEPA Summary sheet'!$B$5:$AB$93,24,),)</f>
        <v>0.74469615420866864</v>
      </c>
      <c r="G85" s="22">
        <f>IFERROR(VLOOKUP($B85,'CEPA Summary sheet'!$B$5:$AB$93,25,),)</f>
        <v>3.7732215577023068E-2</v>
      </c>
      <c r="H85" s="23">
        <f t="shared" si="7"/>
        <v>1.4237200923509423E-3</v>
      </c>
      <c r="I85" s="22">
        <f>IFERROR(VLOOKUP($B85,'CEPA Summary sheet'!$B$5:$AB$93,26,),)</f>
        <v>0.23495096499787504</v>
      </c>
      <c r="J85" s="22">
        <f>IFERROR(VLOOKUP($B85,'CEPA Summary sheet'!$B$5:$AB$93,27,),)</f>
        <v>0.1192544671791179</v>
      </c>
      <c r="K85" s="23">
        <f t="shared" si="8"/>
        <v>1.4221627942175309E-2</v>
      </c>
      <c r="L85" s="24">
        <f>IFERROR(VLOOKUP('ComCom refined - 2017 - 19'!$B85,'CEPA Rating&amp;Leverage'!$B$5:$G$93,6,),"")</f>
        <v>0.24932604165648242</v>
      </c>
    </row>
    <row r="86" spans="2:12" ht="17.25" x14ac:dyDescent="0.25">
      <c r="B86" s="41" t="s">
        <v>257</v>
      </c>
      <c r="C86" s="22">
        <f>IFERROR(VLOOKUP($B86,'CEPA Summary sheet'!$B$5:$AB$93,22,),)</f>
        <v>0.83444689500097002</v>
      </c>
      <c r="D86" s="22">
        <f>IFERROR(VLOOKUP($B86,'CEPA Summary sheet'!$B$5:$AB$93,23,),)</f>
        <v>5.5812223200658262E-2</v>
      </c>
      <c r="E86" s="23">
        <f t="shared" si="6"/>
        <v>3.1150042586000964E-3</v>
      </c>
      <c r="F86" s="22">
        <f>IFERROR(VLOOKUP($B86,'CEPA Summary sheet'!$B$5:$AB$93,24,),)</f>
        <v>0.84533169892846338</v>
      </c>
      <c r="G86" s="22">
        <f>IFERROR(VLOOKUP($B86,'CEPA Summary sheet'!$B$5:$AB$93,25,),)</f>
        <v>2.6414007144479945E-2</v>
      </c>
      <c r="H86" s="23">
        <f t="shared" si="7"/>
        <v>6.9769977342863763E-4</v>
      </c>
      <c r="I86" s="22">
        <f>IFERROR(VLOOKUP($B86,'CEPA Summary sheet'!$B$5:$AB$93,26,),)</f>
        <v>0.82472940073440815</v>
      </c>
      <c r="J86" s="22">
        <f>IFERROR(VLOOKUP($B86,'CEPA Summary sheet'!$B$5:$AB$93,27,),)</f>
        <v>6.8081357545470053E-2</v>
      </c>
      <c r="K86" s="23">
        <f t="shared" si="8"/>
        <v>4.6350712452341318E-3</v>
      </c>
      <c r="L86" s="24">
        <f>IFERROR(VLOOKUP('ComCom refined - 2017 - 19'!$B86,'CEPA Rating&amp;Leverage'!$B$5:$G$93,6,),"")</f>
        <v>0.15618467802394423</v>
      </c>
    </row>
    <row r="87" spans="2:12" ht="17.25" x14ac:dyDescent="0.25">
      <c r="B87" s="41" t="s">
        <v>245</v>
      </c>
      <c r="C87" s="22">
        <f>IFERROR(VLOOKUP($B87,'CEPA Summary sheet'!$B$5:$AB$93,22,),)</f>
        <v>0.84336876056263255</v>
      </c>
      <c r="D87" s="22">
        <f>IFERROR(VLOOKUP($B87,'CEPA Summary sheet'!$B$5:$AB$93,23,),)</f>
        <v>6.9272212212957082E-2</v>
      </c>
      <c r="E87" s="23">
        <f t="shared" ref="E87:E88" si="9">IFERROR(D87^2,"-")</f>
        <v>4.7986393848769605E-3</v>
      </c>
      <c r="F87" s="22">
        <f>IFERROR(VLOOKUP($B87,'CEPA Summary sheet'!$B$5:$AB$93,24,),)</f>
        <v>0.83518675869239067</v>
      </c>
      <c r="G87" s="22">
        <f>IFERROR(VLOOKUP($B87,'CEPA Summary sheet'!$B$5:$AB$93,25,),)</f>
        <v>3.4008713720082427E-2</v>
      </c>
      <c r="H87" s="23">
        <f t="shared" ref="H87:H88" si="10">IFERROR(G87^2,"-")</f>
        <v>1.1565926088945228E-3</v>
      </c>
      <c r="I87" s="22">
        <f>IFERROR(VLOOKUP($B87,'CEPA Summary sheet'!$B$5:$AB$93,26,),)</f>
        <v>0.12440743278174402</v>
      </c>
      <c r="J87" s="22">
        <f>IFERROR(VLOOKUP($B87,'CEPA Summary sheet'!$B$5:$AB$93,27,),)</f>
        <v>6.3097323264954E-2</v>
      </c>
      <c r="K87" s="23">
        <f t="shared" ref="K87:K88" si="11">IFERROR(J87^2,"-")</f>
        <v>3.9812722032021054E-3</v>
      </c>
      <c r="L87" s="24">
        <f>IFERROR(VLOOKUP('ComCom refined - 2017 - 19'!$B87,'CEPA Rating&amp;Leverage'!$B$5:$G$93,6,),"")</f>
        <v>0.12414667285915226</v>
      </c>
    </row>
    <row r="88" spans="2:12" ht="17.25" x14ac:dyDescent="0.25">
      <c r="B88" s="41" t="s">
        <v>251</v>
      </c>
      <c r="C88" s="22">
        <f>IFERROR(VLOOKUP($B88,'CEPA Summary sheet'!$B$5:$AB$93,22,),)</f>
        <v>0.91512017941895252</v>
      </c>
      <c r="D88" s="22">
        <f>IFERROR(VLOOKUP($B88,'CEPA Summary sheet'!$B$5:$AB$93,23,),)</f>
        <v>3.7775070258510034E-2</v>
      </c>
      <c r="E88" s="23">
        <f t="shared" si="9"/>
        <v>1.4269559330353694E-3</v>
      </c>
      <c r="F88" s="22">
        <f>IFERROR(VLOOKUP($B88,'CEPA Summary sheet'!$B$5:$AB$93,24,),)</f>
        <v>0.92206468208692949</v>
      </c>
      <c r="G88" s="22">
        <f>IFERROR(VLOOKUP($B88,'CEPA Summary sheet'!$B$5:$AB$93,25,),)</f>
        <v>2.082441617500078E-2</v>
      </c>
      <c r="H88" s="23">
        <f t="shared" si="10"/>
        <v>4.3365630902963411E-4</v>
      </c>
      <c r="I88" s="22">
        <f>IFERROR(VLOOKUP($B88,'CEPA Summary sheet'!$B$5:$AB$93,26,),)</f>
        <v>0.47106556585724846</v>
      </c>
      <c r="J88" s="22">
        <f>IFERROR(VLOOKUP($B88,'CEPA Summary sheet'!$B$5:$AB$93,27,),)</f>
        <v>7.5604250889896391E-2</v>
      </c>
      <c r="K88" s="23">
        <f t="shared" si="11"/>
        <v>5.7160027526223988E-3</v>
      </c>
      <c r="L88" s="24">
        <f>IFERROR(VLOOKUP('ComCom refined - 2017 - 19'!$B88,'CEPA Rating&amp;Leverage'!$B$5:$G$93,6,),"")</f>
        <v>6.7755323084195129E-2</v>
      </c>
    </row>
  </sheetData>
  <mergeCells count="4">
    <mergeCell ref="C3:E3"/>
    <mergeCell ref="F3:H3"/>
    <mergeCell ref="I3:K3"/>
    <mergeCell ref="L3:L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215C-C27B-417C-8EB4-72357F9AF8DD}">
  <sheetPr>
    <tabColor theme="5" tint="-0.249977111117893"/>
  </sheetPr>
  <dimension ref="A1:S88"/>
  <sheetViews>
    <sheetView showGridLines="0" workbookViewId="0">
      <pane xSplit="2" ySplit="5" topLeftCell="C6" activePane="bottomRight" state="frozen"/>
      <selection activeCell="F6" sqref="F6"/>
      <selection pane="topRight" activeCell="F6" sqref="F6"/>
      <selection pane="bottomLeft" activeCell="F6" sqref="F6"/>
      <selection pane="bottomRight" activeCell="L6" sqref="L6"/>
    </sheetView>
  </sheetViews>
  <sheetFormatPr defaultColWidth="9.140625" defaultRowHeight="15" x14ac:dyDescent="0.25"/>
  <cols>
    <col min="1" max="1" width="2.28515625" style="1" customWidth="1"/>
    <col min="2" max="2" width="20" style="1" customWidth="1"/>
    <col min="3" max="3" width="12.42578125" style="1" customWidth="1"/>
    <col min="4" max="4" width="15.5703125" style="1" customWidth="1"/>
    <col min="5" max="5" width="11.85546875" style="1" customWidth="1"/>
    <col min="6" max="6" width="14.28515625" style="1" customWidth="1"/>
    <col min="7" max="7" width="14.42578125" style="1" customWidth="1"/>
    <col min="8" max="8" width="11.28515625" style="1" customWidth="1"/>
    <col min="9" max="9" width="12" style="1" customWidth="1"/>
    <col min="10" max="11" width="14.5703125" style="1" customWidth="1"/>
    <col min="12" max="12" width="13" style="1" customWidth="1"/>
    <col min="13" max="13" width="13.42578125" style="1" customWidth="1"/>
    <col min="14" max="14" width="9.140625" style="1"/>
    <col min="15" max="15" width="30.28515625" style="1" customWidth="1"/>
    <col min="16" max="16384" width="9.140625" style="1"/>
  </cols>
  <sheetData>
    <row r="1" spans="1:19" ht="23.25" x14ac:dyDescent="0.35">
      <c r="A1" s="3" t="s">
        <v>106</v>
      </c>
    </row>
    <row r="2" spans="1:19" x14ac:dyDescent="0.25">
      <c r="D2" s="4"/>
      <c r="E2" s="4"/>
    </row>
    <row r="3" spans="1:19" x14ac:dyDescent="0.25">
      <c r="B3" s="5"/>
      <c r="C3" s="201" t="s">
        <v>11</v>
      </c>
      <c r="D3" s="202"/>
      <c r="E3" s="203"/>
      <c r="F3" s="201" t="s">
        <v>7</v>
      </c>
      <c r="G3" s="202"/>
      <c r="H3" s="203"/>
      <c r="I3" s="201" t="s">
        <v>5</v>
      </c>
      <c r="J3" s="202"/>
      <c r="K3" s="203"/>
      <c r="L3" s="204" t="s">
        <v>0</v>
      </c>
      <c r="M3" s="6"/>
      <c r="N3" s="7"/>
    </row>
    <row r="4" spans="1:19" x14ac:dyDescent="0.25">
      <c r="B4" s="8" t="s">
        <v>12</v>
      </c>
      <c r="C4" s="9" t="s">
        <v>1</v>
      </c>
      <c r="D4" s="10" t="s">
        <v>13</v>
      </c>
      <c r="E4" s="9" t="s">
        <v>14</v>
      </c>
      <c r="F4" s="9" t="s">
        <v>1</v>
      </c>
      <c r="G4" s="9" t="s">
        <v>13</v>
      </c>
      <c r="H4" s="9" t="s">
        <v>14</v>
      </c>
      <c r="I4" s="11" t="s">
        <v>1</v>
      </c>
      <c r="J4" s="12" t="s">
        <v>13</v>
      </c>
      <c r="K4" s="9" t="s">
        <v>14</v>
      </c>
      <c r="L4" s="205"/>
      <c r="M4" s="13"/>
      <c r="O4" s="14" t="s">
        <v>15</v>
      </c>
      <c r="P4" s="15" t="s">
        <v>11</v>
      </c>
      <c r="Q4" s="15" t="s">
        <v>7</v>
      </c>
      <c r="R4" s="15" t="s">
        <v>5</v>
      </c>
      <c r="S4" s="16" t="s">
        <v>16</v>
      </c>
    </row>
    <row r="5" spans="1:19" x14ac:dyDescent="0.25">
      <c r="B5" s="32" t="s">
        <v>4</v>
      </c>
      <c r="C5" s="33">
        <f t="shared" ref="C5:L5" si="0">AVERAGE(C6:C88)</f>
        <v>0.45677131339907889</v>
      </c>
      <c r="D5" s="33">
        <f t="shared" si="0"/>
        <v>0.15193201773707771</v>
      </c>
      <c r="E5" s="33">
        <f t="shared" si="0"/>
        <v>2.8619075450753245E-2</v>
      </c>
      <c r="F5" s="33">
        <f t="shared" si="0"/>
        <v>0.5319525434132989</v>
      </c>
      <c r="G5" s="33">
        <f t="shared" si="0"/>
        <v>6.562657860332563E-2</v>
      </c>
      <c r="H5" s="33">
        <f t="shared" si="0"/>
        <v>5.2852390001313703E-3</v>
      </c>
      <c r="I5" s="33">
        <f t="shared" si="0"/>
        <v>0.51463117121847035</v>
      </c>
      <c r="J5" s="33">
        <f t="shared" si="0"/>
        <v>3.3479429017245405E-2</v>
      </c>
      <c r="K5" s="33">
        <f t="shared" si="0"/>
        <v>1.3678515575529157E-3</v>
      </c>
      <c r="L5" s="81">
        <f t="shared" si="0"/>
        <v>0.28083579448911922</v>
      </c>
      <c r="M5" s="19"/>
      <c r="O5" s="20" t="s">
        <v>17</v>
      </c>
      <c r="P5" s="20">
        <f>COUNT(C6:C88)</f>
        <v>56</v>
      </c>
      <c r="Q5" s="20">
        <f>COUNT(F6:F88)</f>
        <v>56</v>
      </c>
      <c r="R5" s="20">
        <f>COUNT(I6:I88)</f>
        <v>56</v>
      </c>
      <c r="S5" s="21" t="s">
        <v>18</v>
      </c>
    </row>
    <row r="6" spans="1:19" ht="17.25" x14ac:dyDescent="0.25">
      <c r="B6" s="41" t="s">
        <v>19</v>
      </c>
      <c r="C6" s="22">
        <f>IFERROR(VLOOKUP($B6,'CEPA Summary sheet'!$B$5:$S$93,4,),)</f>
        <v>0.49757012373198872</v>
      </c>
      <c r="D6" s="22">
        <f>IFERROR(VLOOKUP($B6,'CEPA Summary sheet'!$B$5:$S$93,5,),)</f>
        <v>0.15298365089509811</v>
      </c>
      <c r="E6" s="23">
        <f>IFERROR(D6^2,"-")</f>
        <v>2.3403997441193251E-2</v>
      </c>
      <c r="F6" s="22">
        <f>IFERROR(VLOOKUP($B6,'CEPA Summary sheet'!$B$5:$S$93,6,),)</f>
        <v>0.42117379590331805</v>
      </c>
      <c r="G6" s="22">
        <f>IFERROR(VLOOKUP($B6,'CEPA Summary sheet'!$B$5:$S$93,7,),)</f>
        <v>7.8060463301121971E-2</v>
      </c>
      <c r="H6" s="23">
        <f>IFERROR(G6^2,"-")</f>
        <v>6.0934359307858099E-3</v>
      </c>
      <c r="I6" s="22">
        <f>IFERROR(VLOOKUP($B6,'CEPA Summary sheet'!$B$5:$S$93,8,),)</f>
        <v>0.37293648923735112</v>
      </c>
      <c r="J6" s="22">
        <f>IFERROR(VLOOKUP($B6,'CEPA Summary sheet'!$B$5:$S$93,9,),)</f>
        <v>3.5024392439517056E-2</v>
      </c>
      <c r="K6" s="23">
        <f>IFERROR(J6^2,"-")</f>
        <v>1.2267080657572995E-3</v>
      </c>
      <c r="L6" s="24">
        <f>IFERROR(VLOOKUP('ComCom refined - 2009 - 14'!$B6,'CEPA Rating&amp;Leverage'!$B$5:$F$93,4,),"")</f>
        <v>0.5495118386376765</v>
      </c>
      <c r="M6" s="82"/>
      <c r="O6" s="25" t="s">
        <v>20</v>
      </c>
      <c r="P6" s="26">
        <f>(P5/(P5-1))*_xlfn.VAR.S(C6:C88)</f>
        <v>2.6505397559816082E-2</v>
      </c>
      <c r="Q6" s="26">
        <f>(Q5/(Q5-1))*_xlfn.VAR.S(F6:F88)</f>
        <v>3.2153768070595473E-2</v>
      </c>
      <c r="R6" s="26">
        <f>(R5/(R5-1))*_xlfn.VAR.S(I6:I88)</f>
        <v>3.4075203527142953E-2</v>
      </c>
      <c r="S6" s="21" t="s">
        <v>21</v>
      </c>
    </row>
    <row r="7" spans="1:19" ht="18.75" x14ac:dyDescent="0.35">
      <c r="B7" s="41" t="s">
        <v>22</v>
      </c>
      <c r="C7" s="22" t="str">
        <f>IFERROR(VLOOKUP($B7,'CEPA Summary sheet'!$B$5:$S$93,4,),)</f>
        <v/>
      </c>
      <c r="D7" s="22" t="str">
        <f>IFERROR(VLOOKUP($B7,'CEPA Summary sheet'!$B$5:$S$93,5,),)</f>
        <v/>
      </c>
      <c r="E7" s="23" t="str">
        <f t="shared" ref="E7:E70" si="1">IFERROR(D7^2,"-")</f>
        <v>-</v>
      </c>
      <c r="F7" s="22" t="str">
        <f>IFERROR(VLOOKUP($B7,'CEPA Summary sheet'!$B$5:$S$93,6,),)</f>
        <v/>
      </c>
      <c r="G7" s="22" t="str">
        <f>IFERROR(VLOOKUP($B7,'CEPA Summary sheet'!$B$5:$S$93,7,),)</f>
        <v/>
      </c>
      <c r="H7" s="23" t="str">
        <f t="shared" ref="H7:H70" si="2">IFERROR(G7^2,"-")</f>
        <v>-</v>
      </c>
      <c r="I7" s="22" t="str">
        <f>IFERROR(VLOOKUP($B7,'CEPA Summary sheet'!$B$5:$S$93,8,),)</f>
        <v/>
      </c>
      <c r="J7" s="22" t="str">
        <f>IFERROR(VLOOKUP($B7,'CEPA Summary sheet'!$B$5:$S$93,9,),)</f>
        <v/>
      </c>
      <c r="K7" s="23" t="str">
        <f t="shared" ref="K7:K70" si="3">IFERROR(J7^2,"-")</f>
        <v>-</v>
      </c>
      <c r="L7" s="24" t="str">
        <f>IFERROR(VLOOKUP('ComCom refined - 2009 - 14'!$B7,'CEPA Rating&amp;Leverage'!$B$5:$F$93,4,),"")</f>
        <v/>
      </c>
      <c r="M7" s="82"/>
      <c r="O7" s="25" t="s">
        <v>23</v>
      </c>
      <c r="P7" s="26">
        <f>E5</f>
        <v>2.8619075450753245E-2</v>
      </c>
      <c r="Q7" s="26">
        <f>H5</f>
        <v>5.2852390001313703E-3</v>
      </c>
      <c r="R7" s="26">
        <f>K5</f>
        <v>1.3678515575529157E-3</v>
      </c>
      <c r="S7" s="21" t="s">
        <v>24</v>
      </c>
    </row>
    <row r="8" spans="1:19" ht="17.25" x14ac:dyDescent="0.25">
      <c r="B8" s="41" t="s">
        <v>25</v>
      </c>
      <c r="C8" s="22">
        <f>IFERROR(VLOOKUP($B8,'CEPA Summary sheet'!$B$5:$S$93,4,),)</f>
        <v>0.40985558317978599</v>
      </c>
      <c r="D8" s="22">
        <f>IFERROR(VLOOKUP($B8,'CEPA Summary sheet'!$B$5:$S$93,5,),)</f>
        <v>0.1258368166780188</v>
      </c>
      <c r="E8" s="23">
        <f t="shared" si="1"/>
        <v>1.5834904431657311E-2</v>
      </c>
      <c r="F8" s="22">
        <f>IFERROR(VLOOKUP($B8,'CEPA Summary sheet'!$B$5:$S$93,6,),)</f>
        <v>0.45410426179936669</v>
      </c>
      <c r="G8" s="22">
        <f>IFERROR(VLOOKUP($B8,'CEPA Summary sheet'!$B$5:$S$93,7,),)</f>
        <v>5.6415628499563289E-2</v>
      </c>
      <c r="H8" s="23">
        <f t="shared" si="2"/>
        <v>3.1827231390007377E-3</v>
      </c>
      <c r="I8" s="22">
        <f>IFERROR(VLOOKUP($B8,'CEPA Summary sheet'!$B$5:$S$93,8,),)</f>
        <v>0.48635650864155416</v>
      </c>
      <c r="J8" s="22">
        <f>IFERROR(VLOOKUP($B8,'CEPA Summary sheet'!$B$5:$S$93,9,),)</f>
        <v>2.5486686557437091E-2</v>
      </c>
      <c r="K8" s="23">
        <f t="shared" si="3"/>
        <v>6.4957119167704451E-4</v>
      </c>
      <c r="L8" s="24">
        <f>IFERROR(VLOOKUP('ComCom refined - 2009 - 14'!$B8,'CEPA Rating&amp;Leverage'!$B$5:$F$93,4,),"")</f>
        <v>0.26273822998061053</v>
      </c>
      <c r="M8" s="82"/>
      <c r="O8" s="25" t="s">
        <v>26</v>
      </c>
      <c r="P8" s="27">
        <v>0.2</v>
      </c>
      <c r="Q8" s="27">
        <v>0.2</v>
      </c>
      <c r="R8" s="27">
        <v>0.2</v>
      </c>
      <c r="S8" s="21" t="s">
        <v>27</v>
      </c>
    </row>
    <row r="9" spans="1:19" ht="17.25" x14ac:dyDescent="0.25">
      <c r="B9" s="41" t="s">
        <v>28</v>
      </c>
      <c r="C9" s="22">
        <f>IFERROR(VLOOKUP($B9,'CEPA Summary sheet'!$B$5:$S$93,4,),)</f>
        <v>0.25295066207096845</v>
      </c>
      <c r="D9" s="22">
        <f>IFERROR(VLOOKUP($B9,'CEPA Summary sheet'!$B$5:$S$93,5,),)</f>
        <v>0.11931084564178694</v>
      </c>
      <c r="E9" s="23">
        <f t="shared" si="1"/>
        <v>1.423507788775831E-2</v>
      </c>
      <c r="F9" s="22">
        <f>IFERROR(VLOOKUP($B9,'CEPA Summary sheet'!$B$5:$S$93,6,),)</f>
        <v>0.38443157867761191</v>
      </c>
      <c r="G9" s="22">
        <f>IFERROR(VLOOKUP($B9,'CEPA Summary sheet'!$B$5:$S$93,7,),)</f>
        <v>5.7090075418620365E-2</v>
      </c>
      <c r="H9" s="23">
        <f t="shared" si="2"/>
        <v>3.2592767113037613E-3</v>
      </c>
      <c r="I9" s="22">
        <f>IFERROR(VLOOKUP($B9,'CEPA Summary sheet'!$B$5:$S$93,8,),)</f>
        <v>0.4016434480386179</v>
      </c>
      <c r="J9" s="22">
        <f>IFERROR(VLOOKUP($B9,'CEPA Summary sheet'!$B$5:$S$93,9,),)</f>
        <v>2.4771559608173344E-2</v>
      </c>
      <c r="K9" s="23">
        <f t="shared" si="3"/>
        <v>6.1363016542128506E-4</v>
      </c>
      <c r="L9" s="24">
        <f>IFERROR(VLOOKUP('ComCom refined - 2009 - 14'!$B9,'CEPA Rating&amp;Leverage'!$B$5:$F$93,4,),"")</f>
        <v>0.27473282178087471</v>
      </c>
      <c r="M9" s="82"/>
      <c r="O9" s="28" t="s">
        <v>29</v>
      </c>
      <c r="P9" s="29">
        <f>P6*((P5+1)/P5)-P7*(1-2*P8)</f>
        <v>9.8072629600751346E-3</v>
      </c>
      <c r="Q9" s="29">
        <f>Q6*((Q5+1)/Q5)-Q7*(1-2*Q8)</f>
        <v>2.9556799100348714E-2</v>
      </c>
      <c r="R9" s="29">
        <f t="shared" ref="R9" si="4">R6*((R5+1)/R5)-R7*(1-2*R8)</f>
        <v>3.3862978369881613E-2</v>
      </c>
      <c r="S9" s="21" t="s">
        <v>30</v>
      </c>
    </row>
    <row r="10" spans="1:19" ht="17.25" x14ac:dyDescent="0.25">
      <c r="B10" s="41" t="s">
        <v>31</v>
      </c>
      <c r="C10" s="22" t="str">
        <f>IFERROR(VLOOKUP($B10,'CEPA Summary sheet'!$B$5:$S$93,4,),)</f>
        <v/>
      </c>
      <c r="D10" s="22" t="str">
        <f>IFERROR(VLOOKUP($B10,'CEPA Summary sheet'!$B$5:$S$93,5,),)</f>
        <v/>
      </c>
      <c r="E10" s="23" t="str">
        <f t="shared" si="1"/>
        <v>-</v>
      </c>
      <c r="F10" s="22" t="str">
        <f>IFERROR(VLOOKUP($B10,'CEPA Summary sheet'!$B$5:$S$93,6,),)</f>
        <v/>
      </c>
      <c r="G10" s="22" t="str">
        <f>IFERROR(VLOOKUP($B10,'CEPA Summary sheet'!$B$5:$S$93,7,),)</f>
        <v/>
      </c>
      <c r="H10" s="23" t="str">
        <f t="shared" si="2"/>
        <v>-</v>
      </c>
      <c r="I10" s="22" t="str">
        <f>IFERROR(VLOOKUP($B10,'CEPA Summary sheet'!$B$5:$S$93,8,),)</f>
        <v/>
      </c>
      <c r="J10" s="22" t="str">
        <f>IFERROR(VLOOKUP($B10,'CEPA Summary sheet'!$B$5:$S$93,9,),)</f>
        <v/>
      </c>
      <c r="K10" s="23" t="str">
        <f t="shared" si="3"/>
        <v>-</v>
      </c>
      <c r="L10" s="24" t="str">
        <f>IFERROR(VLOOKUP('ComCom refined - 2009 - 14'!$B10,'CEPA Rating&amp;Leverage'!$B$5:$F$93,4,),"")</f>
        <v/>
      </c>
      <c r="M10" s="82"/>
      <c r="O10" s="30" t="s">
        <v>32</v>
      </c>
      <c r="P10" s="31">
        <f>SQRT(P9)</f>
        <v>9.9031626059936706E-2</v>
      </c>
      <c r="Q10" s="31">
        <f t="shared" ref="Q10:R10" si="5">SQRT(Q9)</f>
        <v>0.17192090943322955</v>
      </c>
      <c r="R10" s="31">
        <f t="shared" si="5"/>
        <v>0.18401896198457815</v>
      </c>
    </row>
    <row r="11" spans="1:19" ht="17.25" x14ac:dyDescent="0.25">
      <c r="B11" s="41" t="s">
        <v>33</v>
      </c>
      <c r="C11" s="22" t="str">
        <f>IFERROR(VLOOKUP($B11,'CEPA Summary sheet'!$B$5:$S$93,4,),)</f>
        <v/>
      </c>
      <c r="D11" s="22" t="str">
        <f>IFERROR(VLOOKUP($B11,'CEPA Summary sheet'!$B$5:$S$93,5,),)</f>
        <v/>
      </c>
      <c r="E11" s="23" t="str">
        <f t="shared" si="1"/>
        <v>-</v>
      </c>
      <c r="F11" s="22" t="str">
        <f>IFERROR(VLOOKUP($B11,'CEPA Summary sheet'!$B$5:$S$93,6,),)</f>
        <v/>
      </c>
      <c r="G11" s="22" t="str">
        <f>IFERROR(VLOOKUP($B11,'CEPA Summary sheet'!$B$5:$S$93,7,),)</f>
        <v/>
      </c>
      <c r="H11" s="23" t="str">
        <f t="shared" si="2"/>
        <v>-</v>
      </c>
      <c r="I11" s="22" t="str">
        <f>IFERROR(VLOOKUP($B11,'CEPA Summary sheet'!$B$5:$S$93,8,),)</f>
        <v/>
      </c>
      <c r="J11" s="22" t="str">
        <f>IFERROR(VLOOKUP($B11,'CEPA Summary sheet'!$B$5:$S$93,9,),)</f>
        <v/>
      </c>
      <c r="K11" s="23" t="str">
        <f t="shared" si="3"/>
        <v>-</v>
      </c>
      <c r="L11" s="24" t="str">
        <f>IFERROR(VLOOKUP('ComCom refined - 2009 - 14'!$B11,'CEPA Rating&amp;Leverage'!$B$5:$F$93,4,),"")</f>
        <v/>
      </c>
      <c r="M11" s="82"/>
    </row>
    <row r="12" spans="1:19" ht="17.25" x14ac:dyDescent="0.25">
      <c r="B12" s="41" t="s">
        <v>34</v>
      </c>
      <c r="C12" s="22" t="str">
        <f>IFERROR(VLOOKUP($B12,'CEPA Summary sheet'!$B$5:$S$93,4,),)</f>
        <v/>
      </c>
      <c r="D12" s="22" t="str">
        <f>IFERROR(VLOOKUP($B12,'CEPA Summary sheet'!$B$5:$S$93,5,),)</f>
        <v/>
      </c>
      <c r="E12" s="23" t="str">
        <f t="shared" si="1"/>
        <v>-</v>
      </c>
      <c r="F12" s="22" t="str">
        <f>IFERROR(VLOOKUP($B12,'CEPA Summary sheet'!$B$5:$S$93,6,),)</f>
        <v/>
      </c>
      <c r="G12" s="22" t="str">
        <f>IFERROR(VLOOKUP($B12,'CEPA Summary sheet'!$B$5:$S$93,7,),)</f>
        <v/>
      </c>
      <c r="H12" s="23" t="str">
        <f t="shared" si="2"/>
        <v>-</v>
      </c>
      <c r="I12" s="22" t="str">
        <f>IFERROR(VLOOKUP($B12,'CEPA Summary sheet'!$B$5:$S$93,8,),)</f>
        <v/>
      </c>
      <c r="J12" s="22" t="str">
        <f>IFERROR(VLOOKUP($B12,'CEPA Summary sheet'!$B$5:$S$93,9,),)</f>
        <v/>
      </c>
      <c r="K12" s="23" t="str">
        <f t="shared" si="3"/>
        <v>-</v>
      </c>
      <c r="L12" s="24" t="str">
        <f>IFERROR(VLOOKUP('ComCom refined - 2009 - 14'!$B12,'CEPA Rating&amp;Leverage'!$B$5:$F$93,4,),"")</f>
        <v/>
      </c>
      <c r="M12" s="82"/>
    </row>
    <row r="13" spans="1:19" ht="17.25" x14ac:dyDescent="0.25">
      <c r="B13" s="41" t="s">
        <v>35</v>
      </c>
      <c r="C13" s="22">
        <f>IFERROR(VLOOKUP($B13,'CEPA Summary sheet'!$B$5:$S$93,4,),)</f>
        <v>0.40456527011806437</v>
      </c>
      <c r="D13" s="22">
        <f>IFERROR(VLOOKUP($B13,'CEPA Summary sheet'!$B$5:$S$93,5,),)</f>
        <v>0.13182253573142524</v>
      </c>
      <c r="E13" s="23">
        <f t="shared" si="1"/>
        <v>1.7377180926662884E-2</v>
      </c>
      <c r="F13" s="22">
        <f>IFERROR(VLOOKUP($B13,'CEPA Summary sheet'!$B$5:$S$93,6,),)</f>
        <v>0.5166817629966316</v>
      </c>
      <c r="G13" s="22">
        <f>IFERROR(VLOOKUP($B13,'CEPA Summary sheet'!$B$5:$S$93,7,),)</f>
        <v>6.2275602324885319E-2</v>
      </c>
      <c r="H13" s="23">
        <f t="shared" si="2"/>
        <v>3.878250644927262E-3</v>
      </c>
      <c r="I13" s="22">
        <f>IFERROR(VLOOKUP($B13,'CEPA Summary sheet'!$B$5:$S$93,8,),)</f>
        <v>0.50902686076521153</v>
      </c>
      <c r="J13" s="22">
        <f>IFERROR(VLOOKUP($B13,'CEPA Summary sheet'!$B$5:$S$93,9,),)</f>
        <v>2.6563390332037095E-2</v>
      </c>
      <c r="K13" s="23">
        <f t="shared" si="3"/>
        <v>7.056137059321618E-4</v>
      </c>
      <c r="L13" s="24">
        <f>IFERROR(VLOOKUP('ComCom refined - 2009 - 14'!$B13,'CEPA Rating&amp;Leverage'!$B$5:$F$93,4,),"")</f>
        <v>0.35306349833789874</v>
      </c>
      <c r="M13" s="82"/>
    </row>
    <row r="14" spans="1:19" ht="17.25" x14ac:dyDescent="0.25">
      <c r="B14" s="41" t="s">
        <v>36</v>
      </c>
      <c r="C14" s="22">
        <f>IFERROR(VLOOKUP($B14,'CEPA Summary sheet'!$B$5:$S$93,4,),)</f>
        <v>0.35098217409518728</v>
      </c>
      <c r="D14" s="22">
        <f>IFERROR(VLOOKUP($B14,'CEPA Summary sheet'!$B$5:$S$93,5,),)</f>
        <v>0.13982491714240225</v>
      </c>
      <c r="E14" s="23">
        <f t="shared" si="1"/>
        <v>1.9551007453879655E-2</v>
      </c>
      <c r="F14" s="22">
        <f>IFERROR(VLOOKUP($B14,'CEPA Summary sheet'!$B$5:$S$93,6,),)</f>
        <v>0.32814635647856705</v>
      </c>
      <c r="G14" s="22">
        <f>IFERROR(VLOOKUP($B14,'CEPA Summary sheet'!$B$5:$S$93,7,),)</f>
        <v>6.3041161010682759E-2</v>
      </c>
      <c r="H14" s="23">
        <f t="shared" si="2"/>
        <v>3.974187981574828E-3</v>
      </c>
      <c r="I14" s="22">
        <f>IFERROR(VLOOKUP($B14,'CEPA Summary sheet'!$B$5:$S$93,8,),)</f>
        <v>0.3274539401775039</v>
      </c>
      <c r="J14" s="22">
        <f>IFERROR(VLOOKUP($B14,'CEPA Summary sheet'!$B$5:$S$93,9,),)</f>
        <v>2.8222468151701818E-2</v>
      </c>
      <c r="K14" s="23">
        <f t="shared" si="3"/>
        <v>7.9650770857382343E-4</v>
      </c>
      <c r="L14" s="24">
        <f>IFERROR(VLOOKUP('ComCom refined - 2009 - 14'!$B14,'CEPA Rating&amp;Leverage'!$B$5:$F$93,4,),"")</f>
        <v>0.38595439825848327</v>
      </c>
      <c r="M14" s="82"/>
    </row>
    <row r="15" spans="1:19" ht="17.25" x14ac:dyDescent="0.25">
      <c r="B15" s="41" t="s">
        <v>37</v>
      </c>
      <c r="C15" s="22">
        <f>IFERROR(VLOOKUP($B15,'CEPA Summary sheet'!$B$5:$S$93,4,),)</f>
        <v>0.34663479717379486</v>
      </c>
      <c r="D15" s="22">
        <f>IFERROR(VLOOKUP($B15,'CEPA Summary sheet'!$B$5:$S$93,5,),)</f>
        <v>0.16695241809616071</v>
      </c>
      <c r="E15" s="23">
        <f t="shared" si="1"/>
        <v>2.7873109908155249E-2</v>
      </c>
      <c r="F15" s="22">
        <f>IFERROR(VLOOKUP($B15,'CEPA Summary sheet'!$B$5:$S$93,6,),)</f>
        <v>0.35935632292706027</v>
      </c>
      <c r="G15" s="22">
        <f>IFERROR(VLOOKUP($B15,'CEPA Summary sheet'!$B$5:$S$93,7,),)</f>
        <v>7.3902295630250178E-2</v>
      </c>
      <c r="H15" s="23">
        <f t="shared" si="2"/>
        <v>5.4615492994208948E-3</v>
      </c>
      <c r="I15" s="22">
        <f>IFERROR(VLOOKUP($B15,'CEPA Summary sheet'!$B$5:$S$93,8,),)</f>
        <v>0.37876423602072351</v>
      </c>
      <c r="J15" s="22">
        <f>IFERROR(VLOOKUP($B15,'CEPA Summary sheet'!$B$5:$S$93,9,),)</f>
        <v>3.240022765851007E-2</v>
      </c>
      <c r="K15" s="23">
        <f t="shared" si="3"/>
        <v>1.049774752323281E-3</v>
      </c>
      <c r="L15" s="24">
        <f>IFERROR(VLOOKUP('ComCom refined - 2009 - 14'!$B15,'CEPA Rating&amp;Leverage'!$B$5:$F$93,4,),"")</f>
        <v>0.28550202556906146</v>
      </c>
      <c r="M15" s="82"/>
    </row>
    <row r="16" spans="1:19" ht="17.25" x14ac:dyDescent="0.25">
      <c r="B16" s="41" t="s">
        <v>38</v>
      </c>
      <c r="C16" s="22" t="str">
        <f>IFERROR(VLOOKUP($B16,'CEPA Summary sheet'!$B$5:$S$93,4,),)</f>
        <v/>
      </c>
      <c r="D16" s="22" t="str">
        <f>IFERROR(VLOOKUP($B16,'CEPA Summary sheet'!$B$5:$S$93,5,),)</f>
        <v/>
      </c>
      <c r="E16" s="23" t="str">
        <f t="shared" si="1"/>
        <v>-</v>
      </c>
      <c r="F16" s="22" t="str">
        <f>IFERROR(VLOOKUP($B16,'CEPA Summary sheet'!$B$5:$S$93,6,),)</f>
        <v/>
      </c>
      <c r="G16" s="22" t="str">
        <f>IFERROR(VLOOKUP($B16,'CEPA Summary sheet'!$B$5:$S$93,7,),)</f>
        <v/>
      </c>
      <c r="H16" s="23" t="str">
        <f t="shared" si="2"/>
        <v>-</v>
      </c>
      <c r="I16" s="22" t="str">
        <f>IFERROR(VLOOKUP($B16,'CEPA Summary sheet'!$B$5:$S$93,8,),)</f>
        <v/>
      </c>
      <c r="J16" s="22" t="str">
        <f>IFERROR(VLOOKUP($B16,'CEPA Summary sheet'!$B$5:$S$93,9,),)</f>
        <v/>
      </c>
      <c r="K16" s="23" t="str">
        <f t="shared" si="3"/>
        <v>-</v>
      </c>
      <c r="L16" s="24" t="str">
        <f>IFERROR(VLOOKUP('ComCom refined - 2009 - 14'!$B16,'CEPA Rating&amp;Leverage'!$B$5:$F$93,4,),"")</f>
        <v/>
      </c>
      <c r="M16" s="82"/>
    </row>
    <row r="17" spans="2:13" ht="17.25" x14ac:dyDescent="0.25">
      <c r="B17" s="41" t="s">
        <v>39</v>
      </c>
      <c r="C17" s="22">
        <f>IFERROR(VLOOKUP($B17,'CEPA Summary sheet'!$B$5:$S$93,4,),)</f>
        <v>0.37434674735921125</v>
      </c>
      <c r="D17" s="22">
        <f>IFERROR(VLOOKUP($B17,'CEPA Summary sheet'!$B$5:$S$93,5,),)</f>
        <v>0.17366794246890802</v>
      </c>
      <c r="E17" s="23">
        <f t="shared" si="1"/>
        <v>3.0160554241383943E-2</v>
      </c>
      <c r="F17" s="22">
        <f>IFERROR(VLOOKUP($B17,'CEPA Summary sheet'!$B$5:$S$93,6,),)</f>
        <v>0.52049716181378225</v>
      </c>
      <c r="G17" s="22">
        <f>IFERROR(VLOOKUP($B17,'CEPA Summary sheet'!$B$5:$S$93,7,),)</f>
        <v>7.6043476356071379E-2</v>
      </c>
      <c r="H17" s="23">
        <f t="shared" si="2"/>
        <v>5.7826102963163869E-3</v>
      </c>
      <c r="I17" s="22">
        <f>IFERROR(VLOOKUP($B17,'CEPA Summary sheet'!$B$5:$S$93,8,),)</f>
        <v>0.64669059117200967</v>
      </c>
      <c r="J17" s="22">
        <f>IFERROR(VLOOKUP($B17,'CEPA Summary sheet'!$B$5:$S$93,9,),)</f>
        <v>3.4475667959781853E-2</v>
      </c>
      <c r="K17" s="23">
        <f t="shared" si="3"/>
        <v>1.1885716812731291E-3</v>
      </c>
      <c r="L17" s="24">
        <f>IFERROR(VLOOKUP('ComCom refined - 2009 - 14'!$B17,'CEPA Rating&amp;Leverage'!$B$5:$F$93,4,),"")</f>
        <v>0.23313480816765458</v>
      </c>
      <c r="M17" s="82"/>
    </row>
    <row r="18" spans="2:13" ht="17.25" x14ac:dyDescent="0.25">
      <c r="B18" s="41" t="s">
        <v>40</v>
      </c>
      <c r="C18" s="22">
        <f>IFERROR(VLOOKUP($B18,'CEPA Summary sheet'!$B$5:$S$93,4,),)</f>
        <v>0.39993219183663475</v>
      </c>
      <c r="D18" s="22">
        <f>IFERROR(VLOOKUP($B18,'CEPA Summary sheet'!$B$5:$S$93,5,),)</f>
        <v>0.13662003091515959</v>
      </c>
      <c r="E18" s="23">
        <f t="shared" si="1"/>
        <v>1.8665032847259164E-2</v>
      </c>
      <c r="F18" s="22">
        <f>IFERROR(VLOOKUP($B18,'CEPA Summary sheet'!$B$5:$S$93,6,),)</f>
        <v>0.45551446029186043</v>
      </c>
      <c r="G18" s="22">
        <f>IFERROR(VLOOKUP($B18,'CEPA Summary sheet'!$B$5:$S$93,7,),)</f>
        <v>5.7159915712628351E-2</v>
      </c>
      <c r="H18" s="23">
        <f t="shared" si="2"/>
        <v>3.2672559642747774E-3</v>
      </c>
      <c r="I18" s="22">
        <f>IFERROR(VLOOKUP($B18,'CEPA Summary sheet'!$B$5:$S$93,8,),)</f>
        <v>0.41185454844791819</v>
      </c>
      <c r="J18" s="22">
        <f>IFERROR(VLOOKUP($B18,'CEPA Summary sheet'!$B$5:$S$93,9,),)</f>
        <v>2.622842969255524E-2</v>
      </c>
      <c r="K18" s="23">
        <f t="shared" si="3"/>
        <v>6.8793052413731331E-4</v>
      </c>
      <c r="L18" s="24">
        <f>IFERROR(VLOOKUP('ComCom refined - 2009 - 14'!$B18,'CEPA Rating&amp;Leverage'!$B$5:$F$93,4,),"")</f>
        <v>0.57820475442041563</v>
      </c>
      <c r="M18" s="82"/>
    </row>
    <row r="19" spans="2:13" ht="17.25" x14ac:dyDescent="0.25">
      <c r="B19" s="41" t="s">
        <v>41</v>
      </c>
      <c r="C19" s="22" t="str">
        <f>IFERROR(VLOOKUP($B19,'CEPA Summary sheet'!$B$5:$S$93,4,),)</f>
        <v/>
      </c>
      <c r="D19" s="22" t="str">
        <f>IFERROR(VLOOKUP($B19,'CEPA Summary sheet'!$B$5:$S$93,5,),)</f>
        <v/>
      </c>
      <c r="E19" s="23" t="str">
        <f t="shared" si="1"/>
        <v>-</v>
      </c>
      <c r="F19" s="22" t="str">
        <f>IFERROR(VLOOKUP($B19,'CEPA Summary sheet'!$B$5:$S$93,6,),)</f>
        <v/>
      </c>
      <c r="G19" s="22" t="str">
        <f>IFERROR(VLOOKUP($B19,'CEPA Summary sheet'!$B$5:$S$93,7,),)</f>
        <v/>
      </c>
      <c r="H19" s="23" t="str">
        <f t="shared" si="2"/>
        <v>-</v>
      </c>
      <c r="I19" s="22" t="str">
        <f>IFERROR(VLOOKUP($B19,'CEPA Summary sheet'!$B$5:$S$93,8,),)</f>
        <v/>
      </c>
      <c r="J19" s="22" t="str">
        <f>IFERROR(VLOOKUP($B19,'CEPA Summary sheet'!$B$5:$S$93,9,),)</f>
        <v/>
      </c>
      <c r="K19" s="23" t="str">
        <f t="shared" si="3"/>
        <v>-</v>
      </c>
      <c r="L19" s="24" t="str">
        <f>IFERROR(VLOOKUP('ComCom refined - 2009 - 14'!$B19,'CEPA Rating&amp;Leverage'!$B$5:$F$93,4,),"")</f>
        <v/>
      </c>
      <c r="M19" s="82"/>
    </row>
    <row r="20" spans="2:13" ht="17.25" x14ac:dyDescent="0.25">
      <c r="B20" s="41" t="s">
        <v>42</v>
      </c>
      <c r="C20" s="22">
        <f>IFERROR(VLOOKUP($B20,'CEPA Summary sheet'!$B$5:$S$93,4,),)</f>
        <v>0.77260813407063811</v>
      </c>
      <c r="D20" s="22">
        <f>IFERROR(VLOOKUP($B20,'CEPA Summary sheet'!$B$5:$S$93,5,),)</f>
        <v>0.20116581083693005</v>
      </c>
      <c r="E20" s="23">
        <f t="shared" si="1"/>
        <v>4.0467683449679527E-2</v>
      </c>
      <c r="F20" s="22">
        <f>IFERROR(VLOOKUP($B20,'CEPA Summary sheet'!$B$5:$S$93,6,),)</f>
        <v>0.7662758467708084</v>
      </c>
      <c r="G20" s="22">
        <f>IFERROR(VLOOKUP($B20,'CEPA Summary sheet'!$B$5:$S$93,7,),)</f>
        <v>9.550128240300948E-2</v>
      </c>
      <c r="H20" s="23">
        <f t="shared" si="2"/>
        <v>9.1204949406193687E-3</v>
      </c>
      <c r="I20" s="22">
        <f>IFERROR(VLOOKUP($B20,'CEPA Summary sheet'!$B$5:$S$93,8,),)</f>
        <v>0.70483596180891062</v>
      </c>
      <c r="J20" s="22">
        <f>IFERROR(VLOOKUP($B20,'CEPA Summary sheet'!$B$5:$S$93,9,),)</f>
        <v>4.4116269720250186E-2</v>
      </c>
      <c r="K20" s="23">
        <f t="shared" si="3"/>
        <v>1.9462452540298634E-3</v>
      </c>
      <c r="L20" s="24">
        <f>IFERROR(VLOOKUP('ComCom refined - 2009 - 14'!$B20,'CEPA Rating&amp;Leverage'!$B$5:$F$93,4,),"")</f>
        <v>0.17822923299815124</v>
      </c>
      <c r="M20" s="82"/>
    </row>
    <row r="21" spans="2:13" ht="17.25" x14ac:dyDescent="0.25">
      <c r="B21" s="41" t="s">
        <v>43</v>
      </c>
      <c r="C21" s="22">
        <f>IFERROR(VLOOKUP($B21,'CEPA Summary sheet'!$B$5:$S$93,4,),)</f>
        <v>0.38275068467711859</v>
      </c>
      <c r="D21" s="22">
        <f>IFERROR(VLOOKUP($B21,'CEPA Summary sheet'!$B$5:$S$93,5,),)</f>
        <v>0.13120440416034695</v>
      </c>
      <c r="E21" s="23">
        <f t="shared" si="1"/>
        <v>1.721459567107167E-2</v>
      </c>
      <c r="F21" s="22">
        <f>IFERROR(VLOOKUP($B21,'CEPA Summary sheet'!$B$5:$S$93,6,),)</f>
        <v>0.44385083379213358</v>
      </c>
      <c r="G21" s="22">
        <f>IFERROR(VLOOKUP($B21,'CEPA Summary sheet'!$B$5:$S$93,7,),)</f>
        <v>5.9326891281017896E-2</v>
      </c>
      <c r="H21" s="23">
        <f t="shared" si="2"/>
        <v>3.5196800290697174E-3</v>
      </c>
      <c r="I21" s="22">
        <f>IFERROR(VLOOKUP($B21,'CEPA Summary sheet'!$B$5:$S$93,8,),)</f>
        <v>0.4026484486881739</v>
      </c>
      <c r="J21" s="22">
        <f>IFERROR(VLOOKUP($B21,'CEPA Summary sheet'!$B$5:$S$93,9,),)</f>
        <v>2.606630746993811E-2</v>
      </c>
      <c r="K21" s="23">
        <f t="shared" si="3"/>
        <v>6.794523851173513E-4</v>
      </c>
      <c r="L21" s="24">
        <f>IFERROR(VLOOKUP('ComCom refined - 2009 - 14'!$B21,'CEPA Rating&amp;Leverage'!$B$5:$F$93,4,),"")</f>
        <v>0.59718600417430401</v>
      </c>
      <c r="M21" s="82"/>
    </row>
    <row r="22" spans="2:13" ht="17.25" x14ac:dyDescent="0.25">
      <c r="B22" s="41" t="s">
        <v>44</v>
      </c>
      <c r="C22" s="22" t="str">
        <f>IFERROR(VLOOKUP($B22,'CEPA Summary sheet'!$B$5:$S$93,4,),)</f>
        <v/>
      </c>
      <c r="D22" s="22" t="str">
        <f>IFERROR(VLOOKUP($B22,'CEPA Summary sheet'!$B$5:$S$93,5,),)</f>
        <v/>
      </c>
      <c r="E22" s="23" t="str">
        <f t="shared" si="1"/>
        <v>-</v>
      </c>
      <c r="F22" s="22" t="str">
        <f>IFERROR(VLOOKUP($B22,'CEPA Summary sheet'!$B$5:$S$93,6,),)</f>
        <v/>
      </c>
      <c r="G22" s="22" t="str">
        <f>IFERROR(VLOOKUP($B22,'CEPA Summary sheet'!$B$5:$S$93,7,),)</f>
        <v/>
      </c>
      <c r="H22" s="23" t="str">
        <f t="shared" si="2"/>
        <v>-</v>
      </c>
      <c r="I22" s="22" t="str">
        <f>IFERROR(VLOOKUP($B22,'CEPA Summary sheet'!$B$5:$S$93,8,),)</f>
        <v/>
      </c>
      <c r="J22" s="22" t="str">
        <f>IFERROR(VLOOKUP($B22,'CEPA Summary sheet'!$B$5:$S$93,9,),)</f>
        <v/>
      </c>
      <c r="K22" s="23" t="str">
        <f t="shared" si="3"/>
        <v>-</v>
      </c>
      <c r="L22" s="24" t="str">
        <f>IFERROR(VLOOKUP('ComCom refined - 2009 - 14'!$B22,'CEPA Rating&amp;Leverage'!$B$5:$F$93,4,),"")</f>
        <v/>
      </c>
      <c r="M22" s="82"/>
    </row>
    <row r="23" spans="2:13" ht="17.25" x14ac:dyDescent="0.25">
      <c r="B23" s="41" t="s">
        <v>45</v>
      </c>
      <c r="C23" s="22">
        <f>IFERROR(VLOOKUP($B23,'CEPA Summary sheet'!$B$5:$S$93,4,),)</f>
        <v>0.49608260731666781</v>
      </c>
      <c r="D23" s="22">
        <f>IFERROR(VLOOKUP($B23,'CEPA Summary sheet'!$B$5:$S$93,5,),)</f>
        <v>6.6930045014173017E-2</v>
      </c>
      <c r="E23" s="23">
        <f t="shared" si="1"/>
        <v>4.4796309255992267E-3</v>
      </c>
      <c r="F23" s="22">
        <f>IFERROR(VLOOKUP($B23,'CEPA Summary sheet'!$B$5:$S$93,6,),)</f>
        <v>0.49138543981938126</v>
      </c>
      <c r="G23" s="22">
        <f>IFERROR(VLOOKUP($B23,'CEPA Summary sheet'!$B$5:$S$93,7,),)</f>
        <v>3.0107184074980767E-2</v>
      </c>
      <c r="H23" s="23">
        <f t="shared" si="2"/>
        <v>9.0644253292477552E-4</v>
      </c>
      <c r="I23" s="22">
        <f>IFERROR(VLOOKUP($B23,'CEPA Summary sheet'!$B$5:$S$93,8,),)</f>
        <v>0.4488588434916842</v>
      </c>
      <c r="J23" s="22">
        <f>IFERROR(VLOOKUP($B23,'CEPA Summary sheet'!$B$5:$S$93,9,),)</f>
        <v>1.3764678060748409E-2</v>
      </c>
      <c r="K23" s="23">
        <f t="shared" si="3"/>
        <v>1.8946636211604858E-4</v>
      </c>
      <c r="L23" s="24">
        <f>IFERROR(VLOOKUP('ComCom refined - 2009 - 14'!$B23,'CEPA Rating&amp;Leverage'!$B$5:$F$93,4,),"")</f>
        <v>0.41857670291534388</v>
      </c>
      <c r="M23" s="82"/>
    </row>
    <row r="24" spans="2:13" ht="17.25" x14ac:dyDescent="0.25">
      <c r="B24" s="41" t="s">
        <v>46</v>
      </c>
      <c r="C24" s="22">
        <f>IFERROR(VLOOKUP($B24,'CEPA Summary sheet'!$B$5:$S$93,4,),)</f>
        <v>0.40684241596404203</v>
      </c>
      <c r="D24" s="22">
        <f>IFERROR(VLOOKUP($B24,'CEPA Summary sheet'!$B$5:$S$93,5,),)</f>
        <v>0.13541970671078887</v>
      </c>
      <c r="E24" s="23">
        <f t="shared" si="1"/>
        <v>1.8338496965636077E-2</v>
      </c>
      <c r="F24" s="22">
        <f>IFERROR(VLOOKUP($B24,'CEPA Summary sheet'!$B$5:$S$93,6,),)</f>
        <v>0.5872225599252745</v>
      </c>
      <c r="G24" s="22">
        <f>IFERROR(VLOOKUP($B24,'CEPA Summary sheet'!$B$5:$S$93,7,),)</f>
        <v>6.0914181273949423E-2</v>
      </c>
      <c r="H24" s="23">
        <f t="shared" si="2"/>
        <v>3.7105374802755705E-3</v>
      </c>
      <c r="I24" s="22">
        <f>IFERROR(VLOOKUP($B24,'CEPA Summary sheet'!$B$5:$S$93,8,),)</f>
        <v>0.65739871151955842</v>
      </c>
      <c r="J24" s="22">
        <f>IFERROR(VLOOKUP($B24,'CEPA Summary sheet'!$B$5:$S$93,9,),)</f>
        <v>2.8440211171911638E-2</v>
      </c>
      <c r="K24" s="23">
        <f t="shared" si="3"/>
        <v>8.0884561150292749E-4</v>
      </c>
      <c r="L24" s="24">
        <f>IFERROR(VLOOKUP('ComCom refined - 2009 - 14'!$B24,'CEPA Rating&amp;Leverage'!$B$5:$F$93,4,),"")</f>
        <v>0.17013040299051763</v>
      </c>
      <c r="M24" s="82"/>
    </row>
    <row r="25" spans="2:13" ht="17.25" x14ac:dyDescent="0.25">
      <c r="B25" s="41" t="s">
        <v>47</v>
      </c>
      <c r="C25" s="22" t="str">
        <f>IFERROR(VLOOKUP($B25,'CEPA Summary sheet'!$B$5:$S$93,4,),)</f>
        <v/>
      </c>
      <c r="D25" s="22" t="str">
        <f>IFERROR(VLOOKUP($B25,'CEPA Summary sheet'!$B$5:$S$93,5,),)</f>
        <v/>
      </c>
      <c r="E25" s="23" t="str">
        <f t="shared" si="1"/>
        <v>-</v>
      </c>
      <c r="F25" s="22" t="str">
        <f>IFERROR(VLOOKUP($B25,'CEPA Summary sheet'!$B$5:$S$93,6,),)</f>
        <v/>
      </c>
      <c r="G25" s="22" t="str">
        <f>IFERROR(VLOOKUP($B25,'CEPA Summary sheet'!$B$5:$S$93,7,),)</f>
        <v/>
      </c>
      <c r="H25" s="23" t="str">
        <f t="shared" si="2"/>
        <v>-</v>
      </c>
      <c r="I25" s="22" t="str">
        <f>IFERROR(VLOOKUP($B25,'CEPA Summary sheet'!$B$5:$S$93,8,),)</f>
        <v/>
      </c>
      <c r="J25" s="22" t="str">
        <f>IFERROR(VLOOKUP($B25,'CEPA Summary sheet'!$B$5:$S$93,9,),)</f>
        <v/>
      </c>
      <c r="K25" s="23" t="str">
        <f t="shared" si="3"/>
        <v>-</v>
      </c>
      <c r="L25" s="24" t="str">
        <f>IFERROR(VLOOKUP('ComCom refined - 2009 - 14'!$B25,'CEPA Rating&amp;Leverage'!$B$5:$F$93,4,),"")</f>
        <v/>
      </c>
      <c r="M25" s="82"/>
    </row>
    <row r="26" spans="2:13" ht="17.25" x14ac:dyDescent="0.25">
      <c r="B26" s="41" t="s">
        <v>48</v>
      </c>
      <c r="C26" s="22">
        <f>IFERROR(VLOOKUP($B26,'CEPA Summary sheet'!$B$5:$S$93,4,),)</f>
        <v>0.63548086786949542</v>
      </c>
      <c r="D26" s="22">
        <f>IFERROR(VLOOKUP($B26,'CEPA Summary sheet'!$B$5:$S$93,5,),)</f>
        <v>0.22529715038014642</v>
      </c>
      <c r="E26" s="23">
        <f t="shared" si="1"/>
        <v>5.075880596941431E-2</v>
      </c>
      <c r="F26" s="22">
        <f>IFERROR(VLOOKUP($B26,'CEPA Summary sheet'!$B$5:$S$93,6,),)</f>
        <v>0.58037229901038923</v>
      </c>
      <c r="G26" s="22">
        <f>IFERROR(VLOOKUP($B26,'CEPA Summary sheet'!$B$5:$S$93,7,),)</f>
        <v>0.11393505978653967</v>
      </c>
      <c r="H26" s="23">
        <f t="shared" si="2"/>
        <v>1.298119784856237E-2</v>
      </c>
      <c r="I26" s="22">
        <f>IFERROR(VLOOKUP($B26,'CEPA Summary sheet'!$B$5:$S$93,8,),)</f>
        <v>0.73182355576866298</v>
      </c>
      <c r="J26" s="22">
        <f>IFERROR(VLOOKUP($B26,'CEPA Summary sheet'!$B$5:$S$93,9,),)</f>
        <v>7.3869527006731009E-2</v>
      </c>
      <c r="K26" s="23">
        <f t="shared" si="3"/>
        <v>5.4567070201981616E-3</v>
      </c>
      <c r="L26" s="24">
        <f>IFERROR(VLOOKUP('ComCom refined - 2009 - 14'!$B26,'CEPA Rating&amp;Leverage'!$B$5:$F$93,4,),"")</f>
        <v>0.14468874326158673</v>
      </c>
      <c r="M26" s="82"/>
    </row>
    <row r="27" spans="2:13" ht="17.25" x14ac:dyDescent="0.25">
      <c r="B27" s="41" t="s">
        <v>49</v>
      </c>
      <c r="C27" s="22">
        <f>IFERROR(VLOOKUP($B27,'CEPA Summary sheet'!$B$5:$S$93,4,),)</f>
        <v>0.58236844342399574</v>
      </c>
      <c r="D27" s="22">
        <f>IFERROR(VLOOKUP($B27,'CEPA Summary sheet'!$B$5:$S$93,5,),)</f>
        <v>6.4612723491526497E-2</v>
      </c>
      <c r="E27" s="23">
        <f t="shared" si="1"/>
        <v>4.1748040369924602E-3</v>
      </c>
      <c r="F27" s="22">
        <f>IFERROR(VLOOKUP($B27,'CEPA Summary sheet'!$B$5:$S$93,6,),)</f>
        <v>0.64989919033112875</v>
      </c>
      <c r="G27" s="22">
        <f>IFERROR(VLOOKUP($B27,'CEPA Summary sheet'!$B$5:$S$93,7,),)</f>
        <v>3.5564741868227771E-2</v>
      </c>
      <c r="H27" s="23">
        <f t="shared" si="2"/>
        <v>1.2648508641536734E-3</v>
      </c>
      <c r="I27" s="22">
        <f>IFERROR(VLOOKUP($B27,'CEPA Summary sheet'!$B$5:$S$93,8,),)</f>
        <v>0.70024386130882021</v>
      </c>
      <c r="J27" s="22">
        <f>IFERROR(VLOOKUP($B27,'CEPA Summary sheet'!$B$5:$S$93,9,),)</f>
        <v>1.8342274525567727E-2</v>
      </c>
      <c r="K27" s="23">
        <f t="shared" si="3"/>
        <v>3.3643903477129078E-4</v>
      </c>
      <c r="L27" s="24">
        <f>IFERROR(VLOOKUP('ComCom refined - 2009 - 14'!$B27,'CEPA Rating&amp;Leverage'!$B$5:$F$93,4,),"")</f>
        <v>0.16361648913782373</v>
      </c>
      <c r="M27" s="82"/>
    </row>
    <row r="28" spans="2:13" ht="17.25" x14ac:dyDescent="0.25">
      <c r="B28" s="41" t="s">
        <v>50</v>
      </c>
      <c r="C28" s="22" t="str">
        <f>IFERROR(VLOOKUP($B28,'CEPA Summary sheet'!$B$5:$S$93,4,),)</f>
        <v/>
      </c>
      <c r="D28" s="22" t="str">
        <f>IFERROR(VLOOKUP($B28,'CEPA Summary sheet'!$B$5:$S$93,5,),)</f>
        <v/>
      </c>
      <c r="E28" s="23" t="str">
        <f t="shared" si="1"/>
        <v>-</v>
      </c>
      <c r="F28" s="22" t="str">
        <f>IFERROR(VLOOKUP($B28,'CEPA Summary sheet'!$B$5:$S$93,6,),)</f>
        <v/>
      </c>
      <c r="G28" s="22" t="str">
        <f>IFERROR(VLOOKUP($B28,'CEPA Summary sheet'!$B$5:$S$93,7,),)</f>
        <v/>
      </c>
      <c r="H28" s="23" t="str">
        <f t="shared" si="2"/>
        <v>-</v>
      </c>
      <c r="I28" s="22" t="str">
        <f>IFERROR(VLOOKUP($B28,'CEPA Summary sheet'!$B$5:$S$93,8,),)</f>
        <v/>
      </c>
      <c r="J28" s="22" t="str">
        <f>IFERROR(VLOOKUP($B28,'CEPA Summary sheet'!$B$5:$S$93,9,),)</f>
        <v/>
      </c>
      <c r="K28" s="23" t="str">
        <f t="shared" si="3"/>
        <v>-</v>
      </c>
      <c r="L28" s="24" t="str">
        <f>IFERROR(VLOOKUP('ComCom refined - 2009 - 14'!$B28,'CEPA Rating&amp;Leverage'!$B$5:$F$93,4,),"")</f>
        <v/>
      </c>
      <c r="M28" s="82"/>
    </row>
    <row r="29" spans="2:13" ht="17.25" x14ac:dyDescent="0.25">
      <c r="B29" s="41" t="s">
        <v>51</v>
      </c>
      <c r="C29" s="22">
        <f>IFERROR(VLOOKUP($B29,'CEPA Summary sheet'!$B$5:$S$93,4,),)</f>
        <v>0.37975882777893866</v>
      </c>
      <c r="D29" s="22">
        <f>IFERROR(VLOOKUP($B29,'CEPA Summary sheet'!$B$5:$S$93,5,),)</f>
        <v>0.21105544045243529</v>
      </c>
      <c r="E29" s="23">
        <f t="shared" si="1"/>
        <v>4.4544398944571462E-2</v>
      </c>
      <c r="F29" s="22">
        <f>IFERROR(VLOOKUP($B29,'CEPA Summary sheet'!$B$5:$S$93,6,),)</f>
        <v>0.56509347130148824</v>
      </c>
      <c r="G29" s="22">
        <f>IFERROR(VLOOKUP($B29,'CEPA Summary sheet'!$B$5:$S$93,7,),)</f>
        <v>9.5952668391346363E-2</v>
      </c>
      <c r="H29" s="23">
        <f t="shared" si="2"/>
        <v>9.206914571419679E-3</v>
      </c>
      <c r="I29" s="22">
        <f>IFERROR(VLOOKUP($B29,'CEPA Summary sheet'!$B$5:$S$93,8,),)</f>
        <v>0.6392848393342615</v>
      </c>
      <c r="J29" s="22">
        <f>IFERROR(VLOOKUP($B29,'CEPA Summary sheet'!$B$5:$S$93,9,),)</f>
        <v>4.1099258035993166E-2</v>
      </c>
      <c r="K29" s="23">
        <f t="shared" si="3"/>
        <v>1.6891490111091488E-3</v>
      </c>
      <c r="L29" s="24">
        <f>IFERROR(VLOOKUP('ComCom refined - 2009 - 14'!$B29,'CEPA Rating&amp;Leverage'!$B$5:$F$93,4,),"")</f>
        <v>0.13947355297860359</v>
      </c>
      <c r="M29" s="82"/>
    </row>
    <row r="30" spans="2:13" ht="17.25" x14ac:dyDescent="0.25">
      <c r="B30" s="41" t="s">
        <v>52</v>
      </c>
      <c r="C30" s="22" t="str">
        <f>IFERROR(VLOOKUP($B30,'CEPA Summary sheet'!$B$5:$S$93,4,),)</f>
        <v/>
      </c>
      <c r="D30" s="22" t="str">
        <f>IFERROR(VLOOKUP($B30,'CEPA Summary sheet'!$B$5:$S$93,5,),)</f>
        <v/>
      </c>
      <c r="E30" s="23" t="str">
        <f t="shared" si="1"/>
        <v>-</v>
      </c>
      <c r="F30" s="22" t="str">
        <f>IFERROR(VLOOKUP($B30,'CEPA Summary sheet'!$B$5:$S$93,6,),)</f>
        <v/>
      </c>
      <c r="G30" s="22" t="str">
        <f>IFERROR(VLOOKUP($B30,'CEPA Summary sheet'!$B$5:$S$93,7,),)</f>
        <v/>
      </c>
      <c r="H30" s="23" t="str">
        <f t="shared" si="2"/>
        <v>-</v>
      </c>
      <c r="I30" s="22" t="str">
        <f>IFERROR(VLOOKUP($B30,'CEPA Summary sheet'!$B$5:$S$93,8,),)</f>
        <v/>
      </c>
      <c r="J30" s="22" t="str">
        <f>IFERROR(VLOOKUP($B30,'CEPA Summary sheet'!$B$5:$S$93,9,),)</f>
        <v/>
      </c>
      <c r="K30" s="23" t="str">
        <f t="shared" si="3"/>
        <v>-</v>
      </c>
      <c r="L30" s="24" t="str">
        <f>IFERROR(VLOOKUP('ComCom refined - 2009 - 14'!$B30,'CEPA Rating&amp;Leverage'!$B$5:$F$93,4,),"")</f>
        <v/>
      </c>
      <c r="M30" s="82"/>
    </row>
    <row r="31" spans="2:13" ht="17.25" x14ac:dyDescent="0.25">
      <c r="B31" s="41" t="s">
        <v>53</v>
      </c>
      <c r="C31" s="22">
        <f>IFERROR(VLOOKUP($B31,'CEPA Summary sheet'!$B$5:$S$93,4,),)</f>
        <v>0.44872183728272202</v>
      </c>
      <c r="D31" s="22">
        <f>IFERROR(VLOOKUP($B31,'CEPA Summary sheet'!$B$5:$S$93,5,),)</f>
        <v>0.10329525335821259</v>
      </c>
      <c r="E31" s="23">
        <f t="shared" si="1"/>
        <v>1.0669909366337329E-2</v>
      </c>
      <c r="F31" s="22">
        <f>IFERROR(VLOOKUP($B31,'CEPA Summary sheet'!$B$5:$S$93,6,),)</f>
        <v>0.49520843204614595</v>
      </c>
      <c r="G31" s="22">
        <f>IFERROR(VLOOKUP($B31,'CEPA Summary sheet'!$B$5:$S$93,7,),)</f>
        <v>4.8423475433506051E-2</v>
      </c>
      <c r="H31" s="23">
        <f t="shared" si="2"/>
        <v>2.3448329730593642E-3</v>
      </c>
      <c r="I31" s="22">
        <f>IFERROR(VLOOKUP($B31,'CEPA Summary sheet'!$B$5:$S$93,8,),)</f>
        <v>0.55554315238163399</v>
      </c>
      <c r="J31" s="22">
        <f>IFERROR(VLOOKUP($B31,'CEPA Summary sheet'!$B$5:$S$93,9,),)</f>
        <v>2.2697285286657216E-2</v>
      </c>
      <c r="K31" s="23">
        <f t="shared" si="3"/>
        <v>5.1516675938390619E-4</v>
      </c>
      <c r="L31" s="24">
        <f>IFERROR(VLOOKUP('ComCom refined - 2009 - 14'!$B31,'CEPA Rating&amp;Leverage'!$B$5:$F$93,4,),"")</f>
        <v>0.35806935157141306</v>
      </c>
      <c r="M31" s="82"/>
    </row>
    <row r="32" spans="2:13" ht="17.25" x14ac:dyDescent="0.25">
      <c r="B32" s="41" t="s">
        <v>54</v>
      </c>
      <c r="C32" s="22">
        <f>IFERROR(VLOOKUP($B32,'CEPA Summary sheet'!$B$5:$S$93,4,),)</f>
        <v>0.27688015622767043</v>
      </c>
      <c r="D32" s="22">
        <f>IFERROR(VLOOKUP($B32,'CEPA Summary sheet'!$B$5:$S$93,5,),)</f>
        <v>0.11991342814297153</v>
      </c>
      <c r="E32" s="23">
        <f t="shared" si="1"/>
        <v>1.4379230248999595E-2</v>
      </c>
      <c r="F32" s="22">
        <f>IFERROR(VLOOKUP($B32,'CEPA Summary sheet'!$B$5:$S$93,6,),)</f>
        <v>0.19598027485314781</v>
      </c>
      <c r="G32" s="22">
        <f>IFERROR(VLOOKUP($B32,'CEPA Summary sheet'!$B$5:$S$93,7,),)</f>
        <v>5.8559654006629269E-2</v>
      </c>
      <c r="H32" s="23">
        <f t="shared" si="2"/>
        <v>3.4292330773761314E-3</v>
      </c>
      <c r="I32" s="22">
        <f>IFERROR(VLOOKUP($B32,'CEPA Summary sheet'!$B$5:$S$93,8,),)</f>
        <v>0.19084331343322244</v>
      </c>
      <c r="J32" s="22">
        <f>IFERROR(VLOOKUP($B32,'CEPA Summary sheet'!$B$5:$S$93,9,),)</f>
        <v>2.6795791798018782E-2</v>
      </c>
      <c r="K32" s="23">
        <f t="shared" si="3"/>
        <v>7.1801445808277061E-4</v>
      </c>
      <c r="L32" s="24">
        <f>IFERROR(VLOOKUP('ComCom refined - 2009 - 14'!$B32,'CEPA Rating&amp;Leverage'!$B$5:$F$93,4,),"")</f>
        <v>0.21905996882995879</v>
      </c>
      <c r="M32" s="82"/>
    </row>
    <row r="33" spans="2:13" ht="17.25" x14ac:dyDescent="0.25">
      <c r="B33" s="41" t="s">
        <v>55</v>
      </c>
      <c r="C33" s="22" t="str">
        <f>IFERROR(VLOOKUP($B33,'CEPA Summary sheet'!$B$5:$S$93,4,),)</f>
        <v/>
      </c>
      <c r="D33" s="22" t="str">
        <f>IFERROR(VLOOKUP($B33,'CEPA Summary sheet'!$B$5:$S$93,5,),)</f>
        <v/>
      </c>
      <c r="E33" s="23" t="str">
        <f t="shared" si="1"/>
        <v>-</v>
      </c>
      <c r="F33" s="22" t="str">
        <f>IFERROR(VLOOKUP($B33,'CEPA Summary sheet'!$B$5:$S$93,6,),)</f>
        <v/>
      </c>
      <c r="G33" s="22" t="str">
        <f>IFERROR(VLOOKUP($B33,'CEPA Summary sheet'!$B$5:$S$93,7,),)</f>
        <v/>
      </c>
      <c r="H33" s="23" t="str">
        <f t="shared" si="2"/>
        <v>-</v>
      </c>
      <c r="I33" s="22" t="str">
        <f>IFERROR(VLOOKUP($B33,'CEPA Summary sheet'!$B$5:$S$93,8,),)</f>
        <v/>
      </c>
      <c r="J33" s="22" t="str">
        <f>IFERROR(VLOOKUP($B33,'CEPA Summary sheet'!$B$5:$S$93,9,),)</f>
        <v/>
      </c>
      <c r="K33" s="23" t="str">
        <f t="shared" si="3"/>
        <v>-</v>
      </c>
      <c r="L33" s="24" t="str">
        <f>IFERROR(VLOOKUP('ComCom refined - 2009 - 14'!$B33,'CEPA Rating&amp;Leverage'!$B$5:$F$93,4,),"")</f>
        <v/>
      </c>
      <c r="M33" s="82"/>
    </row>
    <row r="34" spans="2:13" ht="17.25" x14ac:dyDescent="0.25">
      <c r="B34" s="41" t="s">
        <v>56</v>
      </c>
      <c r="C34" s="22" t="str">
        <f>IFERROR(VLOOKUP($B34,'CEPA Summary sheet'!$B$5:$S$93,4,),)</f>
        <v/>
      </c>
      <c r="D34" s="22" t="str">
        <f>IFERROR(VLOOKUP($B34,'CEPA Summary sheet'!$B$5:$S$93,5,),)</f>
        <v/>
      </c>
      <c r="E34" s="23" t="str">
        <f t="shared" si="1"/>
        <v>-</v>
      </c>
      <c r="F34" s="22" t="str">
        <f>IFERROR(VLOOKUP($B34,'CEPA Summary sheet'!$B$5:$S$93,6,),)</f>
        <v/>
      </c>
      <c r="G34" s="22" t="str">
        <f>IFERROR(VLOOKUP($B34,'CEPA Summary sheet'!$B$5:$S$93,7,),)</f>
        <v/>
      </c>
      <c r="H34" s="23" t="str">
        <f t="shared" si="2"/>
        <v>-</v>
      </c>
      <c r="I34" s="22" t="str">
        <f>IFERROR(VLOOKUP($B34,'CEPA Summary sheet'!$B$5:$S$93,8,),)</f>
        <v/>
      </c>
      <c r="J34" s="22" t="str">
        <f>IFERROR(VLOOKUP($B34,'CEPA Summary sheet'!$B$5:$S$93,9,),)</f>
        <v/>
      </c>
      <c r="K34" s="23" t="str">
        <f t="shared" si="3"/>
        <v>-</v>
      </c>
      <c r="L34" s="24" t="str">
        <f>IFERROR(VLOOKUP('ComCom refined - 2009 - 14'!$B34,'CEPA Rating&amp;Leverage'!$B$5:$F$93,4,),"")</f>
        <v/>
      </c>
      <c r="M34" s="82"/>
    </row>
    <row r="35" spans="2:13" ht="17.25" x14ac:dyDescent="0.25">
      <c r="B35" s="41" t="s">
        <v>57</v>
      </c>
      <c r="C35" s="22">
        <f>IFERROR(VLOOKUP($B35,'CEPA Summary sheet'!$B$5:$S$93,4,),)</f>
        <v>0.43797225879806484</v>
      </c>
      <c r="D35" s="22">
        <f>IFERROR(VLOOKUP($B35,'CEPA Summary sheet'!$B$5:$S$93,5,),)</f>
        <v>9.0299635334365455E-2</v>
      </c>
      <c r="E35" s="23">
        <f t="shared" si="1"/>
        <v>8.1540241415193823E-3</v>
      </c>
      <c r="F35" s="22">
        <f>IFERROR(VLOOKUP($B35,'CEPA Summary sheet'!$B$5:$S$93,6,),)</f>
        <v>0.50894823082883511</v>
      </c>
      <c r="G35" s="22">
        <f>IFERROR(VLOOKUP($B35,'CEPA Summary sheet'!$B$5:$S$93,7,),)</f>
        <v>3.8649478425628242E-2</v>
      </c>
      <c r="H35" s="23">
        <f t="shared" si="2"/>
        <v>1.4937821825731028E-3</v>
      </c>
      <c r="I35" s="22">
        <f>IFERROR(VLOOKUP($B35,'CEPA Summary sheet'!$B$5:$S$93,8,),)</f>
        <v>0.55558405152625923</v>
      </c>
      <c r="J35" s="22">
        <f>IFERROR(VLOOKUP($B35,'CEPA Summary sheet'!$B$5:$S$93,9,),)</f>
        <v>1.648154568727412E-2</v>
      </c>
      <c r="K35" s="23">
        <f t="shared" si="3"/>
        <v>2.7164134824170412E-4</v>
      </c>
      <c r="L35" s="24">
        <f>IFERROR(VLOOKUP('ComCom refined - 2009 - 14'!$B35,'CEPA Rating&amp;Leverage'!$B$5:$F$93,4,),"")</f>
        <v>0.41181721141876032</v>
      </c>
      <c r="M35" s="82"/>
    </row>
    <row r="36" spans="2:13" ht="17.25" x14ac:dyDescent="0.25">
      <c r="B36" s="41" t="s">
        <v>58</v>
      </c>
      <c r="C36" s="22">
        <f>IFERROR(VLOOKUP($B36,'CEPA Summary sheet'!$B$5:$S$93,4,),)</f>
        <v>0.46156985439161435</v>
      </c>
      <c r="D36" s="22">
        <f>IFERROR(VLOOKUP($B36,'CEPA Summary sheet'!$B$5:$S$93,5,),)</f>
        <v>0.13626097991855046</v>
      </c>
      <c r="E36" s="23">
        <f t="shared" si="1"/>
        <v>1.8567054648363612E-2</v>
      </c>
      <c r="F36" s="22">
        <f>IFERROR(VLOOKUP($B36,'CEPA Summary sheet'!$B$5:$S$93,6,),)</f>
        <v>0.58285956087546842</v>
      </c>
      <c r="G36" s="22">
        <f>IFERROR(VLOOKUP($B36,'CEPA Summary sheet'!$B$5:$S$93,7,),)</f>
        <v>5.9119952445036886E-2</v>
      </c>
      <c r="H36" s="23">
        <f t="shared" si="2"/>
        <v>3.4951687771034227E-3</v>
      </c>
      <c r="I36" s="22">
        <f>IFERROR(VLOOKUP($B36,'CEPA Summary sheet'!$B$5:$S$93,8,),)</f>
        <v>0.62022082042929039</v>
      </c>
      <c r="J36" s="22">
        <f>IFERROR(VLOOKUP($B36,'CEPA Summary sheet'!$B$5:$S$93,9,),)</f>
        <v>2.7334024605715736E-2</v>
      </c>
      <c r="K36" s="23">
        <f t="shared" si="3"/>
        <v>7.471489011458733E-4</v>
      </c>
      <c r="L36" s="24">
        <f>IFERROR(VLOOKUP('ComCom refined - 2009 - 14'!$B36,'CEPA Rating&amp;Leverage'!$B$5:$F$93,4,),"")</f>
        <v>0.1714999949515687</v>
      </c>
      <c r="M36" s="82"/>
    </row>
    <row r="37" spans="2:13" ht="17.25" x14ac:dyDescent="0.25">
      <c r="B37" s="41" t="s">
        <v>59</v>
      </c>
      <c r="C37" s="22" t="str">
        <f>IFERROR(VLOOKUP($B37,'CEPA Summary sheet'!$B$5:$S$93,4,),)</f>
        <v/>
      </c>
      <c r="D37" s="22" t="str">
        <f>IFERROR(VLOOKUP($B37,'CEPA Summary sheet'!$B$5:$S$93,5,),)</f>
        <v/>
      </c>
      <c r="E37" s="23" t="str">
        <f t="shared" si="1"/>
        <v>-</v>
      </c>
      <c r="F37" s="22" t="str">
        <f>IFERROR(VLOOKUP($B37,'CEPA Summary sheet'!$B$5:$S$93,6,),)</f>
        <v/>
      </c>
      <c r="G37" s="22" t="str">
        <f>IFERROR(VLOOKUP($B37,'CEPA Summary sheet'!$B$5:$S$93,7,),)</f>
        <v/>
      </c>
      <c r="H37" s="23" t="str">
        <f t="shared" si="2"/>
        <v>-</v>
      </c>
      <c r="I37" s="22" t="str">
        <f>IFERROR(VLOOKUP($B37,'CEPA Summary sheet'!$B$5:$S$93,8,),)</f>
        <v/>
      </c>
      <c r="J37" s="22" t="str">
        <f>IFERROR(VLOOKUP($B37,'CEPA Summary sheet'!$B$5:$S$93,9,),)</f>
        <v/>
      </c>
      <c r="K37" s="23" t="str">
        <f t="shared" si="3"/>
        <v>-</v>
      </c>
      <c r="L37" s="24" t="str">
        <f>IFERROR(VLOOKUP('ComCom refined - 2009 - 14'!$B37,'CEPA Rating&amp;Leverage'!$B$5:$F$93,4,),"")</f>
        <v/>
      </c>
      <c r="M37" s="82"/>
    </row>
    <row r="38" spans="2:13" ht="17.25" x14ac:dyDescent="0.25">
      <c r="B38" s="41" t="s">
        <v>60</v>
      </c>
      <c r="C38" s="22">
        <f>IFERROR(VLOOKUP($B38,'CEPA Summary sheet'!$B$5:$S$93,4,),)</f>
        <v>1.0520179295880088</v>
      </c>
      <c r="D38" s="22">
        <f>IFERROR(VLOOKUP($B38,'CEPA Summary sheet'!$B$5:$S$93,5,),)</f>
        <v>0.21625187408229846</v>
      </c>
      <c r="E38" s="23">
        <f t="shared" si="1"/>
        <v>4.6764873044106266E-2</v>
      </c>
      <c r="F38" s="22">
        <f>IFERROR(VLOOKUP($B38,'CEPA Summary sheet'!$B$5:$S$93,6,),)</f>
        <v>0.87808733453607302</v>
      </c>
      <c r="G38" s="22">
        <f>IFERROR(VLOOKUP($B38,'CEPA Summary sheet'!$B$5:$S$93,7,),)</f>
        <v>9.5078817239433677E-2</v>
      </c>
      <c r="H38" s="23">
        <f t="shared" si="2"/>
        <v>9.0399814876496298E-3</v>
      </c>
      <c r="I38" s="22">
        <f>IFERROR(VLOOKUP($B38,'CEPA Summary sheet'!$B$5:$S$93,8,),)</f>
        <v>0.63092020000000004</v>
      </c>
      <c r="J38" s="22">
        <f>IFERROR(VLOOKUP($B38,'CEPA Summary sheet'!$B$5:$S$93,9,),)</f>
        <v>4.0349490000000002E-2</v>
      </c>
      <c r="K38" s="23">
        <f t="shared" si="3"/>
        <v>1.6280813432601002E-3</v>
      </c>
      <c r="L38" s="24">
        <f>IFERROR(VLOOKUP('ComCom refined - 2009 - 14'!$B38,'CEPA Rating&amp;Leverage'!$B$5:$F$93,4,),"")</f>
        <v>0</v>
      </c>
      <c r="M38" s="82"/>
    </row>
    <row r="39" spans="2:13" ht="17.25" x14ac:dyDescent="0.25">
      <c r="B39" s="41" t="s">
        <v>61</v>
      </c>
      <c r="C39" s="22">
        <f>IFERROR(VLOOKUP($B39,'CEPA Summary sheet'!$B$5:$S$93,4,),)</f>
        <v>0.43889365429436811</v>
      </c>
      <c r="D39" s="22">
        <f>IFERROR(VLOOKUP($B39,'CEPA Summary sheet'!$B$5:$S$93,5,),)</f>
        <v>0.31004654494504147</v>
      </c>
      <c r="E39" s="23">
        <f t="shared" si="1"/>
        <v>9.6128860032357613E-2</v>
      </c>
      <c r="F39" s="22">
        <f>IFERROR(VLOOKUP($B39,'CEPA Summary sheet'!$B$5:$S$93,6,),)</f>
        <v>0.67969932885097362</v>
      </c>
      <c r="G39" s="22">
        <f>IFERROR(VLOOKUP($B39,'CEPA Summary sheet'!$B$5:$S$93,7,),)</f>
        <v>0.12959808414789356</v>
      </c>
      <c r="H39" s="23">
        <f t="shared" si="2"/>
        <v>1.6795663414804499E-2</v>
      </c>
      <c r="I39" s="22">
        <f>IFERROR(VLOOKUP($B39,'CEPA Summary sheet'!$B$5:$S$93,8,),)</f>
        <v>0.77040253225996569</v>
      </c>
      <c r="J39" s="22">
        <f>IFERROR(VLOOKUP($B39,'CEPA Summary sheet'!$B$5:$S$93,9,),)</f>
        <v>5.5208333489030703E-2</v>
      </c>
      <c r="K39" s="23">
        <f t="shared" si="3"/>
        <v>3.0479600866360292E-3</v>
      </c>
      <c r="L39" s="24">
        <f>IFERROR(VLOOKUP('ComCom refined - 2009 - 14'!$B39,'CEPA Rating&amp;Leverage'!$B$5:$F$93,4,),"")</f>
        <v>0.23567725242446963</v>
      </c>
      <c r="M39" s="82"/>
    </row>
    <row r="40" spans="2:13" ht="17.25" x14ac:dyDescent="0.25">
      <c r="B40" s="41" t="s">
        <v>62</v>
      </c>
      <c r="C40" s="22" t="str">
        <f>IFERROR(VLOOKUP($B40,'CEPA Summary sheet'!$B$5:$S$93,4,),)</f>
        <v/>
      </c>
      <c r="D40" s="22" t="str">
        <f>IFERROR(VLOOKUP($B40,'CEPA Summary sheet'!$B$5:$S$93,5,),)</f>
        <v/>
      </c>
      <c r="E40" s="23" t="str">
        <f t="shared" si="1"/>
        <v>-</v>
      </c>
      <c r="F40" s="22" t="str">
        <f>IFERROR(VLOOKUP($B40,'CEPA Summary sheet'!$B$5:$S$93,6,),)</f>
        <v/>
      </c>
      <c r="G40" s="22" t="str">
        <f>IFERROR(VLOOKUP($B40,'CEPA Summary sheet'!$B$5:$S$93,7,),)</f>
        <v/>
      </c>
      <c r="H40" s="23" t="str">
        <f t="shared" si="2"/>
        <v>-</v>
      </c>
      <c r="I40" s="22" t="str">
        <f>IFERROR(VLOOKUP($B40,'CEPA Summary sheet'!$B$5:$S$93,8,),)</f>
        <v/>
      </c>
      <c r="J40" s="22" t="str">
        <f>IFERROR(VLOOKUP($B40,'CEPA Summary sheet'!$B$5:$S$93,9,),)</f>
        <v/>
      </c>
      <c r="K40" s="23" t="str">
        <f t="shared" si="3"/>
        <v>-</v>
      </c>
      <c r="L40" s="24" t="str">
        <f>IFERROR(VLOOKUP('ComCom refined - 2009 - 14'!$B40,'CEPA Rating&amp;Leverage'!$B$5:$F$93,4,),"")</f>
        <v/>
      </c>
      <c r="M40" s="82"/>
    </row>
    <row r="41" spans="2:13" ht="17.25" x14ac:dyDescent="0.25">
      <c r="B41" s="41" t="s">
        <v>63</v>
      </c>
      <c r="C41" s="22">
        <f>IFERROR(VLOOKUP($B41,'CEPA Summary sheet'!$B$5:$S$93,4,),)</f>
        <v>0.53935806866381175</v>
      </c>
      <c r="D41" s="22">
        <f>IFERROR(VLOOKUP($B41,'CEPA Summary sheet'!$B$5:$S$93,5,),)</f>
        <v>0.17281504674770273</v>
      </c>
      <c r="E41" s="23">
        <f t="shared" si="1"/>
        <v>2.9865040382410682E-2</v>
      </c>
      <c r="F41" s="22">
        <f>IFERROR(VLOOKUP($B41,'CEPA Summary sheet'!$B$5:$S$93,6,),)</f>
        <v>0.48744827042918937</v>
      </c>
      <c r="G41" s="22">
        <f>IFERROR(VLOOKUP($B41,'CEPA Summary sheet'!$B$5:$S$93,7,),)</f>
        <v>8.9601165528280027E-2</v>
      </c>
      <c r="H41" s="23">
        <f t="shared" si="2"/>
        <v>8.028368864026237E-3</v>
      </c>
      <c r="I41" s="22">
        <f>IFERROR(VLOOKUP($B41,'CEPA Summary sheet'!$B$5:$S$93,8,),)</f>
        <v>0.37382739999999998</v>
      </c>
      <c r="J41" s="22">
        <f>IFERROR(VLOOKUP($B41,'CEPA Summary sheet'!$B$5:$S$93,9,),)</f>
        <v>5.4275379999999998E-2</v>
      </c>
      <c r="K41" s="23">
        <f t="shared" si="3"/>
        <v>2.9458168741443996E-3</v>
      </c>
      <c r="L41" s="24">
        <f>IFERROR(VLOOKUP('ComCom refined - 2009 - 14'!$B41,'CEPA Rating&amp;Leverage'!$B$5:$F$93,4,),"")</f>
        <v>0</v>
      </c>
      <c r="M41" s="82"/>
    </row>
    <row r="42" spans="2:13" ht="17.25" x14ac:dyDescent="0.25">
      <c r="B42" s="41" t="s">
        <v>64</v>
      </c>
      <c r="C42" s="22">
        <f>IFERROR(VLOOKUP($B42,'CEPA Summary sheet'!$B$5:$S$93,4,),)</f>
        <v>0.7331178127740603</v>
      </c>
      <c r="D42" s="22">
        <f>IFERROR(VLOOKUP($B42,'CEPA Summary sheet'!$B$5:$S$93,5,),)</f>
        <v>0.20132719368649121</v>
      </c>
      <c r="E42" s="23">
        <f t="shared" si="1"/>
        <v>4.053263891767795E-2</v>
      </c>
      <c r="F42" s="22">
        <f>IFERROR(VLOOKUP($B42,'CEPA Summary sheet'!$B$5:$S$93,6,),)</f>
        <v>0.93357436573570585</v>
      </c>
      <c r="G42" s="22">
        <f>IFERROR(VLOOKUP($B42,'CEPA Summary sheet'!$B$5:$S$93,7,),)</f>
        <v>0.1197725012824148</v>
      </c>
      <c r="H42" s="23">
        <f t="shared" si="2"/>
        <v>1.4345452063446056E-2</v>
      </c>
      <c r="I42" s="22">
        <f>IFERROR(VLOOKUP($B42,'CEPA Summary sheet'!$B$5:$S$93,8,),)</f>
        <v>1.0674963810754998</v>
      </c>
      <c r="J42" s="22">
        <f>IFERROR(VLOOKUP($B42,'CEPA Summary sheet'!$B$5:$S$93,9,),)</f>
        <v>6.2053442255806945E-2</v>
      </c>
      <c r="K42" s="23">
        <f t="shared" si="3"/>
        <v>3.8506296957947668E-3</v>
      </c>
      <c r="L42" s="24">
        <f>IFERROR(VLOOKUP('ComCom refined - 2009 - 14'!$B42,'CEPA Rating&amp;Leverage'!$B$5:$F$93,4,),"")</f>
        <v>0.11729521710848927</v>
      </c>
      <c r="M42" s="82"/>
    </row>
    <row r="43" spans="2:13" ht="17.25" x14ac:dyDescent="0.25">
      <c r="B43" s="41" t="s">
        <v>65</v>
      </c>
      <c r="C43" s="22" t="str">
        <f>IFERROR(VLOOKUP($B43,'CEPA Summary sheet'!$B$5:$S$93,4,),)</f>
        <v/>
      </c>
      <c r="D43" s="22" t="str">
        <f>IFERROR(VLOOKUP($B43,'CEPA Summary sheet'!$B$5:$S$93,5,),)</f>
        <v/>
      </c>
      <c r="E43" s="23" t="str">
        <f t="shared" si="1"/>
        <v>-</v>
      </c>
      <c r="F43" s="22" t="str">
        <f>IFERROR(VLOOKUP($B43,'CEPA Summary sheet'!$B$5:$S$93,6,),)</f>
        <v/>
      </c>
      <c r="G43" s="22" t="str">
        <f>IFERROR(VLOOKUP($B43,'CEPA Summary sheet'!$B$5:$S$93,7,),)</f>
        <v/>
      </c>
      <c r="H43" s="23" t="str">
        <f t="shared" si="2"/>
        <v>-</v>
      </c>
      <c r="I43" s="22" t="str">
        <f>IFERROR(VLOOKUP($B43,'CEPA Summary sheet'!$B$5:$S$93,8,),)</f>
        <v/>
      </c>
      <c r="J43" s="22" t="str">
        <f>IFERROR(VLOOKUP($B43,'CEPA Summary sheet'!$B$5:$S$93,9,),)</f>
        <v/>
      </c>
      <c r="K43" s="23" t="str">
        <f t="shared" si="3"/>
        <v>-</v>
      </c>
      <c r="L43" s="24" t="str">
        <f>IFERROR(VLOOKUP('ComCom refined - 2009 - 14'!$B43,'CEPA Rating&amp;Leverage'!$B$5:$F$93,4,),"")</f>
        <v/>
      </c>
      <c r="M43" s="82"/>
    </row>
    <row r="44" spans="2:13" ht="17.25" x14ac:dyDescent="0.25">
      <c r="B44" s="41" t="s">
        <v>66</v>
      </c>
      <c r="C44" s="22">
        <f>IFERROR(VLOOKUP($B44,'CEPA Summary sheet'!$B$5:$S$93,4,),)</f>
        <v>0.43605611148569967</v>
      </c>
      <c r="D44" s="22">
        <f>IFERROR(VLOOKUP($B44,'CEPA Summary sheet'!$B$5:$S$93,5,),)</f>
        <v>9.5856765443899108E-2</v>
      </c>
      <c r="E44" s="23">
        <f t="shared" si="1"/>
        <v>9.1885194813666905E-3</v>
      </c>
      <c r="F44" s="22">
        <f>IFERROR(VLOOKUP($B44,'CEPA Summary sheet'!$B$5:$S$93,6,),)</f>
        <v>0.45421084798113676</v>
      </c>
      <c r="G44" s="22">
        <f>IFERROR(VLOOKUP($B44,'CEPA Summary sheet'!$B$5:$S$93,7,),)</f>
        <v>4.1697406529051691E-2</v>
      </c>
      <c r="H44" s="23">
        <f t="shared" si="2"/>
        <v>1.7386737112490027E-3</v>
      </c>
      <c r="I44" s="22">
        <f>IFERROR(VLOOKUP($B44,'CEPA Summary sheet'!$B$5:$S$93,8,),)</f>
        <v>0.49701414355293694</v>
      </c>
      <c r="J44" s="22">
        <f>IFERROR(VLOOKUP($B44,'CEPA Summary sheet'!$B$5:$S$93,9,),)</f>
        <v>1.8712310877433552E-2</v>
      </c>
      <c r="K44" s="23">
        <f t="shared" si="3"/>
        <v>3.5015057837371803E-4</v>
      </c>
      <c r="L44" s="24">
        <f>IFERROR(VLOOKUP('ComCom refined - 2009 - 14'!$B44,'CEPA Rating&amp;Leverage'!$B$5:$F$93,4,),"")</f>
        <v>0.24318540812701792</v>
      </c>
      <c r="M44" s="82"/>
    </row>
    <row r="45" spans="2:13" ht="17.25" x14ac:dyDescent="0.25">
      <c r="B45" s="41" t="s">
        <v>67</v>
      </c>
      <c r="C45" s="22">
        <f>IFERROR(VLOOKUP($B45,'CEPA Summary sheet'!$B$5:$S$93,4,),)</f>
        <v>0.48417726654855864</v>
      </c>
      <c r="D45" s="22">
        <f>IFERROR(VLOOKUP($B45,'CEPA Summary sheet'!$B$5:$S$93,5,),)</f>
        <v>0.25477962638107532</v>
      </c>
      <c r="E45" s="23">
        <f t="shared" si="1"/>
        <v>6.4912658018880326E-2</v>
      </c>
      <c r="F45" s="22">
        <f>IFERROR(VLOOKUP($B45,'CEPA Summary sheet'!$B$5:$S$93,6,),)</f>
        <v>0.52270042275091</v>
      </c>
      <c r="G45" s="22">
        <f>IFERROR(VLOOKUP($B45,'CEPA Summary sheet'!$B$5:$S$93,7,),)</f>
        <v>0.1114552951642209</v>
      </c>
      <c r="H45" s="23">
        <f t="shared" si="2"/>
        <v>1.2422282820143602E-2</v>
      </c>
      <c r="I45" s="22">
        <f>IFERROR(VLOOKUP($B45,'CEPA Summary sheet'!$B$5:$S$93,8,),)</f>
        <v>0.4925818077567336</v>
      </c>
      <c r="J45" s="22">
        <f>IFERROR(VLOOKUP($B45,'CEPA Summary sheet'!$B$5:$S$93,9,),)</f>
        <v>5.2950608984420278E-2</v>
      </c>
      <c r="K45" s="23">
        <f t="shared" si="3"/>
        <v>2.8037669918209696E-3</v>
      </c>
      <c r="L45" s="24">
        <f>IFERROR(VLOOKUP('ComCom refined - 2009 - 14'!$B45,'CEPA Rating&amp;Leverage'!$B$5:$F$93,4,),"")</f>
        <v>0.26538022264195849</v>
      </c>
      <c r="M45" s="82"/>
    </row>
    <row r="46" spans="2:13" ht="17.25" x14ac:dyDescent="0.25">
      <c r="B46" s="41" t="s">
        <v>68</v>
      </c>
      <c r="C46" s="22" t="str">
        <f>IFERROR(VLOOKUP($B46,'CEPA Summary sheet'!$B$5:$S$93,4,),)</f>
        <v/>
      </c>
      <c r="D46" s="22" t="str">
        <f>IFERROR(VLOOKUP($B46,'CEPA Summary sheet'!$B$5:$S$93,5,),)</f>
        <v/>
      </c>
      <c r="E46" s="23" t="str">
        <f t="shared" si="1"/>
        <v>-</v>
      </c>
      <c r="F46" s="22" t="str">
        <f>IFERROR(VLOOKUP($B46,'CEPA Summary sheet'!$B$5:$S$93,6,),)</f>
        <v/>
      </c>
      <c r="G46" s="22" t="str">
        <f>IFERROR(VLOOKUP($B46,'CEPA Summary sheet'!$B$5:$S$93,7,),)</f>
        <v/>
      </c>
      <c r="H46" s="23" t="str">
        <f t="shared" si="2"/>
        <v>-</v>
      </c>
      <c r="I46" s="22" t="str">
        <f>IFERROR(VLOOKUP($B46,'CEPA Summary sheet'!$B$5:$S$93,8,),)</f>
        <v/>
      </c>
      <c r="J46" s="22" t="str">
        <f>IFERROR(VLOOKUP($B46,'CEPA Summary sheet'!$B$5:$S$93,9,),)</f>
        <v/>
      </c>
      <c r="K46" s="23" t="str">
        <f t="shared" si="3"/>
        <v>-</v>
      </c>
      <c r="L46" s="24" t="str">
        <f>IFERROR(VLOOKUP('ComCom refined - 2009 - 14'!$B46,'CEPA Rating&amp;Leverage'!$B$5:$F$93,4,),"")</f>
        <v/>
      </c>
      <c r="M46" s="82"/>
    </row>
    <row r="47" spans="2:13" ht="17.25" x14ac:dyDescent="0.25">
      <c r="B47" s="41" t="s">
        <v>69</v>
      </c>
      <c r="C47" s="22">
        <f>IFERROR(VLOOKUP($B47,'CEPA Summary sheet'!$B$5:$S$93,4,),)</f>
        <v>0.50680027560200491</v>
      </c>
      <c r="D47" s="22">
        <f>IFERROR(VLOOKUP($B47,'CEPA Summary sheet'!$B$5:$S$93,5,),)</f>
        <v>5.5794184337305472E-2</v>
      </c>
      <c r="E47" s="23">
        <f t="shared" si="1"/>
        <v>3.1129910058652231E-3</v>
      </c>
      <c r="F47" s="22">
        <f>IFERROR(VLOOKUP($B47,'CEPA Summary sheet'!$B$5:$S$93,6,),)</f>
        <v>0.50665498712047452</v>
      </c>
      <c r="G47" s="22">
        <f>IFERROR(VLOOKUP($B47,'CEPA Summary sheet'!$B$5:$S$93,7,),)</f>
        <v>2.1591115785143326E-2</v>
      </c>
      <c r="H47" s="23">
        <f t="shared" si="2"/>
        <v>4.661762808474653E-4</v>
      </c>
      <c r="I47" s="22">
        <f>IFERROR(VLOOKUP($B47,'CEPA Summary sheet'!$B$5:$S$93,8,),)</f>
        <v>0.5178360289851206</v>
      </c>
      <c r="J47" s="22">
        <f>IFERROR(VLOOKUP($B47,'CEPA Summary sheet'!$B$5:$S$93,9,),)</f>
        <v>9.214114331688731E-3</v>
      </c>
      <c r="K47" s="23">
        <f t="shared" si="3"/>
        <v>8.4899902917431674E-5</v>
      </c>
      <c r="L47" s="24">
        <f>IFERROR(VLOOKUP('ComCom refined - 2009 - 14'!$B47,'CEPA Rating&amp;Leverage'!$B$5:$F$93,4,),"")</f>
        <v>0.51162057597495025</v>
      </c>
      <c r="M47" s="82"/>
    </row>
    <row r="48" spans="2:13" ht="17.25" x14ac:dyDescent="0.25">
      <c r="B48" s="41" t="s">
        <v>70</v>
      </c>
      <c r="C48" s="22">
        <f>IFERROR(VLOOKUP($B48,'CEPA Summary sheet'!$B$5:$S$93,4,),)</f>
        <v>0.54859078996193822</v>
      </c>
      <c r="D48" s="22">
        <f>IFERROR(VLOOKUP($B48,'CEPA Summary sheet'!$B$5:$S$93,5,),)</f>
        <v>0.14774378983445369</v>
      </c>
      <c r="E48" s="23">
        <f t="shared" si="1"/>
        <v>2.182822743464722E-2</v>
      </c>
      <c r="F48" s="22">
        <f>IFERROR(VLOOKUP($B48,'CEPA Summary sheet'!$B$5:$S$93,6,),)</f>
        <v>0.60873142446064388</v>
      </c>
      <c r="G48" s="22">
        <f>IFERROR(VLOOKUP($B48,'CEPA Summary sheet'!$B$5:$S$93,7,),)</f>
        <v>6.8449080485444444E-2</v>
      </c>
      <c r="H48" s="23">
        <f t="shared" si="2"/>
        <v>4.6852766193028516E-3</v>
      </c>
      <c r="I48" s="22">
        <f>IFERROR(VLOOKUP($B48,'CEPA Summary sheet'!$B$5:$S$93,8,),)</f>
        <v>0.6793851409859254</v>
      </c>
      <c r="J48" s="22">
        <f>IFERROR(VLOOKUP($B48,'CEPA Summary sheet'!$B$5:$S$93,9,),)</f>
        <v>2.8946729905057117E-2</v>
      </c>
      <c r="K48" s="23">
        <f t="shared" si="3"/>
        <v>8.3791317219632797E-4</v>
      </c>
      <c r="L48" s="24">
        <f>IFERROR(VLOOKUP('ComCom refined - 2009 - 14'!$B48,'CEPA Rating&amp;Leverage'!$B$5:$F$93,4,),"")</f>
        <v>0.19474247909778195</v>
      </c>
      <c r="M48" s="82"/>
    </row>
    <row r="49" spans="2:17" ht="17.25" x14ac:dyDescent="0.25">
      <c r="B49" s="41" t="s">
        <v>71</v>
      </c>
      <c r="C49" s="22">
        <f>IFERROR(VLOOKUP($B49,'CEPA Summary sheet'!$B$5:$S$93,4,),)</f>
        <v>0.39354436434554074</v>
      </c>
      <c r="D49" s="22">
        <f>IFERROR(VLOOKUP($B49,'CEPA Summary sheet'!$B$5:$S$93,5,),)</f>
        <v>5.2538323466469916E-2</v>
      </c>
      <c r="E49" s="23">
        <f t="shared" si="1"/>
        <v>2.7602754326674236E-3</v>
      </c>
      <c r="F49" s="22">
        <f>IFERROR(VLOOKUP($B49,'CEPA Summary sheet'!$B$5:$S$93,6,),)</f>
        <v>0.35255032284741877</v>
      </c>
      <c r="G49" s="22">
        <f>IFERROR(VLOOKUP($B49,'CEPA Summary sheet'!$B$5:$S$93,7,),)</f>
        <v>2.7228882694834425E-2</v>
      </c>
      <c r="H49" s="23">
        <f t="shared" si="2"/>
        <v>7.4141205280905367E-4</v>
      </c>
      <c r="I49" s="22">
        <f>IFERROR(VLOOKUP($B49,'CEPA Summary sheet'!$B$5:$S$93,8,),)</f>
        <v>0.3574580623385184</v>
      </c>
      <c r="J49" s="22">
        <f>IFERROR(VLOOKUP($B49,'CEPA Summary sheet'!$B$5:$S$93,9,),)</f>
        <v>1.1564895507424705E-2</v>
      </c>
      <c r="K49" s="23">
        <f t="shared" si="3"/>
        <v>1.3374680809765212E-4</v>
      </c>
      <c r="L49" s="24">
        <f>IFERROR(VLOOKUP('ComCom refined - 2009 - 14'!$B49,'CEPA Rating&amp;Leverage'!$B$5:$F$93,4,),"")</f>
        <v>0.63729269242330866</v>
      </c>
      <c r="M49" s="82"/>
    </row>
    <row r="50" spans="2:17" ht="17.25" x14ac:dyDescent="0.25">
      <c r="B50" s="41" t="s">
        <v>72</v>
      </c>
      <c r="C50" s="22" t="str">
        <f>IFERROR(VLOOKUP($B50,'CEPA Summary sheet'!$B$5:$S$93,4,),)</f>
        <v/>
      </c>
      <c r="D50" s="22" t="str">
        <f>IFERROR(VLOOKUP($B50,'CEPA Summary sheet'!$B$5:$S$93,5,),)</f>
        <v/>
      </c>
      <c r="E50" s="23" t="str">
        <f t="shared" si="1"/>
        <v>-</v>
      </c>
      <c r="F50" s="22" t="str">
        <f>IFERROR(VLOOKUP($B50,'CEPA Summary sheet'!$B$5:$S$93,6,),)</f>
        <v/>
      </c>
      <c r="G50" s="22" t="str">
        <f>IFERROR(VLOOKUP($B50,'CEPA Summary sheet'!$B$5:$S$93,7,),)</f>
        <v/>
      </c>
      <c r="H50" s="23" t="str">
        <f t="shared" si="2"/>
        <v>-</v>
      </c>
      <c r="I50" s="22" t="str">
        <f>IFERROR(VLOOKUP($B50,'CEPA Summary sheet'!$B$5:$S$93,8,),)</f>
        <v/>
      </c>
      <c r="J50" s="22" t="str">
        <f>IFERROR(VLOOKUP($B50,'CEPA Summary sheet'!$B$5:$S$93,9,),)</f>
        <v/>
      </c>
      <c r="K50" s="23" t="str">
        <f t="shared" si="3"/>
        <v>-</v>
      </c>
      <c r="L50" s="24" t="str">
        <f>IFERROR(VLOOKUP('ComCom refined - 2009 - 14'!$B50,'CEPA Rating&amp;Leverage'!$B$5:$F$93,4,),"")</f>
        <v/>
      </c>
      <c r="M50" s="82"/>
    </row>
    <row r="51" spans="2:17" ht="17.25" x14ac:dyDescent="0.25">
      <c r="B51" s="41" t="s">
        <v>73</v>
      </c>
      <c r="C51" s="22">
        <f>IFERROR(VLOOKUP($B51,'CEPA Summary sheet'!$B$5:$S$93,4,),)</f>
        <v>0.31937238870627577</v>
      </c>
      <c r="D51" s="22">
        <f>IFERROR(VLOOKUP($B51,'CEPA Summary sheet'!$B$5:$S$93,5,),)</f>
        <v>7.6828146911240944E-2</v>
      </c>
      <c r="E51" s="23">
        <f t="shared" si="1"/>
        <v>5.9025641578152217E-3</v>
      </c>
      <c r="F51" s="22">
        <f>IFERROR(VLOOKUP($B51,'CEPA Summary sheet'!$B$5:$S$93,6,),)</f>
        <v>0.24079774972208451</v>
      </c>
      <c r="G51" s="22">
        <f>IFERROR(VLOOKUP($B51,'CEPA Summary sheet'!$B$5:$S$93,7,),)</f>
        <v>3.8844272483820594E-2</v>
      </c>
      <c r="H51" s="23">
        <f t="shared" si="2"/>
        <v>1.5088775047973017E-3</v>
      </c>
      <c r="I51" s="22">
        <f>IFERROR(VLOOKUP($B51,'CEPA Summary sheet'!$B$5:$S$93,8,),)</f>
        <v>0.24473341450204697</v>
      </c>
      <c r="J51" s="22">
        <f>IFERROR(VLOOKUP($B51,'CEPA Summary sheet'!$B$5:$S$93,9,),)</f>
        <v>1.9116820756900979E-2</v>
      </c>
      <c r="K51" s="23">
        <f t="shared" si="3"/>
        <v>3.6545283585148009E-4</v>
      </c>
      <c r="L51" s="24">
        <f>IFERROR(VLOOKUP('ComCom refined - 2009 - 14'!$B51,'CEPA Rating&amp;Leverage'!$B$5:$F$93,4,),"")</f>
        <v>0.40555906252425111</v>
      </c>
      <c r="M51" s="82"/>
    </row>
    <row r="52" spans="2:17" ht="17.25" x14ac:dyDescent="0.25">
      <c r="B52" s="41" t="s">
        <v>74</v>
      </c>
      <c r="C52" s="22">
        <f>IFERROR(VLOOKUP($B52,'CEPA Summary sheet'!$B$5:$S$93,4,),)</f>
        <v>0.68008378956602722</v>
      </c>
      <c r="D52" s="22">
        <f>IFERROR(VLOOKUP($B52,'CEPA Summary sheet'!$B$5:$S$93,5,),)</f>
        <v>0.18504657273798727</v>
      </c>
      <c r="E52" s="23">
        <f t="shared" si="1"/>
        <v>3.4242234082075218E-2</v>
      </c>
      <c r="F52" s="22">
        <f>IFERROR(VLOOKUP($B52,'CEPA Summary sheet'!$B$5:$S$93,6,),)</f>
        <v>0.75149804298944844</v>
      </c>
      <c r="G52" s="22">
        <f>IFERROR(VLOOKUP($B52,'CEPA Summary sheet'!$B$5:$S$93,7,),)</f>
        <v>8.547262084278863E-2</v>
      </c>
      <c r="H52" s="23">
        <f t="shared" si="2"/>
        <v>7.3055689137351051E-3</v>
      </c>
      <c r="I52" s="22">
        <f>IFERROR(VLOOKUP($B52,'CEPA Summary sheet'!$B$5:$S$93,8,),)</f>
        <v>0.6635481429491723</v>
      </c>
      <c r="J52" s="22">
        <f>IFERROR(VLOOKUP($B52,'CEPA Summary sheet'!$B$5:$S$93,9,),)</f>
        <v>3.855990100130325E-2</v>
      </c>
      <c r="K52" s="23">
        <f t="shared" si="3"/>
        <v>1.4868659652303073E-3</v>
      </c>
      <c r="L52" s="24">
        <f>IFERROR(VLOOKUP('ComCom refined - 2009 - 14'!$B52,'CEPA Rating&amp;Leverage'!$B$5:$F$93,4,),"")</f>
        <v>0.3145687375349015</v>
      </c>
      <c r="M52" s="82"/>
    </row>
    <row r="53" spans="2:17" ht="17.25" x14ac:dyDescent="0.25">
      <c r="B53" s="41" t="s">
        <v>75</v>
      </c>
      <c r="C53" s="22">
        <f>IFERROR(VLOOKUP($B53,'CEPA Summary sheet'!$B$5:$S$93,4,),)</f>
        <v>0.39916399624398957</v>
      </c>
      <c r="D53" s="22">
        <f>IFERROR(VLOOKUP($B53,'CEPA Summary sheet'!$B$5:$S$93,5,),)</f>
        <v>9.9038764595411166E-2</v>
      </c>
      <c r="E53" s="23">
        <f t="shared" si="1"/>
        <v>9.8086768925852684E-3</v>
      </c>
      <c r="F53" s="22">
        <f>IFERROR(VLOOKUP($B53,'CEPA Summary sheet'!$B$5:$S$93,6,),)</f>
        <v>0.48884361330080806</v>
      </c>
      <c r="G53" s="22">
        <f>IFERROR(VLOOKUP($B53,'CEPA Summary sheet'!$B$5:$S$93,7,),)</f>
        <v>4.5165339348086204E-2</v>
      </c>
      <c r="H53" s="23">
        <f t="shared" si="2"/>
        <v>2.0399078784277842E-3</v>
      </c>
      <c r="I53" s="22">
        <f>IFERROR(VLOOKUP($B53,'CEPA Summary sheet'!$B$5:$S$93,8,),)</f>
        <v>0.56996413090886322</v>
      </c>
      <c r="J53" s="22">
        <f>IFERROR(VLOOKUP($B53,'CEPA Summary sheet'!$B$5:$S$93,9,),)</f>
        <v>1.8769358718290125E-2</v>
      </c>
      <c r="K53" s="23">
        <f t="shared" si="3"/>
        <v>3.5228882669585351E-4</v>
      </c>
      <c r="L53" s="24">
        <f>IFERROR(VLOOKUP('ComCom refined - 2009 - 14'!$B53,'CEPA Rating&amp;Leverage'!$B$5:$F$93,4,),"")</f>
        <v>0.27931907436382536</v>
      </c>
      <c r="M53" s="82"/>
      <c r="Q53" s="7"/>
    </row>
    <row r="54" spans="2:17" ht="17.25" x14ac:dyDescent="0.25">
      <c r="B54" s="41" t="s">
        <v>76</v>
      </c>
      <c r="C54" s="22">
        <f>IFERROR(VLOOKUP($B54,'CEPA Summary sheet'!$B$5:$S$93,4,),)</f>
        <v>0.48622003635150285</v>
      </c>
      <c r="D54" s="22">
        <f>IFERROR(VLOOKUP($B54,'CEPA Summary sheet'!$B$5:$S$93,5,),)</f>
        <v>0.12021262669269138</v>
      </c>
      <c r="E54" s="23">
        <f t="shared" si="1"/>
        <v>1.4451075616356376E-2</v>
      </c>
      <c r="F54" s="22">
        <f>IFERROR(VLOOKUP($B54,'CEPA Summary sheet'!$B$5:$S$93,6,),)</f>
        <v>0.62264418597462456</v>
      </c>
      <c r="G54" s="22">
        <f>IFERROR(VLOOKUP($B54,'CEPA Summary sheet'!$B$5:$S$93,7,),)</f>
        <v>5.3846228663834629E-2</v>
      </c>
      <c r="H54" s="23">
        <f t="shared" si="2"/>
        <v>2.8994163413179662E-3</v>
      </c>
      <c r="I54" s="22">
        <f>IFERROR(VLOOKUP($B54,'CEPA Summary sheet'!$B$5:$S$93,8,),)</f>
        <v>0.64066843929951967</v>
      </c>
      <c r="J54" s="22">
        <f>IFERROR(VLOOKUP($B54,'CEPA Summary sheet'!$B$5:$S$93,9,),)</f>
        <v>2.297556810172946E-2</v>
      </c>
      <c r="K54" s="23">
        <f t="shared" si="3"/>
        <v>5.2787672959720821E-4</v>
      </c>
      <c r="L54" s="24">
        <f>IFERROR(VLOOKUP('ComCom refined - 2009 - 14'!$B54,'CEPA Rating&amp;Leverage'!$B$5:$F$93,4,),"")</f>
        <v>0.18595297646298434</v>
      </c>
      <c r="M54" s="82"/>
    </row>
    <row r="55" spans="2:17" ht="17.25" x14ac:dyDescent="0.25">
      <c r="B55" s="41" t="s">
        <v>77</v>
      </c>
      <c r="C55" s="22">
        <f>IFERROR(VLOOKUP($B55,'CEPA Summary sheet'!$B$5:$S$93,4,),)</f>
        <v>0.55806363001926917</v>
      </c>
      <c r="D55" s="22">
        <f>IFERROR(VLOOKUP($B55,'CEPA Summary sheet'!$B$5:$S$93,5,),)</f>
        <v>0.14573465020312606</v>
      </c>
      <c r="E55" s="23">
        <f t="shared" si="1"/>
        <v>2.1238588269827514E-2</v>
      </c>
      <c r="F55" s="22">
        <f>IFERROR(VLOOKUP($B55,'CEPA Summary sheet'!$B$5:$S$93,6,),)</f>
        <v>0.48959678881765412</v>
      </c>
      <c r="G55" s="22">
        <f>IFERROR(VLOOKUP($B55,'CEPA Summary sheet'!$B$5:$S$93,7,),)</f>
        <v>6.8794579944426448E-2</v>
      </c>
      <c r="H55" s="23">
        <f t="shared" si="2"/>
        <v>4.7326942297300813E-3</v>
      </c>
      <c r="I55" s="22">
        <f>IFERROR(VLOOKUP($B55,'CEPA Summary sheet'!$B$5:$S$93,8,),)</f>
        <v>0.52999731068084366</v>
      </c>
      <c r="J55" s="22">
        <f>IFERROR(VLOOKUP($B55,'CEPA Summary sheet'!$B$5:$S$93,9,),)</f>
        <v>3.0747120132763931E-2</v>
      </c>
      <c r="K55" s="23">
        <f t="shared" si="3"/>
        <v>9.453853964586171E-4</v>
      </c>
      <c r="L55" s="24">
        <f>IFERROR(VLOOKUP('ComCom refined - 2009 - 14'!$B55,'CEPA Rating&amp;Leverage'!$B$5:$F$93,4,),"")</f>
        <v>0.21746677549222904</v>
      </c>
      <c r="M55" s="82"/>
    </row>
    <row r="56" spans="2:17" ht="17.25" x14ac:dyDescent="0.25">
      <c r="B56" s="41" t="s">
        <v>78</v>
      </c>
      <c r="C56" s="22">
        <f>IFERROR(VLOOKUP($B56,'CEPA Summary sheet'!$B$5:$S$93,4,),)</f>
        <v>0.35652627070264248</v>
      </c>
      <c r="D56" s="22">
        <f>IFERROR(VLOOKUP($B56,'CEPA Summary sheet'!$B$5:$S$93,5,),)</f>
        <v>0.13926167129288675</v>
      </c>
      <c r="E56" s="23">
        <f t="shared" si="1"/>
        <v>1.9393813091288035E-2</v>
      </c>
      <c r="F56" s="22">
        <f>IFERROR(VLOOKUP($B56,'CEPA Summary sheet'!$B$5:$S$93,6,),)</f>
        <v>0.52844981178809369</v>
      </c>
      <c r="G56" s="22">
        <f>IFERROR(VLOOKUP($B56,'CEPA Summary sheet'!$B$5:$S$93,7,),)</f>
        <v>6.7110492474206057E-2</v>
      </c>
      <c r="H56" s="23">
        <f t="shared" si="2"/>
        <v>4.5038182001304675E-3</v>
      </c>
      <c r="I56" s="22">
        <f>IFERROR(VLOOKUP($B56,'CEPA Summary sheet'!$B$5:$S$93,8,),)</f>
        <v>0.56287362933484475</v>
      </c>
      <c r="J56" s="22">
        <f>IFERROR(VLOOKUP($B56,'CEPA Summary sheet'!$B$5:$S$93,9,),)</f>
        <v>3.0433695142773082E-2</v>
      </c>
      <c r="K56" s="23">
        <f t="shared" si="3"/>
        <v>9.2620980004324985E-4</v>
      </c>
      <c r="L56" s="24">
        <f>IFERROR(VLOOKUP('ComCom refined - 2009 - 14'!$B56,'CEPA Rating&amp;Leverage'!$B$5:$F$93,4,),"")</f>
        <v>0.38775930737360997</v>
      </c>
      <c r="M56" s="82"/>
    </row>
    <row r="57" spans="2:17" ht="17.25" x14ac:dyDescent="0.25">
      <c r="B57" s="41" t="s">
        <v>79</v>
      </c>
      <c r="C57" s="22">
        <f>IFERROR(VLOOKUP($B57,'CEPA Summary sheet'!$B$5:$S$93,4,),)</f>
        <v>0.58170003128402481</v>
      </c>
      <c r="D57" s="22">
        <f>IFERROR(VLOOKUP($B57,'CEPA Summary sheet'!$B$5:$S$93,5,),)</f>
        <v>0.35956795316617129</v>
      </c>
      <c r="E57" s="23">
        <f t="shared" si="1"/>
        <v>0.12928911294410994</v>
      </c>
      <c r="F57" s="22">
        <f>IFERROR(VLOOKUP($B57,'CEPA Summary sheet'!$B$5:$S$93,6,),)</f>
        <v>0.6501961984187925</v>
      </c>
      <c r="G57" s="22">
        <f>IFERROR(VLOOKUP($B57,'CEPA Summary sheet'!$B$5:$S$93,7,),)</f>
        <v>0.1462564273347996</v>
      </c>
      <c r="H57" s="23">
        <f t="shared" si="2"/>
        <v>2.1390942536739517E-2</v>
      </c>
      <c r="I57" s="22">
        <f>IFERROR(VLOOKUP($B57,'CEPA Summary sheet'!$B$5:$S$93,8,),)</f>
        <v>0.72394464847693529</v>
      </c>
      <c r="J57" s="22">
        <f>IFERROR(VLOOKUP($B57,'CEPA Summary sheet'!$B$5:$S$93,9,),)</f>
        <v>6.4725763693436009E-2</v>
      </c>
      <c r="K57" s="23">
        <f t="shared" si="3"/>
        <v>4.1894244856985194E-3</v>
      </c>
      <c r="L57" s="24">
        <f>IFERROR(VLOOKUP('ComCom refined - 2009 - 14'!$B57,'CEPA Rating&amp;Leverage'!$B$5:$F$93,4,),"")</f>
        <v>0.10579175227829274</v>
      </c>
      <c r="M57" s="82"/>
    </row>
    <row r="58" spans="2:17" ht="17.25" x14ac:dyDescent="0.25">
      <c r="B58" s="41" t="s">
        <v>80</v>
      </c>
      <c r="C58" s="22" t="str">
        <f>IFERROR(VLOOKUP($B58,'CEPA Summary sheet'!$B$5:$S$93,4,),)</f>
        <v/>
      </c>
      <c r="D58" s="22" t="str">
        <f>IFERROR(VLOOKUP($B58,'CEPA Summary sheet'!$B$5:$S$93,5,),)</f>
        <v/>
      </c>
      <c r="E58" s="23" t="str">
        <f t="shared" si="1"/>
        <v>-</v>
      </c>
      <c r="F58" s="22" t="str">
        <f>IFERROR(VLOOKUP($B58,'CEPA Summary sheet'!$B$5:$S$93,6,),)</f>
        <v/>
      </c>
      <c r="G58" s="22" t="str">
        <f>IFERROR(VLOOKUP($B58,'CEPA Summary sheet'!$B$5:$S$93,7,),)</f>
        <v/>
      </c>
      <c r="H58" s="23" t="str">
        <f t="shared" si="2"/>
        <v>-</v>
      </c>
      <c r="I58" s="22" t="str">
        <f>IFERROR(VLOOKUP($B58,'CEPA Summary sheet'!$B$5:$S$93,8,),)</f>
        <v/>
      </c>
      <c r="J58" s="22" t="str">
        <f>IFERROR(VLOOKUP($B58,'CEPA Summary sheet'!$B$5:$S$93,9,),)</f>
        <v/>
      </c>
      <c r="K58" s="23" t="str">
        <f t="shared" si="3"/>
        <v>-</v>
      </c>
      <c r="L58" s="24" t="str">
        <f>IFERROR(VLOOKUP('ComCom refined - 2009 - 14'!$B58,'CEPA Rating&amp;Leverage'!$B$5:$F$93,4,),"")</f>
        <v/>
      </c>
      <c r="M58" s="82"/>
    </row>
    <row r="59" spans="2:17" ht="17.25" x14ac:dyDescent="0.25">
      <c r="B59" s="41" t="s">
        <v>81</v>
      </c>
      <c r="C59" s="22">
        <f>IFERROR(VLOOKUP($B59,'CEPA Summary sheet'!$B$5:$S$93,4,),)</f>
        <v>0.6268325641397966</v>
      </c>
      <c r="D59" s="22">
        <f>IFERROR(VLOOKUP($B59,'CEPA Summary sheet'!$B$5:$S$93,5,),)</f>
        <v>0.24349370117346247</v>
      </c>
      <c r="E59" s="23">
        <f t="shared" si="1"/>
        <v>5.9289182511151443E-2</v>
      </c>
      <c r="F59" s="22">
        <f>IFERROR(VLOOKUP($B59,'CEPA Summary sheet'!$B$5:$S$93,6,),)</f>
        <v>0.71981077506974833</v>
      </c>
      <c r="G59" s="22">
        <f>IFERROR(VLOOKUP($B59,'CEPA Summary sheet'!$B$5:$S$93,7,),)</f>
        <v>0.11105347641053218</v>
      </c>
      <c r="H59" s="23">
        <f t="shared" si="2"/>
        <v>1.2332874622864627E-2</v>
      </c>
      <c r="I59" s="22">
        <f>IFERROR(VLOOKUP($B59,'CEPA Summary sheet'!$B$5:$S$93,8,),)</f>
        <v>0.63194749533587979</v>
      </c>
      <c r="J59" s="22">
        <f>IFERROR(VLOOKUP($B59,'CEPA Summary sheet'!$B$5:$S$93,9,),)</f>
        <v>5.1842518778284823E-2</v>
      </c>
      <c r="K59" s="23">
        <f t="shared" si="3"/>
        <v>2.6876467532768143E-3</v>
      </c>
      <c r="L59" s="24">
        <f>IFERROR(VLOOKUP('ComCom refined - 2009 - 14'!$B59,'CEPA Rating&amp;Leverage'!$B$5:$F$93,4,),"")</f>
        <v>0.21047679559542776</v>
      </c>
      <c r="M59" s="82"/>
    </row>
    <row r="60" spans="2:17" ht="17.25" x14ac:dyDescent="0.25">
      <c r="B60" s="41" t="s">
        <v>82</v>
      </c>
      <c r="C60" s="22">
        <f>IFERROR(VLOOKUP($B60,'CEPA Summary sheet'!$B$5:$S$93,4,),)</f>
        <v>0.27202474256207188</v>
      </c>
      <c r="D60" s="22">
        <f>IFERROR(VLOOKUP($B60,'CEPA Summary sheet'!$B$5:$S$93,5,),)</f>
        <v>0.12008881197282861</v>
      </c>
      <c r="E60" s="23">
        <f t="shared" si="1"/>
        <v>1.4421322761045385E-2</v>
      </c>
      <c r="F60" s="22">
        <f>IFERROR(VLOOKUP($B60,'CEPA Summary sheet'!$B$5:$S$93,6,),)</f>
        <v>0.33475128234429236</v>
      </c>
      <c r="G60" s="22">
        <f>IFERROR(VLOOKUP($B60,'CEPA Summary sheet'!$B$5:$S$93,7,),)</f>
        <v>4.8167961510246347E-2</v>
      </c>
      <c r="H60" s="23">
        <f t="shared" si="2"/>
        <v>2.3201525160525737E-3</v>
      </c>
      <c r="I60" s="22">
        <f>IFERROR(VLOOKUP($B60,'CEPA Summary sheet'!$B$5:$S$93,8,),)</f>
        <v>0.38026288758368992</v>
      </c>
      <c r="J60" s="22">
        <f>IFERROR(VLOOKUP($B60,'CEPA Summary sheet'!$B$5:$S$93,9,),)</f>
        <v>2.1215536221307035E-2</v>
      </c>
      <c r="K60" s="23">
        <f t="shared" si="3"/>
        <v>4.500989771575908E-4</v>
      </c>
      <c r="L60" s="24">
        <f>IFERROR(VLOOKUP('ComCom refined - 2009 - 14'!$B60,'CEPA Rating&amp;Leverage'!$B$5:$F$93,4,),"")</f>
        <v>0.3427260436326684</v>
      </c>
      <c r="M60" s="82"/>
    </row>
    <row r="61" spans="2:17" ht="17.25" x14ac:dyDescent="0.25">
      <c r="B61" s="41" t="s">
        <v>83</v>
      </c>
      <c r="C61" s="22">
        <f>IFERROR(VLOOKUP($B61,'CEPA Summary sheet'!$B$5:$S$93,4,),)</f>
        <v>0.3240680236247272</v>
      </c>
      <c r="D61" s="22">
        <f>IFERROR(VLOOKUP($B61,'CEPA Summary sheet'!$B$5:$S$93,5,),)</f>
        <v>0.38498298041299556</v>
      </c>
      <c r="E61" s="23">
        <f t="shared" si="1"/>
        <v>0.14821189520767292</v>
      </c>
      <c r="F61" s="22">
        <f>IFERROR(VLOOKUP($B61,'CEPA Summary sheet'!$B$5:$S$93,6,),)</f>
        <v>0.66940758737419415</v>
      </c>
      <c r="G61" s="22">
        <f>IFERROR(VLOOKUP($B61,'CEPA Summary sheet'!$B$5:$S$93,7,),)</f>
        <v>0.1679389911390797</v>
      </c>
      <c r="H61" s="23">
        <f t="shared" si="2"/>
        <v>2.820350474481189E-2</v>
      </c>
      <c r="I61" s="22">
        <f>IFERROR(VLOOKUP($B61,'CEPA Summary sheet'!$B$5:$S$93,8,),)</f>
        <v>0.71383254996263834</v>
      </c>
      <c r="J61" s="22">
        <f>IFERROR(VLOOKUP($B61,'CEPA Summary sheet'!$B$5:$S$93,9,),)</f>
        <v>6.9329279843930211E-2</v>
      </c>
      <c r="K61" s="23">
        <f t="shared" si="3"/>
        <v>4.8065490436779877E-3</v>
      </c>
      <c r="L61" s="24">
        <f>IFERROR(VLOOKUP('ComCom refined - 2009 - 14'!$B61,'CEPA Rating&amp;Leverage'!$B$5:$F$93,4,),"")</f>
        <v>0.20296603039059999</v>
      </c>
      <c r="M61" s="82"/>
    </row>
    <row r="62" spans="2:17" ht="17.25" x14ac:dyDescent="0.25">
      <c r="B62" s="41" t="s">
        <v>84</v>
      </c>
      <c r="C62" s="22">
        <f>IFERROR(VLOOKUP($B62,'CEPA Summary sheet'!$B$5:$S$93,4,),)</f>
        <v>0.59478083572627194</v>
      </c>
      <c r="D62" s="22">
        <f>IFERROR(VLOOKUP($B62,'CEPA Summary sheet'!$B$5:$S$93,5,),)</f>
        <v>0.12379840640967284</v>
      </c>
      <c r="E62" s="23">
        <f t="shared" si="1"/>
        <v>1.5326045429574525E-2</v>
      </c>
      <c r="F62" s="22">
        <f>IFERROR(VLOOKUP($B62,'CEPA Summary sheet'!$B$5:$S$93,6,),)</f>
        <v>0.61655551448542134</v>
      </c>
      <c r="G62" s="22">
        <f>IFERROR(VLOOKUP($B62,'CEPA Summary sheet'!$B$5:$S$93,7,),)</f>
        <v>4.9454160590281168E-2</v>
      </c>
      <c r="H62" s="23">
        <f t="shared" si="2"/>
        <v>2.4457139996893191E-3</v>
      </c>
      <c r="I62" s="22">
        <f>IFERROR(VLOOKUP($B62,'CEPA Summary sheet'!$B$5:$S$93,8,),)</f>
        <v>0.63549130877935844</v>
      </c>
      <c r="J62" s="22">
        <f>IFERROR(VLOOKUP($B62,'CEPA Summary sheet'!$B$5:$S$93,9,),)</f>
        <v>2.2236517944745796E-2</v>
      </c>
      <c r="K62" s="23">
        <f t="shared" si="3"/>
        <v>4.9446273030700181E-4</v>
      </c>
      <c r="L62" s="24">
        <f>IFERROR(VLOOKUP('ComCom refined - 2009 - 14'!$B62,'CEPA Rating&amp;Leverage'!$B$5:$F$93,4,),"")</f>
        <v>0.35486462704385763</v>
      </c>
      <c r="M62" s="82"/>
    </row>
    <row r="63" spans="2:17" ht="17.25" x14ac:dyDescent="0.25">
      <c r="B63" s="41" t="s">
        <v>85</v>
      </c>
      <c r="C63" s="22" t="str">
        <f>IFERROR(VLOOKUP($B63,'CEPA Summary sheet'!$B$5:$S$93,4,),)</f>
        <v/>
      </c>
      <c r="D63" s="22" t="str">
        <f>IFERROR(VLOOKUP($B63,'CEPA Summary sheet'!$B$5:$S$93,5,),)</f>
        <v/>
      </c>
      <c r="E63" s="23" t="str">
        <f t="shared" si="1"/>
        <v>-</v>
      </c>
      <c r="F63" s="22" t="str">
        <f>IFERROR(VLOOKUP($B63,'CEPA Summary sheet'!$B$5:$S$93,6,),)</f>
        <v/>
      </c>
      <c r="G63" s="22" t="str">
        <f>IFERROR(VLOOKUP($B63,'CEPA Summary sheet'!$B$5:$S$93,7,),)</f>
        <v/>
      </c>
      <c r="H63" s="23" t="str">
        <f t="shared" si="2"/>
        <v>-</v>
      </c>
      <c r="I63" s="22" t="str">
        <f>IFERROR(VLOOKUP($B63,'CEPA Summary sheet'!$B$5:$S$93,8,),)</f>
        <v/>
      </c>
      <c r="J63" s="22" t="str">
        <f>IFERROR(VLOOKUP($B63,'CEPA Summary sheet'!$B$5:$S$93,9,),)</f>
        <v/>
      </c>
      <c r="K63" s="23" t="str">
        <f t="shared" si="3"/>
        <v>-</v>
      </c>
      <c r="L63" s="24" t="str">
        <f>IFERROR(VLOOKUP('ComCom refined - 2009 - 14'!$B63,'CEPA Rating&amp;Leverage'!$B$5:$F$93,4,),"")</f>
        <v/>
      </c>
      <c r="M63" s="82"/>
    </row>
    <row r="64" spans="2:17" ht="17.25" x14ac:dyDescent="0.25">
      <c r="B64" s="41" t="s">
        <v>86</v>
      </c>
      <c r="C64" s="22">
        <f>IFERROR(VLOOKUP($B64,'CEPA Summary sheet'!$B$5:$S$93,4,),)</f>
        <v>0.27391000539532084</v>
      </c>
      <c r="D64" s="22">
        <f>IFERROR(VLOOKUP($B64,'CEPA Summary sheet'!$B$5:$S$93,5,),)</f>
        <v>0.17424371532337662</v>
      </c>
      <c r="E64" s="23">
        <f t="shared" si="1"/>
        <v>3.0360872329693915E-2</v>
      </c>
      <c r="F64" s="22">
        <f>IFERROR(VLOOKUP($B64,'CEPA Summary sheet'!$B$5:$S$93,6,),)</f>
        <v>0.33173008642438162</v>
      </c>
      <c r="G64" s="22">
        <f>IFERROR(VLOOKUP($B64,'CEPA Summary sheet'!$B$5:$S$93,7,),)</f>
        <v>9.3237671597172458E-2</v>
      </c>
      <c r="H64" s="23">
        <f t="shared" si="2"/>
        <v>8.6932634048621799E-3</v>
      </c>
      <c r="I64" s="22">
        <f>IFERROR(VLOOKUP($B64,'CEPA Summary sheet'!$B$5:$S$93,8,),)</f>
        <v>0.25847528339723519</v>
      </c>
      <c r="J64" s="22">
        <f>IFERROR(VLOOKUP($B64,'CEPA Summary sheet'!$B$5:$S$93,9,),)</f>
        <v>4.577408555624584E-2</v>
      </c>
      <c r="K64" s="23">
        <f t="shared" si="3"/>
        <v>2.0952669085105139E-3</v>
      </c>
      <c r="L64" s="24">
        <f>IFERROR(VLOOKUP('ComCom refined - 2009 - 14'!$B64,'CEPA Rating&amp;Leverage'!$B$5:$F$93,4,),"")</f>
        <v>0.20546763270578675</v>
      </c>
      <c r="M64" s="82"/>
    </row>
    <row r="65" spans="2:13" ht="17.25" x14ac:dyDescent="0.25">
      <c r="B65" s="41" t="s">
        <v>87</v>
      </c>
      <c r="C65" s="22" t="str">
        <f>IFERROR(VLOOKUP($B65,'CEPA Summary sheet'!$B$5:$S$93,4,),)</f>
        <v/>
      </c>
      <c r="D65" s="22" t="str">
        <f>IFERROR(VLOOKUP($B65,'CEPA Summary sheet'!$B$5:$S$93,5,),)</f>
        <v/>
      </c>
      <c r="E65" s="23" t="str">
        <f t="shared" si="1"/>
        <v>-</v>
      </c>
      <c r="F65" s="22" t="str">
        <f>IFERROR(VLOOKUP($B65,'CEPA Summary sheet'!$B$5:$S$93,6,),)</f>
        <v/>
      </c>
      <c r="G65" s="22" t="str">
        <f>IFERROR(VLOOKUP($B65,'CEPA Summary sheet'!$B$5:$S$93,7,),)</f>
        <v/>
      </c>
      <c r="H65" s="23" t="str">
        <f t="shared" si="2"/>
        <v>-</v>
      </c>
      <c r="I65" s="22" t="str">
        <f>IFERROR(VLOOKUP($B65,'CEPA Summary sheet'!$B$5:$S$93,8,),)</f>
        <v/>
      </c>
      <c r="J65" s="22" t="str">
        <f>IFERROR(VLOOKUP($B65,'CEPA Summary sheet'!$B$5:$S$93,9,),)</f>
        <v/>
      </c>
      <c r="K65" s="23" t="str">
        <f t="shared" si="3"/>
        <v>-</v>
      </c>
      <c r="L65" s="24" t="str">
        <f>IFERROR(VLOOKUP('ComCom refined - 2009 - 14'!$B65,'CEPA Rating&amp;Leverage'!$B$5:$F$93,4,),"")</f>
        <v/>
      </c>
      <c r="M65" s="82"/>
    </row>
    <row r="66" spans="2:13" ht="17.25" x14ac:dyDescent="0.25">
      <c r="B66" s="41" t="s">
        <v>88</v>
      </c>
      <c r="C66" s="22">
        <f>IFERROR(VLOOKUP($B66,'CEPA Summary sheet'!$B$5:$S$93,4,),)</f>
        <v>4.602663314132515E-2</v>
      </c>
      <c r="D66" s="22">
        <f>IFERROR(VLOOKUP($B66,'CEPA Summary sheet'!$B$5:$S$93,5,),)</f>
        <v>0.18678209689773506</v>
      </c>
      <c r="E66" s="23">
        <f t="shared" si="1"/>
        <v>3.4887551721514892E-2</v>
      </c>
      <c r="F66" s="22">
        <f>IFERROR(VLOOKUP($B66,'CEPA Summary sheet'!$B$5:$S$93,6,),)</f>
        <v>0.20335058761215902</v>
      </c>
      <c r="G66" s="22">
        <f>IFERROR(VLOOKUP($B66,'CEPA Summary sheet'!$B$5:$S$93,7,),)</f>
        <v>8.6777723656986605E-2</v>
      </c>
      <c r="H66" s="23">
        <f t="shared" si="2"/>
        <v>7.5303733230883329E-3</v>
      </c>
      <c r="I66" s="22">
        <f>IFERROR(VLOOKUP($B66,'CEPA Summary sheet'!$B$5:$S$93,8,),)</f>
        <v>0.20018443318101412</v>
      </c>
      <c r="J66" s="22">
        <f>IFERROR(VLOOKUP($B66,'CEPA Summary sheet'!$B$5:$S$93,9,),)</f>
        <v>4.6084924554038988E-2</v>
      </c>
      <c r="K66" s="23">
        <f t="shared" si="3"/>
        <v>2.1238202711514657E-3</v>
      </c>
      <c r="L66" s="24">
        <f>IFERROR(VLOOKUP('ComCom refined - 2009 - 14'!$B66,'CEPA Rating&amp;Leverage'!$B$5:$F$93,4,),"")</f>
        <v>0.411164237708674</v>
      </c>
      <c r="M66" s="82"/>
    </row>
    <row r="67" spans="2:13" ht="17.25" x14ac:dyDescent="0.25">
      <c r="B67" s="41" t="s">
        <v>89</v>
      </c>
      <c r="C67" s="22" t="str">
        <f>IFERROR(VLOOKUP($B67,'CEPA Summary sheet'!$B$5:$S$93,4,),)</f>
        <v/>
      </c>
      <c r="D67" s="22" t="str">
        <f>IFERROR(VLOOKUP($B67,'CEPA Summary sheet'!$B$5:$S$93,5,),)</f>
        <v/>
      </c>
      <c r="E67" s="23" t="str">
        <f t="shared" si="1"/>
        <v>-</v>
      </c>
      <c r="F67" s="22" t="str">
        <f>IFERROR(VLOOKUP($B67,'CEPA Summary sheet'!$B$5:$S$93,6,),)</f>
        <v/>
      </c>
      <c r="G67" s="22" t="str">
        <f>IFERROR(VLOOKUP($B67,'CEPA Summary sheet'!$B$5:$S$93,7,),)</f>
        <v/>
      </c>
      <c r="H67" s="23" t="str">
        <f t="shared" si="2"/>
        <v>-</v>
      </c>
      <c r="I67" s="22" t="str">
        <f>IFERROR(VLOOKUP($B67,'CEPA Summary sheet'!$B$5:$S$93,8,),)</f>
        <v/>
      </c>
      <c r="J67" s="22" t="str">
        <f>IFERROR(VLOOKUP($B67,'CEPA Summary sheet'!$B$5:$S$93,9,),)</f>
        <v/>
      </c>
      <c r="K67" s="23" t="str">
        <f t="shared" si="3"/>
        <v>-</v>
      </c>
      <c r="L67" s="24" t="str">
        <f>IFERROR(VLOOKUP('ComCom refined - 2009 - 14'!$B67,'CEPA Rating&amp;Leverage'!$B$5:$F$93,4,),"")</f>
        <v/>
      </c>
      <c r="M67" s="82"/>
    </row>
    <row r="68" spans="2:13" ht="17.25" x14ac:dyDescent="0.25">
      <c r="B68" s="41" t="s">
        <v>90</v>
      </c>
      <c r="C68" s="22">
        <f>IFERROR(VLOOKUP($B68,'CEPA Summary sheet'!$B$5:$S$93,4,),)</f>
        <v>0.44661940207151041</v>
      </c>
      <c r="D68" s="22">
        <f>IFERROR(VLOOKUP($B68,'CEPA Summary sheet'!$B$5:$S$93,5,),)</f>
        <v>9.6115716834741363E-2</v>
      </c>
      <c r="E68" s="23">
        <f t="shared" si="1"/>
        <v>9.2382310226561837E-3</v>
      </c>
      <c r="F68" s="22">
        <f>IFERROR(VLOOKUP($B68,'CEPA Summary sheet'!$B$5:$S$93,6,),)</f>
        <v>0.48262352070514447</v>
      </c>
      <c r="G68" s="22">
        <f>IFERROR(VLOOKUP($B68,'CEPA Summary sheet'!$B$5:$S$93,7,),)</f>
        <v>4.7961756515645028E-2</v>
      </c>
      <c r="H68" s="23">
        <f t="shared" si="2"/>
        <v>2.3003300880660182E-3</v>
      </c>
      <c r="I68" s="22">
        <f>IFERROR(VLOOKUP($B68,'CEPA Summary sheet'!$B$5:$S$93,8,),)</f>
        <v>0.55489765835302274</v>
      </c>
      <c r="J68" s="22">
        <f>IFERROR(VLOOKUP($B68,'CEPA Summary sheet'!$B$5:$S$93,9,),)</f>
        <v>2.3197968139606683E-2</v>
      </c>
      <c r="K68" s="23">
        <f t="shared" si="3"/>
        <v>5.3814572580620677E-4</v>
      </c>
      <c r="L68" s="24">
        <f>IFERROR(VLOOKUP('ComCom refined - 2009 - 14'!$B68,'CEPA Rating&amp;Leverage'!$B$5:$F$93,4,),"")</f>
        <v>0.2621176205260321</v>
      </c>
      <c r="M68" s="82"/>
    </row>
    <row r="69" spans="2:13" ht="17.25" x14ac:dyDescent="0.25">
      <c r="B69" s="41" t="s">
        <v>91</v>
      </c>
      <c r="C69" s="22">
        <f>IFERROR(VLOOKUP($B69,'CEPA Summary sheet'!$B$5:$S$93,4,),)</f>
        <v>0.57660415401189258</v>
      </c>
      <c r="D69" s="22">
        <f>IFERROR(VLOOKUP($B69,'CEPA Summary sheet'!$B$5:$S$93,5,),)</f>
        <v>0.11799063237483999</v>
      </c>
      <c r="E69" s="23">
        <f t="shared" si="1"/>
        <v>1.3921789328214638E-2</v>
      </c>
      <c r="F69" s="22">
        <f>IFERROR(VLOOKUP($B69,'CEPA Summary sheet'!$B$5:$S$93,6,),)</f>
        <v>0.67060104142366883</v>
      </c>
      <c r="G69" s="22">
        <f>IFERROR(VLOOKUP($B69,'CEPA Summary sheet'!$B$5:$S$93,7,),)</f>
        <v>6.2332547431859016E-2</v>
      </c>
      <c r="H69" s="23">
        <f t="shared" si="2"/>
        <v>3.885346469344954E-3</v>
      </c>
      <c r="I69" s="22">
        <f>IFERROR(VLOOKUP($B69,'CEPA Summary sheet'!$B$5:$S$93,8,),)</f>
        <v>0.77716821164729954</v>
      </c>
      <c r="J69" s="22">
        <f>IFERROR(VLOOKUP($B69,'CEPA Summary sheet'!$B$5:$S$93,9,),)</f>
        <v>2.8986190865960978E-2</v>
      </c>
      <c r="K69" s="23">
        <f t="shared" si="3"/>
        <v>8.4019926091791967E-4</v>
      </c>
      <c r="L69" s="24">
        <f>IFERROR(VLOOKUP('ComCom refined - 2009 - 14'!$B69,'CEPA Rating&amp;Leverage'!$B$5:$F$93,4,),"")</f>
        <v>0.10543745040707075</v>
      </c>
      <c r="M69" s="82"/>
    </row>
    <row r="70" spans="2:13" ht="17.25" x14ac:dyDescent="0.25">
      <c r="B70" s="41" t="s">
        <v>92</v>
      </c>
      <c r="C70" s="22">
        <f>IFERROR(VLOOKUP($B70,'CEPA Summary sheet'!$B$5:$S$93,4,),)</f>
        <v>0.54895289138286529</v>
      </c>
      <c r="D70" s="22">
        <f>IFERROR(VLOOKUP($B70,'CEPA Summary sheet'!$B$5:$S$93,5,),)</f>
        <v>9.3994617110715467E-2</v>
      </c>
      <c r="E70" s="23">
        <f t="shared" si="1"/>
        <v>8.8349880457900057E-3</v>
      </c>
      <c r="F70" s="22">
        <f>IFERROR(VLOOKUP($B70,'CEPA Summary sheet'!$B$5:$S$93,6,),)</f>
        <v>0.52298661755387732</v>
      </c>
      <c r="G70" s="22">
        <f>IFERROR(VLOOKUP($B70,'CEPA Summary sheet'!$B$5:$S$93,7,),)</f>
        <v>4.3727084585953119E-2</v>
      </c>
      <c r="H70" s="23">
        <f t="shared" si="2"/>
        <v>1.9120579263870988E-3</v>
      </c>
      <c r="I70" s="22">
        <f>IFERROR(VLOOKUP($B70,'CEPA Summary sheet'!$B$5:$S$93,8,),)</f>
        <v>0.51008630116407083</v>
      </c>
      <c r="J70" s="22">
        <f>IFERROR(VLOOKUP($B70,'CEPA Summary sheet'!$B$5:$S$93,9,),)</f>
        <v>1.9147636102070074E-2</v>
      </c>
      <c r="K70" s="23">
        <f t="shared" si="3"/>
        <v>3.6663196829729724E-4</v>
      </c>
      <c r="L70" s="24">
        <f>IFERROR(VLOOKUP('ComCom refined - 2009 - 14'!$B70,'CEPA Rating&amp;Leverage'!$B$5:$F$93,4,),"")</f>
        <v>0.53845110385258388</v>
      </c>
      <c r="M70" s="82"/>
    </row>
    <row r="71" spans="2:13" ht="17.25" x14ac:dyDescent="0.25">
      <c r="B71" s="41" t="s">
        <v>93</v>
      </c>
      <c r="C71" s="22">
        <f>IFERROR(VLOOKUP($B71,'CEPA Summary sheet'!$B$5:$S$93,4,),)</f>
        <v>0.28958381465452521</v>
      </c>
      <c r="D71" s="22">
        <f>IFERROR(VLOOKUP($B71,'CEPA Summary sheet'!$B$5:$S$93,5,),)</f>
        <v>8.7208295054803112E-2</v>
      </c>
      <c r="E71" s="23">
        <f t="shared" ref="E71:E86" si="6">IFERROR(D71^2,"-")</f>
        <v>7.6052867263655972E-3</v>
      </c>
      <c r="F71" s="22">
        <f>IFERROR(VLOOKUP($B71,'CEPA Summary sheet'!$B$5:$S$93,6,),)</f>
        <v>0.31546588132381326</v>
      </c>
      <c r="G71" s="22">
        <f>IFERROR(VLOOKUP($B71,'CEPA Summary sheet'!$B$5:$S$93,7,),)</f>
        <v>3.9980097718110036E-2</v>
      </c>
      <c r="H71" s="23">
        <f t="shared" ref="H71:H86" si="7">IFERROR(G71^2,"-")</f>
        <v>1.5984082135496274E-3</v>
      </c>
      <c r="I71" s="22">
        <f>IFERROR(VLOOKUP($B71,'CEPA Summary sheet'!$B$5:$S$93,8,),)</f>
        <v>0.34564702410121689</v>
      </c>
      <c r="J71" s="22">
        <f>IFERROR(VLOOKUP($B71,'CEPA Summary sheet'!$B$5:$S$93,9,),)</f>
        <v>2.067533388824026E-2</v>
      </c>
      <c r="K71" s="23">
        <f t="shared" ref="K71:K86" si="8">IFERROR(J71^2,"-")</f>
        <v>4.2746943139021612E-4</v>
      </c>
      <c r="L71" s="24">
        <f>IFERROR(VLOOKUP('ComCom refined - 2009 - 14'!$B71,'CEPA Rating&amp;Leverage'!$B$5:$F$93,4,),"")</f>
        <v>0.30465766874499955</v>
      </c>
      <c r="M71" s="82"/>
    </row>
    <row r="72" spans="2:13" ht="17.25" x14ac:dyDescent="0.25">
      <c r="B72" s="41" t="s">
        <v>94</v>
      </c>
      <c r="C72" s="22" t="str">
        <f>IFERROR(VLOOKUP($B72,'CEPA Summary sheet'!$B$5:$S$93,4,),)</f>
        <v/>
      </c>
      <c r="D72" s="22" t="str">
        <f>IFERROR(VLOOKUP($B72,'CEPA Summary sheet'!$B$5:$S$93,5,),)</f>
        <v/>
      </c>
      <c r="E72" s="23" t="str">
        <f t="shared" si="6"/>
        <v>-</v>
      </c>
      <c r="F72" s="22" t="str">
        <f>IFERROR(VLOOKUP($B72,'CEPA Summary sheet'!$B$5:$S$93,6,),)</f>
        <v/>
      </c>
      <c r="G72" s="22" t="str">
        <f>IFERROR(VLOOKUP($B72,'CEPA Summary sheet'!$B$5:$S$93,7,),)</f>
        <v/>
      </c>
      <c r="H72" s="23" t="str">
        <f t="shared" si="7"/>
        <v>-</v>
      </c>
      <c r="I72" s="22" t="str">
        <f>IFERROR(VLOOKUP($B72,'CEPA Summary sheet'!$B$5:$S$93,8,),)</f>
        <v/>
      </c>
      <c r="J72" s="22" t="str">
        <f>IFERROR(VLOOKUP($B72,'CEPA Summary sheet'!$B$5:$S$93,9,),)</f>
        <v/>
      </c>
      <c r="K72" s="23" t="str">
        <f t="shared" si="8"/>
        <v>-</v>
      </c>
      <c r="L72" s="24" t="str">
        <f>IFERROR(VLOOKUP('ComCom refined - 2009 - 14'!$B72,'CEPA Rating&amp;Leverage'!$B$5:$F$93,4,),"")</f>
        <v/>
      </c>
      <c r="M72" s="82"/>
    </row>
    <row r="73" spans="2:13" ht="17.25" x14ac:dyDescent="0.25">
      <c r="B73" s="41" t="s">
        <v>95</v>
      </c>
      <c r="C73" s="22">
        <f>IFERROR(VLOOKUP($B73,'CEPA Summary sheet'!$B$5:$S$93,4,),)</f>
        <v>0.29299537265712666</v>
      </c>
      <c r="D73" s="22">
        <f>IFERROR(VLOOKUP($B73,'CEPA Summary sheet'!$B$5:$S$93,5,),)</f>
        <v>0.11178761510255515</v>
      </c>
      <c r="E73" s="23">
        <f t="shared" si="6"/>
        <v>1.2496470890317017E-2</v>
      </c>
      <c r="F73" s="22">
        <f>IFERROR(VLOOKUP($B73,'CEPA Summary sheet'!$B$5:$S$93,6,),)</f>
        <v>0.24105005055164525</v>
      </c>
      <c r="G73" s="22">
        <f>IFERROR(VLOOKUP($B73,'CEPA Summary sheet'!$B$5:$S$93,7,),)</f>
        <v>5.210710105735223E-2</v>
      </c>
      <c r="H73" s="23">
        <f t="shared" si="7"/>
        <v>2.7151499806011177E-3</v>
      </c>
      <c r="I73" s="22">
        <f>IFERROR(VLOOKUP($B73,'CEPA Summary sheet'!$B$5:$S$93,8,),)</f>
        <v>0.26782555994511331</v>
      </c>
      <c r="J73" s="22">
        <f>IFERROR(VLOOKUP($B73,'CEPA Summary sheet'!$B$5:$S$93,9,),)</f>
        <v>2.6974164473949059E-2</v>
      </c>
      <c r="K73" s="23">
        <f t="shared" si="8"/>
        <v>7.2760554906765547E-4</v>
      </c>
      <c r="L73" s="24">
        <f>IFERROR(VLOOKUP('ComCom refined - 2009 - 14'!$B73,'CEPA Rating&amp;Leverage'!$B$5:$F$93,4,),"")</f>
        <v>0.46893315532636515</v>
      </c>
      <c r="M73" s="82"/>
    </row>
    <row r="74" spans="2:13" ht="17.25" x14ac:dyDescent="0.25">
      <c r="B74" s="41" t="s">
        <v>96</v>
      </c>
      <c r="C74" s="22" t="str">
        <f>IFERROR(VLOOKUP($B74,'CEPA Summary sheet'!$B$5:$S$93,4,),)</f>
        <v/>
      </c>
      <c r="D74" s="22" t="str">
        <f>IFERROR(VLOOKUP($B74,'CEPA Summary sheet'!$B$5:$S$93,5,),)</f>
        <v/>
      </c>
      <c r="E74" s="23" t="str">
        <f t="shared" si="6"/>
        <v>-</v>
      </c>
      <c r="F74" s="22" t="str">
        <f>IFERROR(VLOOKUP($B74,'CEPA Summary sheet'!$B$5:$S$93,6,),)</f>
        <v/>
      </c>
      <c r="G74" s="22" t="str">
        <f>IFERROR(VLOOKUP($B74,'CEPA Summary sheet'!$B$5:$S$93,7,),)</f>
        <v/>
      </c>
      <c r="H74" s="23" t="str">
        <f t="shared" si="7"/>
        <v>-</v>
      </c>
      <c r="I74" s="22" t="str">
        <f>IFERROR(VLOOKUP($B74,'CEPA Summary sheet'!$B$5:$S$93,8,),)</f>
        <v/>
      </c>
      <c r="J74" s="22" t="str">
        <f>IFERROR(VLOOKUP($B74,'CEPA Summary sheet'!$B$5:$S$93,9,),)</f>
        <v/>
      </c>
      <c r="K74" s="23" t="str">
        <f t="shared" si="8"/>
        <v>-</v>
      </c>
      <c r="L74" s="24" t="str">
        <f>IFERROR(VLOOKUP('ComCom refined - 2009 - 14'!$B74,'CEPA Rating&amp;Leverage'!$B$5:$F$93,4,),"")</f>
        <v/>
      </c>
      <c r="M74" s="82"/>
    </row>
    <row r="75" spans="2:13" ht="17.25" x14ac:dyDescent="0.25">
      <c r="B75" s="41" t="s">
        <v>97</v>
      </c>
      <c r="C75" s="22" t="str">
        <f>IFERROR(VLOOKUP($B75,'CEPA Summary sheet'!$B$5:$S$93,4,),)</f>
        <v/>
      </c>
      <c r="D75" s="22" t="str">
        <f>IFERROR(VLOOKUP($B75,'CEPA Summary sheet'!$B$5:$S$93,5,),)</f>
        <v/>
      </c>
      <c r="E75" s="23" t="str">
        <f t="shared" si="6"/>
        <v>-</v>
      </c>
      <c r="F75" s="22" t="str">
        <f>IFERROR(VLOOKUP($B75,'CEPA Summary sheet'!$B$5:$S$93,6,),)</f>
        <v/>
      </c>
      <c r="G75" s="22" t="str">
        <f>IFERROR(VLOOKUP($B75,'CEPA Summary sheet'!$B$5:$S$93,7,),)</f>
        <v/>
      </c>
      <c r="H75" s="23" t="str">
        <f t="shared" si="7"/>
        <v>-</v>
      </c>
      <c r="I75" s="22" t="str">
        <f>IFERROR(VLOOKUP($B75,'CEPA Summary sheet'!$B$5:$S$93,8,),)</f>
        <v/>
      </c>
      <c r="J75" s="22" t="str">
        <f>IFERROR(VLOOKUP($B75,'CEPA Summary sheet'!$B$5:$S$93,9,),)</f>
        <v/>
      </c>
      <c r="K75" s="23" t="str">
        <f t="shared" si="8"/>
        <v>-</v>
      </c>
      <c r="L75" s="24" t="str">
        <f>IFERROR(VLOOKUP('ComCom refined - 2009 - 14'!$B75,'CEPA Rating&amp;Leverage'!$B$5:$F$93,4,),"")</f>
        <v/>
      </c>
      <c r="M75" s="82"/>
    </row>
    <row r="76" spans="2:13" ht="17.25" x14ac:dyDescent="0.25">
      <c r="B76" s="41" t="s">
        <v>98</v>
      </c>
      <c r="C76" s="22" t="str">
        <f>IFERROR(VLOOKUP($B76,'CEPA Summary sheet'!$B$5:$S$93,4,),)</f>
        <v/>
      </c>
      <c r="D76" s="22" t="str">
        <f>IFERROR(VLOOKUP($B76,'CEPA Summary sheet'!$B$5:$S$93,5,),)</f>
        <v/>
      </c>
      <c r="E76" s="23" t="str">
        <f t="shared" si="6"/>
        <v>-</v>
      </c>
      <c r="F76" s="22" t="str">
        <f>IFERROR(VLOOKUP($B76,'CEPA Summary sheet'!$B$5:$S$93,6,),)</f>
        <v/>
      </c>
      <c r="G76" s="22" t="str">
        <f>IFERROR(VLOOKUP($B76,'CEPA Summary sheet'!$B$5:$S$93,7,),)</f>
        <v/>
      </c>
      <c r="H76" s="23" t="str">
        <f t="shared" si="7"/>
        <v>-</v>
      </c>
      <c r="I76" s="22" t="str">
        <f>IFERROR(VLOOKUP($B76,'CEPA Summary sheet'!$B$5:$S$93,8,),)</f>
        <v/>
      </c>
      <c r="J76" s="22" t="str">
        <f>IFERROR(VLOOKUP($B76,'CEPA Summary sheet'!$B$5:$S$93,9,),)</f>
        <v/>
      </c>
      <c r="K76" s="23" t="str">
        <f t="shared" si="8"/>
        <v>-</v>
      </c>
      <c r="L76" s="24" t="str">
        <f>IFERROR(VLOOKUP('ComCom refined - 2009 - 14'!$B76,'CEPA Rating&amp;Leverage'!$B$5:$F$93,4,),"")</f>
        <v/>
      </c>
      <c r="M76" s="82"/>
    </row>
    <row r="77" spans="2:13" ht="17.25" x14ac:dyDescent="0.25">
      <c r="B77" s="41" t="s">
        <v>99</v>
      </c>
      <c r="C77" s="22">
        <f>IFERROR(VLOOKUP($B77,'CEPA Summary sheet'!$B$5:$S$93,4,),)</f>
        <v>0.52710467299396058</v>
      </c>
      <c r="D77" s="22">
        <f>IFERROR(VLOOKUP($B77,'CEPA Summary sheet'!$B$5:$S$93,5,),)</f>
        <v>0.10327627614905656</v>
      </c>
      <c r="E77" s="23">
        <f t="shared" si="6"/>
        <v>1.0665989215216189E-2</v>
      </c>
      <c r="F77" s="22">
        <f>IFERROR(VLOOKUP($B77,'CEPA Summary sheet'!$B$5:$S$93,6,),)</f>
        <v>0.49494300660684465</v>
      </c>
      <c r="G77" s="22">
        <f>IFERROR(VLOOKUP($B77,'CEPA Summary sheet'!$B$5:$S$93,7,),)</f>
        <v>5.3511298989869553E-2</v>
      </c>
      <c r="H77" s="23">
        <f t="shared" si="7"/>
        <v>2.863459119583214E-3</v>
      </c>
      <c r="I77" s="22">
        <f>IFERROR(VLOOKUP($B77,'CEPA Summary sheet'!$B$5:$S$93,8,),)</f>
        <v>0.46507261002730604</v>
      </c>
      <c r="J77" s="22">
        <f>IFERROR(VLOOKUP($B77,'CEPA Summary sheet'!$B$5:$S$93,9,),)</f>
        <v>2.3351039628818848E-2</v>
      </c>
      <c r="K77" s="23">
        <f t="shared" si="8"/>
        <v>5.4527105174666832E-4</v>
      </c>
      <c r="L77" s="24">
        <f>IFERROR(VLOOKUP('ComCom refined - 2009 - 14'!$B77,'CEPA Rating&amp;Leverage'!$B$5:$F$93,4,),"")</f>
        <v>0.57715921433468731</v>
      </c>
      <c r="M77" s="82"/>
    </row>
    <row r="78" spans="2:13" ht="17.25" x14ac:dyDescent="0.25">
      <c r="B78" s="41" t="s">
        <v>100</v>
      </c>
      <c r="C78" s="22">
        <f>IFERROR(VLOOKUP($B78,'CEPA Summary sheet'!$B$5:$S$93,4,),)</f>
        <v>0.24035241723941322</v>
      </c>
      <c r="D78" s="22">
        <f>IFERROR(VLOOKUP($B78,'CEPA Summary sheet'!$B$5:$S$93,5,),)</f>
        <v>0.10210862389267833</v>
      </c>
      <c r="E78" s="23">
        <f t="shared" si="6"/>
        <v>1.0426171073256441E-2</v>
      </c>
      <c r="F78" s="22">
        <f>IFERROR(VLOOKUP($B78,'CEPA Summary sheet'!$B$5:$S$93,6,),)</f>
        <v>0.26141497589616453</v>
      </c>
      <c r="G78" s="22">
        <f>IFERROR(VLOOKUP($B78,'CEPA Summary sheet'!$B$5:$S$93,7,),)</f>
        <v>4.8049928638612023E-2</v>
      </c>
      <c r="H78" s="23">
        <f t="shared" si="7"/>
        <v>2.3087956421757078E-3</v>
      </c>
      <c r="I78" s="22">
        <f>IFERROR(VLOOKUP($B78,'CEPA Summary sheet'!$B$5:$S$93,8,),)</f>
        <v>0.28346350627735628</v>
      </c>
      <c r="J78" s="22">
        <f>IFERROR(VLOOKUP($B78,'CEPA Summary sheet'!$B$5:$S$93,9,),)</f>
        <v>2.3749384070990337E-2</v>
      </c>
      <c r="K78" s="23">
        <f t="shared" si="8"/>
        <v>5.640332437514096E-4</v>
      </c>
      <c r="L78" s="24">
        <f>IFERROR(VLOOKUP('ComCom refined - 2009 - 14'!$B78,'CEPA Rating&amp;Leverage'!$B$5:$F$93,4,),"")</f>
        <v>0.37093076001490366</v>
      </c>
      <c r="M78" s="82"/>
    </row>
    <row r="79" spans="2:13" ht="17.25" x14ac:dyDescent="0.25">
      <c r="B79" s="41" t="s">
        <v>101</v>
      </c>
      <c r="C79" s="22">
        <f>IFERROR(VLOOKUP($B79,'CEPA Summary sheet'!$B$5:$S$93,4,),)</f>
        <v>0.38052682228984624</v>
      </c>
      <c r="D79" s="22">
        <f>IFERROR(VLOOKUP($B79,'CEPA Summary sheet'!$B$5:$S$93,5,),)</f>
        <v>0.11077226185880176</v>
      </c>
      <c r="E79" s="23">
        <f t="shared" si="6"/>
        <v>1.2270493997314948E-2</v>
      </c>
      <c r="F79" s="22">
        <f>IFERROR(VLOOKUP($B79,'CEPA Summary sheet'!$B$5:$S$93,6,),)</f>
        <v>0.34336663220915692</v>
      </c>
      <c r="G79" s="22">
        <f>IFERROR(VLOOKUP($B79,'CEPA Summary sheet'!$B$5:$S$93,7,),)</f>
        <v>5.5699425960488651E-2</v>
      </c>
      <c r="H79" s="23">
        <f t="shared" si="7"/>
        <v>3.1024260523279572E-3</v>
      </c>
      <c r="I79" s="22">
        <f>IFERROR(VLOOKUP($B79,'CEPA Summary sheet'!$B$5:$S$93,8,),)</f>
        <v>0.41903785697671753</v>
      </c>
      <c r="J79" s="22">
        <f>IFERROR(VLOOKUP($B79,'CEPA Summary sheet'!$B$5:$S$93,9,),)</f>
        <v>2.7367755386433414E-2</v>
      </c>
      <c r="K79" s="23">
        <f t="shared" si="8"/>
        <v>7.4899403489165511E-4</v>
      </c>
      <c r="L79" s="24">
        <f>IFERROR(VLOOKUP('ComCom refined - 2009 - 14'!$B79,'CEPA Rating&amp;Leverage'!$B$5:$F$93,4,),"")</f>
        <v>0.26691971050892427</v>
      </c>
      <c r="M79" s="82"/>
    </row>
    <row r="80" spans="2:13" ht="17.25" x14ac:dyDescent="0.25">
      <c r="B80" s="41" t="s">
        <v>102</v>
      </c>
      <c r="C80" s="22" t="str">
        <f>IFERROR(VLOOKUP($B80,'CEPA Summary sheet'!$B$5:$S$93,4,),)</f>
        <v/>
      </c>
      <c r="D80" s="22" t="str">
        <f>IFERROR(VLOOKUP($B80,'CEPA Summary sheet'!$B$5:$S$93,5,),)</f>
        <v/>
      </c>
      <c r="E80" s="23" t="str">
        <f t="shared" si="6"/>
        <v>-</v>
      </c>
      <c r="F80" s="22" t="str">
        <f>IFERROR(VLOOKUP($B80,'CEPA Summary sheet'!$B$5:$S$93,6,),)</f>
        <v/>
      </c>
      <c r="G80" s="22" t="str">
        <f>IFERROR(VLOOKUP($B80,'CEPA Summary sheet'!$B$5:$S$93,7,),)</f>
        <v/>
      </c>
      <c r="H80" s="23" t="str">
        <f t="shared" si="7"/>
        <v>-</v>
      </c>
      <c r="I80" s="22" t="str">
        <f>IFERROR(VLOOKUP($B80,'CEPA Summary sheet'!$B$5:$S$93,8,),)</f>
        <v/>
      </c>
      <c r="J80" s="22" t="str">
        <f>IFERROR(VLOOKUP($B80,'CEPA Summary sheet'!$B$5:$S$93,9,),)</f>
        <v/>
      </c>
      <c r="K80" s="23" t="str">
        <f t="shared" si="8"/>
        <v>-</v>
      </c>
      <c r="L80" s="24" t="str">
        <f>IFERROR(VLOOKUP('ComCom refined - 2009 - 14'!$B80,'CEPA Rating&amp;Leverage'!$B$5:$F$93,4,),"")</f>
        <v/>
      </c>
      <c r="M80" s="82"/>
    </row>
    <row r="81" spans="2:13" ht="17.25" x14ac:dyDescent="0.25">
      <c r="B81" s="41" t="s">
        <v>103</v>
      </c>
      <c r="C81" s="22">
        <f>IFERROR(VLOOKUP($B81,'CEPA Summary sheet'!$B$5:$S$93,4,),)</f>
        <v>0.66990457856525809</v>
      </c>
      <c r="D81" s="22">
        <f>IFERROR(VLOOKUP($B81,'CEPA Summary sheet'!$B$5:$S$93,5,),)</f>
        <v>9.4383361623694054E-2</v>
      </c>
      <c r="E81" s="23">
        <f t="shared" si="6"/>
        <v>8.908218951389003E-3</v>
      </c>
      <c r="F81" s="22">
        <f>IFERROR(VLOOKUP($B81,'CEPA Summary sheet'!$B$5:$S$93,6,),)</f>
        <v>0.68811711557680755</v>
      </c>
      <c r="G81" s="22">
        <f>IFERROR(VLOOKUP($B81,'CEPA Summary sheet'!$B$5:$S$93,7,),)</f>
        <v>5.3573755446379948E-2</v>
      </c>
      <c r="H81" s="23">
        <f t="shared" si="7"/>
        <v>2.8701472726285252E-3</v>
      </c>
      <c r="I81" s="22">
        <f>IFERROR(VLOOKUP($B81,'CEPA Summary sheet'!$B$5:$S$93,8,),)</f>
        <v>0.76118032555291393</v>
      </c>
      <c r="J81" s="22">
        <f>IFERROR(VLOOKUP($B81,'CEPA Summary sheet'!$B$5:$S$93,9,),)</f>
        <v>2.6320015696488612E-2</v>
      </c>
      <c r="K81" s="23">
        <f t="shared" si="8"/>
        <v>6.9274322626340689E-4</v>
      </c>
      <c r="L81" s="24">
        <f>IFERROR(VLOOKUP('ComCom refined - 2009 - 14'!$B81,'CEPA Rating&amp;Leverage'!$B$5:$F$93,4,),"")</f>
        <v>0.13142834600385225</v>
      </c>
      <c r="M81" s="82"/>
    </row>
    <row r="82" spans="2:13" ht="17.25" x14ac:dyDescent="0.25">
      <c r="B82" s="41" t="s">
        <v>104</v>
      </c>
      <c r="C82" s="22">
        <f>IFERROR(VLOOKUP($B82,'CEPA Summary sheet'!$B$5:$S$93,4,),)</f>
        <v>0.46483297446793692</v>
      </c>
      <c r="D82" s="22">
        <f>IFERROR(VLOOKUP($B82,'CEPA Summary sheet'!$B$5:$S$93,5,),)</f>
        <v>0.1710101232658966</v>
      </c>
      <c r="E82" s="23">
        <f t="shared" si="6"/>
        <v>2.924446225941715E-2</v>
      </c>
      <c r="F82" s="22">
        <f>IFERROR(VLOOKUP($B82,'CEPA Summary sheet'!$B$5:$S$93,6,),)</f>
        <v>0.46313354808268786</v>
      </c>
      <c r="G82" s="22">
        <f>IFERROR(VLOOKUP($B82,'CEPA Summary sheet'!$B$5:$S$93,7,),)</f>
        <v>8.2871334143429454E-2</v>
      </c>
      <c r="H82" s="23">
        <f t="shared" si="7"/>
        <v>6.8676580227119361E-3</v>
      </c>
      <c r="I82" s="22">
        <f>IFERROR(VLOOKUP($B82,'CEPA Summary sheet'!$B$5:$S$93,8,),)</f>
        <v>0.52287646368842799</v>
      </c>
      <c r="J82" s="22">
        <f>IFERROR(VLOOKUP($B82,'CEPA Summary sheet'!$B$5:$S$93,9,),)</f>
        <v>4.0568418131085623E-2</v>
      </c>
      <c r="K82" s="23">
        <f t="shared" si="8"/>
        <v>1.6457965496585968E-3</v>
      </c>
      <c r="L82" s="24">
        <f>IFERROR(VLOOKUP('ComCom refined - 2009 - 14'!$B82,'CEPA Rating&amp;Leverage'!$B$5:$F$93,4,),"")</f>
        <v>9.9039994692164027E-2</v>
      </c>
      <c r="M82" s="82"/>
    </row>
    <row r="83" spans="2:13" ht="17.25" x14ac:dyDescent="0.25">
      <c r="B83" s="41" t="s">
        <v>105</v>
      </c>
      <c r="C83" s="22" t="str">
        <f>IFERROR(VLOOKUP($B83,'CEPA Summary sheet'!$B$5:$S$93,4,),)</f>
        <v/>
      </c>
      <c r="D83" s="22" t="str">
        <f>IFERROR(VLOOKUP($B83,'CEPA Summary sheet'!$B$5:$S$93,5,),)</f>
        <v/>
      </c>
      <c r="E83" s="23" t="str">
        <f t="shared" si="6"/>
        <v>-</v>
      </c>
      <c r="F83" s="22" t="str">
        <f>IFERROR(VLOOKUP($B83,'CEPA Summary sheet'!$B$5:$S$93,6,),)</f>
        <v/>
      </c>
      <c r="G83" s="22" t="str">
        <f>IFERROR(VLOOKUP($B83,'CEPA Summary sheet'!$B$5:$S$93,7,),)</f>
        <v/>
      </c>
      <c r="H83" s="23" t="str">
        <f t="shared" si="7"/>
        <v>-</v>
      </c>
      <c r="I83" s="22" t="str">
        <f>IFERROR(VLOOKUP($B83,'CEPA Summary sheet'!$B$5:$S$93,8,),)</f>
        <v/>
      </c>
      <c r="J83" s="22" t="str">
        <f>IFERROR(VLOOKUP($B83,'CEPA Summary sheet'!$B$5:$S$93,9,),)</f>
        <v/>
      </c>
      <c r="K83" s="23" t="str">
        <f t="shared" si="8"/>
        <v>-</v>
      </c>
      <c r="L83" s="24" t="str">
        <f>IFERROR(VLOOKUP('ComCom refined - 2009 - 14'!$B83,'CEPA Rating&amp;Leverage'!$B$5:$F$93,4,),"")</f>
        <v/>
      </c>
      <c r="M83" s="82"/>
    </row>
    <row r="84" spans="2:13" ht="17.25" x14ac:dyDescent="0.25">
      <c r="B84" s="41" t="s">
        <v>247</v>
      </c>
      <c r="C84" s="22">
        <f>IFERROR(VLOOKUP($B84,'CEPA Summary sheet'!$B$5:$S$93,4,),)</f>
        <v>0.50182335829385427</v>
      </c>
      <c r="D84" s="22">
        <f>IFERROR(VLOOKUP($B84,'CEPA Summary sheet'!$B$5:$S$93,5,),)</f>
        <v>6.8827610981411005E-2</v>
      </c>
      <c r="E84" s="23">
        <f t="shared" si="6"/>
        <v>4.737240033408449E-3</v>
      </c>
      <c r="F84" s="22">
        <f>IFERROR(VLOOKUP($B84,'CEPA Summary sheet'!$B$5:$S$93,6,),)</f>
        <v>0.66766340666400781</v>
      </c>
      <c r="G84" s="22">
        <f>IFERROR(VLOOKUP($B84,'CEPA Summary sheet'!$B$5:$S$93,7,),)</f>
        <v>1.2376633628385061E-2</v>
      </c>
      <c r="H84" s="23">
        <f t="shared" si="7"/>
        <v>1.5318105997127196E-4</v>
      </c>
      <c r="I84" s="22">
        <f>IFERROR(VLOOKUP($B84,'CEPA Summary sheet'!$B$5:$S$93,8,),)</f>
        <v>0.35826574159623714</v>
      </c>
      <c r="J84" s="22">
        <f>IFERROR(VLOOKUP($B84,'CEPA Summary sheet'!$B$5:$S$93,9,),)</f>
        <v>2.1747732367355548E-2</v>
      </c>
      <c r="K84" s="23">
        <f t="shared" si="8"/>
        <v>4.7296386312212414E-4</v>
      </c>
      <c r="L84" s="24">
        <f>IFERROR(VLOOKUP('ComCom refined - 2009 - 14'!$B84,'CEPA Rating&amp;Leverage'!$B$5:$F$93,4,),"")</f>
        <v>0.30894335263338946</v>
      </c>
      <c r="M84" s="82"/>
    </row>
    <row r="85" spans="2:13" ht="17.25" x14ac:dyDescent="0.25">
      <c r="B85" s="41" t="s">
        <v>253</v>
      </c>
      <c r="C85" s="22">
        <f>IFERROR(VLOOKUP($B85,'CEPA Summary sheet'!$B$5:$S$93,4,),)</f>
        <v>0.28337783904830932</v>
      </c>
      <c r="D85" s="22">
        <f>IFERROR(VLOOKUP($B85,'CEPA Summary sheet'!$B$5:$S$93,5,),)</f>
        <v>0.24206310344218865</v>
      </c>
      <c r="E85" s="23">
        <f t="shared" si="6"/>
        <v>5.8594546048063724E-2</v>
      </c>
      <c r="F85" s="22">
        <f>IFERROR(VLOOKUP($B85,'CEPA Summary sheet'!$B$5:$S$93,6,),)</f>
        <v>0.69005214562096862</v>
      </c>
      <c r="G85" s="22">
        <f>IFERROR(VLOOKUP($B85,'CEPA Summary sheet'!$B$5:$S$93,7,),)</f>
        <v>3.4421748054591444E-2</v>
      </c>
      <c r="H85" s="23">
        <f t="shared" si="7"/>
        <v>1.1848567391337698E-3</v>
      </c>
      <c r="I85" s="22">
        <f>IFERROR(VLOOKUP($B85,'CEPA Summary sheet'!$B$5:$S$93,8,),)</f>
        <v>0.19133883255516818</v>
      </c>
      <c r="J85" s="22">
        <f>IFERROR(VLOOKUP($B85,'CEPA Summary sheet'!$B$5:$S$93,9,),)</f>
        <v>7.3674651436070493E-2</v>
      </c>
      <c r="K85" s="23">
        <f t="shared" si="8"/>
        <v>5.427954264226484E-3</v>
      </c>
      <c r="L85" s="24">
        <f>IFERROR(VLOOKUP('ComCom refined - 2009 - 14'!$B85,'CEPA Rating&amp;Leverage'!$B$5:$F$93,4,),"")</f>
        <v>0.27256968567485712</v>
      </c>
      <c r="M85" s="82"/>
    </row>
    <row r="86" spans="2:13" ht="17.25" x14ac:dyDescent="0.25">
      <c r="B86" s="41" t="s">
        <v>257</v>
      </c>
      <c r="C86" s="22">
        <f>IFERROR(VLOOKUP($B86,'CEPA Summary sheet'!$B$5:$S$93,4,),)</f>
        <v>0.6873267118504256</v>
      </c>
      <c r="D86" s="22">
        <f>IFERROR(VLOOKUP($B86,'CEPA Summary sheet'!$B$5:$S$93,5,),)</f>
        <v>0.11392998584581283</v>
      </c>
      <c r="E86" s="23">
        <f t="shared" si="6"/>
        <v>1.2980041674827112E-2</v>
      </c>
      <c r="F86" s="22">
        <f>IFERROR(VLOOKUP($B86,'CEPA Summary sheet'!$B$5:$S$93,6,),)</f>
        <v>0.84887184251760206</v>
      </c>
      <c r="G86" s="22">
        <f>IFERROR(VLOOKUP($B86,'CEPA Summary sheet'!$B$5:$S$93,7,),)</f>
        <v>2.5018953902953327E-2</v>
      </c>
      <c r="H86" s="23">
        <f t="shared" si="7"/>
        <v>6.2594805439810351E-4</v>
      </c>
      <c r="I86" s="22">
        <f>IFERROR(VLOOKUP($B86,'CEPA Summary sheet'!$B$5:$S$93,8,),)</f>
        <v>0.7290264918130166</v>
      </c>
      <c r="J86" s="22">
        <f>IFERROR(VLOOKUP($B86,'CEPA Summary sheet'!$B$5:$S$93,9,),)</f>
        <v>3.2413957752127284E-2</v>
      </c>
      <c r="K86" s="23">
        <f t="shared" si="8"/>
        <v>1.0506646571566925E-3</v>
      </c>
      <c r="L86" s="24">
        <f>IFERROR(VLOOKUP('ComCom refined - 2009 - 14'!$B86,'CEPA Rating&amp;Leverage'!$B$5:$F$93,4,),"")</f>
        <v>0.13438407631745869</v>
      </c>
      <c r="M86" s="82"/>
    </row>
    <row r="87" spans="2:13" ht="17.25" x14ac:dyDescent="0.25">
      <c r="B87" s="41" t="s">
        <v>245</v>
      </c>
      <c r="C87" s="22">
        <f>IFERROR(VLOOKUP($B87,'CEPA Summary sheet'!$B$5:$S$93,4,),)</f>
        <v>0.37288601373330049</v>
      </c>
      <c r="D87" s="22">
        <f>IFERROR(VLOOKUP($B87,'CEPA Summary sheet'!$B$5:$S$93,5,),)</f>
        <v>0.12767373228418863</v>
      </c>
      <c r="E87" s="23">
        <f t="shared" ref="E87:E88" si="9">IFERROR(D87^2,"-")</f>
        <v>1.630058191537467E-2</v>
      </c>
      <c r="F87" s="22">
        <f>IFERROR(VLOOKUP($B87,'CEPA Summary sheet'!$B$5:$S$93,6,),)</f>
        <v>0.79631022136773777</v>
      </c>
      <c r="G87" s="22">
        <f>IFERROR(VLOOKUP($B87,'CEPA Summary sheet'!$B$5:$S$93,7,),)</f>
        <v>3.1626596891901566E-2</v>
      </c>
      <c r="H87" s="23">
        <f t="shared" ref="H87:H88" si="10">IFERROR(G87^2,"-")</f>
        <v>1.0002416309628378E-3</v>
      </c>
      <c r="I87" s="22">
        <f>IFERROR(VLOOKUP($B87,'CEPA Summary sheet'!$B$5:$S$93,8,),)</f>
        <v>0.19085857181406721</v>
      </c>
      <c r="J87" s="22">
        <f>IFERROR(VLOOKUP($B87,'CEPA Summary sheet'!$B$5:$S$93,9,),)</f>
        <v>3.9718650496508932E-2</v>
      </c>
      <c r="K87" s="23">
        <f t="shared" ref="K87:K88" si="11">IFERROR(J87^2,"-")</f>
        <v>1.5775711972638292E-3</v>
      </c>
      <c r="L87" s="24">
        <f>IFERROR(VLOOKUP('ComCom refined - 2009 - 14'!$B87,'CEPA Rating&amp;Leverage'!$B$5:$F$93,4,),"")</f>
        <v>0.11742843646848862</v>
      </c>
    </row>
    <row r="88" spans="2:13" ht="17.25" x14ac:dyDescent="0.25">
      <c r="B88" s="41" t="s">
        <v>251</v>
      </c>
      <c r="C88" s="22">
        <f>IFERROR(VLOOKUP($B88,'CEPA Summary sheet'!$B$5:$S$93,4,),)</f>
        <v>0.3270996689943575</v>
      </c>
      <c r="D88" s="22">
        <f>IFERROR(VLOOKUP($B88,'CEPA Summary sheet'!$B$5:$S$93,5,),)</f>
        <v>0.36834385537123582</v>
      </c>
      <c r="E88" s="23">
        <f t="shared" si="9"/>
        <v>0.13567719578974588</v>
      </c>
      <c r="F88" s="22">
        <f>IFERROR(VLOOKUP($B88,'CEPA Summary sheet'!$B$5:$S$93,6,),)</f>
        <v>0.92445105556797524</v>
      </c>
      <c r="G88" s="22">
        <f>IFERROR(VLOOKUP($B88,'CEPA Summary sheet'!$B$5:$S$93,7,),)</f>
        <v>4.5194656324032967E-2</v>
      </c>
      <c r="H88" s="23">
        <f t="shared" si="10"/>
        <v>2.0425569602474532E-3</v>
      </c>
      <c r="I88" s="22">
        <f>IFERROR(VLOOKUP($B88,'CEPA Summary sheet'!$B$5:$S$93,8,),)</f>
        <v>0.55774287918428855</v>
      </c>
      <c r="J88" s="22">
        <f>IFERROR(VLOOKUP($B88,'CEPA Summary sheet'!$B$5:$S$93,9,),)</f>
        <v>5.9688734964905343E-2</v>
      </c>
      <c r="K88" s="23">
        <f t="shared" si="11"/>
        <v>3.5627450817107137E-3</v>
      </c>
      <c r="L88" s="24">
        <f>IFERROR(VLOOKUP('ComCom refined - 2009 - 14'!$B88,'CEPA Rating&amp;Leverage'!$B$5:$F$93,4,),"")</f>
        <v>4.393698459910915E-2</v>
      </c>
    </row>
  </sheetData>
  <mergeCells count="4">
    <mergeCell ref="C3:E3"/>
    <mergeCell ref="F3:H3"/>
    <mergeCell ref="I3:K3"/>
    <mergeCell ref="L3:L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7595E-2010-4FB5-AA5D-51079AA0B246}">
  <sheetPr>
    <tabColor theme="5" tint="-0.249977111117893"/>
  </sheetPr>
  <dimension ref="A1:S88"/>
  <sheetViews>
    <sheetView showGridLines="0" workbookViewId="0">
      <pane xSplit="2" ySplit="5" topLeftCell="C6" activePane="bottomRight" state="frozen"/>
      <selection activeCell="F6" sqref="F6"/>
      <selection pane="topRight" activeCell="F6" sqref="F6"/>
      <selection pane="bottomLeft" activeCell="F6" sqref="F6"/>
      <selection pane="bottomRight" activeCell="M19" sqref="M19"/>
    </sheetView>
  </sheetViews>
  <sheetFormatPr defaultColWidth="9.140625" defaultRowHeight="15" x14ac:dyDescent="0.25"/>
  <cols>
    <col min="1" max="1" width="2.28515625" style="1" customWidth="1"/>
    <col min="2" max="2" width="20" style="1" customWidth="1"/>
    <col min="3" max="3" width="12.42578125" style="1" customWidth="1"/>
    <col min="4" max="4" width="15.5703125" style="1" customWidth="1"/>
    <col min="5" max="5" width="11.85546875" style="1" customWidth="1"/>
    <col min="6" max="6" width="14.28515625" style="1" customWidth="1"/>
    <col min="7" max="7" width="14.42578125" style="1" customWidth="1"/>
    <col min="8" max="8" width="11.28515625" style="1" customWidth="1"/>
    <col min="9" max="9" width="12" style="1" customWidth="1"/>
    <col min="10" max="11" width="14.5703125" style="1" customWidth="1"/>
    <col min="12" max="12" width="13" style="1" customWidth="1"/>
    <col min="13" max="13" width="13.42578125" style="1" customWidth="1"/>
    <col min="14" max="14" width="9.140625" style="1"/>
    <col min="15" max="15" width="30.28515625" style="1" customWidth="1"/>
    <col min="16" max="16384" width="9.140625" style="1"/>
  </cols>
  <sheetData>
    <row r="1" spans="1:19" ht="23.25" x14ac:dyDescent="0.35">
      <c r="A1" s="3" t="s">
        <v>107</v>
      </c>
    </row>
    <row r="2" spans="1:19" x14ac:dyDescent="0.25">
      <c r="D2" s="4"/>
      <c r="E2" s="4"/>
    </row>
    <row r="3" spans="1:19" x14ac:dyDescent="0.25">
      <c r="B3" s="5"/>
      <c r="C3" s="201" t="s">
        <v>11</v>
      </c>
      <c r="D3" s="202"/>
      <c r="E3" s="203"/>
      <c r="F3" s="201" t="s">
        <v>7</v>
      </c>
      <c r="G3" s="202"/>
      <c r="H3" s="203"/>
      <c r="I3" s="201" t="s">
        <v>5</v>
      </c>
      <c r="J3" s="202"/>
      <c r="K3" s="203"/>
      <c r="L3" s="204" t="s">
        <v>0</v>
      </c>
      <c r="M3" s="6"/>
      <c r="N3" s="7"/>
    </row>
    <row r="4" spans="1:19" x14ac:dyDescent="0.25">
      <c r="B4" s="8" t="s">
        <v>12</v>
      </c>
      <c r="C4" s="9" t="s">
        <v>1</v>
      </c>
      <c r="D4" s="10" t="s">
        <v>13</v>
      </c>
      <c r="E4" s="9" t="s">
        <v>14</v>
      </c>
      <c r="F4" s="9" t="s">
        <v>1</v>
      </c>
      <c r="G4" s="9" t="s">
        <v>13</v>
      </c>
      <c r="H4" s="9" t="s">
        <v>14</v>
      </c>
      <c r="I4" s="11" t="s">
        <v>1</v>
      </c>
      <c r="J4" s="12" t="s">
        <v>13</v>
      </c>
      <c r="K4" s="9" t="s">
        <v>14</v>
      </c>
      <c r="L4" s="205"/>
      <c r="M4" s="13"/>
      <c r="O4" s="14" t="s">
        <v>15</v>
      </c>
      <c r="P4" s="15" t="s">
        <v>11</v>
      </c>
      <c r="Q4" s="15" t="s">
        <v>7</v>
      </c>
      <c r="R4" s="15" t="s">
        <v>5</v>
      </c>
      <c r="S4" s="16" t="s">
        <v>16</v>
      </c>
    </row>
    <row r="5" spans="1:19" x14ac:dyDescent="0.25">
      <c r="B5" s="17" t="s">
        <v>4</v>
      </c>
      <c r="C5" s="18">
        <f t="shared" ref="C5:L5" si="0">AVERAGE(C6:C88)</f>
        <v>0.504701052828192</v>
      </c>
      <c r="D5" s="18">
        <f t="shared" si="0"/>
        <v>0.10983226735820356</v>
      </c>
      <c r="E5" s="18">
        <f t="shared" si="0"/>
        <v>1.6162580919136429E-2</v>
      </c>
      <c r="F5" s="18">
        <f t="shared" si="0"/>
        <v>0.50695638123730247</v>
      </c>
      <c r="G5" s="18">
        <f t="shared" si="0"/>
        <v>5.0697187936085637E-2</v>
      </c>
      <c r="H5" s="18">
        <f t="shared" si="0"/>
        <v>3.3498825932546921E-3</v>
      </c>
      <c r="I5" s="18">
        <f t="shared" si="0"/>
        <v>0.50406974067846788</v>
      </c>
      <c r="J5" s="18">
        <f t="shared" si="0"/>
        <v>2.5347579281309315E-2</v>
      </c>
      <c r="K5" s="18">
        <f t="shared" si="0"/>
        <v>8.5617101537072626E-4</v>
      </c>
      <c r="L5" s="80">
        <f t="shared" si="0"/>
        <v>0.30230249442843399</v>
      </c>
      <c r="M5" s="19"/>
      <c r="O5" s="20" t="s">
        <v>17</v>
      </c>
      <c r="P5" s="20">
        <f>COUNT(C6:C88)</f>
        <v>48</v>
      </c>
      <c r="Q5" s="20">
        <f>COUNT(F6:F88)</f>
        <v>48</v>
      </c>
      <c r="R5" s="20">
        <f>COUNT(I6:I88)</f>
        <v>48</v>
      </c>
      <c r="S5" s="21" t="s">
        <v>18</v>
      </c>
    </row>
    <row r="6" spans="1:19" ht="17.25" x14ac:dyDescent="0.25">
      <c r="B6" s="41" t="s">
        <v>19</v>
      </c>
      <c r="C6" s="22" t="str">
        <f>IFERROR(VLOOKUP($B6,'CEPA Summary sheet'!$B$5:$S$93,13,),)</f>
        <v/>
      </c>
      <c r="D6" s="22" t="str">
        <f>IFERROR(VLOOKUP($B6,'CEPA Summary sheet'!$B$5:$S$93,14,),)</f>
        <v/>
      </c>
      <c r="E6" s="23" t="str">
        <f>IFERROR(D6^2,"-")</f>
        <v>-</v>
      </c>
      <c r="F6" s="22" t="str">
        <f>IFERROR(VLOOKUP($B6,'CEPA Summary sheet'!$B$5:$S$93,15,),)</f>
        <v/>
      </c>
      <c r="G6" s="22" t="str">
        <f>IFERROR(VLOOKUP($B6,'CEPA Summary sheet'!$B$5:$S$93,16,),)</f>
        <v/>
      </c>
      <c r="H6" s="23" t="str">
        <f>IFERROR(G6^2,"-")</f>
        <v>-</v>
      </c>
      <c r="I6" s="22" t="str">
        <f>IFERROR(VLOOKUP($B6,'CEPA Summary sheet'!$B$5:$S$93,17,),)</f>
        <v/>
      </c>
      <c r="J6" s="22" t="str">
        <f>IFERROR(VLOOKUP($B6,'CEPA Summary sheet'!$B$5:$S$93,18,),)</f>
        <v/>
      </c>
      <c r="K6" s="23" t="str">
        <f>IFERROR(J6^2,"-")</f>
        <v>-</v>
      </c>
      <c r="L6" s="24" t="str">
        <f>IFERROR(VLOOKUP('ComCom refined - 2009 - 14'!$B6,'CEPA Rating&amp;Leverage'!$B$5:$F$93,5,),"")</f>
        <v/>
      </c>
      <c r="M6" s="19"/>
      <c r="O6" s="25" t="s">
        <v>20</v>
      </c>
      <c r="P6" s="26">
        <f>(P5/(P5-1))*_xlfn.VAR.S(C6:C88)</f>
        <v>0.11260979102086285</v>
      </c>
      <c r="Q6" s="26">
        <f>(Q5/(Q5-1))*_xlfn.VAR.S(F6:F88)</f>
        <v>6.7291249446211704E-2</v>
      </c>
      <c r="R6" s="26">
        <f>(R5/(R5-1))*_xlfn.VAR.S(I6:I88)</f>
        <v>6.7745970864924093E-2</v>
      </c>
      <c r="S6" s="21" t="s">
        <v>21</v>
      </c>
    </row>
    <row r="7" spans="1:19" ht="18.75" x14ac:dyDescent="0.35">
      <c r="B7" s="41" t="s">
        <v>22</v>
      </c>
      <c r="C7" s="22" t="str">
        <f>IFERROR(VLOOKUP($B7,'CEPA Summary sheet'!$B$5:$S$93,13,),)</f>
        <v/>
      </c>
      <c r="D7" s="22" t="str">
        <f>IFERROR(VLOOKUP($B7,'CEPA Summary sheet'!$B$5:$S$93,14,),)</f>
        <v/>
      </c>
      <c r="E7" s="23" t="str">
        <f t="shared" ref="E7:E70" si="1">IFERROR(D7^2,"-")</f>
        <v>-</v>
      </c>
      <c r="F7" s="22" t="str">
        <f>IFERROR(VLOOKUP($B7,'CEPA Summary sheet'!$B$5:$S$93,15,),)</f>
        <v/>
      </c>
      <c r="G7" s="22" t="str">
        <f>IFERROR(VLOOKUP($B7,'CEPA Summary sheet'!$B$5:$S$93,16,),)</f>
        <v/>
      </c>
      <c r="H7" s="23" t="str">
        <f t="shared" ref="H7:H70" si="2">IFERROR(G7^2,"-")</f>
        <v>-</v>
      </c>
      <c r="I7" s="22" t="str">
        <f>IFERROR(VLOOKUP($B7,'CEPA Summary sheet'!$B$5:$S$93,17,),)</f>
        <v/>
      </c>
      <c r="J7" s="22" t="str">
        <f>IFERROR(VLOOKUP($B7,'CEPA Summary sheet'!$B$5:$S$93,18,),)</f>
        <v/>
      </c>
      <c r="K7" s="23" t="str">
        <f t="shared" ref="K7:K70" si="3">IFERROR(J7^2,"-")</f>
        <v>-</v>
      </c>
      <c r="L7" s="24" t="str">
        <f>IFERROR(VLOOKUP('ComCom refined - 2009 - 14'!$B7,'CEPA Rating&amp;Leverage'!$B$5:$F$93,5,),"")</f>
        <v/>
      </c>
      <c r="M7" s="19"/>
      <c r="O7" s="25" t="s">
        <v>23</v>
      </c>
      <c r="P7" s="26">
        <f>E5</f>
        <v>1.6162580919136429E-2</v>
      </c>
      <c r="Q7" s="26">
        <f>H5</f>
        <v>3.3498825932546921E-3</v>
      </c>
      <c r="R7" s="26">
        <f>K5</f>
        <v>8.5617101537072626E-4</v>
      </c>
      <c r="S7" s="21" t="s">
        <v>24</v>
      </c>
    </row>
    <row r="8" spans="1:19" ht="17.25" x14ac:dyDescent="0.25">
      <c r="B8" s="41" t="s">
        <v>25</v>
      </c>
      <c r="C8" s="22">
        <f>IFERROR(VLOOKUP($B8,'CEPA Summary sheet'!$B$5:$S$93,13,),)</f>
        <v>0.41409383979406983</v>
      </c>
      <c r="D8" s="22">
        <f>IFERROR(VLOOKUP($B8,'CEPA Summary sheet'!$B$5:$S$93,14,),)</f>
        <v>0.10558474300825751</v>
      </c>
      <c r="E8" s="23">
        <f t="shared" si="1"/>
        <v>1.1148137956119785E-2</v>
      </c>
      <c r="F8" s="22">
        <f>IFERROR(VLOOKUP($B8,'CEPA Summary sheet'!$B$5:$S$93,15,),)</f>
        <v>0.56389468889588723</v>
      </c>
      <c r="G8" s="22">
        <f>IFERROR(VLOOKUP($B8,'CEPA Summary sheet'!$B$5:$S$93,16,),)</f>
        <v>5.168845870697427E-2</v>
      </c>
      <c r="H8" s="23">
        <f t="shared" si="2"/>
        <v>2.6716967635025844E-3</v>
      </c>
      <c r="I8" s="22">
        <f>IFERROR(VLOOKUP($B8,'CEPA Summary sheet'!$B$5:$S$93,17,),)</f>
        <v>0.66886314214960885</v>
      </c>
      <c r="J8" s="22">
        <f>IFERROR(VLOOKUP($B8,'CEPA Summary sheet'!$B$5:$S$93,18,),)</f>
        <v>2.394278302467703E-2</v>
      </c>
      <c r="K8" s="23">
        <f t="shared" si="3"/>
        <v>5.7325685896676259E-4</v>
      </c>
      <c r="L8" s="24">
        <f>IFERROR(VLOOKUP('ComCom refined - 2009 - 14'!$B8,'CEPA Rating&amp;Leverage'!$B$5:$F$93,5,),"")</f>
        <v>0.20081154997927442</v>
      </c>
      <c r="M8" s="19"/>
      <c r="O8" s="25" t="s">
        <v>26</v>
      </c>
      <c r="P8" s="27">
        <v>0.2</v>
      </c>
      <c r="Q8" s="27">
        <v>0.2</v>
      </c>
      <c r="R8" s="27">
        <v>0.2</v>
      </c>
      <c r="S8" s="21" t="s">
        <v>27</v>
      </c>
    </row>
    <row r="9" spans="1:19" ht="17.25" x14ac:dyDescent="0.25">
      <c r="B9" s="41" t="s">
        <v>28</v>
      </c>
      <c r="C9" s="22">
        <f>IFERROR(VLOOKUP($B9,'CEPA Summary sheet'!$B$5:$S$93,13,),)</f>
        <v>0.57209536434604691</v>
      </c>
      <c r="D9" s="22">
        <f>IFERROR(VLOOKUP($B9,'CEPA Summary sheet'!$B$5:$S$93,14,),)</f>
        <v>0.10247487739537044</v>
      </c>
      <c r="E9" s="23">
        <f t="shared" si="1"/>
        <v>1.0501100497196204E-2</v>
      </c>
      <c r="F9" s="22">
        <f>IFERROR(VLOOKUP($B9,'CEPA Summary sheet'!$B$5:$S$93,15,),)</f>
        <v>0.61253365987373909</v>
      </c>
      <c r="G9" s="22">
        <f>IFERROR(VLOOKUP($B9,'CEPA Summary sheet'!$B$5:$S$93,16,),)</f>
        <v>4.8348433069935165E-2</v>
      </c>
      <c r="H9" s="23">
        <f t="shared" si="2"/>
        <v>2.3375709803180001E-3</v>
      </c>
      <c r="I9" s="22">
        <f>IFERROR(VLOOKUP($B9,'CEPA Summary sheet'!$B$5:$S$93,17,),)</f>
        <v>0.68023507086591595</v>
      </c>
      <c r="J9" s="22">
        <f>IFERROR(VLOOKUP($B9,'CEPA Summary sheet'!$B$5:$S$93,18,),)</f>
        <v>2.3255429027811879E-2</v>
      </c>
      <c r="K9" s="23">
        <f t="shared" si="3"/>
        <v>5.4081497926759532E-4</v>
      </c>
      <c r="L9" s="24">
        <f>IFERROR(VLOOKUP('ComCom refined - 2009 - 14'!$B9,'CEPA Rating&amp;Leverage'!$B$5:$F$93,5,),"")</f>
        <v>0.34620474665709938</v>
      </c>
      <c r="M9" s="19"/>
      <c r="O9" s="28" t="s">
        <v>29</v>
      </c>
      <c r="P9" s="29">
        <f>P6*((P5+1)/P5)-P7*(1-2*P8)</f>
        <v>0.10525827978231563</v>
      </c>
      <c r="Q9" s="29">
        <f>Q6*((Q5+1)/Q5)-Q7*(1-2*Q8)</f>
        <v>6.6683220920388295E-2</v>
      </c>
      <c r="R9" s="29">
        <f t="shared" ref="R9" si="4">R6*((R5+1)/R5)-R7*(1-2*R8)</f>
        <v>6.8643642648720901E-2</v>
      </c>
      <c r="S9" s="21" t="s">
        <v>30</v>
      </c>
    </row>
    <row r="10" spans="1:19" ht="17.25" x14ac:dyDescent="0.25">
      <c r="B10" s="41" t="s">
        <v>31</v>
      </c>
      <c r="C10" s="22" t="str">
        <f>IFERROR(VLOOKUP($B10,'CEPA Summary sheet'!$B$5:$S$93,13,),)</f>
        <v/>
      </c>
      <c r="D10" s="22" t="str">
        <f>IFERROR(VLOOKUP($B10,'CEPA Summary sheet'!$B$5:$S$93,14,),)</f>
        <v/>
      </c>
      <c r="E10" s="23" t="str">
        <f t="shared" si="1"/>
        <v>-</v>
      </c>
      <c r="F10" s="22" t="str">
        <f>IFERROR(VLOOKUP($B10,'CEPA Summary sheet'!$B$5:$S$93,15,),)</f>
        <v/>
      </c>
      <c r="G10" s="22" t="str">
        <f>IFERROR(VLOOKUP($B10,'CEPA Summary sheet'!$B$5:$S$93,16,),)</f>
        <v/>
      </c>
      <c r="H10" s="23" t="str">
        <f t="shared" si="2"/>
        <v>-</v>
      </c>
      <c r="I10" s="22" t="str">
        <f>IFERROR(VLOOKUP($B10,'CEPA Summary sheet'!$B$5:$S$93,17,),)</f>
        <v/>
      </c>
      <c r="J10" s="22" t="str">
        <f>IFERROR(VLOOKUP($B10,'CEPA Summary sheet'!$B$5:$S$93,18,),)</f>
        <v/>
      </c>
      <c r="K10" s="23" t="str">
        <f t="shared" si="3"/>
        <v>-</v>
      </c>
      <c r="L10" s="24" t="str">
        <f>IFERROR(VLOOKUP('ComCom refined - 2009 - 14'!$B10,'CEPA Rating&amp;Leverage'!$B$5:$F$93,5,),"")</f>
        <v/>
      </c>
      <c r="M10" s="19"/>
      <c r="O10" s="30" t="s">
        <v>32</v>
      </c>
      <c r="P10" s="31">
        <f>SQRT(P9)</f>
        <v>0.32443532449829754</v>
      </c>
      <c r="Q10" s="31">
        <f t="shared" ref="Q10:R10" si="5">SQRT(Q9)</f>
        <v>0.25823094493183479</v>
      </c>
      <c r="R10" s="31">
        <f t="shared" si="5"/>
        <v>0.26199931803102255</v>
      </c>
    </row>
    <row r="11" spans="1:19" ht="17.25" x14ac:dyDescent="0.25">
      <c r="B11" s="41" t="s">
        <v>33</v>
      </c>
      <c r="C11" s="22" t="str">
        <f>IFERROR(VLOOKUP($B11,'CEPA Summary sheet'!$B$5:$S$93,13,),)</f>
        <v/>
      </c>
      <c r="D11" s="22" t="str">
        <f>IFERROR(VLOOKUP($B11,'CEPA Summary sheet'!$B$5:$S$93,14,),)</f>
        <v/>
      </c>
      <c r="E11" s="23" t="str">
        <f t="shared" si="1"/>
        <v>-</v>
      </c>
      <c r="F11" s="22" t="str">
        <f>IFERROR(VLOOKUP($B11,'CEPA Summary sheet'!$B$5:$S$93,15,),)</f>
        <v/>
      </c>
      <c r="G11" s="22" t="str">
        <f>IFERROR(VLOOKUP($B11,'CEPA Summary sheet'!$B$5:$S$93,16,),)</f>
        <v/>
      </c>
      <c r="H11" s="23" t="str">
        <f t="shared" si="2"/>
        <v>-</v>
      </c>
      <c r="I11" s="22" t="str">
        <f>IFERROR(VLOOKUP($B11,'CEPA Summary sheet'!$B$5:$S$93,17,),)</f>
        <v/>
      </c>
      <c r="J11" s="22" t="str">
        <f>IFERROR(VLOOKUP($B11,'CEPA Summary sheet'!$B$5:$S$93,18,),)</f>
        <v/>
      </c>
      <c r="K11" s="23" t="str">
        <f t="shared" si="3"/>
        <v>-</v>
      </c>
      <c r="L11" s="24" t="str">
        <f>IFERROR(VLOOKUP('ComCom refined - 2009 - 14'!$B11,'CEPA Rating&amp;Leverage'!$B$5:$F$93,5,),"")</f>
        <v/>
      </c>
      <c r="M11" s="19"/>
    </row>
    <row r="12" spans="1:19" ht="17.25" x14ac:dyDescent="0.25">
      <c r="B12" s="41" t="s">
        <v>34</v>
      </c>
      <c r="C12" s="22" t="str">
        <f>IFERROR(VLOOKUP($B12,'CEPA Summary sheet'!$B$5:$S$93,13,),)</f>
        <v/>
      </c>
      <c r="D12" s="22" t="str">
        <f>IFERROR(VLOOKUP($B12,'CEPA Summary sheet'!$B$5:$S$93,14,),)</f>
        <v/>
      </c>
      <c r="E12" s="23" t="str">
        <f t="shared" si="1"/>
        <v>-</v>
      </c>
      <c r="F12" s="22" t="str">
        <f>IFERROR(VLOOKUP($B12,'CEPA Summary sheet'!$B$5:$S$93,15,),)</f>
        <v/>
      </c>
      <c r="G12" s="22" t="str">
        <f>IFERROR(VLOOKUP($B12,'CEPA Summary sheet'!$B$5:$S$93,16,),)</f>
        <v/>
      </c>
      <c r="H12" s="23" t="str">
        <f t="shared" si="2"/>
        <v>-</v>
      </c>
      <c r="I12" s="22" t="str">
        <f>IFERROR(VLOOKUP($B12,'CEPA Summary sheet'!$B$5:$S$93,17,),)</f>
        <v/>
      </c>
      <c r="J12" s="22" t="str">
        <f>IFERROR(VLOOKUP($B12,'CEPA Summary sheet'!$B$5:$S$93,18,),)</f>
        <v/>
      </c>
      <c r="K12" s="23" t="str">
        <f t="shared" si="3"/>
        <v>-</v>
      </c>
      <c r="L12" s="24" t="str">
        <f>IFERROR(VLOOKUP('ComCom refined - 2009 - 14'!$B12,'CEPA Rating&amp;Leverage'!$B$5:$F$93,5,),"")</f>
        <v/>
      </c>
      <c r="M12" s="19"/>
    </row>
    <row r="13" spans="1:19" ht="17.25" x14ac:dyDescent="0.25">
      <c r="B13" s="41" t="s">
        <v>35</v>
      </c>
      <c r="C13" s="22">
        <f>IFERROR(VLOOKUP($B13,'CEPA Summary sheet'!$B$5:$S$93,13,),)</f>
        <v>0.47919737867444423</v>
      </c>
      <c r="D13" s="22">
        <f>IFERROR(VLOOKUP($B13,'CEPA Summary sheet'!$B$5:$S$93,14,),)</f>
        <v>9.4329300969760624E-2</v>
      </c>
      <c r="E13" s="23">
        <f t="shared" si="1"/>
        <v>8.898017021443683E-3</v>
      </c>
      <c r="F13" s="22">
        <f>IFERROR(VLOOKUP($B13,'CEPA Summary sheet'!$B$5:$S$93,15,),)</f>
        <v>0.54179974054653157</v>
      </c>
      <c r="G13" s="22">
        <f>IFERROR(VLOOKUP($B13,'CEPA Summary sheet'!$B$5:$S$93,16,),)</f>
        <v>4.5615987910120642E-2</v>
      </c>
      <c r="H13" s="23">
        <f t="shared" si="2"/>
        <v>2.0808183530162728E-3</v>
      </c>
      <c r="I13" s="22">
        <f>IFERROR(VLOOKUP($B13,'CEPA Summary sheet'!$B$5:$S$93,17,),)</f>
        <v>0.58178231280176362</v>
      </c>
      <c r="J13" s="22">
        <f>IFERROR(VLOOKUP($B13,'CEPA Summary sheet'!$B$5:$S$93,18,),)</f>
        <v>1.9228551721722366E-2</v>
      </c>
      <c r="K13" s="23">
        <f t="shared" si="3"/>
        <v>3.6973720131495215E-4</v>
      </c>
      <c r="L13" s="24">
        <f>IFERROR(VLOOKUP('ComCom refined - 2009 - 14'!$B13,'CEPA Rating&amp;Leverage'!$B$5:$F$93,5,),"")</f>
        <v>0.37503587083089318</v>
      </c>
      <c r="M13" s="19"/>
    </row>
    <row r="14" spans="1:19" ht="17.25" x14ac:dyDescent="0.25">
      <c r="B14" s="41" t="s">
        <v>36</v>
      </c>
      <c r="C14" s="22">
        <f>IFERROR(VLOOKUP($B14,'CEPA Summary sheet'!$B$5:$S$93,13,),)</f>
        <v>0.25055472634636367</v>
      </c>
      <c r="D14" s="22">
        <f>IFERROR(VLOOKUP($B14,'CEPA Summary sheet'!$B$5:$S$93,14,),)</f>
        <v>8.1649406022043708E-2</v>
      </c>
      <c r="E14" s="23">
        <f t="shared" si="1"/>
        <v>6.6666255037525473E-3</v>
      </c>
      <c r="F14" s="22">
        <f>IFERROR(VLOOKUP($B14,'CEPA Summary sheet'!$B$5:$S$93,15,),)</f>
        <v>0.30371542963848452</v>
      </c>
      <c r="G14" s="22">
        <f>IFERROR(VLOOKUP($B14,'CEPA Summary sheet'!$B$5:$S$93,16,),)</f>
        <v>3.6640282446024554E-2</v>
      </c>
      <c r="H14" s="23">
        <f t="shared" si="2"/>
        <v>1.342510297724455E-3</v>
      </c>
      <c r="I14" s="22">
        <f>IFERROR(VLOOKUP($B14,'CEPA Summary sheet'!$B$5:$S$93,17,),)</f>
        <v>0.2642411933369373</v>
      </c>
      <c r="J14" s="22">
        <f>IFERROR(VLOOKUP($B14,'CEPA Summary sheet'!$B$5:$S$93,18,),)</f>
        <v>1.6749740261614021E-2</v>
      </c>
      <c r="K14" s="23">
        <f t="shared" si="3"/>
        <v>2.8055379883153375E-4</v>
      </c>
      <c r="L14" s="24">
        <f>IFERROR(VLOOKUP('ComCom refined - 2009 - 14'!$B14,'CEPA Rating&amp;Leverage'!$B$5:$F$93,5,),"")</f>
        <v>0.30841849756332129</v>
      </c>
      <c r="M14" s="19"/>
    </row>
    <row r="15" spans="1:19" ht="17.25" x14ac:dyDescent="0.25">
      <c r="B15" s="41" t="s">
        <v>37</v>
      </c>
      <c r="C15" s="22">
        <f>IFERROR(VLOOKUP($B15,'CEPA Summary sheet'!$B$5:$S$93,13,),)</f>
        <v>0.18133164877435276</v>
      </c>
      <c r="D15" s="22">
        <f>IFERROR(VLOOKUP($B15,'CEPA Summary sheet'!$B$5:$S$93,14,),)</f>
        <v>6.3215007578701535E-2</v>
      </c>
      <c r="E15" s="23">
        <f t="shared" si="1"/>
        <v>3.9961371831752921E-3</v>
      </c>
      <c r="F15" s="22">
        <f>IFERROR(VLOOKUP($B15,'CEPA Summary sheet'!$B$5:$S$93,15,),)</f>
        <v>0.21275119850166591</v>
      </c>
      <c r="G15" s="22">
        <f>IFERROR(VLOOKUP($B15,'CEPA Summary sheet'!$B$5:$S$93,16,),)</f>
        <v>3.23895249414849E-2</v>
      </c>
      <c r="H15" s="23">
        <f t="shared" si="2"/>
        <v>1.0490813259350724E-3</v>
      </c>
      <c r="I15" s="22">
        <f>IFERROR(VLOOKUP($B15,'CEPA Summary sheet'!$B$5:$S$93,17,),)</f>
        <v>0.21216498912463586</v>
      </c>
      <c r="J15" s="22">
        <f>IFERROR(VLOOKUP($B15,'CEPA Summary sheet'!$B$5:$S$93,18,),)</f>
        <v>1.4971149713816623E-2</v>
      </c>
      <c r="K15" s="23">
        <f t="shared" si="3"/>
        <v>2.2413532375351156E-4</v>
      </c>
      <c r="L15" s="24">
        <f>IFERROR(VLOOKUP('ComCom refined - 2009 - 14'!$B15,'CEPA Rating&amp;Leverage'!$B$5:$F$93,5,),"")</f>
        <v>0.34069397826260323</v>
      </c>
      <c r="M15" s="19"/>
    </row>
    <row r="16" spans="1:19" ht="17.25" x14ac:dyDescent="0.25">
      <c r="B16" s="41" t="s">
        <v>38</v>
      </c>
      <c r="C16" s="22" t="str">
        <f>IFERROR(VLOOKUP($B16,'CEPA Summary sheet'!$B$5:$S$93,13,),)</f>
        <v/>
      </c>
      <c r="D16" s="22" t="str">
        <f>IFERROR(VLOOKUP($B16,'CEPA Summary sheet'!$B$5:$S$93,14,),)</f>
        <v/>
      </c>
      <c r="E16" s="23" t="str">
        <f t="shared" si="1"/>
        <v>-</v>
      </c>
      <c r="F16" s="22" t="str">
        <f>IFERROR(VLOOKUP($B16,'CEPA Summary sheet'!$B$5:$S$93,15,),)</f>
        <v/>
      </c>
      <c r="G16" s="22" t="str">
        <f>IFERROR(VLOOKUP($B16,'CEPA Summary sheet'!$B$5:$S$93,16,),)</f>
        <v/>
      </c>
      <c r="H16" s="23" t="str">
        <f t="shared" si="2"/>
        <v>-</v>
      </c>
      <c r="I16" s="22" t="str">
        <f>IFERROR(VLOOKUP($B16,'CEPA Summary sheet'!$B$5:$S$93,17,),)</f>
        <v/>
      </c>
      <c r="J16" s="22" t="str">
        <f>IFERROR(VLOOKUP($B16,'CEPA Summary sheet'!$B$5:$S$93,18,),)</f>
        <v/>
      </c>
      <c r="K16" s="23" t="str">
        <f t="shared" si="3"/>
        <v>-</v>
      </c>
      <c r="L16" s="24" t="str">
        <f>IFERROR(VLOOKUP('ComCom refined - 2009 - 14'!$B16,'CEPA Rating&amp;Leverage'!$B$5:$F$93,5,),"")</f>
        <v/>
      </c>
      <c r="M16" s="19"/>
    </row>
    <row r="17" spans="2:13" ht="17.25" x14ac:dyDescent="0.25">
      <c r="B17" s="41" t="s">
        <v>39</v>
      </c>
      <c r="C17" s="22">
        <f>IFERROR(VLOOKUP($B17,'CEPA Summary sheet'!$B$5:$S$93,13,),)</f>
        <v>0.52369441707721509</v>
      </c>
      <c r="D17" s="22">
        <f>IFERROR(VLOOKUP($B17,'CEPA Summary sheet'!$B$5:$S$93,14,),)</f>
        <v>9.8298248284699241E-2</v>
      </c>
      <c r="E17" s="23">
        <f t="shared" si="1"/>
        <v>9.6625456158403768E-3</v>
      </c>
      <c r="F17" s="22">
        <f>IFERROR(VLOOKUP($B17,'CEPA Summary sheet'!$B$5:$S$93,15,),)</f>
        <v>0.54795795155737159</v>
      </c>
      <c r="G17" s="22">
        <f>IFERROR(VLOOKUP($B17,'CEPA Summary sheet'!$B$5:$S$93,16,),)</f>
        <v>5.0621292718931045E-2</v>
      </c>
      <c r="H17" s="23">
        <f t="shared" si="2"/>
        <v>2.562515276535701E-3</v>
      </c>
      <c r="I17" s="22">
        <f>IFERROR(VLOOKUP($B17,'CEPA Summary sheet'!$B$5:$S$93,17,),)</f>
        <v>0.59466311504978164</v>
      </c>
      <c r="J17" s="22">
        <f>IFERROR(VLOOKUP($B17,'CEPA Summary sheet'!$B$5:$S$93,18,),)</f>
        <v>2.3372021519706899E-2</v>
      </c>
      <c r="K17" s="23">
        <f t="shared" si="3"/>
        <v>5.4625138991764243E-4</v>
      </c>
      <c r="L17" s="24">
        <f>IFERROR(VLOOKUP('ComCom refined - 2009 - 14'!$B17,'CEPA Rating&amp;Leverage'!$B$5:$F$93,5,),"")</f>
        <v>0.40756532286101244</v>
      </c>
      <c r="M17" s="19"/>
    </row>
    <row r="18" spans="2:13" ht="17.25" x14ac:dyDescent="0.25">
      <c r="B18" s="41" t="s">
        <v>40</v>
      </c>
      <c r="C18" s="22">
        <f>IFERROR(VLOOKUP($B18,'CEPA Summary sheet'!$B$5:$S$93,13,),)</f>
        <v>0.3878880499422751</v>
      </c>
      <c r="D18" s="22">
        <f>IFERROR(VLOOKUP($B18,'CEPA Summary sheet'!$B$5:$S$93,14,),)</f>
        <v>7.8182349460550984E-2</v>
      </c>
      <c r="E18" s="23">
        <f t="shared" si="1"/>
        <v>6.1124797671717164E-3</v>
      </c>
      <c r="F18" s="22">
        <f>IFERROR(VLOOKUP($B18,'CEPA Summary sheet'!$B$5:$S$93,15,),)</f>
        <v>0.37424842468587027</v>
      </c>
      <c r="G18" s="22">
        <f>IFERROR(VLOOKUP($B18,'CEPA Summary sheet'!$B$5:$S$93,16,),)</f>
        <v>3.8357171890964055E-2</v>
      </c>
      <c r="H18" s="23">
        <f t="shared" si="2"/>
        <v>1.4712726354729629E-3</v>
      </c>
      <c r="I18" s="22">
        <f>IFERROR(VLOOKUP($B18,'CEPA Summary sheet'!$B$5:$S$93,17,),)</f>
        <v>0.37711419397510254</v>
      </c>
      <c r="J18" s="22">
        <f>IFERROR(VLOOKUP($B18,'CEPA Summary sheet'!$B$5:$S$93,18,),)</f>
        <v>1.7577589491769713E-2</v>
      </c>
      <c r="K18" s="23">
        <f t="shared" si="3"/>
        <v>3.0897165234117306E-4</v>
      </c>
      <c r="L18" s="24">
        <f>IFERROR(VLOOKUP('ComCom refined - 2009 - 14'!$B18,'CEPA Rating&amp;Leverage'!$B$5:$F$93,5,),"")</f>
        <v>0.43413157325843904</v>
      </c>
      <c r="M18" s="19"/>
    </row>
    <row r="19" spans="2:13" ht="17.25" x14ac:dyDescent="0.25">
      <c r="B19" s="41" t="s">
        <v>41</v>
      </c>
      <c r="C19" s="22" t="str">
        <f>IFERROR(VLOOKUP($B19,'CEPA Summary sheet'!$B$5:$S$93,13,),)</f>
        <v/>
      </c>
      <c r="D19" s="22" t="str">
        <f>IFERROR(VLOOKUP($B19,'CEPA Summary sheet'!$B$5:$S$93,14,),)</f>
        <v/>
      </c>
      <c r="E19" s="23" t="str">
        <f t="shared" si="1"/>
        <v>-</v>
      </c>
      <c r="F19" s="22" t="str">
        <f>IFERROR(VLOOKUP($B19,'CEPA Summary sheet'!$B$5:$S$93,15,),)</f>
        <v/>
      </c>
      <c r="G19" s="22" t="str">
        <f>IFERROR(VLOOKUP($B19,'CEPA Summary sheet'!$B$5:$S$93,16,),)</f>
        <v/>
      </c>
      <c r="H19" s="23" t="str">
        <f t="shared" si="2"/>
        <v>-</v>
      </c>
      <c r="I19" s="22" t="str">
        <f>IFERROR(VLOOKUP($B19,'CEPA Summary sheet'!$B$5:$S$93,17,),)</f>
        <v/>
      </c>
      <c r="J19" s="22" t="str">
        <f>IFERROR(VLOOKUP($B19,'CEPA Summary sheet'!$B$5:$S$93,18,),)</f>
        <v/>
      </c>
      <c r="K19" s="23" t="str">
        <f t="shared" si="3"/>
        <v>-</v>
      </c>
      <c r="L19" s="24" t="str">
        <f>IFERROR(VLOOKUP('ComCom refined - 2009 - 14'!$B19,'CEPA Rating&amp;Leverage'!$B$5:$F$93,5,),"")</f>
        <v/>
      </c>
      <c r="M19" s="19"/>
    </row>
    <row r="20" spans="2:13" ht="17.25" x14ac:dyDescent="0.25">
      <c r="B20" s="41" t="s">
        <v>42</v>
      </c>
      <c r="C20" s="22">
        <f>IFERROR(VLOOKUP($B20,'CEPA Summary sheet'!$B$5:$S$93,13,),)</f>
        <v>0.88705986197548958</v>
      </c>
      <c r="D20" s="22">
        <f>IFERROR(VLOOKUP($B20,'CEPA Summary sheet'!$B$5:$S$93,14,),)</f>
        <v>0.2145470574875635</v>
      </c>
      <c r="E20" s="23">
        <f t="shared" si="1"/>
        <v>4.6030439876571877E-2</v>
      </c>
      <c r="F20" s="22">
        <f>IFERROR(VLOOKUP($B20,'CEPA Summary sheet'!$B$5:$S$93,15,),)</f>
        <v>1.0490276928586293</v>
      </c>
      <c r="G20" s="22">
        <f>IFERROR(VLOOKUP($B20,'CEPA Summary sheet'!$B$5:$S$93,16,),)</f>
        <v>0.11042676810353469</v>
      </c>
      <c r="H20" s="23">
        <f t="shared" si="2"/>
        <v>1.2194071113791826E-2</v>
      </c>
      <c r="I20" s="22">
        <f>IFERROR(VLOOKUP($B20,'CEPA Summary sheet'!$B$5:$S$93,17,),)</f>
        <v>1.0560347469340128</v>
      </c>
      <c r="J20" s="22">
        <f>IFERROR(VLOOKUP($B20,'CEPA Summary sheet'!$B$5:$S$93,18,),)</f>
        <v>4.4422035024611936E-2</v>
      </c>
      <c r="K20" s="23">
        <f t="shared" si="3"/>
        <v>1.9733171957278498E-3</v>
      </c>
      <c r="L20" s="24">
        <f>IFERROR(VLOOKUP('ComCom refined - 2009 - 14'!$B20,'CEPA Rating&amp;Leverage'!$B$5:$F$93,5,),"")</f>
        <v>0.16975889927154547</v>
      </c>
      <c r="M20" s="19"/>
    </row>
    <row r="21" spans="2:13" ht="17.25" x14ac:dyDescent="0.25">
      <c r="B21" s="41" t="s">
        <v>43</v>
      </c>
      <c r="C21" s="22">
        <f>IFERROR(VLOOKUP($B21,'CEPA Summary sheet'!$B$5:$S$93,13,),)</f>
        <v>0.40608628295602384</v>
      </c>
      <c r="D21" s="22">
        <f>IFERROR(VLOOKUP($B21,'CEPA Summary sheet'!$B$5:$S$93,14,),)</f>
        <v>6.5234275070155001E-2</v>
      </c>
      <c r="E21" s="23">
        <f t="shared" si="1"/>
        <v>4.2555106439286462E-3</v>
      </c>
      <c r="F21" s="22">
        <f>IFERROR(VLOOKUP($B21,'CEPA Summary sheet'!$B$5:$S$93,15,),)</f>
        <v>0.27616424928829308</v>
      </c>
      <c r="G21" s="22">
        <f>IFERROR(VLOOKUP($B21,'CEPA Summary sheet'!$B$5:$S$93,16,),)</f>
        <v>3.1392341059666921E-2</v>
      </c>
      <c r="H21" s="23">
        <f t="shared" si="2"/>
        <v>9.8547907720644961E-4</v>
      </c>
      <c r="I21" s="22">
        <f>IFERROR(VLOOKUP($B21,'CEPA Summary sheet'!$B$5:$S$93,17,),)</f>
        <v>0.32516671647352319</v>
      </c>
      <c r="J21" s="22">
        <f>IFERROR(VLOOKUP($B21,'CEPA Summary sheet'!$B$5:$S$93,18,),)</f>
        <v>1.3342606734996416E-2</v>
      </c>
      <c r="K21" s="23">
        <f t="shared" si="3"/>
        <v>1.7802515448477171E-4</v>
      </c>
      <c r="L21" s="24">
        <f>IFERROR(VLOOKUP('ComCom refined - 2009 - 14'!$B21,'CEPA Rating&amp;Leverage'!$B$5:$F$93,5,),"")</f>
        <v>0.62768553802157567</v>
      </c>
      <c r="M21" s="19"/>
    </row>
    <row r="22" spans="2:13" ht="17.25" x14ac:dyDescent="0.25">
      <c r="B22" s="41" t="s">
        <v>44</v>
      </c>
      <c r="C22" s="22" t="str">
        <f>IFERROR(VLOOKUP($B22,'CEPA Summary sheet'!$B$5:$S$93,13,),)</f>
        <v/>
      </c>
      <c r="D22" s="22" t="str">
        <f>IFERROR(VLOOKUP($B22,'CEPA Summary sheet'!$B$5:$S$93,14,),)</f>
        <v/>
      </c>
      <c r="E22" s="23" t="str">
        <f t="shared" si="1"/>
        <v>-</v>
      </c>
      <c r="F22" s="22" t="str">
        <f>IFERROR(VLOOKUP($B22,'CEPA Summary sheet'!$B$5:$S$93,15,),)</f>
        <v/>
      </c>
      <c r="G22" s="22" t="str">
        <f>IFERROR(VLOOKUP($B22,'CEPA Summary sheet'!$B$5:$S$93,16,),)</f>
        <v/>
      </c>
      <c r="H22" s="23" t="str">
        <f t="shared" si="2"/>
        <v>-</v>
      </c>
      <c r="I22" s="22" t="str">
        <f>IFERROR(VLOOKUP($B22,'CEPA Summary sheet'!$B$5:$S$93,17,),)</f>
        <v/>
      </c>
      <c r="J22" s="22" t="str">
        <f>IFERROR(VLOOKUP($B22,'CEPA Summary sheet'!$B$5:$S$93,18,),)</f>
        <v/>
      </c>
      <c r="K22" s="23" t="str">
        <f t="shared" si="3"/>
        <v>-</v>
      </c>
      <c r="L22" s="24" t="str">
        <f>IFERROR(VLOOKUP('ComCom refined - 2009 - 14'!$B22,'CEPA Rating&amp;Leverage'!$B$5:$F$93,5,),"")</f>
        <v/>
      </c>
      <c r="M22" s="19"/>
    </row>
    <row r="23" spans="2:13" ht="17.25" x14ac:dyDescent="0.25">
      <c r="B23" s="41" t="s">
        <v>45</v>
      </c>
      <c r="C23" s="22">
        <f>IFERROR(VLOOKUP($B23,'CEPA Summary sheet'!$B$5:$S$93,13,),)</f>
        <v>0.24052043459495773</v>
      </c>
      <c r="D23" s="22">
        <f>IFERROR(VLOOKUP($B23,'CEPA Summary sheet'!$B$5:$S$93,14,),)</f>
        <v>5.5358338225917361E-2</v>
      </c>
      <c r="E23" s="23">
        <f t="shared" si="1"/>
        <v>3.0645456111350632E-3</v>
      </c>
      <c r="F23" s="22">
        <f>IFERROR(VLOOKUP($B23,'CEPA Summary sheet'!$B$5:$S$93,15,),)</f>
        <v>0.26260487267037574</v>
      </c>
      <c r="G23" s="22">
        <f>IFERROR(VLOOKUP($B23,'CEPA Summary sheet'!$B$5:$S$93,16,),)</f>
        <v>2.7012760345904021E-2</v>
      </c>
      <c r="H23" s="23">
        <f t="shared" si="2"/>
        <v>7.2968922150524476E-4</v>
      </c>
      <c r="I23" s="22">
        <f>IFERROR(VLOOKUP($B23,'CEPA Summary sheet'!$B$5:$S$93,17,),)</f>
        <v>0.28951176183011867</v>
      </c>
      <c r="J23" s="22">
        <f>IFERROR(VLOOKUP($B23,'CEPA Summary sheet'!$B$5:$S$93,18,),)</f>
        <v>1.193064001503347E-2</v>
      </c>
      <c r="K23" s="23">
        <f t="shared" si="3"/>
        <v>1.4234017116831785E-4</v>
      </c>
      <c r="L23" s="24">
        <f>IFERROR(VLOOKUP('ComCom refined - 2009 - 14'!$B23,'CEPA Rating&amp;Leverage'!$B$5:$F$93,5,),"")</f>
        <v>0.51225025506419852</v>
      </c>
      <c r="M23" s="19"/>
    </row>
    <row r="24" spans="2:13" ht="17.25" x14ac:dyDescent="0.25">
      <c r="B24" s="41" t="s">
        <v>46</v>
      </c>
      <c r="C24" s="22">
        <f>IFERROR(VLOOKUP($B24,'CEPA Summary sheet'!$B$5:$S$93,13,),)</f>
        <v>0.36537809635126828</v>
      </c>
      <c r="D24" s="22">
        <f>IFERROR(VLOOKUP($B24,'CEPA Summary sheet'!$B$5:$S$93,14,),)</f>
        <v>8.0737899055240467E-2</v>
      </c>
      <c r="E24" s="23">
        <f t="shared" si="1"/>
        <v>6.5186083438541998E-3</v>
      </c>
      <c r="F24" s="22">
        <f>IFERROR(VLOOKUP($B24,'CEPA Summary sheet'!$B$5:$S$93,15,),)</f>
        <v>0.38352494862165887</v>
      </c>
      <c r="G24" s="22">
        <f>IFERROR(VLOOKUP($B24,'CEPA Summary sheet'!$B$5:$S$93,16,),)</f>
        <v>4.0772305907460379E-2</v>
      </c>
      <c r="H24" s="23">
        <f t="shared" si="2"/>
        <v>1.6623809290115285E-3</v>
      </c>
      <c r="I24" s="22">
        <f>IFERROR(VLOOKUP($B24,'CEPA Summary sheet'!$B$5:$S$93,17,),)</f>
        <v>0.39252451693015172</v>
      </c>
      <c r="J24" s="22">
        <f>IFERROR(VLOOKUP($B24,'CEPA Summary sheet'!$B$5:$S$93,18,),)</f>
        <v>1.9415703017864716E-2</v>
      </c>
      <c r="K24" s="23">
        <f t="shared" si="3"/>
        <v>3.7696952367792107E-4</v>
      </c>
      <c r="L24" s="24">
        <f>IFERROR(VLOOKUP('ComCom refined - 2009 - 14'!$B24,'CEPA Rating&amp;Leverage'!$B$5:$F$93,5,),"")</f>
        <v>0.23671411289854252</v>
      </c>
      <c r="M24" s="19"/>
    </row>
    <row r="25" spans="2:13" ht="17.25" x14ac:dyDescent="0.25">
      <c r="B25" s="41" t="s">
        <v>47</v>
      </c>
      <c r="C25" s="22" t="str">
        <f>IFERROR(VLOOKUP($B25,'CEPA Summary sheet'!$B$5:$S$93,13,),)</f>
        <v/>
      </c>
      <c r="D25" s="22" t="str">
        <f>IFERROR(VLOOKUP($B25,'CEPA Summary sheet'!$B$5:$S$93,14,),)</f>
        <v/>
      </c>
      <c r="E25" s="23" t="str">
        <f t="shared" si="1"/>
        <v>-</v>
      </c>
      <c r="F25" s="22" t="str">
        <f>IFERROR(VLOOKUP($B25,'CEPA Summary sheet'!$B$5:$S$93,15,),)</f>
        <v/>
      </c>
      <c r="G25" s="22" t="str">
        <f>IFERROR(VLOOKUP($B25,'CEPA Summary sheet'!$B$5:$S$93,16,),)</f>
        <v/>
      </c>
      <c r="H25" s="23" t="str">
        <f t="shared" si="2"/>
        <v>-</v>
      </c>
      <c r="I25" s="22" t="str">
        <f>IFERROR(VLOOKUP($B25,'CEPA Summary sheet'!$B$5:$S$93,17,),)</f>
        <v/>
      </c>
      <c r="J25" s="22" t="str">
        <f>IFERROR(VLOOKUP($B25,'CEPA Summary sheet'!$B$5:$S$93,18,),)</f>
        <v/>
      </c>
      <c r="K25" s="23" t="str">
        <f t="shared" si="3"/>
        <v>-</v>
      </c>
      <c r="L25" s="24" t="str">
        <f>IFERROR(VLOOKUP('ComCom refined - 2009 - 14'!$B25,'CEPA Rating&amp;Leverage'!$B$5:$F$93,5,),"")</f>
        <v/>
      </c>
      <c r="M25" s="19"/>
    </row>
    <row r="26" spans="2:13" ht="17.25" x14ac:dyDescent="0.25">
      <c r="B26" s="41" t="s">
        <v>48</v>
      </c>
      <c r="C26" s="22">
        <f>IFERROR(VLOOKUP($B26,'CEPA Summary sheet'!$B$5:$S$93,13,),)</f>
        <v>0.80708431861722496</v>
      </c>
      <c r="D26" s="22">
        <f>IFERROR(VLOOKUP($B26,'CEPA Summary sheet'!$B$5:$S$93,14,),)</f>
        <v>0.20618484839301396</v>
      </c>
      <c r="E26" s="23">
        <f t="shared" si="1"/>
        <v>4.2512191706850153E-2</v>
      </c>
      <c r="F26" s="22">
        <f>IFERROR(VLOOKUP($B26,'CEPA Summary sheet'!$B$5:$S$93,15,),)</f>
        <v>0.2660716424250999</v>
      </c>
      <c r="G26" s="22">
        <f>IFERROR(VLOOKUP($B26,'CEPA Summary sheet'!$B$5:$S$93,16,),)</f>
        <v>0.10163698110505448</v>
      </c>
      <c r="H26" s="23">
        <f t="shared" si="2"/>
        <v>1.0330075928149201E-2</v>
      </c>
      <c r="I26" s="22">
        <f>IFERROR(VLOOKUP($B26,'CEPA Summary sheet'!$B$5:$S$93,17,),)</f>
        <v>0.31451973174579723</v>
      </c>
      <c r="J26" s="22">
        <f>IFERROR(VLOOKUP($B26,'CEPA Summary sheet'!$B$5:$S$93,18,),)</f>
        <v>8.9486975535298871E-2</v>
      </c>
      <c r="K26" s="23">
        <f t="shared" si="3"/>
        <v>8.007918790455178E-3</v>
      </c>
      <c r="L26" s="24">
        <f>IFERROR(VLOOKUP('ComCom refined - 2009 - 14'!$B26,'CEPA Rating&amp;Leverage'!$B$5:$F$93,5,),"")</f>
        <v>0.28228905064526566</v>
      </c>
      <c r="M26" s="19"/>
    </row>
    <row r="27" spans="2:13" ht="17.25" x14ac:dyDescent="0.25">
      <c r="B27" s="41" t="s">
        <v>49</v>
      </c>
      <c r="C27" s="22">
        <f>IFERROR(VLOOKUP($B27,'CEPA Summary sheet'!$B$5:$S$93,13,),)</f>
        <v>0.42146524578229527</v>
      </c>
      <c r="D27" s="22">
        <f>IFERROR(VLOOKUP($B27,'CEPA Summary sheet'!$B$5:$S$93,14,),)</f>
        <v>5.6172406778897288E-2</v>
      </c>
      <c r="E27" s="23">
        <f t="shared" si="1"/>
        <v>3.1553392833339059E-3</v>
      </c>
      <c r="F27" s="22">
        <f>IFERROR(VLOOKUP($B27,'CEPA Summary sheet'!$B$5:$S$93,15,),)</f>
        <v>0.40364159694080382</v>
      </c>
      <c r="G27" s="22">
        <f>IFERROR(VLOOKUP($B27,'CEPA Summary sheet'!$B$5:$S$93,16,),)</f>
        <v>2.7990418883972447E-2</v>
      </c>
      <c r="H27" s="23">
        <f t="shared" si="2"/>
        <v>7.8346354930024134E-4</v>
      </c>
      <c r="I27" s="22">
        <f>IFERROR(VLOOKUP($B27,'CEPA Summary sheet'!$B$5:$S$93,17,),)</f>
        <v>0.36027416297294751</v>
      </c>
      <c r="J27" s="22">
        <f>IFERROR(VLOOKUP($B27,'CEPA Summary sheet'!$B$5:$S$93,18,),)</f>
        <v>1.2256579330304052E-2</v>
      </c>
      <c r="K27" s="23">
        <f t="shared" si="3"/>
        <v>1.5022373688003651E-4</v>
      </c>
      <c r="L27" s="24">
        <f>IFERROR(VLOOKUP('ComCom refined - 2009 - 14'!$B27,'CEPA Rating&amp;Leverage'!$B$5:$F$93,5,),"")</f>
        <v>0.54205904252161641</v>
      </c>
      <c r="M27" s="19"/>
    </row>
    <row r="28" spans="2:13" ht="17.25" x14ac:dyDescent="0.25">
      <c r="B28" s="41" t="s">
        <v>50</v>
      </c>
      <c r="C28" s="22" t="str">
        <f>IFERROR(VLOOKUP($B28,'CEPA Summary sheet'!$B$5:$S$93,13,),)</f>
        <v/>
      </c>
      <c r="D28" s="22" t="str">
        <f>IFERROR(VLOOKUP($B28,'CEPA Summary sheet'!$B$5:$S$93,14,),)</f>
        <v/>
      </c>
      <c r="E28" s="23" t="str">
        <f t="shared" si="1"/>
        <v>-</v>
      </c>
      <c r="F28" s="22" t="str">
        <f>IFERROR(VLOOKUP($B28,'CEPA Summary sheet'!$B$5:$S$93,15,),)</f>
        <v/>
      </c>
      <c r="G28" s="22" t="str">
        <f>IFERROR(VLOOKUP($B28,'CEPA Summary sheet'!$B$5:$S$93,16,),)</f>
        <v/>
      </c>
      <c r="H28" s="23" t="str">
        <f t="shared" si="2"/>
        <v>-</v>
      </c>
      <c r="I28" s="22" t="str">
        <f>IFERROR(VLOOKUP($B28,'CEPA Summary sheet'!$B$5:$S$93,17,),)</f>
        <v/>
      </c>
      <c r="J28" s="22" t="str">
        <f>IFERROR(VLOOKUP($B28,'CEPA Summary sheet'!$B$5:$S$93,18,),)</f>
        <v/>
      </c>
      <c r="K28" s="23" t="str">
        <f t="shared" si="3"/>
        <v>-</v>
      </c>
      <c r="L28" s="24" t="str">
        <f>IFERROR(VLOOKUP('ComCom refined - 2009 - 14'!$B28,'CEPA Rating&amp;Leverage'!$B$5:$F$93,5,),"")</f>
        <v/>
      </c>
      <c r="M28" s="19"/>
    </row>
    <row r="29" spans="2:13" ht="17.25" x14ac:dyDescent="0.25">
      <c r="B29" s="41" t="s">
        <v>51</v>
      </c>
      <c r="C29" s="22">
        <f>IFERROR(VLOOKUP($B29,'CEPA Summary sheet'!$B$5:$S$93,13,),)</f>
        <v>0.3949743319691027</v>
      </c>
      <c r="D29" s="22">
        <f>IFERROR(VLOOKUP($B29,'CEPA Summary sheet'!$B$5:$S$93,14,),)</f>
        <v>0.11386212490125366</v>
      </c>
      <c r="E29" s="23">
        <f t="shared" si="1"/>
        <v>1.296458348702869E-2</v>
      </c>
      <c r="F29" s="22">
        <f>IFERROR(VLOOKUP($B29,'CEPA Summary sheet'!$B$5:$S$93,15,),)</f>
        <v>0.37255284094562013</v>
      </c>
      <c r="G29" s="22">
        <f>IFERROR(VLOOKUP($B29,'CEPA Summary sheet'!$B$5:$S$93,16,),)</f>
        <v>5.4289795828580144E-2</v>
      </c>
      <c r="H29" s="23">
        <f t="shared" si="2"/>
        <v>2.9473819311089181E-3</v>
      </c>
      <c r="I29" s="22">
        <f>IFERROR(VLOOKUP($B29,'CEPA Summary sheet'!$B$5:$S$93,17,),)</f>
        <v>0.34104085477915264</v>
      </c>
      <c r="J29" s="22">
        <f>IFERROR(VLOOKUP($B29,'CEPA Summary sheet'!$B$5:$S$93,18,),)</f>
        <v>2.2923861513822578E-2</v>
      </c>
      <c r="K29" s="23">
        <f t="shared" si="3"/>
        <v>5.2550342670491595E-4</v>
      </c>
      <c r="L29" s="24">
        <f>IFERROR(VLOOKUP('ComCom refined - 2009 - 14'!$B29,'CEPA Rating&amp;Leverage'!$B$5:$F$93,5,),"")</f>
        <v>0.13281671492168975</v>
      </c>
      <c r="M29" s="19"/>
    </row>
    <row r="30" spans="2:13" ht="17.25" x14ac:dyDescent="0.25">
      <c r="B30" s="41" t="s">
        <v>52</v>
      </c>
      <c r="C30" s="22" t="str">
        <f>IFERROR(VLOOKUP($B30,'CEPA Summary sheet'!$B$5:$S$93,13,),)</f>
        <v/>
      </c>
      <c r="D30" s="22" t="str">
        <f>IFERROR(VLOOKUP($B30,'CEPA Summary sheet'!$B$5:$S$93,14,),)</f>
        <v/>
      </c>
      <c r="E30" s="23" t="str">
        <f t="shared" si="1"/>
        <v>-</v>
      </c>
      <c r="F30" s="22" t="str">
        <f>IFERROR(VLOOKUP($B30,'CEPA Summary sheet'!$B$5:$S$93,15,),)</f>
        <v/>
      </c>
      <c r="G30" s="22" t="str">
        <f>IFERROR(VLOOKUP($B30,'CEPA Summary sheet'!$B$5:$S$93,16,),)</f>
        <v/>
      </c>
      <c r="H30" s="23" t="str">
        <f t="shared" si="2"/>
        <v>-</v>
      </c>
      <c r="I30" s="22" t="str">
        <f>IFERROR(VLOOKUP($B30,'CEPA Summary sheet'!$B$5:$S$93,17,),)</f>
        <v/>
      </c>
      <c r="J30" s="22" t="str">
        <f>IFERROR(VLOOKUP($B30,'CEPA Summary sheet'!$B$5:$S$93,18,),)</f>
        <v/>
      </c>
      <c r="K30" s="23" t="str">
        <f t="shared" si="3"/>
        <v>-</v>
      </c>
      <c r="L30" s="24" t="str">
        <f>IFERROR(VLOOKUP('ComCom refined - 2009 - 14'!$B30,'CEPA Rating&amp;Leverage'!$B$5:$F$93,5,),"")</f>
        <v/>
      </c>
      <c r="M30" s="19"/>
    </row>
    <row r="31" spans="2:13" ht="17.25" x14ac:dyDescent="0.25">
      <c r="B31" s="41" t="s">
        <v>53</v>
      </c>
      <c r="C31" s="22">
        <f>IFERROR(VLOOKUP($B31,'CEPA Summary sheet'!$B$5:$S$93,13,),)</f>
        <v>0.20289721203332958</v>
      </c>
      <c r="D31" s="22">
        <f>IFERROR(VLOOKUP($B31,'CEPA Summary sheet'!$B$5:$S$93,14,),)</f>
        <v>0.11017023897830197</v>
      </c>
      <c r="E31" s="23">
        <f t="shared" si="1"/>
        <v>1.2137481556536166E-2</v>
      </c>
      <c r="F31" s="22">
        <f>IFERROR(VLOOKUP($B31,'CEPA Summary sheet'!$B$5:$S$93,15,),)</f>
        <v>0.24615562327720159</v>
      </c>
      <c r="G31" s="22">
        <f>IFERROR(VLOOKUP($B31,'CEPA Summary sheet'!$B$5:$S$93,16,),)</f>
        <v>5.3136351856443352E-2</v>
      </c>
      <c r="H31" s="23">
        <f t="shared" si="2"/>
        <v>2.8234718886117507E-3</v>
      </c>
      <c r="I31" s="22">
        <f>IFERROR(VLOOKUP($B31,'CEPA Summary sheet'!$B$5:$S$93,17,),)</f>
        <v>0.24239565443732805</v>
      </c>
      <c r="J31" s="22">
        <f>IFERROR(VLOOKUP($B31,'CEPA Summary sheet'!$B$5:$S$93,18,),)</f>
        <v>2.2276218004026571E-2</v>
      </c>
      <c r="K31" s="23">
        <f t="shared" si="3"/>
        <v>4.9622988856291752E-4</v>
      </c>
      <c r="L31" s="24">
        <f>IFERROR(VLOOKUP('ComCom refined - 2009 - 14'!$B31,'CEPA Rating&amp;Leverage'!$B$5:$F$93,5,),"")</f>
        <v>0.47983839620190466</v>
      </c>
      <c r="M31" s="19"/>
    </row>
    <row r="32" spans="2:13" ht="17.25" x14ac:dyDescent="0.25">
      <c r="B32" s="41" t="s">
        <v>54</v>
      </c>
      <c r="C32" s="22" t="str">
        <f>IFERROR(VLOOKUP($B32,'CEPA Summary sheet'!$B$5:$S$93,13,),)</f>
        <v/>
      </c>
      <c r="D32" s="22" t="str">
        <f>IFERROR(VLOOKUP($B32,'CEPA Summary sheet'!$B$5:$S$93,14,),)</f>
        <v/>
      </c>
      <c r="E32" s="23" t="str">
        <f t="shared" si="1"/>
        <v>-</v>
      </c>
      <c r="F32" s="22" t="str">
        <f>IFERROR(VLOOKUP($B32,'CEPA Summary sheet'!$B$5:$S$93,15,),)</f>
        <v/>
      </c>
      <c r="G32" s="22" t="str">
        <f>IFERROR(VLOOKUP($B32,'CEPA Summary sheet'!$B$5:$S$93,16,),)</f>
        <v/>
      </c>
      <c r="H32" s="23" t="str">
        <f t="shared" si="2"/>
        <v>-</v>
      </c>
      <c r="I32" s="22" t="str">
        <f>IFERROR(VLOOKUP($B32,'CEPA Summary sheet'!$B$5:$S$93,17,),)</f>
        <v/>
      </c>
      <c r="J32" s="22" t="str">
        <f>IFERROR(VLOOKUP($B32,'CEPA Summary sheet'!$B$5:$S$93,18,),)</f>
        <v/>
      </c>
      <c r="K32" s="23" t="str">
        <f t="shared" si="3"/>
        <v>-</v>
      </c>
      <c r="L32" s="24" t="str">
        <f>IFERROR(VLOOKUP('ComCom refined - 2009 - 14'!$B32,'CEPA Rating&amp;Leverage'!$B$5:$F$93,5,),"")</f>
        <v/>
      </c>
      <c r="M32" s="19"/>
    </row>
    <row r="33" spans="2:13" ht="17.25" x14ac:dyDescent="0.25">
      <c r="B33" s="41" t="s">
        <v>55</v>
      </c>
      <c r="C33" s="22" t="str">
        <f>IFERROR(VLOOKUP($B33,'CEPA Summary sheet'!$B$5:$S$93,13,),)</f>
        <v/>
      </c>
      <c r="D33" s="22" t="str">
        <f>IFERROR(VLOOKUP($B33,'CEPA Summary sheet'!$B$5:$S$93,14,),)</f>
        <v/>
      </c>
      <c r="E33" s="23" t="str">
        <f t="shared" si="1"/>
        <v>-</v>
      </c>
      <c r="F33" s="22" t="str">
        <f>IFERROR(VLOOKUP($B33,'CEPA Summary sheet'!$B$5:$S$93,15,),)</f>
        <v/>
      </c>
      <c r="G33" s="22" t="str">
        <f>IFERROR(VLOOKUP($B33,'CEPA Summary sheet'!$B$5:$S$93,16,),)</f>
        <v/>
      </c>
      <c r="H33" s="23" t="str">
        <f t="shared" si="2"/>
        <v>-</v>
      </c>
      <c r="I33" s="22" t="str">
        <f>IFERROR(VLOOKUP($B33,'CEPA Summary sheet'!$B$5:$S$93,17,),)</f>
        <v/>
      </c>
      <c r="J33" s="22" t="str">
        <f>IFERROR(VLOOKUP($B33,'CEPA Summary sheet'!$B$5:$S$93,18,),)</f>
        <v/>
      </c>
      <c r="K33" s="23" t="str">
        <f t="shared" si="3"/>
        <v>-</v>
      </c>
      <c r="L33" s="24" t="str">
        <f>IFERROR(VLOOKUP('ComCom refined - 2009 - 14'!$B33,'CEPA Rating&amp;Leverage'!$B$5:$F$93,5,),"")</f>
        <v/>
      </c>
      <c r="M33" s="19"/>
    </row>
    <row r="34" spans="2:13" ht="17.25" x14ac:dyDescent="0.25">
      <c r="B34" s="41" t="s">
        <v>56</v>
      </c>
      <c r="C34" s="22" t="str">
        <f>IFERROR(VLOOKUP($B34,'CEPA Summary sheet'!$B$5:$S$93,13,),)</f>
        <v/>
      </c>
      <c r="D34" s="22" t="str">
        <f>IFERROR(VLOOKUP($B34,'CEPA Summary sheet'!$B$5:$S$93,14,),)</f>
        <v/>
      </c>
      <c r="E34" s="23" t="str">
        <f t="shared" si="1"/>
        <v>-</v>
      </c>
      <c r="F34" s="22" t="str">
        <f>IFERROR(VLOOKUP($B34,'CEPA Summary sheet'!$B$5:$S$93,15,),)</f>
        <v/>
      </c>
      <c r="G34" s="22" t="str">
        <f>IFERROR(VLOOKUP($B34,'CEPA Summary sheet'!$B$5:$S$93,16,),)</f>
        <v/>
      </c>
      <c r="H34" s="23" t="str">
        <f t="shared" si="2"/>
        <v>-</v>
      </c>
      <c r="I34" s="22" t="str">
        <f>IFERROR(VLOOKUP($B34,'CEPA Summary sheet'!$B$5:$S$93,17,),)</f>
        <v/>
      </c>
      <c r="J34" s="22" t="str">
        <f>IFERROR(VLOOKUP($B34,'CEPA Summary sheet'!$B$5:$S$93,18,),)</f>
        <v/>
      </c>
      <c r="K34" s="23" t="str">
        <f t="shared" si="3"/>
        <v>-</v>
      </c>
      <c r="L34" s="24" t="str">
        <f>IFERROR(VLOOKUP('ComCom refined - 2009 - 14'!$B34,'CEPA Rating&amp;Leverage'!$B$5:$F$93,5,),"")</f>
        <v/>
      </c>
      <c r="M34" s="19"/>
    </row>
    <row r="35" spans="2:13" ht="17.25" x14ac:dyDescent="0.25">
      <c r="B35" s="41" t="s">
        <v>57</v>
      </c>
      <c r="C35" s="22">
        <f>IFERROR(VLOOKUP($B35,'CEPA Summary sheet'!$B$5:$S$93,13,),)</f>
        <v>0.33729542410307162</v>
      </c>
      <c r="D35" s="22">
        <f>IFERROR(VLOOKUP($B35,'CEPA Summary sheet'!$B$5:$S$93,14,),)</f>
        <v>5.9417866091705906E-2</v>
      </c>
      <c r="E35" s="23">
        <f t="shared" si="1"/>
        <v>3.5304828108918946E-3</v>
      </c>
      <c r="F35" s="22">
        <f>IFERROR(VLOOKUP($B35,'CEPA Summary sheet'!$B$5:$S$93,15,),)</f>
        <v>0.34981638018001621</v>
      </c>
      <c r="G35" s="22">
        <f>IFERROR(VLOOKUP($B35,'CEPA Summary sheet'!$B$5:$S$93,16,),)</f>
        <v>2.608366971198002E-2</v>
      </c>
      <c r="H35" s="23">
        <f t="shared" si="2"/>
        <v>6.8035782564366393E-4</v>
      </c>
      <c r="I35" s="22">
        <f>IFERROR(VLOOKUP($B35,'CEPA Summary sheet'!$B$5:$S$93,17,),)</f>
        <v>0.37324548646195166</v>
      </c>
      <c r="J35" s="22">
        <f>IFERROR(VLOOKUP($B35,'CEPA Summary sheet'!$B$5:$S$93,18,),)</f>
        <v>1.0921458293382562E-2</v>
      </c>
      <c r="K35" s="23">
        <f t="shared" si="3"/>
        <v>1.1927825125409474E-4</v>
      </c>
      <c r="L35" s="24">
        <f>IFERROR(VLOOKUP('ComCom refined - 2009 - 14'!$B35,'CEPA Rating&amp;Leverage'!$B$5:$F$93,5,),"")</f>
        <v>0.4949143193339009</v>
      </c>
      <c r="M35" s="19"/>
    </row>
    <row r="36" spans="2:13" ht="17.25" x14ac:dyDescent="0.25">
      <c r="B36" s="41" t="s">
        <v>58</v>
      </c>
      <c r="C36" s="22">
        <f>IFERROR(VLOOKUP($B36,'CEPA Summary sheet'!$B$5:$S$93,13,),)</f>
        <v>0.42123314623349223</v>
      </c>
      <c r="D36" s="22">
        <f>IFERROR(VLOOKUP($B36,'CEPA Summary sheet'!$B$5:$S$93,14,),)</f>
        <v>9.8018829832360585E-2</v>
      </c>
      <c r="E36" s="23">
        <f t="shared" si="1"/>
        <v>9.6076910017052607E-3</v>
      </c>
      <c r="F36" s="22">
        <f>IFERROR(VLOOKUP($B36,'CEPA Summary sheet'!$B$5:$S$93,15,),)</f>
        <v>0.40661619025593365</v>
      </c>
      <c r="G36" s="22">
        <f>IFERROR(VLOOKUP($B36,'CEPA Summary sheet'!$B$5:$S$93,16,),)</f>
        <v>4.7499458056473286E-2</v>
      </c>
      <c r="H36" s="23">
        <f t="shared" si="2"/>
        <v>2.2561985156586651E-3</v>
      </c>
      <c r="I36" s="22">
        <f>IFERROR(VLOOKUP($B36,'CEPA Summary sheet'!$B$5:$S$93,17,),)</f>
        <v>0.40585968852309096</v>
      </c>
      <c r="J36" s="22">
        <f>IFERROR(VLOOKUP($B36,'CEPA Summary sheet'!$B$5:$S$93,18,),)</f>
        <v>2.1937397347424371E-2</v>
      </c>
      <c r="K36" s="23">
        <f t="shared" si="3"/>
        <v>4.8124940237878182E-4</v>
      </c>
      <c r="L36" s="24">
        <f>IFERROR(VLOOKUP('ComCom refined - 2009 - 14'!$B36,'CEPA Rating&amp;Leverage'!$B$5:$F$93,5,),"")</f>
        <v>0.17388632053894842</v>
      </c>
      <c r="M36" s="19"/>
    </row>
    <row r="37" spans="2:13" ht="17.25" x14ac:dyDescent="0.25">
      <c r="B37" s="41" t="s">
        <v>59</v>
      </c>
      <c r="C37" s="22" t="str">
        <f>IFERROR(VLOOKUP($B37,'CEPA Summary sheet'!$B$5:$S$93,13,),)</f>
        <v/>
      </c>
      <c r="D37" s="22" t="str">
        <f>IFERROR(VLOOKUP($B37,'CEPA Summary sheet'!$B$5:$S$93,14,),)</f>
        <v/>
      </c>
      <c r="E37" s="23" t="str">
        <f t="shared" si="1"/>
        <v>-</v>
      </c>
      <c r="F37" s="22" t="str">
        <f>IFERROR(VLOOKUP($B37,'CEPA Summary sheet'!$B$5:$S$93,15,),)</f>
        <v/>
      </c>
      <c r="G37" s="22" t="str">
        <f>IFERROR(VLOOKUP($B37,'CEPA Summary sheet'!$B$5:$S$93,16,),)</f>
        <v/>
      </c>
      <c r="H37" s="23" t="str">
        <f t="shared" si="2"/>
        <v>-</v>
      </c>
      <c r="I37" s="22" t="str">
        <f>IFERROR(VLOOKUP($B37,'CEPA Summary sheet'!$B$5:$S$93,17,),)</f>
        <v/>
      </c>
      <c r="J37" s="22" t="str">
        <f>IFERROR(VLOOKUP($B37,'CEPA Summary sheet'!$B$5:$S$93,18,),)</f>
        <v/>
      </c>
      <c r="K37" s="23" t="str">
        <f t="shared" si="3"/>
        <v>-</v>
      </c>
      <c r="L37" s="24" t="str">
        <f>IFERROR(VLOOKUP('ComCom refined - 2009 - 14'!$B37,'CEPA Rating&amp;Leverage'!$B$5:$F$93,5,),"")</f>
        <v/>
      </c>
      <c r="M37" s="19"/>
    </row>
    <row r="38" spans="2:13" ht="17.25" x14ac:dyDescent="0.25">
      <c r="B38" s="41" t="s">
        <v>60</v>
      </c>
      <c r="C38" s="22" t="str">
        <f>IFERROR(VLOOKUP($B38,'CEPA Summary sheet'!$B$5:$S$93,13,),)</f>
        <v/>
      </c>
      <c r="D38" s="22" t="str">
        <f>IFERROR(VLOOKUP($B38,'CEPA Summary sheet'!$B$5:$S$93,14,),)</f>
        <v/>
      </c>
      <c r="E38" s="23" t="str">
        <f t="shared" si="1"/>
        <v>-</v>
      </c>
      <c r="F38" s="22" t="str">
        <f>IFERROR(VLOOKUP($B38,'CEPA Summary sheet'!$B$5:$S$93,15,),)</f>
        <v/>
      </c>
      <c r="G38" s="22" t="str">
        <f>IFERROR(VLOOKUP($B38,'CEPA Summary sheet'!$B$5:$S$93,16,),)</f>
        <v/>
      </c>
      <c r="H38" s="23" t="str">
        <f t="shared" si="2"/>
        <v>-</v>
      </c>
      <c r="I38" s="22" t="str">
        <f>IFERROR(VLOOKUP($B38,'CEPA Summary sheet'!$B$5:$S$93,17,),)</f>
        <v/>
      </c>
      <c r="J38" s="22" t="str">
        <f>IFERROR(VLOOKUP($B38,'CEPA Summary sheet'!$B$5:$S$93,18,),)</f>
        <v/>
      </c>
      <c r="K38" s="23" t="str">
        <f t="shared" si="3"/>
        <v>-</v>
      </c>
      <c r="L38" s="24" t="str">
        <f>IFERROR(VLOOKUP('ComCom refined - 2009 - 14'!$B38,'CEPA Rating&amp;Leverage'!$B$5:$F$93,5,),"")</f>
        <v/>
      </c>
      <c r="M38" s="19"/>
    </row>
    <row r="39" spans="2:13" ht="17.25" x14ac:dyDescent="0.25">
      <c r="B39" s="41" t="s">
        <v>61</v>
      </c>
      <c r="C39" s="22">
        <f>IFERROR(VLOOKUP($B39,'CEPA Summary sheet'!$B$5:$S$93,13,),)</f>
        <v>0.85547826250058845</v>
      </c>
      <c r="D39" s="22">
        <f>IFERROR(VLOOKUP($B39,'CEPA Summary sheet'!$B$5:$S$93,14,),)</f>
        <v>0.23217197981242835</v>
      </c>
      <c r="E39" s="23">
        <f t="shared" si="1"/>
        <v>5.3903828210022639E-2</v>
      </c>
      <c r="F39" s="22">
        <f>IFERROR(VLOOKUP($B39,'CEPA Summary sheet'!$B$5:$S$93,15,),)</f>
        <v>0.93235960863599909</v>
      </c>
      <c r="G39" s="22">
        <f>IFERROR(VLOOKUP($B39,'CEPA Summary sheet'!$B$5:$S$93,16,),)</f>
        <v>0.1027327803911938</v>
      </c>
      <c r="H39" s="23">
        <f t="shared" si="2"/>
        <v>1.0554024166905252E-2</v>
      </c>
      <c r="I39" s="22">
        <f>IFERROR(VLOOKUP($B39,'CEPA Summary sheet'!$B$5:$S$93,17,),)</f>
        <v>1.3447561477679386</v>
      </c>
      <c r="J39" s="22">
        <f>IFERROR(VLOOKUP($B39,'CEPA Summary sheet'!$B$5:$S$93,18,),)</f>
        <v>4.6307084602814984E-2</v>
      </c>
      <c r="K39" s="23">
        <f t="shared" si="3"/>
        <v>2.1443460844122646E-3</v>
      </c>
      <c r="L39" s="24">
        <f>IFERROR(VLOOKUP('ComCom refined - 2009 - 14'!$B39,'CEPA Rating&amp;Leverage'!$B$5:$F$93,5,),"")</f>
        <v>0.21702007224836325</v>
      </c>
      <c r="M39" s="19"/>
    </row>
    <row r="40" spans="2:13" ht="17.25" x14ac:dyDescent="0.25">
      <c r="B40" s="41" t="s">
        <v>62</v>
      </c>
      <c r="C40" s="22" t="str">
        <f>IFERROR(VLOOKUP($B40,'CEPA Summary sheet'!$B$5:$S$93,13,),)</f>
        <v/>
      </c>
      <c r="D40" s="22" t="str">
        <f>IFERROR(VLOOKUP($B40,'CEPA Summary sheet'!$B$5:$S$93,14,),)</f>
        <v/>
      </c>
      <c r="E40" s="23" t="str">
        <f t="shared" si="1"/>
        <v>-</v>
      </c>
      <c r="F40" s="22" t="str">
        <f>IFERROR(VLOOKUP($B40,'CEPA Summary sheet'!$B$5:$S$93,15,),)</f>
        <v/>
      </c>
      <c r="G40" s="22" t="str">
        <f>IFERROR(VLOOKUP($B40,'CEPA Summary sheet'!$B$5:$S$93,16,),)</f>
        <v/>
      </c>
      <c r="H40" s="23" t="str">
        <f t="shared" si="2"/>
        <v>-</v>
      </c>
      <c r="I40" s="22" t="str">
        <f>IFERROR(VLOOKUP($B40,'CEPA Summary sheet'!$B$5:$S$93,17,),)</f>
        <v/>
      </c>
      <c r="J40" s="22" t="str">
        <f>IFERROR(VLOOKUP($B40,'CEPA Summary sheet'!$B$5:$S$93,18,),)</f>
        <v/>
      </c>
      <c r="K40" s="23" t="str">
        <f t="shared" si="3"/>
        <v>-</v>
      </c>
      <c r="L40" s="24" t="str">
        <f>IFERROR(VLOOKUP('ComCom refined - 2009 - 14'!$B40,'CEPA Rating&amp;Leverage'!$B$5:$F$93,5,),"")</f>
        <v/>
      </c>
      <c r="M40" s="19"/>
    </row>
    <row r="41" spans="2:13" ht="17.25" x14ac:dyDescent="0.25">
      <c r="B41" s="41" t="s">
        <v>63</v>
      </c>
      <c r="C41" s="22">
        <f>IFERROR(VLOOKUP($B41,'CEPA Summary sheet'!$B$5:$S$93,13,),)</f>
        <v>0.69123716865626794</v>
      </c>
      <c r="D41" s="22">
        <f>IFERROR(VLOOKUP($B41,'CEPA Summary sheet'!$B$5:$S$93,14,),)</f>
        <v>0.11758446156127386</v>
      </c>
      <c r="E41" s="23">
        <f t="shared" si="1"/>
        <v>1.3826105600654691E-2</v>
      </c>
      <c r="F41" s="22">
        <f>IFERROR(VLOOKUP($B41,'CEPA Summary sheet'!$B$5:$S$93,15,),)</f>
        <v>0.65413966155480385</v>
      </c>
      <c r="G41" s="22">
        <f>IFERROR(VLOOKUP($B41,'CEPA Summary sheet'!$B$5:$S$93,16,),)</f>
        <v>5.7122944706938093E-2</v>
      </c>
      <c r="H41" s="23">
        <f t="shared" si="2"/>
        <v>3.2630308119919065E-3</v>
      </c>
      <c r="I41" s="22">
        <f>IFERROR(VLOOKUP($B41,'CEPA Summary sheet'!$B$5:$S$93,17,),)</f>
        <v>0.60950197708770548</v>
      </c>
      <c r="J41" s="22">
        <f>IFERROR(VLOOKUP($B41,'CEPA Summary sheet'!$B$5:$S$93,18,),)</f>
        <v>2.538133280657846E-2</v>
      </c>
      <c r="K41" s="23">
        <f t="shared" si="3"/>
        <v>6.4421205503829599E-4</v>
      </c>
      <c r="L41" s="24">
        <f>IFERROR(VLOOKUP('ComCom refined - 2009 - 14'!$B41,'CEPA Rating&amp;Leverage'!$B$5:$F$93,5,),"")</f>
        <v>0.28317847600204693</v>
      </c>
      <c r="M41" s="19"/>
    </row>
    <row r="42" spans="2:13" ht="17.25" x14ac:dyDescent="0.25">
      <c r="B42" s="41" t="s">
        <v>64</v>
      </c>
      <c r="C42" s="22">
        <f>IFERROR(VLOOKUP($B42,'CEPA Summary sheet'!$B$5:$S$93,13,),)</f>
        <v>0.76950400095693527</v>
      </c>
      <c r="D42" s="22">
        <f>IFERROR(VLOOKUP($B42,'CEPA Summary sheet'!$B$5:$S$93,14,),)</f>
        <v>0.16588714964287851</v>
      </c>
      <c r="E42" s="23">
        <f t="shared" si="1"/>
        <v>2.751854641663877E-2</v>
      </c>
      <c r="F42" s="22">
        <f>IFERROR(VLOOKUP($B42,'CEPA Summary sheet'!$B$5:$S$93,15,),)</f>
        <v>1.0463266516360625</v>
      </c>
      <c r="G42" s="22">
        <f>IFERROR(VLOOKUP($B42,'CEPA Summary sheet'!$B$5:$S$93,16,),)</f>
        <v>9.3412257141789704E-2</v>
      </c>
      <c r="H42" s="23">
        <f t="shared" si="2"/>
        <v>8.725849784323841E-3</v>
      </c>
      <c r="I42" s="22">
        <f>IFERROR(VLOOKUP($B42,'CEPA Summary sheet'!$B$5:$S$93,17,),)</f>
        <v>1.2861577690523167</v>
      </c>
      <c r="J42" s="22">
        <f>IFERROR(VLOOKUP($B42,'CEPA Summary sheet'!$B$5:$S$93,18,),)</f>
        <v>4.885360512293925E-2</v>
      </c>
      <c r="K42" s="23">
        <f t="shared" si="3"/>
        <v>2.386674733508076E-3</v>
      </c>
      <c r="L42" s="24">
        <f>IFERROR(VLOOKUP('ComCom refined - 2009 - 14'!$B42,'CEPA Rating&amp;Leverage'!$B$5:$F$93,5,),"")</f>
        <v>0.24408467944705303</v>
      </c>
      <c r="M42" s="19"/>
    </row>
    <row r="43" spans="2:13" ht="17.25" x14ac:dyDescent="0.25">
      <c r="B43" s="41" t="s">
        <v>65</v>
      </c>
      <c r="C43" s="22" t="str">
        <f>IFERROR(VLOOKUP($B43,'CEPA Summary sheet'!$B$5:$S$93,13,),)</f>
        <v/>
      </c>
      <c r="D43" s="22" t="str">
        <f>IFERROR(VLOOKUP($B43,'CEPA Summary sheet'!$B$5:$S$93,14,),)</f>
        <v/>
      </c>
      <c r="E43" s="23" t="str">
        <f t="shared" si="1"/>
        <v>-</v>
      </c>
      <c r="F43" s="22" t="str">
        <f>IFERROR(VLOOKUP($B43,'CEPA Summary sheet'!$B$5:$S$93,15,),)</f>
        <v/>
      </c>
      <c r="G43" s="22" t="str">
        <f>IFERROR(VLOOKUP($B43,'CEPA Summary sheet'!$B$5:$S$93,16,),)</f>
        <v/>
      </c>
      <c r="H43" s="23" t="str">
        <f t="shared" si="2"/>
        <v>-</v>
      </c>
      <c r="I43" s="22" t="str">
        <f>IFERROR(VLOOKUP($B43,'CEPA Summary sheet'!$B$5:$S$93,17,),)</f>
        <v/>
      </c>
      <c r="J43" s="22" t="str">
        <f>IFERROR(VLOOKUP($B43,'CEPA Summary sheet'!$B$5:$S$93,18,),)</f>
        <v/>
      </c>
      <c r="K43" s="23" t="str">
        <f t="shared" si="3"/>
        <v>-</v>
      </c>
      <c r="L43" s="24" t="str">
        <f>IFERROR(VLOOKUP('ComCom refined - 2009 - 14'!$B43,'CEPA Rating&amp;Leverage'!$B$5:$F$93,5,),"")</f>
        <v/>
      </c>
      <c r="M43" s="19"/>
    </row>
    <row r="44" spans="2:13" ht="17.25" x14ac:dyDescent="0.25">
      <c r="B44" s="41" t="s">
        <v>66</v>
      </c>
      <c r="C44" s="22">
        <f>IFERROR(VLOOKUP($B44,'CEPA Summary sheet'!$B$5:$S$93,13,),)</f>
        <v>0.31765512970195015</v>
      </c>
      <c r="D44" s="22">
        <f>IFERROR(VLOOKUP($B44,'CEPA Summary sheet'!$B$5:$S$93,14,),)</f>
        <v>6.946535587572289E-2</v>
      </c>
      <c r="E44" s="23">
        <f t="shared" si="1"/>
        <v>4.8254356669408284E-3</v>
      </c>
      <c r="F44" s="22">
        <f>IFERROR(VLOOKUP($B44,'CEPA Summary sheet'!$B$5:$S$93,15,),)</f>
        <v>0.33438514638629557</v>
      </c>
      <c r="G44" s="22">
        <f>IFERROR(VLOOKUP($B44,'CEPA Summary sheet'!$B$5:$S$93,16,),)</f>
        <v>3.306019459351138E-2</v>
      </c>
      <c r="H44" s="23">
        <f t="shared" si="2"/>
        <v>1.0929764665608391E-3</v>
      </c>
      <c r="I44" s="22">
        <f>IFERROR(VLOOKUP($B44,'CEPA Summary sheet'!$B$5:$S$93,17,),)</f>
        <v>0.32227737201690565</v>
      </c>
      <c r="J44" s="22">
        <f>IFERROR(VLOOKUP($B44,'CEPA Summary sheet'!$B$5:$S$93,18,),)</f>
        <v>1.5626576110870982E-2</v>
      </c>
      <c r="K44" s="23">
        <f t="shared" si="3"/>
        <v>2.4418988094884367E-4</v>
      </c>
      <c r="L44" s="24">
        <f>IFERROR(VLOOKUP('ComCom refined - 2009 - 14'!$B44,'CEPA Rating&amp;Leverage'!$B$5:$F$93,5,),"")</f>
        <v>0.30678721253060509</v>
      </c>
      <c r="M44" s="19"/>
    </row>
    <row r="45" spans="2:13" ht="17.25" x14ac:dyDescent="0.25">
      <c r="B45" s="41" t="s">
        <v>67</v>
      </c>
      <c r="C45" s="22" t="str">
        <f>IFERROR(VLOOKUP($B45,'CEPA Summary sheet'!$B$5:$S$93,13,),)</f>
        <v/>
      </c>
      <c r="D45" s="22" t="str">
        <f>IFERROR(VLOOKUP($B45,'CEPA Summary sheet'!$B$5:$S$93,14,),)</f>
        <v/>
      </c>
      <c r="E45" s="23" t="str">
        <f t="shared" si="1"/>
        <v>-</v>
      </c>
      <c r="F45" s="22" t="str">
        <f>IFERROR(VLOOKUP($B45,'CEPA Summary sheet'!$B$5:$S$93,15,),)</f>
        <v/>
      </c>
      <c r="G45" s="22" t="str">
        <f>IFERROR(VLOOKUP($B45,'CEPA Summary sheet'!$B$5:$S$93,16,),)</f>
        <v/>
      </c>
      <c r="H45" s="23" t="str">
        <f t="shared" si="2"/>
        <v>-</v>
      </c>
      <c r="I45" s="22" t="str">
        <f>IFERROR(VLOOKUP($B45,'CEPA Summary sheet'!$B$5:$S$93,17,),)</f>
        <v/>
      </c>
      <c r="J45" s="22" t="str">
        <f>IFERROR(VLOOKUP($B45,'CEPA Summary sheet'!$B$5:$S$93,18,),)</f>
        <v/>
      </c>
      <c r="K45" s="23" t="str">
        <f t="shared" si="3"/>
        <v>-</v>
      </c>
      <c r="L45" s="24" t="str">
        <f>IFERROR(VLOOKUP('ComCom refined - 2009 - 14'!$B45,'CEPA Rating&amp;Leverage'!$B$5:$F$93,5,),"")</f>
        <v/>
      </c>
      <c r="M45" s="19"/>
    </row>
    <row r="46" spans="2:13" ht="17.25" x14ac:dyDescent="0.25">
      <c r="B46" s="41" t="s">
        <v>68</v>
      </c>
      <c r="C46" s="22" t="str">
        <f>IFERROR(VLOOKUP($B46,'CEPA Summary sheet'!$B$5:$S$93,13,),)</f>
        <v/>
      </c>
      <c r="D46" s="22" t="str">
        <f>IFERROR(VLOOKUP($B46,'CEPA Summary sheet'!$B$5:$S$93,14,),)</f>
        <v/>
      </c>
      <c r="E46" s="23" t="str">
        <f t="shared" si="1"/>
        <v>-</v>
      </c>
      <c r="F46" s="22" t="str">
        <f>IFERROR(VLOOKUP($B46,'CEPA Summary sheet'!$B$5:$S$93,15,),)</f>
        <v/>
      </c>
      <c r="G46" s="22" t="str">
        <f>IFERROR(VLOOKUP($B46,'CEPA Summary sheet'!$B$5:$S$93,16,),)</f>
        <v/>
      </c>
      <c r="H46" s="23" t="str">
        <f t="shared" si="2"/>
        <v>-</v>
      </c>
      <c r="I46" s="22" t="str">
        <f>IFERROR(VLOOKUP($B46,'CEPA Summary sheet'!$B$5:$S$93,17,),)</f>
        <v/>
      </c>
      <c r="J46" s="22" t="str">
        <f>IFERROR(VLOOKUP($B46,'CEPA Summary sheet'!$B$5:$S$93,18,),)</f>
        <v/>
      </c>
      <c r="K46" s="23" t="str">
        <f t="shared" si="3"/>
        <v>-</v>
      </c>
      <c r="L46" s="24" t="str">
        <f>IFERROR(VLOOKUP('ComCom refined - 2009 - 14'!$B46,'CEPA Rating&amp;Leverage'!$B$5:$F$93,5,),"")</f>
        <v/>
      </c>
      <c r="M46" s="19"/>
    </row>
    <row r="47" spans="2:13" ht="17.25" x14ac:dyDescent="0.25">
      <c r="B47" s="41" t="s">
        <v>69</v>
      </c>
      <c r="C47" s="22">
        <f>IFERROR(VLOOKUP($B47,'CEPA Summary sheet'!$B$5:$S$93,13,),)</f>
        <v>0.45426440486431979</v>
      </c>
      <c r="D47" s="22">
        <f>IFERROR(VLOOKUP($B47,'CEPA Summary sheet'!$B$5:$S$93,14,),)</f>
        <v>3.8861802833874491E-2</v>
      </c>
      <c r="E47" s="23">
        <f t="shared" si="1"/>
        <v>1.5102397194989355E-3</v>
      </c>
      <c r="F47" s="22">
        <f>IFERROR(VLOOKUP($B47,'CEPA Summary sheet'!$B$5:$S$93,15,),)</f>
        <v>0.45836992158132561</v>
      </c>
      <c r="G47" s="22">
        <f>IFERROR(VLOOKUP($B47,'CEPA Summary sheet'!$B$5:$S$93,16,),)</f>
        <v>1.7440202398011268E-2</v>
      </c>
      <c r="H47" s="23">
        <f t="shared" si="2"/>
        <v>3.0416065968359799E-4</v>
      </c>
      <c r="I47" s="22">
        <f>IFERROR(VLOOKUP($B47,'CEPA Summary sheet'!$B$5:$S$93,17,),)</f>
        <v>0.47798691272178118</v>
      </c>
      <c r="J47" s="22">
        <f>IFERROR(VLOOKUP($B47,'CEPA Summary sheet'!$B$5:$S$93,18,),)</f>
        <v>6.9048498228631268E-3</v>
      </c>
      <c r="K47" s="23">
        <f t="shared" si="3"/>
        <v>4.7676951076292952E-5</v>
      </c>
      <c r="L47" s="24">
        <f>IFERROR(VLOOKUP('ComCom refined - 2009 - 14'!$B47,'CEPA Rating&amp;Leverage'!$B$5:$F$93,5,),"")</f>
        <v>0.4491716020351767</v>
      </c>
      <c r="M47" s="19"/>
    </row>
    <row r="48" spans="2:13" ht="17.25" x14ac:dyDescent="0.25">
      <c r="B48" s="41" t="s">
        <v>70</v>
      </c>
      <c r="C48" s="22">
        <f>IFERROR(VLOOKUP($B48,'CEPA Summary sheet'!$B$5:$S$93,13,),)</f>
        <v>0.62977256660752523</v>
      </c>
      <c r="D48" s="22">
        <f>IFERROR(VLOOKUP($B48,'CEPA Summary sheet'!$B$5:$S$93,14,),)</f>
        <v>0.15039179372280845</v>
      </c>
      <c r="E48" s="23">
        <f t="shared" si="1"/>
        <v>2.2617691619163768E-2</v>
      </c>
      <c r="F48" s="22">
        <f>IFERROR(VLOOKUP($B48,'CEPA Summary sheet'!$B$5:$S$93,15,),)</f>
        <v>0.58409281787744072</v>
      </c>
      <c r="G48" s="22">
        <f>IFERROR(VLOOKUP($B48,'CEPA Summary sheet'!$B$5:$S$93,16,),)</f>
        <v>6.7544163136888075E-2</v>
      </c>
      <c r="H48" s="23">
        <f t="shared" si="2"/>
        <v>4.5622139738625495E-3</v>
      </c>
      <c r="I48" s="22">
        <f>IFERROR(VLOOKUP($B48,'CEPA Summary sheet'!$B$5:$S$93,17,),)</f>
        <v>0.62710910058843905</v>
      </c>
      <c r="J48" s="22">
        <f>IFERROR(VLOOKUP($B48,'CEPA Summary sheet'!$B$5:$S$93,18,),)</f>
        <v>2.9232616124399192E-2</v>
      </c>
      <c r="K48" s="23">
        <f t="shared" si="3"/>
        <v>8.5454584547648359E-4</v>
      </c>
      <c r="L48" s="24">
        <f>IFERROR(VLOOKUP('ComCom refined - 2009 - 14'!$B48,'CEPA Rating&amp;Leverage'!$B$5:$F$93,5,),"")</f>
        <v>0.13602275563352967</v>
      </c>
      <c r="M48" s="19"/>
    </row>
    <row r="49" spans="2:17" ht="17.25" x14ac:dyDescent="0.25">
      <c r="B49" s="41" t="s">
        <v>71</v>
      </c>
      <c r="C49" s="22">
        <f>IFERROR(VLOOKUP($B49,'CEPA Summary sheet'!$B$5:$S$93,13,),)</f>
        <v>0.23873098569572906</v>
      </c>
      <c r="D49" s="22">
        <f>IFERROR(VLOOKUP($B49,'CEPA Summary sheet'!$B$5:$S$93,14,),)</f>
        <v>3.6158649815482516E-2</v>
      </c>
      <c r="E49" s="23">
        <f t="shared" si="1"/>
        <v>1.3074479564786938E-3</v>
      </c>
      <c r="F49" s="22">
        <f>IFERROR(VLOOKUP($B49,'CEPA Summary sheet'!$B$5:$S$93,15,),)</f>
        <v>0.26680198087308399</v>
      </c>
      <c r="G49" s="22">
        <f>IFERROR(VLOOKUP($B49,'CEPA Summary sheet'!$B$5:$S$93,16,),)</f>
        <v>1.9935436996828565E-2</v>
      </c>
      <c r="H49" s="23">
        <f t="shared" si="2"/>
        <v>3.974216482545211E-4</v>
      </c>
      <c r="I49" s="22">
        <f>IFERROR(VLOOKUP($B49,'CEPA Summary sheet'!$B$5:$S$93,17,),)</f>
        <v>0.28356191206351195</v>
      </c>
      <c r="J49" s="22">
        <f>IFERROR(VLOOKUP($B49,'CEPA Summary sheet'!$B$5:$S$93,18,),)</f>
        <v>9.0140318699426826E-3</v>
      </c>
      <c r="K49" s="23">
        <f t="shared" si="3"/>
        <v>8.1252770552342379E-5</v>
      </c>
      <c r="L49" s="24">
        <f>IFERROR(VLOOKUP('ComCom refined - 2009 - 14'!$B49,'CEPA Rating&amp;Leverage'!$B$5:$F$93,5,),"")</f>
        <v>0.67464796150603012</v>
      </c>
      <c r="M49" s="19"/>
    </row>
    <row r="50" spans="2:17" ht="17.25" x14ac:dyDescent="0.25">
      <c r="B50" s="41" t="s">
        <v>72</v>
      </c>
      <c r="C50" s="22" t="str">
        <f>IFERROR(VLOOKUP($B50,'CEPA Summary sheet'!$B$5:$S$93,13,),)</f>
        <v/>
      </c>
      <c r="D50" s="22" t="str">
        <f>IFERROR(VLOOKUP($B50,'CEPA Summary sheet'!$B$5:$S$93,14,),)</f>
        <v/>
      </c>
      <c r="E50" s="23" t="str">
        <f t="shared" si="1"/>
        <v>-</v>
      </c>
      <c r="F50" s="22" t="str">
        <f>IFERROR(VLOOKUP($B50,'CEPA Summary sheet'!$B$5:$S$93,15,),)</f>
        <v/>
      </c>
      <c r="G50" s="22" t="str">
        <f>IFERROR(VLOOKUP($B50,'CEPA Summary sheet'!$B$5:$S$93,16,),)</f>
        <v/>
      </c>
      <c r="H50" s="23" t="str">
        <f t="shared" si="2"/>
        <v>-</v>
      </c>
      <c r="I50" s="22" t="str">
        <f>IFERROR(VLOOKUP($B50,'CEPA Summary sheet'!$B$5:$S$93,17,),)</f>
        <v/>
      </c>
      <c r="J50" s="22" t="str">
        <f>IFERROR(VLOOKUP($B50,'CEPA Summary sheet'!$B$5:$S$93,18,),)</f>
        <v/>
      </c>
      <c r="K50" s="23" t="str">
        <f t="shared" si="3"/>
        <v>-</v>
      </c>
      <c r="L50" s="24" t="str">
        <f>IFERROR(VLOOKUP('ComCom refined - 2009 - 14'!$B50,'CEPA Rating&amp;Leverage'!$B$5:$F$93,5,),"")</f>
        <v/>
      </c>
      <c r="M50" s="19"/>
    </row>
    <row r="51" spans="2:17" ht="17.25" x14ac:dyDescent="0.25">
      <c r="B51" s="41" t="s">
        <v>73</v>
      </c>
      <c r="C51" s="22">
        <f>IFERROR(VLOOKUP($B51,'CEPA Summary sheet'!$B$5:$S$93,13,),)</f>
        <v>0.26454169923583726</v>
      </c>
      <c r="D51" s="22">
        <f>IFERROR(VLOOKUP($B51,'CEPA Summary sheet'!$B$5:$S$93,14,),)</f>
        <v>6.8491947562254199E-2</v>
      </c>
      <c r="E51" s="23">
        <f t="shared" si="1"/>
        <v>4.6911468808705789E-3</v>
      </c>
      <c r="F51" s="22">
        <f>IFERROR(VLOOKUP($B51,'CEPA Summary sheet'!$B$5:$S$93,15,),)</f>
        <v>0.31118625560441482</v>
      </c>
      <c r="G51" s="22">
        <f>IFERROR(VLOOKUP($B51,'CEPA Summary sheet'!$B$5:$S$93,16,),)</f>
        <v>3.2854301167857751E-2</v>
      </c>
      <c r="H51" s="23">
        <f t="shared" si="2"/>
        <v>1.0794051052282992E-3</v>
      </c>
      <c r="I51" s="22">
        <f>IFERROR(VLOOKUP($B51,'CEPA Summary sheet'!$B$5:$S$93,17,),)</f>
        <v>0.3392305790878582</v>
      </c>
      <c r="J51" s="22">
        <f>IFERROR(VLOOKUP($B51,'CEPA Summary sheet'!$B$5:$S$93,18,),)</f>
        <v>1.5096636167816575E-2</v>
      </c>
      <c r="K51" s="23">
        <f t="shared" si="3"/>
        <v>2.2790842358342753E-4</v>
      </c>
      <c r="L51" s="24">
        <f>IFERROR(VLOOKUP('ComCom refined - 2009 - 14'!$B51,'CEPA Rating&amp;Leverage'!$B$5:$F$93,5,),"")</f>
        <v>0.46987902682246718</v>
      </c>
      <c r="M51" s="19"/>
    </row>
    <row r="52" spans="2:17" ht="17.25" x14ac:dyDescent="0.25">
      <c r="B52" s="41" t="s">
        <v>74</v>
      </c>
      <c r="C52" s="22">
        <f>IFERROR(VLOOKUP($B52,'CEPA Summary sheet'!$B$5:$S$93,13,),)</f>
        <v>0.91774056809264493</v>
      </c>
      <c r="D52" s="22">
        <f>IFERROR(VLOOKUP($B52,'CEPA Summary sheet'!$B$5:$S$93,14,),)</f>
        <v>0.1603291803753665</v>
      </c>
      <c r="E52" s="23">
        <f t="shared" si="1"/>
        <v>2.5705446079836807E-2</v>
      </c>
      <c r="F52" s="22">
        <f>IFERROR(VLOOKUP($B52,'CEPA Summary sheet'!$B$5:$S$93,15,),)</f>
        <v>0.91553339900327746</v>
      </c>
      <c r="G52" s="22">
        <f>IFERROR(VLOOKUP($B52,'CEPA Summary sheet'!$B$5:$S$93,16,),)</f>
        <v>6.7658634229182876E-2</v>
      </c>
      <c r="H52" s="23">
        <f t="shared" si="2"/>
        <v>4.5776907857583565E-3</v>
      </c>
      <c r="I52" s="22">
        <f>IFERROR(VLOOKUP($B52,'CEPA Summary sheet'!$B$5:$S$93,17,),)</f>
        <v>0.90817788075761263</v>
      </c>
      <c r="J52" s="22">
        <f>IFERROR(VLOOKUP($B52,'CEPA Summary sheet'!$B$5:$S$93,18,),)</f>
        <v>2.8927826681139055E-2</v>
      </c>
      <c r="K52" s="23">
        <f t="shared" si="3"/>
        <v>8.3681915649402058E-4</v>
      </c>
      <c r="L52" s="24">
        <f>IFERROR(VLOOKUP('ComCom refined - 2009 - 14'!$B52,'CEPA Rating&amp;Leverage'!$B$5:$F$93,5,),"")</f>
        <v>0.20656263956769583</v>
      </c>
      <c r="M52" s="19"/>
    </row>
    <row r="53" spans="2:17" ht="17.25" x14ac:dyDescent="0.25">
      <c r="B53" s="41" t="s">
        <v>75</v>
      </c>
      <c r="C53" s="22">
        <f>IFERROR(VLOOKUP($B53,'CEPA Summary sheet'!$B$5:$S$93,13,),)</f>
        <v>0.41974137201069917</v>
      </c>
      <c r="D53" s="22">
        <f>IFERROR(VLOOKUP($B53,'CEPA Summary sheet'!$B$5:$S$93,14,),)</f>
        <v>7.8863825164941712E-2</v>
      </c>
      <c r="E53" s="23">
        <f t="shared" si="1"/>
        <v>6.2195029196464935E-3</v>
      </c>
      <c r="F53" s="22">
        <f>IFERROR(VLOOKUP($B53,'CEPA Summary sheet'!$B$5:$S$93,15,),)</f>
        <v>0.49910002034448209</v>
      </c>
      <c r="G53" s="22">
        <f>IFERROR(VLOOKUP($B53,'CEPA Summary sheet'!$B$5:$S$93,16,),)</f>
        <v>3.6936425891178397E-2</v>
      </c>
      <c r="H53" s="23">
        <f t="shared" si="2"/>
        <v>1.3642995576145138E-3</v>
      </c>
      <c r="I53" s="22">
        <f>IFERROR(VLOOKUP($B53,'CEPA Summary sheet'!$B$5:$S$93,17,),)</f>
        <v>0.55226315866768272</v>
      </c>
      <c r="J53" s="22">
        <f>IFERROR(VLOOKUP($B53,'CEPA Summary sheet'!$B$5:$S$93,18,),)</f>
        <v>1.6201797146545977E-2</v>
      </c>
      <c r="K53" s="23">
        <f t="shared" si="3"/>
        <v>2.6249823077782535E-4</v>
      </c>
      <c r="L53" s="24">
        <f>IFERROR(VLOOKUP('ComCom refined - 2009 - 14'!$B53,'CEPA Rating&amp;Leverage'!$B$5:$F$93,5,),"")</f>
        <v>0.21998399267381186</v>
      </c>
      <c r="M53" s="19"/>
      <c r="Q53" s="7"/>
    </row>
    <row r="54" spans="2:17" ht="17.25" x14ac:dyDescent="0.25">
      <c r="B54" s="41" t="s">
        <v>76</v>
      </c>
      <c r="C54" s="22">
        <f>IFERROR(VLOOKUP($B54,'CEPA Summary sheet'!$B$5:$S$93,13,),)</f>
        <v>0.74699360523291136</v>
      </c>
      <c r="D54" s="22">
        <f>IFERROR(VLOOKUP($B54,'CEPA Summary sheet'!$B$5:$S$93,14,),)</f>
        <v>9.0092789200356765E-2</v>
      </c>
      <c r="E54" s="23">
        <f t="shared" si="1"/>
        <v>8.1167106658999212E-3</v>
      </c>
      <c r="F54" s="22">
        <f>IFERROR(VLOOKUP($B54,'CEPA Summary sheet'!$B$5:$S$93,15,),)</f>
        <v>0.62627288708687145</v>
      </c>
      <c r="G54" s="22">
        <f>IFERROR(VLOOKUP($B54,'CEPA Summary sheet'!$B$5:$S$93,16,),)</f>
        <v>4.2966122816615597E-2</v>
      </c>
      <c r="H54" s="23">
        <f t="shared" si="2"/>
        <v>1.8460877098924954E-3</v>
      </c>
      <c r="I54" s="22">
        <f>IFERROR(VLOOKUP($B54,'CEPA Summary sheet'!$B$5:$S$93,17,),)</f>
        <v>0.6657153170953013</v>
      </c>
      <c r="J54" s="22">
        <f>IFERROR(VLOOKUP($B54,'CEPA Summary sheet'!$B$5:$S$93,18,),)</f>
        <v>2.0647427757908562E-2</v>
      </c>
      <c r="K54" s="23">
        <f t="shared" si="3"/>
        <v>4.2631627301805298E-4</v>
      </c>
      <c r="L54" s="24">
        <f>IFERROR(VLOOKUP('ComCom refined - 2009 - 14'!$B54,'CEPA Rating&amp;Leverage'!$B$5:$F$93,5,),"")</f>
        <v>0.15236375156329018</v>
      </c>
    </row>
    <row r="55" spans="2:17" ht="17.25" x14ac:dyDescent="0.25">
      <c r="B55" s="41" t="s">
        <v>77</v>
      </c>
      <c r="C55" s="22">
        <f>IFERROR(VLOOKUP($B55,'CEPA Summary sheet'!$B$5:$S$93,13,),)</f>
        <v>0.21900711958824221</v>
      </c>
      <c r="D55" s="22">
        <f>IFERROR(VLOOKUP($B55,'CEPA Summary sheet'!$B$5:$S$93,14,),)</f>
        <v>0.11230087138494295</v>
      </c>
      <c r="E55" s="23">
        <f t="shared" si="1"/>
        <v>1.2611485713817499E-2</v>
      </c>
      <c r="F55" s="22">
        <f>IFERROR(VLOOKUP($B55,'CEPA Summary sheet'!$B$5:$S$93,15,),)</f>
        <v>0.28746674028626862</v>
      </c>
      <c r="G55" s="22">
        <f>IFERROR(VLOOKUP($B55,'CEPA Summary sheet'!$B$5:$S$93,16,),)</f>
        <v>5.4577410528101562E-2</v>
      </c>
      <c r="H55" s="23">
        <f t="shared" si="2"/>
        <v>2.9786937399529311E-3</v>
      </c>
      <c r="I55" s="22">
        <f>IFERROR(VLOOKUP($B55,'CEPA Summary sheet'!$B$5:$S$93,17,),)</f>
        <v>0.32136394671264895</v>
      </c>
      <c r="J55" s="22">
        <f>IFERROR(VLOOKUP($B55,'CEPA Summary sheet'!$B$5:$S$93,18,),)</f>
        <v>2.4677878220991989E-2</v>
      </c>
      <c r="K55" s="23">
        <f t="shared" si="3"/>
        <v>6.089976734901107E-4</v>
      </c>
      <c r="L55" s="24">
        <f>IFERROR(VLOOKUP('ComCom refined - 2009 - 14'!$B55,'CEPA Rating&amp;Leverage'!$B$5:$F$93,5,),"")</f>
        <v>0.23133955557145414</v>
      </c>
    </row>
    <row r="56" spans="2:17" ht="17.25" x14ac:dyDescent="0.25">
      <c r="B56" s="41" t="s">
        <v>78</v>
      </c>
      <c r="C56" s="22">
        <f>IFERROR(VLOOKUP($B56,'CEPA Summary sheet'!$B$5:$S$93,13,),)</f>
        <v>0.58475910777373086</v>
      </c>
      <c r="D56" s="22">
        <f>IFERROR(VLOOKUP($B56,'CEPA Summary sheet'!$B$5:$S$93,14,),)</f>
        <v>0.22369891862922131</v>
      </c>
      <c r="E56" s="23">
        <f t="shared" si="1"/>
        <v>5.0041206195882974E-2</v>
      </c>
      <c r="F56" s="22">
        <f>IFERROR(VLOOKUP($B56,'CEPA Summary sheet'!$B$5:$S$93,15,),)</f>
        <v>0.66324091487418513</v>
      </c>
      <c r="G56" s="22">
        <f>IFERROR(VLOOKUP($B56,'CEPA Summary sheet'!$B$5:$S$93,16,),)</f>
        <v>9.3592467470734589E-2</v>
      </c>
      <c r="H56" s="23">
        <f t="shared" si="2"/>
        <v>8.7595499672605114E-3</v>
      </c>
      <c r="I56" s="22">
        <f>IFERROR(VLOOKUP($B56,'CEPA Summary sheet'!$B$5:$S$93,17,),)</f>
        <v>0.70023774834364061</v>
      </c>
      <c r="J56" s="22">
        <f>IFERROR(VLOOKUP($B56,'CEPA Summary sheet'!$B$5:$S$93,18,),)</f>
        <v>4.2433189555755382E-2</v>
      </c>
      <c r="K56" s="23">
        <f t="shared" si="3"/>
        <v>1.8005755758746676E-3</v>
      </c>
      <c r="L56" s="24">
        <f>IFERROR(VLOOKUP('ComCom refined - 2009 - 14'!$B56,'CEPA Rating&amp;Leverage'!$B$5:$F$93,5,),"")</f>
        <v>0.43657222870072293</v>
      </c>
    </row>
    <row r="57" spans="2:17" ht="17.25" x14ac:dyDescent="0.25">
      <c r="B57" s="41" t="s">
        <v>79</v>
      </c>
      <c r="C57" s="22">
        <f>IFERROR(VLOOKUP($B57,'CEPA Summary sheet'!$B$5:$S$93,13,),)</f>
        <v>2.2666183481087709</v>
      </c>
      <c r="D57" s="22">
        <f>IFERROR(VLOOKUP($B57,'CEPA Summary sheet'!$B$5:$S$93,14,),)</f>
        <v>0.41968645594131326</v>
      </c>
      <c r="E57" s="23">
        <f t="shared" si="1"/>
        <v>0.17613672130057989</v>
      </c>
      <c r="F57" s="22">
        <f>IFERROR(VLOOKUP($B57,'CEPA Summary sheet'!$B$5:$S$93,15,),)</f>
        <v>1.0979239919721806</v>
      </c>
      <c r="G57" s="22">
        <f>IFERROR(VLOOKUP($B57,'CEPA Summary sheet'!$B$5:$S$93,16,),)</f>
        <v>0.16972681375835053</v>
      </c>
      <c r="H57" s="23">
        <f t="shared" si="2"/>
        <v>2.8807191308561804E-2</v>
      </c>
      <c r="I57" s="22">
        <f>IFERROR(VLOOKUP($B57,'CEPA Summary sheet'!$B$5:$S$93,17,),)</f>
        <v>0.68448000524725228</v>
      </c>
      <c r="J57" s="22">
        <f>IFERROR(VLOOKUP($B57,'CEPA Summary sheet'!$B$5:$S$93,18,),)</f>
        <v>6.7966134031082495E-2</v>
      </c>
      <c r="K57" s="23">
        <f t="shared" si="3"/>
        <v>4.6193953751310704E-3</v>
      </c>
      <c r="L57" s="24">
        <f>IFERROR(VLOOKUP('ComCom refined - 2009 - 14'!$B57,'CEPA Rating&amp;Leverage'!$B$5:$F$93,5,),"")</f>
        <v>0.10239611374829191</v>
      </c>
    </row>
    <row r="58" spans="2:17" ht="17.25" x14ac:dyDescent="0.25">
      <c r="B58" s="41" t="s">
        <v>80</v>
      </c>
      <c r="C58" s="22" t="str">
        <f>IFERROR(VLOOKUP($B58,'CEPA Summary sheet'!$B$5:$S$93,13,),)</f>
        <v/>
      </c>
      <c r="D58" s="22" t="str">
        <f>IFERROR(VLOOKUP($B58,'CEPA Summary sheet'!$B$5:$S$93,14,),)</f>
        <v/>
      </c>
      <c r="E58" s="23" t="str">
        <f t="shared" si="1"/>
        <v>-</v>
      </c>
      <c r="F58" s="22" t="str">
        <f>IFERROR(VLOOKUP($B58,'CEPA Summary sheet'!$B$5:$S$93,15,),)</f>
        <v/>
      </c>
      <c r="G58" s="22" t="str">
        <f>IFERROR(VLOOKUP($B58,'CEPA Summary sheet'!$B$5:$S$93,16,),)</f>
        <v/>
      </c>
      <c r="H58" s="23" t="str">
        <f t="shared" si="2"/>
        <v>-</v>
      </c>
      <c r="I58" s="22" t="str">
        <f>IFERROR(VLOOKUP($B58,'CEPA Summary sheet'!$B$5:$S$93,17,),)</f>
        <v/>
      </c>
      <c r="J58" s="22" t="str">
        <f>IFERROR(VLOOKUP($B58,'CEPA Summary sheet'!$B$5:$S$93,18,),)</f>
        <v/>
      </c>
      <c r="K58" s="23" t="str">
        <f t="shared" si="3"/>
        <v>-</v>
      </c>
      <c r="L58" s="24" t="str">
        <f>IFERROR(VLOOKUP('ComCom refined - 2009 - 14'!$B58,'CEPA Rating&amp;Leverage'!$B$5:$F$93,5,),"")</f>
        <v/>
      </c>
    </row>
    <row r="59" spans="2:17" ht="17.25" x14ac:dyDescent="0.25">
      <c r="B59" s="41" t="s">
        <v>81</v>
      </c>
      <c r="C59" s="22">
        <f>IFERROR(VLOOKUP($B59,'CEPA Summary sheet'!$B$5:$S$93,13,),)</f>
        <v>0.8158236128634655</v>
      </c>
      <c r="D59" s="22">
        <f>IFERROR(VLOOKUP($B59,'CEPA Summary sheet'!$B$5:$S$93,14,),)</f>
        <v>0.16657528469060687</v>
      </c>
      <c r="E59" s="23">
        <f t="shared" si="1"/>
        <v>2.7747325469756726E-2</v>
      </c>
      <c r="F59" s="22">
        <f>IFERROR(VLOOKUP($B59,'CEPA Summary sheet'!$B$5:$S$93,15,),)</f>
        <v>0.8834139608694711</v>
      </c>
      <c r="G59" s="22">
        <f>IFERROR(VLOOKUP($B59,'CEPA Summary sheet'!$B$5:$S$93,16,),)</f>
        <v>7.5850871572005013E-2</v>
      </c>
      <c r="H59" s="23">
        <f t="shared" si="2"/>
        <v>5.7533547182327983E-3</v>
      </c>
      <c r="I59" s="22">
        <f>IFERROR(VLOOKUP($B59,'CEPA Summary sheet'!$B$5:$S$93,17,),)</f>
        <v>0.87766101192802903</v>
      </c>
      <c r="J59" s="22">
        <f>IFERROR(VLOOKUP($B59,'CEPA Summary sheet'!$B$5:$S$93,18,),)</f>
        <v>3.2868241316278211E-2</v>
      </c>
      <c r="K59" s="23">
        <f t="shared" si="3"/>
        <v>1.0803212872250981E-3</v>
      </c>
      <c r="L59" s="24">
        <f>IFERROR(VLOOKUP('ComCom refined - 2009 - 14'!$B59,'CEPA Rating&amp;Leverage'!$B$5:$F$93,5,),"")</f>
        <v>0.11518329121094152</v>
      </c>
    </row>
    <row r="60" spans="2:17" ht="17.25" x14ac:dyDescent="0.25">
      <c r="B60" s="41" t="s">
        <v>82</v>
      </c>
      <c r="C60" s="22">
        <f>IFERROR(VLOOKUP($B60,'CEPA Summary sheet'!$B$5:$S$93,13,),)</f>
        <v>0.36818218590214619</v>
      </c>
      <c r="D60" s="22">
        <f>IFERROR(VLOOKUP($B60,'CEPA Summary sheet'!$B$5:$S$93,14,),)</f>
        <v>8.5834318010499067E-2</v>
      </c>
      <c r="E60" s="23">
        <f t="shared" si="1"/>
        <v>7.3675301483274846E-3</v>
      </c>
      <c r="F60" s="22">
        <f>IFERROR(VLOOKUP($B60,'CEPA Summary sheet'!$B$5:$S$93,15,),)</f>
        <v>0.28415885167842347</v>
      </c>
      <c r="G60" s="22">
        <f>IFERROR(VLOOKUP($B60,'CEPA Summary sheet'!$B$5:$S$93,16,),)</f>
        <v>3.4495174259104769E-2</v>
      </c>
      <c r="H60" s="23">
        <f t="shared" si="2"/>
        <v>1.1899170471660041E-3</v>
      </c>
      <c r="I60" s="22">
        <f>IFERROR(VLOOKUP($B60,'CEPA Summary sheet'!$B$5:$S$93,17,),)</f>
        <v>0.39750810589011393</v>
      </c>
      <c r="J60" s="22">
        <f>IFERROR(VLOOKUP($B60,'CEPA Summary sheet'!$B$5:$S$93,18,),)</f>
        <v>1.5813338483586969E-2</v>
      </c>
      <c r="K60" s="23">
        <f t="shared" si="3"/>
        <v>2.5006167399649261E-4</v>
      </c>
      <c r="L60" s="24">
        <f>IFERROR(VLOOKUP('ComCom refined - 2009 - 14'!$B60,'CEPA Rating&amp;Leverage'!$B$5:$F$93,5,),"")</f>
        <v>0.31744072286618513</v>
      </c>
    </row>
    <row r="61" spans="2:17" ht="17.25" x14ac:dyDescent="0.25">
      <c r="B61" s="41" t="s">
        <v>83</v>
      </c>
      <c r="C61" s="22" t="str">
        <f>IFERROR(VLOOKUP($B61,'CEPA Summary sheet'!$B$5:$S$93,13,),)</f>
        <v/>
      </c>
      <c r="D61" s="22" t="str">
        <f>IFERROR(VLOOKUP($B61,'CEPA Summary sheet'!$B$5:$S$93,14,),)</f>
        <v/>
      </c>
      <c r="E61" s="23" t="str">
        <f t="shared" si="1"/>
        <v>-</v>
      </c>
      <c r="F61" s="22" t="str">
        <f>IFERROR(VLOOKUP($B61,'CEPA Summary sheet'!$B$5:$S$93,15,),)</f>
        <v/>
      </c>
      <c r="G61" s="22" t="str">
        <f>IFERROR(VLOOKUP($B61,'CEPA Summary sheet'!$B$5:$S$93,16,),)</f>
        <v/>
      </c>
      <c r="H61" s="23" t="str">
        <f t="shared" si="2"/>
        <v>-</v>
      </c>
      <c r="I61" s="22" t="str">
        <f>IFERROR(VLOOKUP($B61,'CEPA Summary sheet'!$B$5:$S$93,17,),)</f>
        <v/>
      </c>
      <c r="J61" s="22" t="str">
        <f>IFERROR(VLOOKUP($B61,'CEPA Summary sheet'!$B$5:$S$93,18,),)</f>
        <v/>
      </c>
      <c r="K61" s="23" t="str">
        <f t="shared" si="3"/>
        <v>-</v>
      </c>
      <c r="L61" s="24" t="str">
        <f>IFERROR(VLOOKUP('ComCom refined - 2009 - 14'!$B61,'CEPA Rating&amp;Leverage'!$B$5:$F$93,5,),"")</f>
        <v/>
      </c>
    </row>
    <row r="62" spans="2:17" ht="17.25" x14ac:dyDescent="0.25">
      <c r="B62" s="41" t="s">
        <v>84</v>
      </c>
      <c r="C62" s="22">
        <f>IFERROR(VLOOKUP($B62,'CEPA Summary sheet'!$B$5:$S$93,13,),)</f>
        <v>0.40254720272274425</v>
      </c>
      <c r="D62" s="22">
        <f>IFERROR(VLOOKUP($B62,'CEPA Summary sheet'!$B$5:$S$93,14,),)</f>
        <v>8.5223585085258652E-2</v>
      </c>
      <c r="E62" s="23">
        <f t="shared" si="1"/>
        <v>7.263059454784321E-3</v>
      </c>
      <c r="F62" s="22">
        <f>IFERROR(VLOOKUP($B62,'CEPA Summary sheet'!$B$5:$S$93,15,),)</f>
        <v>0.35746229470667545</v>
      </c>
      <c r="G62" s="22">
        <f>IFERROR(VLOOKUP($B62,'CEPA Summary sheet'!$B$5:$S$93,16,),)</f>
        <v>4.4035990085491139E-2</v>
      </c>
      <c r="H62" s="23">
        <f t="shared" si="2"/>
        <v>1.9391684228094739E-3</v>
      </c>
      <c r="I62" s="22">
        <f>IFERROR(VLOOKUP($B62,'CEPA Summary sheet'!$B$5:$S$93,17,),)</f>
        <v>0.47136474561129388</v>
      </c>
      <c r="J62" s="22">
        <f>IFERROR(VLOOKUP($B62,'CEPA Summary sheet'!$B$5:$S$93,18,),)</f>
        <v>2.2068840145948863E-2</v>
      </c>
      <c r="K62" s="23">
        <f t="shared" si="3"/>
        <v>4.8703370538744425E-4</v>
      </c>
      <c r="L62" s="24">
        <f>IFERROR(VLOOKUP('ComCom refined - 2009 - 14'!$B62,'CEPA Rating&amp;Leverage'!$B$5:$F$93,5,),"")</f>
        <v>0.29754346838694168</v>
      </c>
    </row>
    <row r="63" spans="2:17" ht="17.25" x14ac:dyDescent="0.25">
      <c r="B63" s="41" t="s">
        <v>85</v>
      </c>
      <c r="C63" s="22" t="str">
        <f>IFERROR(VLOOKUP($B63,'CEPA Summary sheet'!$B$5:$S$93,13,),)</f>
        <v/>
      </c>
      <c r="D63" s="22" t="str">
        <f>IFERROR(VLOOKUP($B63,'CEPA Summary sheet'!$B$5:$S$93,14,),)</f>
        <v/>
      </c>
      <c r="E63" s="23" t="str">
        <f t="shared" si="1"/>
        <v>-</v>
      </c>
      <c r="F63" s="22" t="str">
        <f>IFERROR(VLOOKUP($B63,'CEPA Summary sheet'!$B$5:$S$93,15,),)</f>
        <v/>
      </c>
      <c r="G63" s="22" t="str">
        <f>IFERROR(VLOOKUP($B63,'CEPA Summary sheet'!$B$5:$S$93,16,),)</f>
        <v/>
      </c>
      <c r="H63" s="23" t="str">
        <f t="shared" si="2"/>
        <v>-</v>
      </c>
      <c r="I63" s="22" t="str">
        <f>IFERROR(VLOOKUP($B63,'CEPA Summary sheet'!$B$5:$S$93,17,),)</f>
        <v/>
      </c>
      <c r="J63" s="22" t="str">
        <f>IFERROR(VLOOKUP($B63,'CEPA Summary sheet'!$B$5:$S$93,18,),)</f>
        <v/>
      </c>
      <c r="K63" s="23" t="str">
        <f t="shared" si="3"/>
        <v>-</v>
      </c>
      <c r="L63" s="24" t="str">
        <f>IFERROR(VLOOKUP('ComCom refined - 2009 - 14'!$B63,'CEPA Rating&amp;Leverage'!$B$5:$F$93,5,),"")</f>
        <v/>
      </c>
    </row>
    <row r="64" spans="2:17" ht="17.25" x14ac:dyDescent="0.25">
      <c r="B64" s="41" t="s">
        <v>86</v>
      </c>
      <c r="C64" s="22" t="str">
        <f>IFERROR(VLOOKUP($B64,'CEPA Summary sheet'!$B$5:$S$93,13,),)</f>
        <v/>
      </c>
      <c r="D64" s="22" t="str">
        <f>IFERROR(VLOOKUP($B64,'CEPA Summary sheet'!$B$5:$S$93,14,),)</f>
        <v/>
      </c>
      <c r="E64" s="23" t="str">
        <f t="shared" si="1"/>
        <v>-</v>
      </c>
      <c r="F64" s="22" t="str">
        <f>IFERROR(VLOOKUP($B64,'CEPA Summary sheet'!$B$5:$S$93,15,),)</f>
        <v/>
      </c>
      <c r="G64" s="22" t="str">
        <f>IFERROR(VLOOKUP($B64,'CEPA Summary sheet'!$B$5:$S$93,16,),)</f>
        <v/>
      </c>
      <c r="H64" s="23" t="str">
        <f t="shared" si="2"/>
        <v>-</v>
      </c>
      <c r="I64" s="22" t="str">
        <f>IFERROR(VLOOKUP($B64,'CEPA Summary sheet'!$B$5:$S$93,17,),)</f>
        <v/>
      </c>
      <c r="J64" s="22" t="str">
        <f>IFERROR(VLOOKUP($B64,'CEPA Summary sheet'!$B$5:$S$93,18,),)</f>
        <v/>
      </c>
      <c r="K64" s="23" t="str">
        <f t="shared" si="3"/>
        <v>-</v>
      </c>
      <c r="L64" s="24" t="str">
        <f>IFERROR(VLOOKUP('ComCom refined - 2009 - 14'!$B64,'CEPA Rating&amp;Leverage'!$B$5:$F$93,5,),"")</f>
        <v/>
      </c>
    </row>
    <row r="65" spans="2:12" ht="17.25" x14ac:dyDescent="0.25">
      <c r="B65" s="41" t="s">
        <v>87</v>
      </c>
      <c r="C65" s="22" t="str">
        <f>IFERROR(VLOOKUP($B65,'CEPA Summary sheet'!$B$5:$S$93,13,),)</f>
        <v/>
      </c>
      <c r="D65" s="22" t="str">
        <f>IFERROR(VLOOKUP($B65,'CEPA Summary sheet'!$B$5:$S$93,14,),)</f>
        <v/>
      </c>
      <c r="E65" s="23" t="str">
        <f t="shared" si="1"/>
        <v>-</v>
      </c>
      <c r="F65" s="22" t="str">
        <f>IFERROR(VLOOKUP($B65,'CEPA Summary sheet'!$B$5:$S$93,15,),)</f>
        <v/>
      </c>
      <c r="G65" s="22" t="str">
        <f>IFERROR(VLOOKUP($B65,'CEPA Summary sheet'!$B$5:$S$93,16,),)</f>
        <v/>
      </c>
      <c r="H65" s="23" t="str">
        <f t="shared" si="2"/>
        <v>-</v>
      </c>
      <c r="I65" s="22" t="str">
        <f>IFERROR(VLOOKUP($B65,'CEPA Summary sheet'!$B$5:$S$93,17,),)</f>
        <v/>
      </c>
      <c r="J65" s="22" t="str">
        <f>IFERROR(VLOOKUP($B65,'CEPA Summary sheet'!$B$5:$S$93,18,),)</f>
        <v/>
      </c>
      <c r="K65" s="23" t="str">
        <f t="shared" si="3"/>
        <v>-</v>
      </c>
      <c r="L65" s="24" t="str">
        <f>IFERROR(VLOOKUP('ComCom refined - 2009 - 14'!$B65,'CEPA Rating&amp;Leverage'!$B$5:$F$93,5,),"")</f>
        <v/>
      </c>
    </row>
    <row r="66" spans="2:12" ht="17.25" x14ac:dyDescent="0.25">
      <c r="B66" s="41" t="s">
        <v>88</v>
      </c>
      <c r="C66" s="22" t="str">
        <f>IFERROR(VLOOKUP($B66,'CEPA Summary sheet'!$B$5:$S$93,13,),)</f>
        <v/>
      </c>
      <c r="D66" s="22" t="str">
        <f>IFERROR(VLOOKUP($B66,'CEPA Summary sheet'!$B$5:$S$93,14,),)</f>
        <v/>
      </c>
      <c r="E66" s="23" t="str">
        <f t="shared" si="1"/>
        <v>-</v>
      </c>
      <c r="F66" s="22" t="str">
        <f>IFERROR(VLOOKUP($B66,'CEPA Summary sheet'!$B$5:$S$93,15,),)</f>
        <v/>
      </c>
      <c r="G66" s="22" t="str">
        <f>IFERROR(VLOOKUP($B66,'CEPA Summary sheet'!$B$5:$S$93,16,),)</f>
        <v/>
      </c>
      <c r="H66" s="23" t="str">
        <f t="shared" si="2"/>
        <v>-</v>
      </c>
      <c r="I66" s="22" t="str">
        <f>IFERROR(VLOOKUP($B66,'CEPA Summary sheet'!$B$5:$S$93,17,),)</f>
        <v/>
      </c>
      <c r="J66" s="22" t="str">
        <f>IFERROR(VLOOKUP($B66,'CEPA Summary sheet'!$B$5:$S$93,18,),)</f>
        <v/>
      </c>
      <c r="K66" s="23" t="str">
        <f t="shared" si="3"/>
        <v>-</v>
      </c>
      <c r="L66" s="24" t="str">
        <f>IFERROR(VLOOKUP('ComCom refined - 2009 - 14'!$B66,'CEPA Rating&amp;Leverage'!$B$5:$F$93,5,),"")</f>
        <v/>
      </c>
    </row>
    <row r="67" spans="2:12" ht="17.25" x14ac:dyDescent="0.25">
      <c r="B67" s="41" t="s">
        <v>89</v>
      </c>
      <c r="C67" s="22" t="str">
        <f>IFERROR(VLOOKUP($B67,'CEPA Summary sheet'!$B$5:$S$93,13,),)</f>
        <v/>
      </c>
      <c r="D67" s="22" t="str">
        <f>IFERROR(VLOOKUP($B67,'CEPA Summary sheet'!$B$5:$S$93,14,),)</f>
        <v/>
      </c>
      <c r="E67" s="23" t="str">
        <f t="shared" si="1"/>
        <v>-</v>
      </c>
      <c r="F67" s="22" t="str">
        <f>IFERROR(VLOOKUP($B67,'CEPA Summary sheet'!$B$5:$S$93,15,),)</f>
        <v/>
      </c>
      <c r="G67" s="22" t="str">
        <f>IFERROR(VLOOKUP($B67,'CEPA Summary sheet'!$B$5:$S$93,16,),)</f>
        <v/>
      </c>
      <c r="H67" s="23" t="str">
        <f t="shared" si="2"/>
        <v>-</v>
      </c>
      <c r="I67" s="22" t="str">
        <f>IFERROR(VLOOKUP($B67,'CEPA Summary sheet'!$B$5:$S$93,17,),)</f>
        <v/>
      </c>
      <c r="J67" s="22" t="str">
        <f>IFERROR(VLOOKUP($B67,'CEPA Summary sheet'!$B$5:$S$93,18,),)</f>
        <v/>
      </c>
      <c r="K67" s="23" t="str">
        <f t="shared" si="3"/>
        <v>-</v>
      </c>
      <c r="L67" s="24" t="str">
        <f>IFERROR(VLOOKUP('ComCom refined - 2009 - 14'!$B67,'CEPA Rating&amp;Leverage'!$B$5:$F$93,5,),"")</f>
        <v/>
      </c>
    </row>
    <row r="68" spans="2:12" ht="17.25" x14ac:dyDescent="0.25">
      <c r="B68" s="41" t="s">
        <v>90</v>
      </c>
      <c r="C68" s="22">
        <f>IFERROR(VLOOKUP($B68,'CEPA Summary sheet'!$B$5:$S$93,13,),)</f>
        <v>0.30535341525086662</v>
      </c>
      <c r="D68" s="22">
        <f>IFERROR(VLOOKUP($B68,'CEPA Summary sheet'!$B$5:$S$93,14,),)</f>
        <v>6.0678082475355159E-2</v>
      </c>
      <c r="E68" s="23">
        <f t="shared" si="1"/>
        <v>3.6818296928860031E-3</v>
      </c>
      <c r="F68" s="22">
        <f>IFERROR(VLOOKUP($B68,'CEPA Summary sheet'!$B$5:$S$93,15,),)</f>
        <v>0.36318754423830307</v>
      </c>
      <c r="G68" s="22">
        <f>IFERROR(VLOOKUP($B68,'CEPA Summary sheet'!$B$5:$S$93,16,),)</f>
        <v>3.1993562959677549E-2</v>
      </c>
      <c r="H68" s="23">
        <f t="shared" si="2"/>
        <v>1.0235880708548513E-3</v>
      </c>
      <c r="I68" s="22">
        <f>IFERROR(VLOOKUP($B68,'CEPA Summary sheet'!$B$5:$S$93,17,),)</f>
        <v>0.38273709939340639</v>
      </c>
      <c r="J68" s="22">
        <f>IFERROR(VLOOKUP($B68,'CEPA Summary sheet'!$B$5:$S$93,18,),)</f>
        <v>1.6950034261875052E-2</v>
      </c>
      <c r="K68" s="23">
        <f t="shared" si="3"/>
        <v>2.8730366147873814E-4</v>
      </c>
      <c r="L68" s="24">
        <f>IFERROR(VLOOKUP('ComCom refined - 2009 - 14'!$B68,'CEPA Rating&amp;Leverage'!$B$5:$F$93,5,),"")</f>
        <v>0.36728835321693332</v>
      </c>
    </row>
    <row r="69" spans="2:12" ht="17.25" x14ac:dyDescent="0.25">
      <c r="B69" s="41" t="s">
        <v>91</v>
      </c>
      <c r="C69" s="22">
        <f>IFERROR(VLOOKUP($B69,'CEPA Summary sheet'!$B$5:$S$93,13,),)</f>
        <v>0.52807424743353892</v>
      </c>
      <c r="D69" s="22">
        <f>IFERROR(VLOOKUP($B69,'CEPA Summary sheet'!$B$5:$S$93,14,),)</f>
        <v>0.10114143852165425</v>
      </c>
      <c r="E69" s="23">
        <f t="shared" si="1"/>
        <v>1.0229590586229565E-2</v>
      </c>
      <c r="F69" s="22">
        <f>IFERROR(VLOOKUP($B69,'CEPA Summary sheet'!$B$5:$S$93,15,),)</f>
        <v>0.49819455699642656</v>
      </c>
      <c r="G69" s="22">
        <f>IFERROR(VLOOKUP($B69,'CEPA Summary sheet'!$B$5:$S$93,16,),)</f>
        <v>5.1906837604121008E-2</v>
      </c>
      <c r="H69" s="23">
        <f t="shared" si="2"/>
        <v>2.6943197900605909E-3</v>
      </c>
      <c r="I69" s="22">
        <f>IFERROR(VLOOKUP($B69,'CEPA Summary sheet'!$B$5:$S$93,17,),)</f>
        <v>0.51785379232192164</v>
      </c>
      <c r="J69" s="22">
        <f>IFERROR(VLOOKUP($B69,'CEPA Summary sheet'!$B$5:$S$93,18,),)</f>
        <v>2.6202172391213023E-2</v>
      </c>
      <c r="K69" s="23">
        <f t="shared" si="3"/>
        <v>6.8655383801884595E-4</v>
      </c>
      <c r="L69" s="24">
        <f>IFERROR(VLOOKUP('ComCom refined - 2009 - 14'!$B69,'CEPA Rating&amp;Leverage'!$B$5:$F$93,5,),"")</f>
        <v>0.24053561708992238</v>
      </c>
    </row>
    <row r="70" spans="2:12" ht="17.25" x14ac:dyDescent="0.25">
      <c r="B70" s="41" t="s">
        <v>92</v>
      </c>
      <c r="C70" s="22">
        <f>IFERROR(VLOOKUP($B70,'CEPA Summary sheet'!$B$5:$S$93,13,),)</f>
        <v>0.58255056086725288</v>
      </c>
      <c r="D70" s="22">
        <f>IFERROR(VLOOKUP($B70,'CEPA Summary sheet'!$B$5:$S$93,14,),)</f>
        <v>0.108316317286168</v>
      </c>
      <c r="E70" s="23">
        <f t="shared" si="1"/>
        <v>1.1732424590437817E-2</v>
      </c>
      <c r="F70" s="22">
        <f>IFERROR(VLOOKUP($B70,'CEPA Summary sheet'!$B$5:$S$93,15,),)</f>
        <v>0.60731802613874097</v>
      </c>
      <c r="G70" s="22">
        <f>IFERROR(VLOOKUP($B70,'CEPA Summary sheet'!$B$5:$S$93,16,),)</f>
        <v>5.6331923395160112E-2</v>
      </c>
      <c r="H70" s="23">
        <f t="shared" si="2"/>
        <v>3.173285593398187E-3</v>
      </c>
      <c r="I70" s="22">
        <f>IFERROR(VLOOKUP($B70,'CEPA Summary sheet'!$B$5:$S$93,17,),)</f>
        <v>0.61693623405861431</v>
      </c>
      <c r="J70" s="22">
        <f>IFERROR(VLOOKUP($B70,'CEPA Summary sheet'!$B$5:$S$93,18,),)</f>
        <v>2.5904386324033184E-2</v>
      </c>
      <c r="K70" s="23">
        <f t="shared" si="3"/>
        <v>6.710372308247574E-4</v>
      </c>
      <c r="L70" s="24">
        <f>IFERROR(VLOOKUP('ComCom refined - 2009 - 14'!$B70,'CEPA Rating&amp;Leverage'!$B$5:$F$93,5,),"")</f>
        <v>0.3791452812855336</v>
      </c>
    </row>
    <row r="71" spans="2:12" ht="17.25" x14ac:dyDescent="0.25">
      <c r="B71" s="41" t="s">
        <v>93</v>
      </c>
      <c r="C71" s="22">
        <f>IFERROR(VLOOKUP($B71,'CEPA Summary sheet'!$B$5:$S$93,13,),)</f>
        <v>0.15881514187518028</v>
      </c>
      <c r="D71" s="22">
        <f>IFERROR(VLOOKUP($B71,'CEPA Summary sheet'!$B$5:$S$93,14,),)</f>
        <v>7.6735642755365166E-2</v>
      </c>
      <c r="E71" s="23">
        <f t="shared" ref="E71:E86" si="6">IFERROR(D71^2,"-")</f>
        <v>5.8883588690790264E-3</v>
      </c>
      <c r="F71" s="22">
        <f>IFERROR(VLOOKUP($B71,'CEPA Summary sheet'!$B$5:$S$93,15,),)</f>
        <v>0.15412548486327188</v>
      </c>
      <c r="G71" s="22">
        <f>IFERROR(VLOOKUP($B71,'CEPA Summary sheet'!$B$5:$S$93,16,),)</f>
        <v>3.6335745328459824E-2</v>
      </c>
      <c r="H71" s="23">
        <f t="shared" ref="H71:H86" si="7">IFERROR(G71^2,"-")</f>
        <v>1.3202863885746899E-3</v>
      </c>
      <c r="I71" s="22">
        <f>IFERROR(VLOOKUP($B71,'CEPA Summary sheet'!$B$5:$S$93,17,),)</f>
        <v>0.22348225272376535</v>
      </c>
      <c r="J71" s="22">
        <f>IFERROR(VLOOKUP($B71,'CEPA Summary sheet'!$B$5:$S$93,18,),)</f>
        <v>1.7189290045896685E-2</v>
      </c>
      <c r="K71" s="23">
        <f t="shared" ref="K71:K86" si="8">IFERROR(J71^2,"-")</f>
        <v>2.9547169228196288E-4</v>
      </c>
      <c r="L71" s="24">
        <f>IFERROR(VLOOKUP('ComCom refined - 2009 - 14'!$B71,'CEPA Rating&amp;Leverage'!$B$5:$F$93,5,),"")</f>
        <v>0.31578016432839001</v>
      </c>
    </row>
    <row r="72" spans="2:12" ht="17.25" x14ac:dyDescent="0.25">
      <c r="B72" s="41" t="s">
        <v>94</v>
      </c>
      <c r="C72" s="22" t="str">
        <f>IFERROR(VLOOKUP($B72,'CEPA Summary sheet'!$B$5:$S$93,13,),)</f>
        <v/>
      </c>
      <c r="D72" s="22" t="str">
        <f>IFERROR(VLOOKUP($B72,'CEPA Summary sheet'!$B$5:$S$93,14,),)</f>
        <v/>
      </c>
      <c r="E72" s="23" t="str">
        <f t="shared" si="6"/>
        <v>-</v>
      </c>
      <c r="F72" s="22" t="str">
        <f>IFERROR(VLOOKUP($B72,'CEPA Summary sheet'!$B$5:$S$93,15,),)</f>
        <v/>
      </c>
      <c r="G72" s="22" t="str">
        <f>IFERROR(VLOOKUP($B72,'CEPA Summary sheet'!$B$5:$S$93,16,),)</f>
        <v/>
      </c>
      <c r="H72" s="23" t="str">
        <f t="shared" si="7"/>
        <v>-</v>
      </c>
      <c r="I72" s="22" t="str">
        <f>IFERROR(VLOOKUP($B72,'CEPA Summary sheet'!$B$5:$S$93,17,),)</f>
        <v/>
      </c>
      <c r="J72" s="22" t="str">
        <f>IFERROR(VLOOKUP($B72,'CEPA Summary sheet'!$B$5:$S$93,18,),)</f>
        <v/>
      </c>
      <c r="K72" s="23" t="str">
        <f t="shared" si="8"/>
        <v>-</v>
      </c>
      <c r="L72" s="24" t="str">
        <f>IFERROR(VLOOKUP('ComCom refined - 2009 - 14'!$B72,'CEPA Rating&amp;Leverage'!$B$5:$F$93,5,),"")</f>
        <v/>
      </c>
    </row>
    <row r="73" spans="2:12" ht="17.25" x14ac:dyDescent="0.25">
      <c r="B73" s="41" t="s">
        <v>95</v>
      </c>
      <c r="C73" s="22">
        <f>IFERROR(VLOOKUP($B73,'CEPA Summary sheet'!$B$5:$S$93,13,),)</f>
        <v>0.14575733343774064</v>
      </c>
      <c r="D73" s="22">
        <f>IFERROR(VLOOKUP($B73,'CEPA Summary sheet'!$B$5:$S$93,14,),)</f>
        <v>0.12708735504568081</v>
      </c>
      <c r="E73" s="23">
        <f t="shared" si="6"/>
        <v>1.615119581250693E-2</v>
      </c>
      <c r="F73" s="22">
        <f>IFERROR(VLOOKUP($B73,'CEPA Summary sheet'!$B$5:$S$93,15,),)</f>
        <v>0.14894001682746341</v>
      </c>
      <c r="G73" s="22">
        <f>IFERROR(VLOOKUP($B73,'CEPA Summary sheet'!$B$5:$S$93,16,),)</f>
        <v>5.3547624489707853E-2</v>
      </c>
      <c r="H73" s="23">
        <f t="shared" si="7"/>
        <v>2.8673480884907603E-3</v>
      </c>
      <c r="I73" s="22">
        <f>IFERROR(VLOOKUP($B73,'CEPA Summary sheet'!$B$5:$S$93,17,),)</f>
        <v>0.17985249027697939</v>
      </c>
      <c r="J73" s="22">
        <f>IFERROR(VLOOKUP($B73,'CEPA Summary sheet'!$B$5:$S$93,18,),)</f>
        <v>2.3807086945882728E-2</v>
      </c>
      <c r="K73" s="23">
        <f t="shared" si="8"/>
        <v>5.6677738884881976E-4</v>
      </c>
      <c r="L73" s="24">
        <f>IFERROR(VLOOKUP('ComCom refined - 2009 - 14'!$B73,'CEPA Rating&amp;Leverage'!$B$5:$F$93,5,),"")</f>
        <v>0.39227373423421402</v>
      </c>
    </row>
    <row r="74" spans="2:12" ht="17.25" x14ac:dyDescent="0.25">
      <c r="B74" s="41" t="s">
        <v>96</v>
      </c>
      <c r="C74" s="22" t="str">
        <f>IFERROR(VLOOKUP($B74,'CEPA Summary sheet'!$B$5:$S$93,13,),)</f>
        <v/>
      </c>
      <c r="D74" s="22" t="str">
        <f>IFERROR(VLOOKUP($B74,'CEPA Summary sheet'!$B$5:$S$93,14,),)</f>
        <v/>
      </c>
      <c r="E74" s="23" t="str">
        <f t="shared" si="6"/>
        <v>-</v>
      </c>
      <c r="F74" s="22" t="str">
        <f>IFERROR(VLOOKUP($B74,'CEPA Summary sheet'!$B$5:$S$93,15,),)</f>
        <v/>
      </c>
      <c r="G74" s="22" t="str">
        <f>IFERROR(VLOOKUP($B74,'CEPA Summary sheet'!$B$5:$S$93,16,),)</f>
        <v/>
      </c>
      <c r="H74" s="23" t="str">
        <f t="shared" si="7"/>
        <v>-</v>
      </c>
      <c r="I74" s="22" t="str">
        <f>IFERROR(VLOOKUP($B74,'CEPA Summary sheet'!$B$5:$S$93,17,),)</f>
        <v/>
      </c>
      <c r="J74" s="22" t="str">
        <f>IFERROR(VLOOKUP($B74,'CEPA Summary sheet'!$B$5:$S$93,18,),)</f>
        <v/>
      </c>
      <c r="K74" s="23" t="str">
        <f t="shared" si="8"/>
        <v>-</v>
      </c>
      <c r="L74" s="24" t="str">
        <f>IFERROR(VLOOKUP('ComCom refined - 2009 - 14'!$B74,'CEPA Rating&amp;Leverage'!$B$5:$F$93,5,),"")</f>
        <v/>
      </c>
    </row>
    <row r="75" spans="2:12" ht="17.25" x14ac:dyDescent="0.25">
      <c r="B75" s="41" t="s">
        <v>97</v>
      </c>
      <c r="C75" s="22" t="str">
        <f>IFERROR(VLOOKUP($B75,'CEPA Summary sheet'!$B$5:$S$93,13,),)</f>
        <v/>
      </c>
      <c r="D75" s="22" t="str">
        <f>IFERROR(VLOOKUP($B75,'CEPA Summary sheet'!$B$5:$S$93,14,),)</f>
        <v/>
      </c>
      <c r="E75" s="23" t="str">
        <f t="shared" si="6"/>
        <v>-</v>
      </c>
      <c r="F75" s="22" t="str">
        <f>IFERROR(VLOOKUP($B75,'CEPA Summary sheet'!$B$5:$S$93,15,),)</f>
        <v/>
      </c>
      <c r="G75" s="22" t="str">
        <f>IFERROR(VLOOKUP($B75,'CEPA Summary sheet'!$B$5:$S$93,16,),)</f>
        <v/>
      </c>
      <c r="H75" s="23" t="str">
        <f t="shared" si="7"/>
        <v>-</v>
      </c>
      <c r="I75" s="22" t="str">
        <f>IFERROR(VLOOKUP($B75,'CEPA Summary sheet'!$B$5:$S$93,17,),)</f>
        <v/>
      </c>
      <c r="J75" s="22" t="str">
        <f>IFERROR(VLOOKUP($B75,'CEPA Summary sheet'!$B$5:$S$93,18,),)</f>
        <v/>
      </c>
      <c r="K75" s="23" t="str">
        <f t="shared" si="8"/>
        <v>-</v>
      </c>
      <c r="L75" s="24" t="str">
        <f>IFERROR(VLOOKUP('ComCom refined - 2009 - 14'!$B75,'CEPA Rating&amp;Leverage'!$B$5:$F$93,5,),"")</f>
        <v/>
      </c>
    </row>
    <row r="76" spans="2:12" ht="17.25" x14ac:dyDescent="0.25">
      <c r="B76" s="41" t="s">
        <v>98</v>
      </c>
      <c r="C76" s="22" t="str">
        <f>IFERROR(VLOOKUP($B76,'CEPA Summary sheet'!$B$5:$S$93,13,),)</f>
        <v/>
      </c>
      <c r="D76" s="22" t="str">
        <f>IFERROR(VLOOKUP($B76,'CEPA Summary sheet'!$B$5:$S$93,14,),)</f>
        <v/>
      </c>
      <c r="E76" s="23" t="str">
        <f t="shared" si="6"/>
        <v>-</v>
      </c>
      <c r="F76" s="22" t="str">
        <f>IFERROR(VLOOKUP($B76,'CEPA Summary sheet'!$B$5:$S$93,15,),)</f>
        <v/>
      </c>
      <c r="G76" s="22" t="str">
        <f>IFERROR(VLOOKUP($B76,'CEPA Summary sheet'!$B$5:$S$93,16,),)</f>
        <v/>
      </c>
      <c r="H76" s="23" t="str">
        <f t="shared" si="7"/>
        <v>-</v>
      </c>
      <c r="I76" s="22" t="str">
        <f>IFERROR(VLOOKUP($B76,'CEPA Summary sheet'!$B$5:$S$93,17,),)</f>
        <v/>
      </c>
      <c r="J76" s="22" t="str">
        <f>IFERROR(VLOOKUP($B76,'CEPA Summary sheet'!$B$5:$S$93,18,),)</f>
        <v/>
      </c>
      <c r="K76" s="23" t="str">
        <f t="shared" si="8"/>
        <v>-</v>
      </c>
      <c r="L76" s="24" t="str">
        <f>IFERROR(VLOOKUP('ComCom refined - 2009 - 14'!$B76,'CEPA Rating&amp;Leverage'!$B$5:$F$93,5,),"")</f>
        <v/>
      </c>
    </row>
    <row r="77" spans="2:12" ht="17.25" x14ac:dyDescent="0.25">
      <c r="B77" s="41" t="s">
        <v>99</v>
      </c>
      <c r="C77" s="22">
        <f>IFERROR(VLOOKUP($B77,'CEPA Summary sheet'!$B$5:$S$93,13,),)</f>
        <v>0.50940736999270775</v>
      </c>
      <c r="D77" s="22">
        <f>IFERROR(VLOOKUP($B77,'CEPA Summary sheet'!$B$5:$S$93,14,),)</f>
        <v>6.933047548843202E-2</v>
      </c>
      <c r="E77" s="23">
        <f t="shared" si="6"/>
        <v>4.8067148314520731E-3</v>
      </c>
      <c r="F77" s="22">
        <f>IFERROR(VLOOKUP($B77,'CEPA Summary sheet'!$B$5:$S$93,15,),)</f>
        <v>0.42131187423217281</v>
      </c>
      <c r="G77" s="22">
        <f>IFERROR(VLOOKUP($B77,'CEPA Summary sheet'!$B$5:$S$93,16,),)</f>
        <v>3.1214373001068951E-2</v>
      </c>
      <c r="H77" s="23">
        <f t="shared" si="7"/>
        <v>9.7433708184986221E-4</v>
      </c>
      <c r="I77" s="22">
        <f>IFERROR(VLOOKUP($B77,'CEPA Summary sheet'!$B$5:$S$93,17,),)</f>
        <v>0.40324911285994131</v>
      </c>
      <c r="J77" s="22">
        <f>IFERROR(VLOOKUP($B77,'CEPA Summary sheet'!$B$5:$S$93,18,),)</f>
        <v>1.2497089031628154E-2</v>
      </c>
      <c r="K77" s="23">
        <f t="shared" si="8"/>
        <v>1.5617723426444071E-4</v>
      </c>
      <c r="L77" s="24">
        <f>IFERROR(VLOOKUP('ComCom refined - 2009 - 14'!$B77,'CEPA Rating&amp;Leverage'!$B$5:$F$93,5,),"")</f>
        <v>0.66646110879229115</v>
      </c>
    </row>
    <row r="78" spans="2:12" ht="17.25" x14ac:dyDescent="0.25">
      <c r="B78" s="41" t="s">
        <v>100</v>
      </c>
      <c r="C78" s="22">
        <f>IFERROR(VLOOKUP($B78,'CEPA Summary sheet'!$B$5:$S$93,13,),)</f>
        <v>0.28150372728391987</v>
      </c>
      <c r="D78" s="22">
        <f>IFERROR(VLOOKUP($B78,'CEPA Summary sheet'!$B$5:$S$93,14,),)</f>
        <v>0.11398841899702612</v>
      </c>
      <c r="E78" s="23">
        <f t="shared" si="6"/>
        <v>1.2993359665441585E-2</v>
      </c>
      <c r="F78" s="22">
        <f>IFERROR(VLOOKUP($B78,'CEPA Summary sheet'!$B$5:$S$93,15,),)</f>
        <v>0.2906941919740621</v>
      </c>
      <c r="G78" s="22">
        <f>IFERROR(VLOOKUP($B78,'CEPA Summary sheet'!$B$5:$S$93,16,),)</f>
        <v>5.3283931714473542E-2</v>
      </c>
      <c r="H78" s="23">
        <f t="shared" si="7"/>
        <v>2.8391773789526796E-3</v>
      </c>
      <c r="I78" s="22">
        <f>IFERROR(VLOOKUP($B78,'CEPA Summary sheet'!$B$5:$S$93,17,),)</f>
        <v>0.33669519388624808</v>
      </c>
      <c r="J78" s="22">
        <f>IFERROR(VLOOKUP($B78,'CEPA Summary sheet'!$B$5:$S$93,18,),)</f>
        <v>2.4105472560729698E-2</v>
      </c>
      <c r="K78" s="23">
        <f t="shared" si="8"/>
        <v>5.810738073760924E-4</v>
      </c>
      <c r="L78" s="24">
        <f>IFERROR(VLOOKUP('ComCom refined - 2009 - 14'!$B78,'CEPA Rating&amp;Leverage'!$B$5:$F$93,5,),"")</f>
        <v>0.31365534720338273</v>
      </c>
    </row>
    <row r="79" spans="2:12" ht="17.25" x14ac:dyDescent="0.25">
      <c r="B79" s="41" t="s">
        <v>101</v>
      </c>
      <c r="C79" s="22">
        <f>IFERROR(VLOOKUP($B79,'CEPA Summary sheet'!$B$5:$S$93,13,),)</f>
        <v>0.23496542122682315</v>
      </c>
      <c r="D79" s="22">
        <f>IFERROR(VLOOKUP($B79,'CEPA Summary sheet'!$B$5:$S$93,14,),)</f>
        <v>8.6143798728641613E-2</v>
      </c>
      <c r="E79" s="23">
        <f t="shared" si="6"/>
        <v>7.420754059400716E-3</v>
      </c>
      <c r="F79" s="22">
        <f>IFERROR(VLOOKUP($B79,'CEPA Summary sheet'!$B$5:$S$93,15,),)</f>
        <v>0.32404065411814093</v>
      </c>
      <c r="G79" s="22">
        <f>IFERROR(VLOOKUP($B79,'CEPA Summary sheet'!$B$5:$S$93,16,),)</f>
        <v>3.9506854816739399E-2</v>
      </c>
      <c r="H79" s="23">
        <f t="shared" si="7"/>
        <v>1.5607915775109251E-3</v>
      </c>
      <c r="I79" s="22">
        <f>IFERROR(VLOOKUP($B79,'CEPA Summary sheet'!$B$5:$S$93,17,),)</f>
        <v>0.38790433815726078</v>
      </c>
      <c r="J79" s="22">
        <f>IFERROR(VLOOKUP($B79,'CEPA Summary sheet'!$B$5:$S$93,18,),)</f>
        <v>2.0390033885879875E-2</v>
      </c>
      <c r="K79" s="23">
        <f t="shared" si="8"/>
        <v>4.1575348186732956E-4</v>
      </c>
      <c r="L79" s="24">
        <f>IFERROR(VLOOKUP('ComCom refined - 2009 - 14'!$B79,'CEPA Rating&amp;Leverage'!$B$5:$F$93,5,),"")</f>
        <v>0.31278885631961162</v>
      </c>
    </row>
    <row r="80" spans="2:12" ht="17.25" x14ac:dyDescent="0.25">
      <c r="B80" s="41" t="s">
        <v>102</v>
      </c>
      <c r="C80" s="22" t="str">
        <f>IFERROR(VLOOKUP($B80,'CEPA Summary sheet'!$B$5:$S$93,13,),)</f>
        <v/>
      </c>
      <c r="D80" s="22" t="str">
        <f>IFERROR(VLOOKUP($B80,'CEPA Summary sheet'!$B$5:$S$93,14,),)</f>
        <v/>
      </c>
      <c r="E80" s="23" t="str">
        <f t="shared" si="6"/>
        <v>-</v>
      </c>
      <c r="F80" s="22" t="str">
        <f>IFERROR(VLOOKUP($B80,'CEPA Summary sheet'!$B$5:$S$93,15,),)</f>
        <v/>
      </c>
      <c r="G80" s="22" t="str">
        <f>IFERROR(VLOOKUP($B80,'CEPA Summary sheet'!$B$5:$S$93,16,),)</f>
        <v/>
      </c>
      <c r="H80" s="23" t="str">
        <f t="shared" si="7"/>
        <v>-</v>
      </c>
      <c r="I80" s="22" t="str">
        <f>IFERROR(VLOOKUP($B80,'CEPA Summary sheet'!$B$5:$S$93,17,),)</f>
        <v/>
      </c>
      <c r="J80" s="22" t="str">
        <f>IFERROR(VLOOKUP($B80,'CEPA Summary sheet'!$B$5:$S$93,18,),)</f>
        <v/>
      </c>
      <c r="K80" s="23" t="str">
        <f t="shared" si="8"/>
        <v>-</v>
      </c>
      <c r="L80" s="24" t="str">
        <f>IFERROR(VLOOKUP('ComCom refined - 2009 - 14'!$B80,'CEPA Rating&amp;Leverage'!$B$5:$F$93,5,),"")</f>
        <v/>
      </c>
    </row>
    <row r="81" spans="2:12" ht="17.25" x14ac:dyDescent="0.25">
      <c r="B81" s="41" t="s">
        <v>103</v>
      </c>
      <c r="C81" s="22">
        <f>IFERROR(VLOOKUP($B81,'CEPA Summary sheet'!$B$5:$S$93,13,),)</f>
        <v>0.49753055310095001</v>
      </c>
      <c r="D81" s="22">
        <f>IFERROR(VLOOKUP($B81,'CEPA Summary sheet'!$B$5:$S$93,14,),)</f>
        <v>7.661471538767807E-2</v>
      </c>
      <c r="E81" s="23">
        <f t="shared" si="6"/>
        <v>5.8698146139349152E-3</v>
      </c>
      <c r="F81" s="22">
        <f>IFERROR(VLOOKUP($B81,'CEPA Summary sheet'!$B$5:$S$93,15,),)</f>
        <v>0.55299238199954082</v>
      </c>
      <c r="G81" s="22">
        <f>IFERROR(VLOOKUP($B81,'CEPA Summary sheet'!$B$5:$S$93,16,),)</f>
        <v>4.7125391616957855E-2</v>
      </c>
      <c r="H81" s="23">
        <f t="shared" si="7"/>
        <v>2.2208025350516419E-3</v>
      </c>
      <c r="I81" s="22">
        <f>IFERROR(VLOOKUP($B81,'CEPA Summary sheet'!$B$5:$S$93,17,),)</f>
        <v>0.65194326123768198</v>
      </c>
      <c r="J81" s="22">
        <f>IFERROR(VLOOKUP($B81,'CEPA Summary sheet'!$B$5:$S$93,18,),)</f>
        <v>2.6595167498199141E-2</v>
      </c>
      <c r="K81" s="23">
        <f t="shared" si="8"/>
        <v>7.0730293425726794E-4</v>
      </c>
      <c r="L81" s="24">
        <f>IFERROR(VLOOKUP('ComCom refined - 2009 - 14'!$B81,'CEPA Rating&amp;Leverage'!$B$5:$F$93,5,),"")</f>
        <v>0.10630800144446316</v>
      </c>
    </row>
    <row r="82" spans="2:12" ht="17.25" x14ac:dyDescent="0.25">
      <c r="B82" s="41" t="s">
        <v>104</v>
      </c>
      <c r="C82" s="22">
        <f>IFERROR(VLOOKUP($B82,'CEPA Summary sheet'!$B$5:$S$93,13,),)</f>
        <v>0.34145753899878473</v>
      </c>
      <c r="D82" s="22">
        <f>IFERROR(VLOOKUP($B82,'CEPA Summary sheet'!$B$5:$S$93,14,),)</f>
        <v>8.8984809600125933E-2</v>
      </c>
      <c r="E82" s="23">
        <f t="shared" si="6"/>
        <v>7.918296339570665E-3</v>
      </c>
      <c r="F82" s="22">
        <f>IFERROR(VLOOKUP($B82,'CEPA Summary sheet'!$B$5:$S$93,15,),)</f>
        <v>0.28208875690478707</v>
      </c>
      <c r="G82" s="22">
        <f>IFERROR(VLOOKUP($B82,'CEPA Summary sheet'!$B$5:$S$93,16,),)</f>
        <v>5.1977020196303646E-2</v>
      </c>
      <c r="H82" s="23">
        <f t="shared" si="7"/>
        <v>2.701610628486957E-3</v>
      </c>
      <c r="I82" s="22">
        <f>IFERROR(VLOOKUP($B82,'CEPA Summary sheet'!$B$5:$S$93,17,),)</f>
        <v>0.30541812732073753</v>
      </c>
      <c r="J82" s="22">
        <f>IFERROR(VLOOKUP($B82,'CEPA Summary sheet'!$B$5:$S$93,18,),)</f>
        <v>2.9280452821666549E-2</v>
      </c>
      <c r="K82" s="23">
        <f t="shared" si="8"/>
        <v>8.5734491744184061E-4</v>
      </c>
      <c r="L82" s="24">
        <f>IFERROR(VLOOKUP('ComCom refined - 2009 - 14'!$B82,'CEPA Rating&amp;Leverage'!$B$5:$F$93,5,),"")</f>
        <v>9.4926533177893846E-2</v>
      </c>
    </row>
    <row r="83" spans="2:12" ht="17.25" x14ac:dyDescent="0.25">
      <c r="B83" s="41" t="s">
        <v>105</v>
      </c>
      <c r="C83" s="22" t="str">
        <f>IFERROR(VLOOKUP($B83,'CEPA Summary sheet'!$B$5:$S$93,13,),)</f>
        <v/>
      </c>
      <c r="D83" s="22" t="str">
        <f>IFERROR(VLOOKUP($B83,'CEPA Summary sheet'!$B$5:$S$93,14,),)</f>
        <v/>
      </c>
      <c r="E83" s="23" t="str">
        <f t="shared" si="6"/>
        <v>-</v>
      </c>
      <c r="F83" s="22" t="str">
        <f>IFERROR(VLOOKUP($B83,'CEPA Summary sheet'!$B$5:$S$93,15,),)</f>
        <v/>
      </c>
      <c r="G83" s="22" t="str">
        <f>IFERROR(VLOOKUP($B83,'CEPA Summary sheet'!$B$5:$S$93,16,),)</f>
        <v/>
      </c>
      <c r="H83" s="23" t="str">
        <f t="shared" si="7"/>
        <v>-</v>
      </c>
      <c r="I83" s="22" t="str">
        <f>IFERROR(VLOOKUP($B83,'CEPA Summary sheet'!$B$5:$S$93,17,),)</f>
        <v/>
      </c>
      <c r="J83" s="22" t="str">
        <f>IFERROR(VLOOKUP($B83,'CEPA Summary sheet'!$B$5:$S$93,18,),)</f>
        <v/>
      </c>
      <c r="K83" s="23" t="str">
        <f t="shared" si="8"/>
        <v>-</v>
      </c>
      <c r="L83" s="24" t="str">
        <f>IFERROR(VLOOKUP('ComCom refined - 2009 - 14'!$B83,'CEPA Rating&amp;Leverage'!$B$5:$F$93,5,),"")</f>
        <v/>
      </c>
    </row>
    <row r="84" spans="2:12" ht="17.25" x14ac:dyDescent="0.25">
      <c r="B84" s="41" t="s">
        <v>247</v>
      </c>
      <c r="C84" s="22">
        <f>IFERROR(VLOOKUP($B84,'CEPA Summary sheet'!$B$5:$S$93,13,),)</f>
        <v>0.40296876253432162</v>
      </c>
      <c r="D84" s="22">
        <f>IFERROR(VLOOKUP($B84,'CEPA Summary sheet'!$B$5:$S$93,14,),)</f>
        <v>7.6133612118734151E-2</v>
      </c>
      <c r="E84" s="23">
        <f t="shared" si="6"/>
        <v>5.7963268942458632E-3</v>
      </c>
      <c r="F84" s="22">
        <f>IFERROR(VLOOKUP($B84,'CEPA Summary sheet'!$B$5:$S$93,15,),)</f>
        <v>0.65853837505132695</v>
      </c>
      <c r="G84" s="22">
        <f>IFERROR(VLOOKUP($B84,'CEPA Summary sheet'!$B$5:$S$93,16,),)</f>
        <v>1.7975738520656783E-2</v>
      </c>
      <c r="H84" s="23">
        <f t="shared" si="7"/>
        <v>3.2312717536302411E-4</v>
      </c>
      <c r="I84" s="22">
        <f>IFERROR(VLOOKUP($B84,'CEPA Summary sheet'!$B$5:$S$93,17,),)</f>
        <v>0.30855529250152214</v>
      </c>
      <c r="J84" s="22">
        <f>IFERROR(VLOOKUP($B84,'CEPA Summary sheet'!$B$5:$S$93,18,),)</f>
        <v>2.2412825058288299E-2</v>
      </c>
      <c r="K84" s="23">
        <f t="shared" si="8"/>
        <v>5.0233472709343592E-4</v>
      </c>
      <c r="L84" s="24">
        <f>IFERROR(VLOOKUP('ComCom refined - 2009 - 14'!$B84,'CEPA Rating&amp;Leverage'!$B$5:$F$93,5,),"")</f>
        <v>0.29341950810768108</v>
      </c>
    </row>
    <row r="85" spans="2:12" ht="17.25" x14ac:dyDescent="0.25">
      <c r="B85" s="41" t="s">
        <v>253</v>
      </c>
      <c r="C85" s="22"/>
      <c r="D85" s="22"/>
      <c r="E85" s="23"/>
      <c r="F85" s="22"/>
      <c r="G85" s="22"/>
      <c r="H85" s="23"/>
      <c r="I85" s="22"/>
      <c r="J85" s="22"/>
      <c r="K85" s="23"/>
      <c r="L85" s="24" t="str">
        <f>IFERROR(VLOOKUP('ComCom refined - 2009 - 14'!$B85,'CEPA Rating&amp;Leverage'!$B$5:$F$93,5,),"")</f>
        <v/>
      </c>
    </row>
    <row r="86" spans="2:12" ht="17.25" x14ac:dyDescent="0.25">
      <c r="B86" s="41" t="s">
        <v>257</v>
      </c>
      <c r="C86" s="22">
        <f>IFERROR(VLOOKUP($B86,'CEPA Summary sheet'!$B$5:$S$93,13,),)</f>
        <v>0.69353918721921248</v>
      </c>
      <c r="D86" s="22">
        <f>IFERROR(VLOOKUP($B86,'CEPA Summary sheet'!$B$5:$S$93,14,),)</f>
        <v>0.11191958233905562</v>
      </c>
      <c r="E86" s="23">
        <f t="shared" si="6"/>
        <v>1.2525992910948651E-2</v>
      </c>
      <c r="F86" s="22">
        <f>IFERROR(VLOOKUP($B86,'CEPA Summary sheet'!$B$5:$S$93,15,),)</f>
        <v>0.8632877043121242</v>
      </c>
      <c r="G86" s="22">
        <f>IFERROR(VLOOKUP($B86,'CEPA Summary sheet'!$B$5:$S$93,16,),)</f>
        <v>3.242874146194024E-2</v>
      </c>
      <c r="H86" s="23">
        <f t="shared" si="7"/>
        <v>1.0516232728053621E-3</v>
      </c>
      <c r="I86" s="22">
        <f>IFERROR(VLOOKUP($B86,'CEPA Summary sheet'!$B$5:$S$93,17,),)</f>
        <v>0.68825422879652209</v>
      </c>
      <c r="J86" s="22">
        <f>IFERROR(VLOOKUP($B86,'CEPA Summary sheet'!$B$5:$S$93,18,),)</f>
        <v>3.4822129132208099E-2</v>
      </c>
      <c r="K86" s="23">
        <f t="shared" si="8"/>
        <v>1.212580677300176E-3</v>
      </c>
      <c r="L86" s="24">
        <f>IFERROR(VLOOKUP('ComCom refined - 2009 - 14'!$B86,'CEPA Rating&amp;Leverage'!$B$5:$F$93,5,),"")</f>
        <v>0.10268548801807673</v>
      </c>
    </row>
    <row r="87" spans="2:12" ht="17.25" x14ac:dyDescent="0.25">
      <c r="B87" s="41" t="s">
        <v>245</v>
      </c>
      <c r="C87" s="22">
        <f>IFERROR(VLOOKUP($B87,'CEPA Summary sheet'!$B$5:$S$93,13,),)</f>
        <v>0.71789253328385727</v>
      </c>
      <c r="D87" s="22">
        <f>IFERROR(VLOOKUP($B87,'CEPA Summary sheet'!$B$5:$S$93,14,),)</f>
        <v>0.11226381392542381</v>
      </c>
      <c r="E87" s="23">
        <f t="shared" ref="E87:E88" si="9">IFERROR(D87^2,"-")</f>
        <v>1.2603163917082182E-2</v>
      </c>
      <c r="F87" s="22">
        <f>IFERROR(VLOOKUP($B87,'CEPA Summary sheet'!$B$5:$S$93,15,),)</f>
        <v>0.90621352010901823</v>
      </c>
      <c r="G87" s="22">
        <f>IFERROR(VLOOKUP($B87,'CEPA Summary sheet'!$B$5:$S$93,16,),)</f>
        <v>3.4112972658360226E-2</v>
      </c>
      <c r="H87" s="23">
        <f t="shared" ref="H87:H88" si="10">IFERROR(G87^2,"-")</f>
        <v>1.1636949035900323E-3</v>
      </c>
      <c r="I87" s="22">
        <f>IFERROR(VLOOKUP($B87,'CEPA Summary sheet'!$B$5:$S$93,17,),)</f>
        <v>0.40918969999999999</v>
      </c>
      <c r="J87" s="22">
        <f>IFERROR(VLOOKUP($B87,'CEPA Summary sheet'!$B$5:$S$93,18,),)</f>
        <v>3.4058320000000003E-2</v>
      </c>
      <c r="K87" s="23">
        <f t="shared" ref="K87:K88" si="11">IFERROR(J87^2,"-")</f>
        <v>1.1599691612224003E-3</v>
      </c>
      <c r="L87" s="24">
        <f>IFERROR(VLOOKUP('ComCom refined - 2009 - 14'!$B87,'CEPA Rating&amp;Leverage'!$B$5:$F$93,5,),"")</f>
        <v>0</v>
      </c>
    </row>
    <row r="88" spans="2:12" ht="17.25" x14ac:dyDescent="0.25">
      <c r="B88" s="41" t="s">
        <v>251</v>
      </c>
      <c r="C88" s="22">
        <f>IFERROR(VLOOKUP($B88,'CEPA Summary sheet'!$B$5:$S$93,13,),)</f>
        <v>0.57038762316251967</v>
      </c>
      <c r="D88" s="22">
        <f>IFERROR(VLOOKUP($B88,'CEPA Summary sheet'!$B$5:$S$93,14,),)</f>
        <v>7.7554583681406233E-2</v>
      </c>
      <c r="E88" s="23">
        <f t="shared" si="9"/>
        <v>6.0147134499962422E-3</v>
      </c>
      <c r="F88" s="22">
        <f>IFERROR(VLOOKUP($B88,'CEPA Summary sheet'!$B$5:$S$93,15,),)</f>
        <v>0.88766097549069412</v>
      </c>
      <c r="G88" s="22">
        <f>IFERROR(VLOOKUP($B88,'CEPA Summary sheet'!$B$5:$S$93,16,),)</f>
        <v>2.7880109481195296E-2</v>
      </c>
      <c r="H88" s="23">
        <f t="shared" si="10"/>
        <v>7.7730050468343586E-4</v>
      </c>
      <c r="I88" s="22">
        <f>IFERROR(VLOOKUP($B88,'CEPA Summary sheet'!$B$5:$S$93,17,),)</f>
        <v>0.43428539999999999</v>
      </c>
      <c r="J88" s="22">
        <f>IFERROR(VLOOKUP($B88,'CEPA Summary sheet'!$B$5:$S$93,18,),)</f>
        <v>2.6437200000000001E-2</v>
      </c>
      <c r="K88" s="23">
        <f t="shared" si="11"/>
        <v>6.9892554384000003E-4</v>
      </c>
      <c r="L88" s="24">
        <f>IFERROR(VLOOKUP('ComCom refined - 2009 - 14'!$B88,'CEPA Rating&amp;Leverage'!$B$5:$F$93,5,),"")</f>
        <v>0</v>
      </c>
    </row>
  </sheetData>
  <mergeCells count="4">
    <mergeCell ref="C3:E3"/>
    <mergeCell ref="F3:H3"/>
    <mergeCell ref="I3:K3"/>
    <mergeCell ref="L3: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9523B-A8CC-4914-97B3-DD0632A9CB2C}">
  <sheetPr>
    <tabColor theme="4" tint="-0.249977111117893"/>
  </sheetPr>
  <dimension ref="A1:AD121"/>
  <sheetViews>
    <sheetView topLeftCell="K73" zoomScale="60" zoomScaleNormal="60" workbookViewId="0">
      <selection activeCell="R87" sqref="R87"/>
    </sheetView>
  </sheetViews>
  <sheetFormatPr defaultColWidth="9.140625" defaultRowHeight="12.75" x14ac:dyDescent="0.2"/>
  <cols>
    <col min="1" max="1" width="29.85546875" customWidth="1"/>
    <col min="2" max="2" width="18.140625" bestFit="1" customWidth="1"/>
    <col min="3" max="3" width="5" customWidth="1"/>
    <col min="4" max="4" width="57.140625" customWidth="1"/>
    <col min="5" max="10" width="12.85546875" customWidth="1"/>
    <col min="11" max="12" width="5" customWidth="1"/>
    <col min="13" max="13" width="53.140625" customWidth="1"/>
    <col min="14" max="19" width="12.85546875" customWidth="1"/>
    <col min="20" max="21" width="5" customWidth="1"/>
    <col min="22" max="22" width="55.5703125" customWidth="1"/>
    <col min="23" max="28" width="12.85546875" customWidth="1"/>
  </cols>
  <sheetData>
    <row r="1" spans="1:30" ht="17.25" x14ac:dyDescent="0.3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4"/>
      <c r="AD1" s="54"/>
    </row>
    <row r="2" spans="1:30" ht="17.25" x14ac:dyDescent="0.35">
      <c r="A2" s="53"/>
      <c r="B2" s="53" t="s">
        <v>108</v>
      </c>
      <c r="C2" s="53"/>
      <c r="D2" s="53"/>
      <c r="E2" s="53">
        <v>2</v>
      </c>
      <c r="F2" s="53">
        <v>3</v>
      </c>
      <c r="G2" s="53">
        <v>4</v>
      </c>
      <c r="H2" s="53">
        <v>5</v>
      </c>
      <c r="I2" s="53">
        <v>6</v>
      </c>
      <c r="J2" s="53">
        <v>7</v>
      </c>
      <c r="K2" s="53"/>
      <c r="L2" s="53"/>
      <c r="M2" s="53"/>
      <c r="N2" s="53">
        <v>2</v>
      </c>
      <c r="O2" s="53">
        <v>3</v>
      </c>
      <c r="P2" s="53">
        <v>4</v>
      </c>
      <c r="Q2" s="53">
        <v>5</v>
      </c>
      <c r="R2" s="53">
        <v>6</v>
      </c>
      <c r="S2" s="53">
        <v>7</v>
      </c>
      <c r="T2" s="53"/>
      <c r="U2" s="53"/>
      <c r="V2" s="53"/>
      <c r="W2" s="53">
        <v>2</v>
      </c>
      <c r="X2" s="53">
        <v>3</v>
      </c>
      <c r="Y2" s="53">
        <v>4</v>
      </c>
      <c r="Z2" s="53">
        <v>5</v>
      </c>
      <c r="AA2" s="53">
        <v>6</v>
      </c>
      <c r="AB2" s="53">
        <v>7</v>
      </c>
      <c r="AC2" s="54"/>
      <c r="AD2" s="54"/>
    </row>
    <row r="3" spans="1:30" ht="17.25" x14ac:dyDescent="0.35">
      <c r="A3" s="54"/>
      <c r="B3" s="54"/>
      <c r="C3" s="54"/>
      <c r="D3" s="55" t="s">
        <v>109</v>
      </c>
      <c r="E3" s="54"/>
      <c r="F3" s="54"/>
      <c r="G3" s="54"/>
      <c r="H3" s="54"/>
      <c r="I3" s="54"/>
      <c r="J3" s="54"/>
      <c r="K3" s="54"/>
      <c r="L3" s="54"/>
      <c r="M3" s="55" t="s">
        <v>110</v>
      </c>
      <c r="N3" s="54"/>
      <c r="O3" s="54"/>
      <c r="P3" s="54"/>
      <c r="Q3" s="54"/>
      <c r="R3" s="54"/>
      <c r="S3" s="54"/>
      <c r="T3" s="54"/>
      <c r="U3" s="54"/>
      <c r="V3" s="55" t="s">
        <v>111</v>
      </c>
      <c r="W3" s="54"/>
      <c r="X3" s="54"/>
      <c r="Y3" s="54"/>
      <c r="Z3" s="54"/>
      <c r="AA3" s="54"/>
      <c r="AB3" s="54"/>
      <c r="AC3" s="54"/>
      <c r="AD3" s="54"/>
    </row>
    <row r="4" spans="1:30" ht="34.5" x14ac:dyDescent="0.35">
      <c r="A4" s="54"/>
      <c r="B4" s="56" t="s">
        <v>112</v>
      </c>
      <c r="C4" s="54"/>
      <c r="D4" s="56" t="s">
        <v>113</v>
      </c>
      <c r="E4" s="56" t="s">
        <v>114</v>
      </c>
      <c r="F4" s="56" t="s">
        <v>13</v>
      </c>
      <c r="G4" s="56" t="s">
        <v>115</v>
      </c>
      <c r="H4" s="56" t="s">
        <v>13</v>
      </c>
      <c r="I4" s="56" t="s">
        <v>116</v>
      </c>
      <c r="J4" s="56" t="s">
        <v>13</v>
      </c>
      <c r="K4" s="54"/>
      <c r="L4" s="54"/>
      <c r="M4" s="56" t="s">
        <v>113</v>
      </c>
      <c r="N4" s="56" t="s">
        <v>114</v>
      </c>
      <c r="O4" s="56" t="s">
        <v>13</v>
      </c>
      <c r="P4" s="56" t="s">
        <v>115</v>
      </c>
      <c r="Q4" s="56" t="s">
        <v>13</v>
      </c>
      <c r="R4" s="56" t="s">
        <v>116</v>
      </c>
      <c r="S4" s="56" t="s">
        <v>13</v>
      </c>
      <c r="T4" s="54"/>
      <c r="U4" s="54"/>
      <c r="V4" s="56" t="s">
        <v>113</v>
      </c>
      <c r="W4" s="56" t="s">
        <v>114</v>
      </c>
      <c r="X4" s="56" t="s">
        <v>13</v>
      </c>
      <c r="Y4" s="56" t="s">
        <v>115</v>
      </c>
      <c r="Z4" s="56" t="s">
        <v>13</v>
      </c>
      <c r="AA4" s="56" t="s">
        <v>116</v>
      </c>
      <c r="AB4" s="56" t="s">
        <v>13</v>
      </c>
      <c r="AC4" s="54"/>
      <c r="AD4" s="54"/>
    </row>
    <row r="5" spans="1:30" ht="17.25" x14ac:dyDescent="0.35">
      <c r="A5" s="54"/>
      <c r="B5" s="39" t="s">
        <v>19</v>
      </c>
      <c r="C5" s="54"/>
      <c r="D5" s="39" t="s">
        <v>117</v>
      </c>
      <c r="E5" s="57">
        <v>0.49757012373198872</v>
      </c>
      <c r="F5" s="58">
        <v>0.15298365089509811</v>
      </c>
      <c r="G5" s="57">
        <v>0.42117379590331805</v>
      </c>
      <c r="H5" s="58">
        <v>7.8060463301121971E-2</v>
      </c>
      <c r="I5" s="57">
        <v>0.37293648923735112</v>
      </c>
      <c r="J5" s="58">
        <v>3.5024392439517056E-2</v>
      </c>
      <c r="K5" s="54"/>
      <c r="L5" s="54"/>
      <c r="M5" s="39" t="s">
        <v>117</v>
      </c>
      <c r="N5" s="57" t="s">
        <v>221</v>
      </c>
      <c r="O5" s="58" t="s">
        <v>221</v>
      </c>
      <c r="P5" s="57" t="s">
        <v>221</v>
      </c>
      <c r="Q5" s="58" t="s">
        <v>221</v>
      </c>
      <c r="R5" s="57" t="s">
        <v>221</v>
      </c>
      <c r="S5" s="58" t="s">
        <v>221</v>
      </c>
      <c r="T5" s="54"/>
      <c r="U5" s="54"/>
      <c r="V5" s="39" t="s">
        <v>117</v>
      </c>
      <c r="W5" s="57">
        <v>0.49246312635834466</v>
      </c>
      <c r="X5" s="58">
        <v>0.23370948919676882</v>
      </c>
      <c r="Y5" s="57">
        <v>0.29455292519822407</v>
      </c>
      <c r="Z5" s="58">
        <v>0.11152594412971137</v>
      </c>
      <c r="AA5" s="57">
        <v>0.35021649522184106</v>
      </c>
      <c r="AB5" s="58">
        <v>4.950610559345086E-2</v>
      </c>
      <c r="AC5" s="54"/>
      <c r="AD5" s="54"/>
    </row>
    <row r="6" spans="1:30" ht="17.25" x14ac:dyDescent="0.35">
      <c r="A6" s="54"/>
      <c r="B6" s="39" t="s">
        <v>22</v>
      </c>
      <c r="C6" s="54"/>
      <c r="D6" s="39" t="s">
        <v>118</v>
      </c>
      <c r="E6" s="57" t="s">
        <v>221</v>
      </c>
      <c r="F6" s="58" t="s">
        <v>221</v>
      </c>
      <c r="G6" s="57" t="s">
        <v>221</v>
      </c>
      <c r="H6" s="58" t="s">
        <v>221</v>
      </c>
      <c r="I6" s="57" t="s">
        <v>221</v>
      </c>
      <c r="J6" s="58" t="s">
        <v>221</v>
      </c>
      <c r="K6" s="54"/>
      <c r="L6" s="54"/>
      <c r="M6" s="39" t="s">
        <v>118</v>
      </c>
      <c r="N6" s="57" t="s">
        <v>221</v>
      </c>
      <c r="O6" s="58" t="s">
        <v>221</v>
      </c>
      <c r="P6" s="57" t="s">
        <v>221</v>
      </c>
      <c r="Q6" s="58" t="s">
        <v>221</v>
      </c>
      <c r="R6" s="57" t="s">
        <v>221</v>
      </c>
      <c r="S6" s="58" t="s">
        <v>221</v>
      </c>
      <c r="T6" s="54"/>
      <c r="U6" s="54"/>
      <c r="V6" s="39" t="s">
        <v>118</v>
      </c>
      <c r="W6" s="57">
        <v>0.46633504679843973</v>
      </c>
      <c r="X6" s="58">
        <v>0.3366400934699228</v>
      </c>
      <c r="Y6" s="57">
        <v>0.51945486502603178</v>
      </c>
      <c r="Z6" s="58">
        <v>0.16094757764379167</v>
      </c>
      <c r="AA6" s="57">
        <v>0.43756677194817528</v>
      </c>
      <c r="AB6" s="58">
        <v>6.9420850400379777E-2</v>
      </c>
      <c r="AC6" s="54"/>
      <c r="AD6" s="54"/>
    </row>
    <row r="7" spans="1:30" ht="17.25" x14ac:dyDescent="0.35">
      <c r="A7" s="54"/>
      <c r="B7" s="41" t="s">
        <v>25</v>
      </c>
      <c r="C7" s="54"/>
      <c r="D7" s="41" t="s">
        <v>119</v>
      </c>
      <c r="E7" s="59">
        <v>0.40985558317978599</v>
      </c>
      <c r="F7" s="60">
        <v>0.1258368166780188</v>
      </c>
      <c r="G7" s="59">
        <v>0.45410426179936669</v>
      </c>
      <c r="H7" s="60">
        <v>5.6415628499563289E-2</v>
      </c>
      <c r="I7" s="59">
        <v>0.48635650864155416</v>
      </c>
      <c r="J7" s="60">
        <v>2.5486686557437091E-2</v>
      </c>
      <c r="K7" s="54"/>
      <c r="L7" s="54"/>
      <c r="M7" s="41" t="s">
        <v>119</v>
      </c>
      <c r="N7" s="59">
        <v>0.41409383979406983</v>
      </c>
      <c r="O7" s="60">
        <v>0.10558474300825751</v>
      </c>
      <c r="P7" s="59">
        <v>0.56389468889588723</v>
      </c>
      <c r="Q7" s="60">
        <v>5.168845870697427E-2</v>
      </c>
      <c r="R7" s="59">
        <v>0.66886314214960885</v>
      </c>
      <c r="S7" s="60">
        <v>2.394278302467703E-2</v>
      </c>
      <c r="T7" s="54"/>
      <c r="U7" s="54"/>
      <c r="V7" s="41" t="s">
        <v>119</v>
      </c>
      <c r="W7" s="59">
        <v>8.8854607553762996E-2</v>
      </c>
      <c r="X7" s="60">
        <v>0.20622478703622871</v>
      </c>
      <c r="Y7" s="59">
        <v>0.26213523067123951</v>
      </c>
      <c r="Z7" s="60">
        <v>8.9033808805898604E-2</v>
      </c>
      <c r="AA7" s="59">
        <v>0.30647142512384695</v>
      </c>
      <c r="AB7" s="60">
        <v>4.3847906435624778E-2</v>
      </c>
      <c r="AC7" s="54"/>
      <c r="AD7" s="54"/>
    </row>
    <row r="8" spans="1:30" ht="17.25" x14ac:dyDescent="0.35">
      <c r="A8" s="54"/>
      <c r="B8" s="41" t="s">
        <v>28</v>
      </c>
      <c r="C8" s="54"/>
      <c r="D8" s="41" t="s">
        <v>120</v>
      </c>
      <c r="E8" s="59">
        <v>0.25295066207096845</v>
      </c>
      <c r="F8" s="60">
        <v>0.11931084564178694</v>
      </c>
      <c r="G8" s="59">
        <v>0.38443157867761191</v>
      </c>
      <c r="H8" s="60">
        <v>5.7090075418620365E-2</v>
      </c>
      <c r="I8" s="59">
        <v>0.4016434480386179</v>
      </c>
      <c r="J8" s="60">
        <v>2.4771559608173344E-2</v>
      </c>
      <c r="K8" s="54"/>
      <c r="L8" s="54"/>
      <c r="M8" s="41" t="s">
        <v>120</v>
      </c>
      <c r="N8" s="59">
        <v>0.57209536434604691</v>
      </c>
      <c r="O8" s="60">
        <v>0.10247487739537044</v>
      </c>
      <c r="P8" s="59">
        <v>0.61253365987373909</v>
      </c>
      <c r="Q8" s="60">
        <v>4.8348433069935165E-2</v>
      </c>
      <c r="R8" s="59">
        <v>0.68023507086591595</v>
      </c>
      <c r="S8" s="60">
        <v>2.3255429027811879E-2</v>
      </c>
      <c r="T8" s="54"/>
      <c r="U8" s="54"/>
      <c r="V8" s="41" t="s">
        <v>120</v>
      </c>
      <c r="W8" s="59">
        <v>0.25103321702134196</v>
      </c>
      <c r="X8" s="60">
        <v>0.21256856452110087</v>
      </c>
      <c r="Y8" s="59">
        <v>0.32129043600044505</v>
      </c>
      <c r="Z8" s="60">
        <v>9.2772676913969204E-2</v>
      </c>
      <c r="AA8" s="59">
        <v>0.30180911772275687</v>
      </c>
      <c r="AB8" s="60">
        <v>4.2712442157367456E-2</v>
      </c>
      <c r="AC8" s="54"/>
      <c r="AD8" s="54"/>
    </row>
    <row r="9" spans="1:30" ht="17.25" x14ac:dyDescent="0.35">
      <c r="A9" s="54"/>
      <c r="B9" s="41" t="s">
        <v>31</v>
      </c>
      <c r="C9" s="54"/>
      <c r="D9" s="41" t="s">
        <v>121</v>
      </c>
      <c r="E9" s="59" t="s">
        <v>221</v>
      </c>
      <c r="F9" s="60" t="s">
        <v>221</v>
      </c>
      <c r="G9" s="59" t="s">
        <v>221</v>
      </c>
      <c r="H9" s="60" t="s">
        <v>221</v>
      </c>
      <c r="I9" s="59" t="s">
        <v>221</v>
      </c>
      <c r="J9" s="60" t="s">
        <v>221</v>
      </c>
      <c r="K9" s="54"/>
      <c r="L9" s="54"/>
      <c r="M9" s="41" t="s">
        <v>121</v>
      </c>
      <c r="N9" s="59" t="s">
        <v>221</v>
      </c>
      <c r="O9" s="60" t="s">
        <v>221</v>
      </c>
      <c r="P9" s="59" t="s">
        <v>221</v>
      </c>
      <c r="Q9" s="60" t="s">
        <v>221</v>
      </c>
      <c r="R9" s="59" t="s">
        <v>221</v>
      </c>
      <c r="S9" s="60" t="s">
        <v>221</v>
      </c>
      <c r="T9" s="54"/>
      <c r="U9" s="54"/>
      <c r="V9" s="41" t="s">
        <v>121</v>
      </c>
      <c r="W9" s="59">
        <v>0.60524243786170961</v>
      </c>
      <c r="X9" s="60">
        <v>0.17786143202002019</v>
      </c>
      <c r="Y9" s="59">
        <v>0.54621452044279106</v>
      </c>
      <c r="Z9" s="60">
        <v>9.5936204301435624E-2</v>
      </c>
      <c r="AA9" s="59">
        <v>0.46285474904972312</v>
      </c>
      <c r="AB9" s="60">
        <v>4.3649972143956349E-2</v>
      </c>
      <c r="AC9" s="54"/>
      <c r="AD9" s="54"/>
    </row>
    <row r="10" spans="1:30" ht="17.25" x14ac:dyDescent="0.35">
      <c r="A10" s="54"/>
      <c r="B10" s="41" t="s">
        <v>33</v>
      </c>
      <c r="C10" s="54"/>
      <c r="D10" s="41" t="s">
        <v>122</v>
      </c>
      <c r="E10" s="61" t="s">
        <v>221</v>
      </c>
      <c r="F10" s="62" t="s">
        <v>221</v>
      </c>
      <c r="G10" s="61" t="s">
        <v>221</v>
      </c>
      <c r="H10" s="62" t="s">
        <v>221</v>
      </c>
      <c r="I10" s="61" t="s">
        <v>221</v>
      </c>
      <c r="J10" s="62" t="s">
        <v>221</v>
      </c>
      <c r="K10" s="54"/>
      <c r="L10" s="54"/>
      <c r="M10" s="41" t="s">
        <v>122</v>
      </c>
      <c r="N10" s="61" t="s">
        <v>221</v>
      </c>
      <c r="O10" s="62" t="s">
        <v>221</v>
      </c>
      <c r="P10" s="61" t="s">
        <v>221</v>
      </c>
      <c r="Q10" s="62" t="s">
        <v>221</v>
      </c>
      <c r="R10" s="61" t="s">
        <v>221</v>
      </c>
      <c r="S10" s="62" t="s">
        <v>221</v>
      </c>
      <c r="T10" s="54"/>
      <c r="U10" s="54"/>
      <c r="V10" s="41" t="s">
        <v>122</v>
      </c>
      <c r="W10" s="61">
        <v>0.6947393461367487</v>
      </c>
      <c r="X10" s="62">
        <v>0.25778994891534285</v>
      </c>
      <c r="Y10" s="61">
        <v>0.57119874621876598</v>
      </c>
      <c r="Z10" s="62">
        <v>0.13614960937690407</v>
      </c>
      <c r="AA10" s="61">
        <v>0.49145627863413233</v>
      </c>
      <c r="AB10" s="62">
        <v>6.7889085605094809E-2</v>
      </c>
      <c r="AC10" s="54"/>
      <c r="AD10" s="54"/>
    </row>
    <row r="11" spans="1:30" ht="17.25" x14ac:dyDescent="0.35">
      <c r="A11" s="54"/>
      <c r="B11" s="41" t="s">
        <v>34</v>
      </c>
      <c r="C11" s="54"/>
      <c r="D11" s="41" t="s">
        <v>123</v>
      </c>
      <c r="E11" s="61" t="s">
        <v>221</v>
      </c>
      <c r="F11" s="62" t="s">
        <v>221</v>
      </c>
      <c r="G11" s="61" t="s">
        <v>221</v>
      </c>
      <c r="H11" s="62" t="s">
        <v>221</v>
      </c>
      <c r="I11" s="61" t="s">
        <v>221</v>
      </c>
      <c r="J11" s="62" t="s">
        <v>221</v>
      </c>
      <c r="K11" s="54"/>
      <c r="L11" s="54"/>
      <c r="M11" s="41" t="s">
        <v>123</v>
      </c>
      <c r="N11" s="61" t="s">
        <v>221</v>
      </c>
      <c r="O11" s="62" t="s">
        <v>221</v>
      </c>
      <c r="P11" s="61" t="s">
        <v>221</v>
      </c>
      <c r="Q11" s="62" t="s">
        <v>221</v>
      </c>
      <c r="R11" s="61" t="s">
        <v>221</v>
      </c>
      <c r="S11" s="62" t="s">
        <v>221</v>
      </c>
      <c r="T11" s="54"/>
      <c r="U11" s="54"/>
      <c r="V11" s="41" t="s">
        <v>123</v>
      </c>
      <c r="W11" s="61">
        <v>0.72408372835133039</v>
      </c>
      <c r="X11" s="62">
        <v>0.28358849663204833</v>
      </c>
      <c r="Y11" s="61">
        <v>0.6534633250553572</v>
      </c>
      <c r="Z11" s="62">
        <v>0.17253288560340443</v>
      </c>
      <c r="AA11" s="61">
        <v>0.57497632019180134</v>
      </c>
      <c r="AB11" s="62">
        <v>7.9598621218233925E-2</v>
      </c>
      <c r="AC11" s="54"/>
      <c r="AD11" s="54"/>
    </row>
    <row r="12" spans="1:30" ht="17.25" x14ac:dyDescent="0.35">
      <c r="A12" s="54"/>
      <c r="B12" s="41" t="s">
        <v>35</v>
      </c>
      <c r="C12" s="54"/>
      <c r="D12" s="41" t="s">
        <v>124</v>
      </c>
      <c r="E12" s="59">
        <v>0.40456527011806437</v>
      </c>
      <c r="F12" s="60">
        <v>0.13182253573142524</v>
      </c>
      <c r="G12" s="59">
        <v>0.5166817629966316</v>
      </c>
      <c r="H12" s="60">
        <v>6.2275602324885319E-2</v>
      </c>
      <c r="I12" s="59">
        <v>0.50902686076521153</v>
      </c>
      <c r="J12" s="60">
        <v>2.6563390332037095E-2</v>
      </c>
      <c r="K12" s="54"/>
      <c r="L12" s="54"/>
      <c r="M12" s="41" t="s">
        <v>124</v>
      </c>
      <c r="N12" s="59">
        <v>0.47919737867444423</v>
      </c>
      <c r="O12" s="60">
        <v>9.4329300969760624E-2</v>
      </c>
      <c r="P12" s="59">
        <v>0.54179974054653157</v>
      </c>
      <c r="Q12" s="60">
        <v>4.5615987910120642E-2</v>
      </c>
      <c r="R12" s="59">
        <v>0.58178231280176362</v>
      </c>
      <c r="S12" s="60">
        <v>1.9228551721722366E-2</v>
      </c>
      <c r="T12" s="54"/>
      <c r="U12" s="54"/>
      <c r="V12" s="41" t="s">
        <v>124</v>
      </c>
      <c r="W12" s="59">
        <v>0.18927501578710404</v>
      </c>
      <c r="X12" s="60">
        <v>0.2200166782245187</v>
      </c>
      <c r="Y12" s="59">
        <v>0.34386496727485838</v>
      </c>
      <c r="Z12" s="60">
        <v>9.361560343371611E-2</v>
      </c>
      <c r="AA12" s="59">
        <v>0.31762590100317278</v>
      </c>
      <c r="AB12" s="60">
        <v>4.1624113893530323E-2</v>
      </c>
      <c r="AC12" s="54"/>
      <c r="AD12" s="54"/>
    </row>
    <row r="13" spans="1:30" ht="17.25" x14ac:dyDescent="0.35">
      <c r="A13" s="54"/>
      <c r="B13" s="39"/>
      <c r="C13" s="54"/>
      <c r="D13" s="39" t="s">
        <v>125</v>
      </c>
      <c r="E13" s="57">
        <v>0.35579050512293958</v>
      </c>
      <c r="F13" s="57">
        <v>0.12576057045841582</v>
      </c>
      <c r="G13" s="57">
        <v>0.45173920115787009</v>
      </c>
      <c r="H13" s="57">
        <v>5.8652225008183512E-2</v>
      </c>
      <c r="I13" s="57">
        <v>0.4656756058151279</v>
      </c>
      <c r="J13" s="57">
        <v>2.5617800211509778E-2</v>
      </c>
      <c r="K13" s="54"/>
      <c r="L13" s="54"/>
      <c r="M13" s="39" t="s">
        <v>125</v>
      </c>
      <c r="N13" s="57">
        <v>0.48846219427152038</v>
      </c>
      <c r="O13" s="57">
        <v>0.10090797040663614</v>
      </c>
      <c r="P13" s="57">
        <v>0.57274269643871933</v>
      </c>
      <c r="Q13" s="57">
        <v>4.861442206052595E-2</v>
      </c>
      <c r="R13" s="57">
        <v>0.64362684193909614</v>
      </c>
      <c r="S13" s="57">
        <v>2.2239672056554777E-2</v>
      </c>
      <c r="T13" s="54"/>
      <c r="U13" s="54"/>
      <c r="V13" s="39" t="s">
        <v>125</v>
      </c>
      <c r="W13" s="57">
        <v>0.42553805878533296</v>
      </c>
      <c r="X13" s="57">
        <v>0.22899569802788267</v>
      </c>
      <c r="Y13" s="57">
        <v>0.44969453761057626</v>
      </c>
      <c r="Z13" s="57">
        <v>0.11747747155832022</v>
      </c>
      <c r="AA13" s="57">
        <v>0.40919896528757221</v>
      </c>
      <c r="AB13" s="57">
        <v>5.5271672949114545E-2</v>
      </c>
      <c r="AC13" s="54"/>
      <c r="AD13" s="54"/>
    </row>
    <row r="14" spans="1:30" ht="17.25" x14ac:dyDescent="0.35">
      <c r="A14" s="54"/>
      <c r="B14" s="41" t="s">
        <v>36</v>
      </c>
      <c r="C14" s="54"/>
      <c r="D14" s="41" t="s">
        <v>126</v>
      </c>
      <c r="E14" s="61">
        <v>0.35098217409518728</v>
      </c>
      <c r="F14" s="62">
        <v>0.13982491714240225</v>
      </c>
      <c r="G14" s="61">
        <v>0.32814635647856705</v>
      </c>
      <c r="H14" s="62">
        <v>6.3041161010682759E-2</v>
      </c>
      <c r="I14" s="61">
        <v>0.3274539401775039</v>
      </c>
      <c r="J14" s="62">
        <v>2.8222468151701818E-2</v>
      </c>
      <c r="K14" s="54"/>
      <c r="L14" s="54"/>
      <c r="M14" s="41" t="s">
        <v>126</v>
      </c>
      <c r="N14" s="61">
        <v>0.25055472634636367</v>
      </c>
      <c r="O14" s="62">
        <v>8.1649406022043708E-2</v>
      </c>
      <c r="P14" s="61">
        <v>0.30371542963848452</v>
      </c>
      <c r="Q14" s="62">
        <v>3.6640282446024554E-2</v>
      </c>
      <c r="R14" s="61">
        <v>0.2642411933369373</v>
      </c>
      <c r="S14" s="62">
        <v>1.6749740261614021E-2</v>
      </c>
      <c r="T14" s="54"/>
      <c r="U14" s="54"/>
      <c r="V14" s="41" t="s">
        <v>126</v>
      </c>
      <c r="W14" s="61">
        <v>0.3543329439175541</v>
      </c>
      <c r="X14" s="62">
        <v>0.29598970616224868</v>
      </c>
      <c r="Y14" s="61">
        <v>0.23855103469457889</v>
      </c>
      <c r="Z14" s="62">
        <v>0.14242938511710188</v>
      </c>
      <c r="AA14" s="61">
        <v>0.28100185610015105</v>
      </c>
      <c r="AB14" s="62">
        <v>7.0152838662214903E-2</v>
      </c>
      <c r="AC14" s="54"/>
      <c r="AD14" s="54"/>
    </row>
    <row r="15" spans="1:30" ht="17.25" x14ac:dyDescent="0.35">
      <c r="A15" s="54"/>
      <c r="B15" s="41" t="s">
        <v>37</v>
      </c>
      <c r="C15" s="54"/>
      <c r="D15" s="41" t="s">
        <v>127</v>
      </c>
      <c r="E15" s="61">
        <v>0.34663479717379486</v>
      </c>
      <c r="F15" s="62">
        <v>0.16695241809616071</v>
      </c>
      <c r="G15" s="61">
        <v>0.35935632292706027</v>
      </c>
      <c r="H15" s="62">
        <v>7.3902295630250178E-2</v>
      </c>
      <c r="I15" s="61">
        <v>0.37876423602072351</v>
      </c>
      <c r="J15" s="62">
        <v>3.240022765851007E-2</v>
      </c>
      <c r="K15" s="54"/>
      <c r="L15" s="54"/>
      <c r="M15" s="41" t="s">
        <v>127</v>
      </c>
      <c r="N15" s="61">
        <v>0.18133164877435276</v>
      </c>
      <c r="O15" s="62">
        <v>6.3215007578701535E-2</v>
      </c>
      <c r="P15" s="61">
        <v>0.21275119850166591</v>
      </c>
      <c r="Q15" s="62">
        <v>3.23895249414849E-2</v>
      </c>
      <c r="R15" s="61">
        <v>0.21216498912463586</v>
      </c>
      <c r="S15" s="62">
        <v>1.4971149713816623E-2</v>
      </c>
      <c r="T15" s="54"/>
      <c r="U15" s="54"/>
      <c r="V15" s="41" t="s">
        <v>127</v>
      </c>
      <c r="W15" s="61">
        <v>0.24442481074437428</v>
      </c>
      <c r="X15" s="62">
        <v>0.40447121800567093</v>
      </c>
      <c r="Y15" s="61">
        <v>0.24441320159832386</v>
      </c>
      <c r="Z15" s="62">
        <v>0.18524883776365378</v>
      </c>
      <c r="AA15" s="61">
        <v>0.2823511234583867</v>
      </c>
      <c r="AB15" s="62">
        <v>8.62130254101552E-2</v>
      </c>
      <c r="AC15" s="54"/>
      <c r="AD15" s="54"/>
    </row>
    <row r="16" spans="1:30" ht="17.25" x14ac:dyDescent="0.35">
      <c r="A16" s="54"/>
      <c r="B16" s="39"/>
      <c r="C16" s="54"/>
      <c r="D16" s="39" t="s">
        <v>128</v>
      </c>
      <c r="E16" s="57">
        <v>0.34880848563449107</v>
      </c>
      <c r="F16" s="57">
        <v>0.15398720297809637</v>
      </c>
      <c r="G16" s="57">
        <v>0.34375133970281369</v>
      </c>
      <c r="H16" s="57">
        <v>6.8686742829296113E-2</v>
      </c>
      <c r="I16" s="57">
        <v>0.35310908809911368</v>
      </c>
      <c r="J16" s="57">
        <v>3.0383239301439737E-2</v>
      </c>
      <c r="K16" s="54"/>
      <c r="L16" s="54"/>
      <c r="M16" s="39" t="s">
        <v>128</v>
      </c>
      <c r="N16" s="57">
        <v>0.21594318756035821</v>
      </c>
      <c r="O16" s="57">
        <v>7.301630874992189E-2</v>
      </c>
      <c r="P16" s="57">
        <v>0.25823331407007521</v>
      </c>
      <c r="Q16" s="57">
        <v>3.4580280678874829E-2</v>
      </c>
      <c r="R16" s="57">
        <v>0.23820309123078659</v>
      </c>
      <c r="S16" s="57">
        <v>1.5885356819804918E-2</v>
      </c>
      <c r="T16" s="54"/>
      <c r="U16" s="54"/>
      <c r="V16" s="39" t="s">
        <v>128</v>
      </c>
      <c r="W16" s="57">
        <v>0.29937887733096419</v>
      </c>
      <c r="X16" s="57">
        <v>0.35440575076387043</v>
      </c>
      <c r="Y16" s="57">
        <v>0.24148211814645137</v>
      </c>
      <c r="Z16" s="57">
        <v>0.16523205142710695</v>
      </c>
      <c r="AA16" s="57">
        <v>0.28167648977926885</v>
      </c>
      <c r="AB16" s="57">
        <v>7.8594231730893652E-2</v>
      </c>
      <c r="AC16" s="54"/>
      <c r="AD16" s="54"/>
    </row>
    <row r="17" spans="1:30" ht="17.25" x14ac:dyDescent="0.35">
      <c r="A17" s="54"/>
      <c r="B17" s="43"/>
      <c r="C17" s="54"/>
      <c r="D17" s="43" t="s">
        <v>129</v>
      </c>
      <c r="E17" s="63">
        <v>0.3770931017282983</v>
      </c>
      <c r="F17" s="63">
        <v>0.14040137585348339</v>
      </c>
      <c r="G17" s="63">
        <v>0.4106490131304259</v>
      </c>
      <c r="H17" s="63">
        <v>6.5637163897461437E-2</v>
      </c>
      <c r="I17" s="63">
        <v>0.41269691381349372</v>
      </c>
      <c r="J17" s="63">
        <v>2.8987944591056282E-2</v>
      </c>
      <c r="K17" s="54"/>
      <c r="L17" s="54"/>
      <c r="M17" s="43" t="s">
        <v>129</v>
      </c>
      <c r="N17" s="63">
        <v>0.37945459158705547</v>
      </c>
      <c r="O17" s="63">
        <v>9.0785481396187473E-2</v>
      </c>
      <c r="P17" s="63">
        <v>0.44693894349126173</v>
      </c>
      <c r="Q17" s="63">
        <v>4.3546934956426926E-2</v>
      </c>
      <c r="R17" s="63">
        <v>0.48145734165577225</v>
      </c>
      <c r="S17" s="63">
        <v>1.994240788939167E-2</v>
      </c>
      <c r="T17" s="54"/>
      <c r="U17" s="54"/>
      <c r="V17" s="43" t="s">
        <v>129</v>
      </c>
      <c r="W17" s="63">
        <v>0.41107842805307115</v>
      </c>
      <c r="X17" s="63">
        <v>0.27088516543227714</v>
      </c>
      <c r="Y17" s="63">
        <v>0.39951392521806162</v>
      </c>
      <c r="Z17" s="63">
        <v>0.13257117278785147</v>
      </c>
      <c r="AA17" s="63">
        <v>0.38063300384539878</v>
      </c>
      <c r="AB17" s="63">
        <v>6.160678734331463E-2</v>
      </c>
      <c r="AC17" s="54"/>
      <c r="AD17" s="54"/>
    </row>
    <row r="18" spans="1:30" ht="17.25" x14ac:dyDescent="0.35">
      <c r="A18" s="54"/>
      <c r="B18" s="41" t="s">
        <v>38</v>
      </c>
      <c r="C18" s="54"/>
      <c r="D18" s="41" t="s">
        <v>130</v>
      </c>
      <c r="E18" s="59" t="s">
        <v>221</v>
      </c>
      <c r="F18" s="60" t="s">
        <v>221</v>
      </c>
      <c r="G18" s="59" t="s">
        <v>221</v>
      </c>
      <c r="H18" s="60" t="s">
        <v>221</v>
      </c>
      <c r="I18" s="59" t="s">
        <v>221</v>
      </c>
      <c r="J18" s="60" t="s">
        <v>221</v>
      </c>
      <c r="K18" s="54"/>
      <c r="L18" s="54"/>
      <c r="M18" s="41" t="s">
        <v>130</v>
      </c>
      <c r="N18" s="59" t="s">
        <v>221</v>
      </c>
      <c r="O18" s="60" t="s">
        <v>221</v>
      </c>
      <c r="P18" s="59" t="s">
        <v>221</v>
      </c>
      <c r="Q18" s="60" t="s">
        <v>221</v>
      </c>
      <c r="R18" s="59" t="s">
        <v>221</v>
      </c>
      <c r="S18" s="60" t="s">
        <v>221</v>
      </c>
      <c r="T18" s="54"/>
      <c r="U18" s="54"/>
      <c r="V18" s="41" t="s">
        <v>130</v>
      </c>
      <c r="W18" s="59" t="s">
        <v>221</v>
      </c>
      <c r="X18" s="60" t="s">
        <v>221</v>
      </c>
      <c r="Y18" s="59" t="s">
        <v>221</v>
      </c>
      <c r="Z18" s="60" t="s">
        <v>221</v>
      </c>
      <c r="AA18" s="59" t="s">
        <v>221</v>
      </c>
      <c r="AB18" s="60" t="s">
        <v>221</v>
      </c>
      <c r="AC18" s="54"/>
      <c r="AD18" s="54"/>
    </row>
    <row r="19" spans="1:30" ht="17.25" x14ac:dyDescent="0.35">
      <c r="A19" s="54"/>
      <c r="B19" s="41" t="s">
        <v>39</v>
      </c>
      <c r="C19" s="54"/>
      <c r="D19" s="41" t="s">
        <v>131</v>
      </c>
      <c r="E19" s="59">
        <v>0.37434674735921125</v>
      </c>
      <c r="F19" s="60">
        <v>0.17366794246890802</v>
      </c>
      <c r="G19" s="59">
        <v>0.52049716181378225</v>
      </c>
      <c r="H19" s="60">
        <v>7.6043476356071379E-2</v>
      </c>
      <c r="I19" s="59">
        <v>0.64669059117200967</v>
      </c>
      <c r="J19" s="60">
        <v>3.4475667959781853E-2</v>
      </c>
      <c r="K19" s="54"/>
      <c r="L19" s="54"/>
      <c r="M19" s="41" t="s">
        <v>131</v>
      </c>
      <c r="N19" s="59">
        <v>0.52369441707721509</v>
      </c>
      <c r="O19" s="60">
        <v>9.8298248284699241E-2</v>
      </c>
      <c r="P19" s="59">
        <v>0.54795795155737159</v>
      </c>
      <c r="Q19" s="60">
        <v>5.0621292718931045E-2</v>
      </c>
      <c r="R19" s="59">
        <v>0.59466311504978164</v>
      </c>
      <c r="S19" s="60">
        <v>2.3372021519706899E-2</v>
      </c>
      <c r="T19" s="54"/>
      <c r="U19" s="54"/>
      <c r="V19" s="41" t="s">
        <v>131</v>
      </c>
      <c r="W19" s="59">
        <v>0.24888202717724309</v>
      </c>
      <c r="X19" s="60">
        <v>0.30673938732242395</v>
      </c>
      <c r="Y19" s="59">
        <v>0.26931312862439832</v>
      </c>
      <c r="Z19" s="60">
        <v>0.13895777102863002</v>
      </c>
      <c r="AA19" s="59">
        <v>0.45241596109468191</v>
      </c>
      <c r="AB19" s="60">
        <v>5.9843260887900943E-2</v>
      </c>
      <c r="AC19" s="54"/>
      <c r="AD19" s="54"/>
    </row>
    <row r="20" spans="1:30" ht="17.25" x14ac:dyDescent="0.35">
      <c r="A20" s="54"/>
      <c r="B20" s="41" t="s">
        <v>40</v>
      </c>
      <c r="C20" s="54"/>
      <c r="D20" s="41" t="s">
        <v>132</v>
      </c>
      <c r="E20" s="59">
        <v>0.39993219183663475</v>
      </c>
      <c r="F20" s="60">
        <v>0.13662003091515959</v>
      </c>
      <c r="G20" s="59">
        <v>0.45551446029186043</v>
      </c>
      <c r="H20" s="60">
        <v>5.7159915712628351E-2</v>
      </c>
      <c r="I20" s="59">
        <v>0.41185454844791819</v>
      </c>
      <c r="J20" s="60">
        <v>2.622842969255524E-2</v>
      </c>
      <c r="K20" s="54"/>
      <c r="L20" s="54"/>
      <c r="M20" s="41" t="s">
        <v>132</v>
      </c>
      <c r="N20" s="59">
        <v>0.3878880499422751</v>
      </c>
      <c r="O20" s="60">
        <v>7.8182349460550984E-2</v>
      </c>
      <c r="P20" s="59">
        <v>0.37424842468587027</v>
      </c>
      <c r="Q20" s="60">
        <v>3.8357171890964055E-2</v>
      </c>
      <c r="R20" s="59">
        <v>0.37711419397510254</v>
      </c>
      <c r="S20" s="60">
        <v>1.7577589491769713E-2</v>
      </c>
      <c r="T20" s="54"/>
      <c r="U20" s="54"/>
      <c r="V20" s="41" t="s">
        <v>132</v>
      </c>
      <c r="W20" s="59">
        <v>0.30174454951355101</v>
      </c>
      <c r="X20" s="60">
        <v>0.21956818798614303</v>
      </c>
      <c r="Y20" s="59">
        <v>0.3779943568936</v>
      </c>
      <c r="Z20" s="60">
        <v>9.262749029022023E-2</v>
      </c>
      <c r="AA20" s="59">
        <v>0.37671302705219711</v>
      </c>
      <c r="AB20" s="60">
        <v>4.308480560159729E-2</v>
      </c>
      <c r="AC20" s="54"/>
      <c r="AD20" s="54"/>
    </row>
    <row r="21" spans="1:30" ht="17.25" x14ac:dyDescent="0.35">
      <c r="A21" s="54"/>
      <c r="B21" s="41" t="s">
        <v>41</v>
      </c>
      <c r="C21" s="54"/>
      <c r="D21" s="41" t="s">
        <v>133</v>
      </c>
      <c r="E21" s="59" t="s">
        <v>221</v>
      </c>
      <c r="F21" s="60" t="s">
        <v>221</v>
      </c>
      <c r="G21" s="59" t="s">
        <v>221</v>
      </c>
      <c r="H21" s="60" t="s">
        <v>221</v>
      </c>
      <c r="I21" s="59" t="s">
        <v>221</v>
      </c>
      <c r="J21" s="60" t="s">
        <v>221</v>
      </c>
      <c r="K21" s="54"/>
      <c r="L21" s="54"/>
      <c r="M21" s="41" t="s">
        <v>133</v>
      </c>
      <c r="N21" s="59" t="s">
        <v>221</v>
      </c>
      <c r="O21" s="60" t="s">
        <v>221</v>
      </c>
      <c r="P21" s="59" t="s">
        <v>221</v>
      </c>
      <c r="Q21" s="60" t="s">
        <v>221</v>
      </c>
      <c r="R21" s="59" t="s">
        <v>221</v>
      </c>
      <c r="S21" s="60" t="s">
        <v>221</v>
      </c>
      <c r="T21" s="54"/>
      <c r="U21" s="54"/>
      <c r="V21" s="41" t="s">
        <v>133</v>
      </c>
      <c r="W21" s="59" t="s">
        <v>221</v>
      </c>
      <c r="X21" s="60" t="s">
        <v>221</v>
      </c>
      <c r="Y21" s="59" t="s">
        <v>221</v>
      </c>
      <c r="Z21" s="60" t="s">
        <v>221</v>
      </c>
      <c r="AA21" s="59" t="s">
        <v>221</v>
      </c>
      <c r="AB21" s="60" t="s">
        <v>221</v>
      </c>
      <c r="AC21" s="54"/>
      <c r="AD21" s="54"/>
    </row>
    <row r="22" spans="1:30" ht="17.25" x14ac:dyDescent="0.35">
      <c r="A22" s="54"/>
      <c r="B22" s="41" t="s">
        <v>42</v>
      </c>
      <c r="C22" s="54"/>
      <c r="D22" s="41" t="s">
        <v>134</v>
      </c>
      <c r="E22" s="59">
        <v>0.77260813407063811</v>
      </c>
      <c r="F22" s="60">
        <v>0.20116581083693005</v>
      </c>
      <c r="G22" s="59">
        <v>0.7662758467708084</v>
      </c>
      <c r="H22" s="60">
        <v>9.550128240300948E-2</v>
      </c>
      <c r="I22" s="59">
        <v>0.70483596180891062</v>
      </c>
      <c r="J22" s="60">
        <v>4.4116269720250186E-2</v>
      </c>
      <c r="K22" s="54"/>
      <c r="L22" s="54"/>
      <c r="M22" s="41" t="s">
        <v>134</v>
      </c>
      <c r="N22" s="59">
        <v>0.88705986197548958</v>
      </c>
      <c r="O22" s="60">
        <v>0.2145470574875635</v>
      </c>
      <c r="P22" s="59">
        <v>1.0490276928586293</v>
      </c>
      <c r="Q22" s="60">
        <v>0.11042676810353469</v>
      </c>
      <c r="R22" s="59">
        <v>1.0560347469340128</v>
      </c>
      <c r="S22" s="60">
        <v>4.4422035024611936E-2</v>
      </c>
      <c r="T22" s="54"/>
      <c r="U22" s="54"/>
      <c r="V22" s="41" t="s">
        <v>134</v>
      </c>
      <c r="W22" s="59">
        <v>0.60288051524904451</v>
      </c>
      <c r="X22" s="60">
        <v>0.29453968590572038</v>
      </c>
      <c r="Y22" s="59">
        <v>0.7127750035814221</v>
      </c>
      <c r="Z22" s="60">
        <v>0.14418508264970603</v>
      </c>
      <c r="AA22" s="59">
        <v>0.66976142101608038</v>
      </c>
      <c r="AB22" s="60">
        <v>7.1402685469049862E-2</v>
      </c>
      <c r="AC22" s="54"/>
      <c r="AD22" s="54"/>
    </row>
    <row r="23" spans="1:30" ht="17.25" x14ac:dyDescent="0.35">
      <c r="A23" s="54"/>
      <c r="B23" s="41" t="s">
        <v>43</v>
      </c>
      <c r="C23" s="54"/>
      <c r="D23" s="41" t="s">
        <v>135</v>
      </c>
      <c r="E23" s="59">
        <v>0.38275068467711859</v>
      </c>
      <c r="F23" s="60">
        <v>0.13120440416034695</v>
      </c>
      <c r="G23" s="59">
        <v>0.44385083379213358</v>
      </c>
      <c r="H23" s="60">
        <v>5.9326891281017896E-2</v>
      </c>
      <c r="I23" s="59">
        <v>0.4026484486881739</v>
      </c>
      <c r="J23" s="60">
        <v>2.606630746993811E-2</v>
      </c>
      <c r="K23" s="54"/>
      <c r="L23" s="54"/>
      <c r="M23" s="41" t="s">
        <v>135</v>
      </c>
      <c r="N23" s="59">
        <v>0.40608628295602384</v>
      </c>
      <c r="O23" s="60">
        <v>6.5234275070155001E-2</v>
      </c>
      <c r="P23" s="59">
        <v>0.27616424928829308</v>
      </c>
      <c r="Q23" s="60">
        <v>3.1392341059666921E-2</v>
      </c>
      <c r="R23" s="59">
        <v>0.32516671647352319</v>
      </c>
      <c r="S23" s="60">
        <v>1.3342606734996416E-2</v>
      </c>
      <c r="T23" s="54"/>
      <c r="U23" s="54"/>
      <c r="V23" s="41" t="s">
        <v>135</v>
      </c>
      <c r="W23" s="59">
        <v>0.261824599268702</v>
      </c>
      <c r="X23" s="60">
        <v>0.20447321592592377</v>
      </c>
      <c r="Y23" s="59">
        <v>0.41086321260115211</v>
      </c>
      <c r="Z23" s="60">
        <v>9.2196347354153843E-2</v>
      </c>
      <c r="AA23" s="59">
        <v>0.35872579755629908</v>
      </c>
      <c r="AB23" s="60">
        <v>4.0591200461016594E-2</v>
      </c>
      <c r="AC23" s="54"/>
      <c r="AD23" s="54"/>
    </row>
    <row r="24" spans="1:30" ht="17.25" x14ac:dyDescent="0.35">
      <c r="A24" s="54"/>
      <c r="B24" s="41" t="s">
        <v>44</v>
      </c>
      <c r="C24" s="54"/>
      <c r="D24" s="41" t="s">
        <v>136</v>
      </c>
      <c r="E24" s="59" t="s">
        <v>221</v>
      </c>
      <c r="F24" s="60" t="s">
        <v>221</v>
      </c>
      <c r="G24" s="59" t="s">
        <v>221</v>
      </c>
      <c r="H24" s="60" t="s">
        <v>221</v>
      </c>
      <c r="I24" s="59" t="s">
        <v>221</v>
      </c>
      <c r="J24" s="60" t="s">
        <v>221</v>
      </c>
      <c r="K24" s="54"/>
      <c r="L24" s="54"/>
      <c r="M24" s="41" t="s">
        <v>136</v>
      </c>
      <c r="N24" s="59" t="s">
        <v>221</v>
      </c>
      <c r="O24" s="60" t="s">
        <v>221</v>
      </c>
      <c r="P24" s="59" t="s">
        <v>221</v>
      </c>
      <c r="Q24" s="60" t="s">
        <v>221</v>
      </c>
      <c r="R24" s="59" t="s">
        <v>221</v>
      </c>
      <c r="S24" s="60" t="s">
        <v>221</v>
      </c>
      <c r="T24" s="54"/>
      <c r="U24" s="54"/>
      <c r="V24" s="41" t="s">
        <v>136</v>
      </c>
      <c r="W24" s="59">
        <v>0.53379611896145085</v>
      </c>
      <c r="X24" s="60">
        <v>0.36532413998294688</v>
      </c>
      <c r="Y24" s="59">
        <v>0.4490817130939605</v>
      </c>
      <c r="Z24" s="60">
        <v>0.18114811498233424</v>
      </c>
      <c r="AA24" s="59">
        <v>0.59117317025998539</v>
      </c>
      <c r="AB24" s="60">
        <v>8.3367193317800903E-2</v>
      </c>
      <c r="AC24" s="54"/>
      <c r="AD24" s="54"/>
    </row>
    <row r="25" spans="1:30" ht="17.25" x14ac:dyDescent="0.35">
      <c r="A25" s="54"/>
      <c r="B25" s="41" t="s">
        <v>45</v>
      </c>
      <c r="C25" s="54"/>
      <c r="D25" s="41" t="s">
        <v>137</v>
      </c>
      <c r="E25" s="59">
        <v>0.49608260731666781</v>
      </c>
      <c r="F25" s="60">
        <v>6.6930045014173017E-2</v>
      </c>
      <c r="G25" s="59">
        <v>0.49138543981938126</v>
      </c>
      <c r="H25" s="60">
        <v>3.0107184074980767E-2</v>
      </c>
      <c r="I25" s="59">
        <v>0.4488588434916842</v>
      </c>
      <c r="J25" s="60">
        <v>1.3764678060748409E-2</v>
      </c>
      <c r="K25" s="54"/>
      <c r="L25" s="54"/>
      <c r="M25" s="41" t="s">
        <v>137</v>
      </c>
      <c r="N25" s="59">
        <v>0.24052043459495773</v>
      </c>
      <c r="O25" s="60">
        <v>5.5358338225917361E-2</v>
      </c>
      <c r="P25" s="59">
        <v>0.26260487267037574</v>
      </c>
      <c r="Q25" s="60">
        <v>2.7012760345904021E-2</v>
      </c>
      <c r="R25" s="59">
        <v>0.28951176183011867</v>
      </c>
      <c r="S25" s="60">
        <v>1.193064001503347E-2</v>
      </c>
      <c r="T25" s="54"/>
      <c r="U25" s="54"/>
      <c r="V25" s="41" t="s">
        <v>137</v>
      </c>
      <c r="W25" s="59">
        <v>0.23802297890338178</v>
      </c>
      <c r="X25" s="60">
        <v>0.14446695310106034</v>
      </c>
      <c r="Y25" s="59">
        <v>0.30502637938288701</v>
      </c>
      <c r="Z25" s="60">
        <v>5.5409609878414881E-2</v>
      </c>
      <c r="AA25" s="59">
        <v>0.29803132423864909</v>
      </c>
      <c r="AB25" s="60">
        <v>2.5855536593466538E-2</v>
      </c>
      <c r="AC25" s="54"/>
      <c r="AD25" s="54"/>
    </row>
    <row r="26" spans="1:30" ht="17.25" x14ac:dyDescent="0.35">
      <c r="A26" s="54"/>
      <c r="B26" s="41" t="s">
        <v>46</v>
      </c>
      <c r="C26" s="54"/>
      <c r="D26" s="41" t="s">
        <v>138</v>
      </c>
      <c r="E26" s="59">
        <v>0.40684241596404203</v>
      </c>
      <c r="F26" s="60">
        <v>0.13541970671078887</v>
      </c>
      <c r="G26" s="59">
        <v>0.5872225599252745</v>
      </c>
      <c r="H26" s="60">
        <v>6.0914181273949423E-2</v>
      </c>
      <c r="I26" s="59">
        <v>0.65739871151955842</v>
      </c>
      <c r="J26" s="60">
        <v>2.8440211171911638E-2</v>
      </c>
      <c r="K26" s="54"/>
      <c r="L26" s="54"/>
      <c r="M26" s="41" t="s">
        <v>138</v>
      </c>
      <c r="N26" s="59">
        <v>0.36537809635126828</v>
      </c>
      <c r="O26" s="60">
        <v>8.0737899055240467E-2</v>
      </c>
      <c r="P26" s="59">
        <v>0.38352494862165887</v>
      </c>
      <c r="Q26" s="60">
        <v>4.0772305907460379E-2</v>
      </c>
      <c r="R26" s="59">
        <v>0.39252451693015172</v>
      </c>
      <c r="S26" s="60">
        <v>1.9415703017864716E-2</v>
      </c>
      <c r="T26" s="54"/>
      <c r="U26" s="54"/>
      <c r="V26" s="41" t="s">
        <v>138</v>
      </c>
      <c r="W26" s="59">
        <v>0.13719013987257517</v>
      </c>
      <c r="X26" s="60">
        <v>0.23562800559545974</v>
      </c>
      <c r="Y26" s="59">
        <v>0.38978637653185866</v>
      </c>
      <c r="Z26" s="60">
        <v>0.13389268675277435</v>
      </c>
      <c r="AA26" s="59">
        <v>0.56160308989404661</v>
      </c>
      <c r="AB26" s="60">
        <v>5.9768672160687299E-2</v>
      </c>
      <c r="AC26" s="54"/>
      <c r="AD26" s="54"/>
    </row>
    <row r="27" spans="1:30" ht="17.25" x14ac:dyDescent="0.35">
      <c r="A27" s="54"/>
      <c r="B27" s="41" t="s">
        <v>47</v>
      </c>
      <c r="C27" s="54"/>
      <c r="D27" s="41" t="s">
        <v>139</v>
      </c>
      <c r="E27" s="59" t="s">
        <v>221</v>
      </c>
      <c r="F27" s="60" t="s">
        <v>221</v>
      </c>
      <c r="G27" s="59" t="s">
        <v>221</v>
      </c>
      <c r="H27" s="60" t="s">
        <v>221</v>
      </c>
      <c r="I27" s="59" t="s">
        <v>221</v>
      </c>
      <c r="J27" s="60" t="s">
        <v>221</v>
      </c>
      <c r="K27" s="54"/>
      <c r="L27" s="54"/>
      <c r="M27" s="41" t="s">
        <v>139</v>
      </c>
      <c r="N27" s="59" t="s">
        <v>221</v>
      </c>
      <c r="O27" s="60" t="s">
        <v>221</v>
      </c>
      <c r="P27" s="59" t="s">
        <v>221</v>
      </c>
      <c r="Q27" s="60" t="s">
        <v>221</v>
      </c>
      <c r="R27" s="59" t="s">
        <v>221</v>
      </c>
      <c r="S27" s="60" t="s">
        <v>221</v>
      </c>
      <c r="T27" s="54"/>
      <c r="U27" s="54"/>
      <c r="V27" s="41" t="s">
        <v>139</v>
      </c>
      <c r="W27" s="59">
        <v>0.1595140629529703</v>
      </c>
      <c r="X27" s="60">
        <v>0.4861111802594994</v>
      </c>
      <c r="Y27" s="59">
        <v>0.4965963427000798</v>
      </c>
      <c r="Z27" s="60">
        <v>0.26838162530201293</v>
      </c>
      <c r="AA27" s="59">
        <v>0.3464177</v>
      </c>
      <c r="AB27" s="60">
        <v>0.11898590000000001</v>
      </c>
      <c r="AC27" s="54"/>
      <c r="AD27" s="54"/>
    </row>
    <row r="28" spans="1:30" ht="17.25" x14ac:dyDescent="0.35">
      <c r="A28" s="54"/>
      <c r="B28" s="41" t="s">
        <v>48</v>
      </c>
      <c r="C28" s="54"/>
      <c r="D28" s="41" t="s">
        <v>140</v>
      </c>
      <c r="E28" s="59">
        <v>0.63548086786949542</v>
      </c>
      <c r="F28" s="60">
        <v>0.22529715038014642</v>
      </c>
      <c r="G28" s="59">
        <v>0.58037229901038923</v>
      </c>
      <c r="H28" s="60">
        <v>0.11393505978653967</v>
      </c>
      <c r="I28" s="59">
        <v>0.73182355576866298</v>
      </c>
      <c r="J28" s="60">
        <v>7.3869527006731009E-2</v>
      </c>
      <c r="K28" s="54"/>
      <c r="L28" s="54"/>
      <c r="M28" s="41" t="s">
        <v>140</v>
      </c>
      <c r="N28" s="59">
        <v>0.80708431861722496</v>
      </c>
      <c r="O28" s="60">
        <v>0.20618484839301396</v>
      </c>
      <c r="P28" s="59">
        <v>0.2660716424250999</v>
      </c>
      <c r="Q28" s="60">
        <v>0.10163698110505448</v>
      </c>
      <c r="R28" s="59">
        <v>0.31451973174579723</v>
      </c>
      <c r="S28" s="60">
        <v>8.9486975535298871E-2</v>
      </c>
      <c r="T28" s="54"/>
      <c r="U28" s="54"/>
      <c r="V28" s="41" t="s">
        <v>140</v>
      </c>
      <c r="W28" s="59">
        <v>0.77350862175057533</v>
      </c>
      <c r="X28" s="60">
        <v>0.32715571669982818</v>
      </c>
      <c r="Y28" s="59">
        <v>0.53691788973331689</v>
      </c>
      <c r="Z28" s="60">
        <v>0.16347584840583926</v>
      </c>
      <c r="AA28" s="59">
        <v>0.67613170278612511</v>
      </c>
      <c r="AB28" s="60">
        <v>0.10908022951145019</v>
      </c>
      <c r="AC28" s="54"/>
      <c r="AD28" s="54"/>
    </row>
    <row r="29" spans="1:30" ht="17.25" x14ac:dyDescent="0.35">
      <c r="A29" s="54"/>
      <c r="B29" s="41" t="s">
        <v>49</v>
      </c>
      <c r="C29" s="54"/>
      <c r="D29" s="41" t="s">
        <v>141</v>
      </c>
      <c r="E29" s="59">
        <v>0.58236844342399574</v>
      </c>
      <c r="F29" s="60">
        <v>6.4612723491526497E-2</v>
      </c>
      <c r="G29" s="59">
        <v>0.64989919033112875</v>
      </c>
      <c r="H29" s="60">
        <v>3.5564741868227771E-2</v>
      </c>
      <c r="I29" s="59">
        <v>0.70024386130882021</v>
      </c>
      <c r="J29" s="60">
        <v>1.8342274525567727E-2</v>
      </c>
      <c r="K29" s="54"/>
      <c r="L29" s="54"/>
      <c r="M29" s="41" t="s">
        <v>141</v>
      </c>
      <c r="N29" s="59">
        <v>0.42146524578229527</v>
      </c>
      <c r="O29" s="60">
        <v>5.6172406778897288E-2</v>
      </c>
      <c r="P29" s="59">
        <v>0.40364159694080382</v>
      </c>
      <c r="Q29" s="60">
        <v>2.7990418883972447E-2</v>
      </c>
      <c r="R29" s="59">
        <v>0.36027416297294751</v>
      </c>
      <c r="S29" s="60">
        <v>1.2256579330304052E-2</v>
      </c>
      <c r="T29" s="54"/>
      <c r="U29" s="54"/>
      <c r="V29" s="41" t="s">
        <v>141</v>
      </c>
      <c r="W29" s="59">
        <v>0.73586357038059058</v>
      </c>
      <c r="X29" s="60">
        <v>0.12107090841785971</v>
      </c>
      <c r="Y29" s="59">
        <v>0.77585360329461195</v>
      </c>
      <c r="Z29" s="60">
        <v>7.8244282866277132E-2</v>
      </c>
      <c r="AA29" s="59">
        <v>0.71417298841899945</v>
      </c>
      <c r="AB29" s="60">
        <v>4.2389835764349806E-2</v>
      </c>
      <c r="AC29" s="54"/>
      <c r="AD29" s="54"/>
    </row>
    <row r="30" spans="1:30" ht="17.25" x14ac:dyDescent="0.35">
      <c r="A30" s="54"/>
      <c r="B30" s="41" t="s">
        <v>50</v>
      </c>
      <c r="C30" s="54"/>
      <c r="D30" s="41" t="s">
        <v>142</v>
      </c>
      <c r="E30" s="59" t="s">
        <v>221</v>
      </c>
      <c r="F30" s="60" t="s">
        <v>221</v>
      </c>
      <c r="G30" s="59" t="s">
        <v>221</v>
      </c>
      <c r="H30" s="60" t="s">
        <v>221</v>
      </c>
      <c r="I30" s="59" t="s">
        <v>221</v>
      </c>
      <c r="J30" s="60" t="s">
        <v>221</v>
      </c>
      <c r="K30" s="54"/>
      <c r="L30" s="54"/>
      <c r="M30" s="41" t="s">
        <v>142</v>
      </c>
      <c r="N30" s="59" t="s">
        <v>221</v>
      </c>
      <c r="O30" s="60" t="s">
        <v>221</v>
      </c>
      <c r="P30" s="59" t="s">
        <v>221</v>
      </c>
      <c r="Q30" s="60" t="s">
        <v>221</v>
      </c>
      <c r="R30" s="59" t="s">
        <v>221</v>
      </c>
      <c r="S30" s="60" t="s">
        <v>221</v>
      </c>
      <c r="T30" s="54"/>
      <c r="U30" s="54"/>
      <c r="V30" s="41" t="s">
        <v>142</v>
      </c>
      <c r="W30" s="59" t="s">
        <v>221</v>
      </c>
      <c r="X30" s="60" t="s">
        <v>221</v>
      </c>
      <c r="Y30" s="59" t="s">
        <v>221</v>
      </c>
      <c r="Z30" s="60" t="s">
        <v>221</v>
      </c>
      <c r="AA30" s="59" t="s">
        <v>221</v>
      </c>
      <c r="AB30" s="60" t="s">
        <v>221</v>
      </c>
      <c r="AC30" s="54"/>
      <c r="AD30" s="54"/>
    </row>
    <row r="31" spans="1:30" ht="17.25" x14ac:dyDescent="0.35">
      <c r="A31" s="54"/>
      <c r="B31" s="41" t="s">
        <v>51</v>
      </c>
      <c r="C31" s="54"/>
      <c r="D31" s="41" t="s">
        <v>143</v>
      </c>
      <c r="E31" s="59">
        <v>0.37975882777893866</v>
      </c>
      <c r="F31" s="60">
        <v>0.21105544045243529</v>
      </c>
      <c r="G31" s="59">
        <v>0.56509347130148824</v>
      </c>
      <c r="H31" s="60">
        <v>9.5952668391346363E-2</v>
      </c>
      <c r="I31" s="59">
        <v>0.6392848393342615</v>
      </c>
      <c r="J31" s="60">
        <v>4.1099258035993166E-2</v>
      </c>
      <c r="K31" s="54"/>
      <c r="L31" s="54"/>
      <c r="M31" s="41" t="s">
        <v>143</v>
      </c>
      <c r="N31" s="59">
        <v>0.3949743319691027</v>
      </c>
      <c r="O31" s="60">
        <v>0.11386212490125366</v>
      </c>
      <c r="P31" s="59">
        <v>0.37255284094562013</v>
      </c>
      <c r="Q31" s="60">
        <v>5.4289795828580144E-2</v>
      </c>
      <c r="R31" s="59">
        <v>0.34104085477915264</v>
      </c>
      <c r="S31" s="60">
        <v>2.2923861513822578E-2</v>
      </c>
      <c r="T31" s="54"/>
      <c r="U31" s="54"/>
      <c r="V31" s="41" t="s">
        <v>143</v>
      </c>
      <c r="W31" s="59">
        <v>9.8803577996112599E-2</v>
      </c>
      <c r="X31" s="60">
        <v>0.39265373658852287</v>
      </c>
      <c r="Y31" s="59">
        <v>0.49811599103294757</v>
      </c>
      <c r="Z31" s="60">
        <v>0.20185659046596974</v>
      </c>
      <c r="AA31" s="59">
        <v>0.59676440424930721</v>
      </c>
      <c r="AB31" s="60">
        <v>9.2450710092452329E-2</v>
      </c>
      <c r="AC31" s="54"/>
      <c r="AD31" s="54"/>
    </row>
    <row r="32" spans="1:30" ht="17.25" x14ac:dyDescent="0.35">
      <c r="A32" s="54"/>
      <c r="B32" s="41" t="s">
        <v>52</v>
      </c>
      <c r="C32" s="54"/>
      <c r="D32" s="41" t="s">
        <v>144</v>
      </c>
      <c r="E32" s="59" t="s">
        <v>221</v>
      </c>
      <c r="F32" s="60" t="s">
        <v>221</v>
      </c>
      <c r="G32" s="59" t="s">
        <v>221</v>
      </c>
      <c r="H32" s="60" t="s">
        <v>221</v>
      </c>
      <c r="I32" s="59" t="s">
        <v>221</v>
      </c>
      <c r="J32" s="60" t="s">
        <v>221</v>
      </c>
      <c r="K32" s="54"/>
      <c r="L32" s="54"/>
      <c r="M32" s="41" t="s">
        <v>144</v>
      </c>
      <c r="N32" s="59" t="s">
        <v>221</v>
      </c>
      <c r="O32" s="60" t="s">
        <v>221</v>
      </c>
      <c r="P32" s="59" t="s">
        <v>221</v>
      </c>
      <c r="Q32" s="60" t="s">
        <v>221</v>
      </c>
      <c r="R32" s="59" t="s">
        <v>221</v>
      </c>
      <c r="S32" s="60" t="s">
        <v>221</v>
      </c>
      <c r="T32" s="54"/>
      <c r="U32" s="54"/>
      <c r="V32" s="41" t="s">
        <v>144</v>
      </c>
      <c r="W32" s="59" t="s">
        <v>221</v>
      </c>
      <c r="X32" s="60" t="s">
        <v>221</v>
      </c>
      <c r="Y32" s="59" t="s">
        <v>221</v>
      </c>
      <c r="Z32" s="60" t="s">
        <v>221</v>
      </c>
      <c r="AA32" s="59" t="s">
        <v>221</v>
      </c>
      <c r="AB32" s="60" t="s">
        <v>221</v>
      </c>
      <c r="AC32" s="54"/>
      <c r="AD32" s="54"/>
    </row>
    <row r="33" spans="1:30" ht="17.25" x14ac:dyDescent="0.35">
      <c r="A33" s="54"/>
      <c r="B33" s="41" t="s">
        <v>53</v>
      </c>
      <c r="C33" s="54"/>
      <c r="D33" s="41" t="s">
        <v>145</v>
      </c>
      <c r="E33" s="59">
        <v>0.44872183728272202</v>
      </c>
      <c r="F33" s="60">
        <v>0.10329525335821259</v>
      </c>
      <c r="G33" s="59">
        <v>0.49520843204614595</v>
      </c>
      <c r="H33" s="60">
        <v>4.8423475433506051E-2</v>
      </c>
      <c r="I33" s="59">
        <v>0.55554315238163399</v>
      </c>
      <c r="J33" s="60">
        <v>2.2697285286657216E-2</v>
      </c>
      <c r="K33" s="54"/>
      <c r="L33" s="54"/>
      <c r="M33" s="41" t="s">
        <v>145</v>
      </c>
      <c r="N33" s="59">
        <v>0.20289721203332958</v>
      </c>
      <c r="O33" s="60">
        <v>0.11017023897830197</v>
      </c>
      <c r="P33" s="59">
        <v>0.24615562327720159</v>
      </c>
      <c r="Q33" s="60">
        <v>5.3136351856443352E-2</v>
      </c>
      <c r="R33" s="59">
        <v>0.24239565443732805</v>
      </c>
      <c r="S33" s="60">
        <v>2.2276218004026571E-2</v>
      </c>
      <c r="T33" s="54"/>
      <c r="U33" s="54"/>
      <c r="V33" s="41" t="s">
        <v>145</v>
      </c>
      <c r="W33" s="59">
        <v>0.44280344320263409</v>
      </c>
      <c r="X33" s="60">
        <v>0.21427890822136558</v>
      </c>
      <c r="Y33" s="59">
        <v>0.48941206145261107</v>
      </c>
      <c r="Z33" s="60">
        <v>9.9952371650576854E-2</v>
      </c>
      <c r="AA33" s="59">
        <v>0.54055716597983128</v>
      </c>
      <c r="AB33" s="60">
        <v>5.0383227450856174E-2</v>
      </c>
      <c r="AC33" s="54"/>
      <c r="AD33" s="54"/>
    </row>
    <row r="34" spans="1:30" ht="17.25" x14ac:dyDescent="0.35">
      <c r="A34" s="54"/>
      <c r="B34" s="41" t="s">
        <v>54</v>
      </c>
      <c r="C34" s="54"/>
      <c r="D34" s="41" t="s">
        <v>146</v>
      </c>
      <c r="E34" s="59">
        <v>0.27688015622767043</v>
      </c>
      <c r="F34" s="60">
        <v>0.11991342814297153</v>
      </c>
      <c r="G34" s="59">
        <v>0.19598027485314781</v>
      </c>
      <c r="H34" s="60">
        <v>5.8559654006629269E-2</v>
      </c>
      <c r="I34" s="59">
        <v>0.19084331343322244</v>
      </c>
      <c r="J34" s="60">
        <v>2.6795791798018782E-2</v>
      </c>
      <c r="K34" s="54"/>
      <c r="L34" s="54"/>
      <c r="M34" s="41" t="s">
        <v>146</v>
      </c>
      <c r="N34" s="59" t="s">
        <v>221</v>
      </c>
      <c r="O34" s="60" t="s">
        <v>221</v>
      </c>
      <c r="P34" s="59" t="s">
        <v>221</v>
      </c>
      <c r="Q34" s="60" t="s">
        <v>221</v>
      </c>
      <c r="R34" s="59" t="s">
        <v>221</v>
      </c>
      <c r="S34" s="60" t="s">
        <v>221</v>
      </c>
      <c r="T34" s="54"/>
      <c r="U34" s="54"/>
      <c r="V34" s="41" t="s">
        <v>146</v>
      </c>
      <c r="W34" s="59">
        <v>0.40871895933538099</v>
      </c>
      <c r="X34" s="60">
        <v>0.25765137908111951</v>
      </c>
      <c r="Y34" s="59">
        <v>0.37155875238019354</v>
      </c>
      <c r="Z34" s="60">
        <v>0.12539034327476567</v>
      </c>
      <c r="AA34" s="59">
        <v>0.19087859684172451</v>
      </c>
      <c r="AB34" s="60">
        <v>5.236232424311902E-2</v>
      </c>
      <c r="AC34" s="54"/>
      <c r="AD34" s="54"/>
    </row>
    <row r="35" spans="1:30" ht="17.25" x14ac:dyDescent="0.35">
      <c r="A35" s="54"/>
      <c r="B35" s="41" t="s">
        <v>55</v>
      </c>
      <c r="C35" s="54"/>
      <c r="D35" s="41" t="s">
        <v>147</v>
      </c>
      <c r="E35" s="59" t="s">
        <v>221</v>
      </c>
      <c r="F35" s="60" t="s">
        <v>221</v>
      </c>
      <c r="G35" s="59" t="s">
        <v>221</v>
      </c>
      <c r="H35" s="60" t="s">
        <v>221</v>
      </c>
      <c r="I35" s="59" t="s">
        <v>221</v>
      </c>
      <c r="J35" s="60" t="s">
        <v>221</v>
      </c>
      <c r="K35" s="54"/>
      <c r="L35" s="54"/>
      <c r="M35" s="41" t="s">
        <v>147</v>
      </c>
      <c r="N35" s="59" t="s">
        <v>221</v>
      </c>
      <c r="O35" s="60" t="s">
        <v>221</v>
      </c>
      <c r="P35" s="59" t="s">
        <v>221</v>
      </c>
      <c r="Q35" s="60" t="s">
        <v>221</v>
      </c>
      <c r="R35" s="59" t="s">
        <v>221</v>
      </c>
      <c r="S35" s="60" t="s">
        <v>221</v>
      </c>
      <c r="T35" s="54"/>
      <c r="U35" s="54"/>
      <c r="V35" s="41" t="s">
        <v>147</v>
      </c>
      <c r="W35" s="59" t="s">
        <v>221</v>
      </c>
      <c r="X35" s="60" t="s">
        <v>221</v>
      </c>
      <c r="Y35" s="59" t="s">
        <v>221</v>
      </c>
      <c r="Z35" s="60" t="s">
        <v>221</v>
      </c>
      <c r="AA35" s="59" t="s">
        <v>221</v>
      </c>
      <c r="AB35" s="60" t="s">
        <v>221</v>
      </c>
      <c r="AC35" s="54"/>
      <c r="AD35" s="54"/>
    </row>
    <row r="36" spans="1:30" ht="17.25" x14ac:dyDescent="0.35">
      <c r="A36" s="54"/>
      <c r="B36" s="41" t="s">
        <v>56</v>
      </c>
      <c r="C36" s="54"/>
      <c r="D36" s="41" t="s">
        <v>148</v>
      </c>
      <c r="E36" s="59" t="s">
        <v>221</v>
      </c>
      <c r="F36" s="60" t="s">
        <v>221</v>
      </c>
      <c r="G36" s="59" t="s">
        <v>221</v>
      </c>
      <c r="H36" s="60" t="s">
        <v>221</v>
      </c>
      <c r="I36" s="59" t="s">
        <v>221</v>
      </c>
      <c r="J36" s="60" t="s">
        <v>221</v>
      </c>
      <c r="K36" s="54"/>
      <c r="L36" s="54"/>
      <c r="M36" s="41" t="s">
        <v>148</v>
      </c>
      <c r="N36" s="59" t="s">
        <v>221</v>
      </c>
      <c r="O36" s="60" t="s">
        <v>221</v>
      </c>
      <c r="P36" s="59" t="s">
        <v>221</v>
      </c>
      <c r="Q36" s="60" t="s">
        <v>221</v>
      </c>
      <c r="R36" s="59" t="s">
        <v>221</v>
      </c>
      <c r="S36" s="60" t="s">
        <v>221</v>
      </c>
      <c r="T36" s="54"/>
      <c r="U36" s="54"/>
      <c r="V36" s="41" t="s">
        <v>148</v>
      </c>
      <c r="W36" s="59" t="s">
        <v>221</v>
      </c>
      <c r="X36" s="60" t="s">
        <v>221</v>
      </c>
      <c r="Y36" s="59" t="s">
        <v>221</v>
      </c>
      <c r="Z36" s="60" t="s">
        <v>221</v>
      </c>
      <c r="AA36" s="59" t="s">
        <v>221</v>
      </c>
      <c r="AB36" s="60" t="s">
        <v>221</v>
      </c>
      <c r="AC36" s="54"/>
      <c r="AD36" s="54"/>
    </row>
    <row r="37" spans="1:30" ht="17.25" x14ac:dyDescent="0.35">
      <c r="A37" s="54"/>
      <c r="B37" s="41" t="s">
        <v>57</v>
      </c>
      <c r="C37" s="54"/>
      <c r="D37" s="41" t="s">
        <v>149</v>
      </c>
      <c r="E37" s="59">
        <v>0.43797225879806484</v>
      </c>
      <c r="F37" s="60">
        <v>9.0299635334365455E-2</v>
      </c>
      <c r="G37" s="59">
        <v>0.50894823082883511</v>
      </c>
      <c r="H37" s="60">
        <v>3.8649478425628242E-2</v>
      </c>
      <c r="I37" s="59">
        <v>0.55558405152625923</v>
      </c>
      <c r="J37" s="60">
        <v>1.648154568727412E-2</v>
      </c>
      <c r="K37" s="54"/>
      <c r="L37" s="54"/>
      <c r="M37" s="41" t="s">
        <v>149</v>
      </c>
      <c r="N37" s="59">
        <v>0.33729542410307162</v>
      </c>
      <c r="O37" s="60">
        <v>5.9417866091705906E-2</v>
      </c>
      <c r="P37" s="59">
        <v>0.34981638018001621</v>
      </c>
      <c r="Q37" s="60">
        <v>2.608366971198002E-2</v>
      </c>
      <c r="R37" s="59">
        <v>0.37324548646195166</v>
      </c>
      <c r="S37" s="60">
        <v>1.0921458293382562E-2</v>
      </c>
      <c r="T37" s="54"/>
      <c r="U37" s="54"/>
      <c r="V37" s="41" t="s">
        <v>149</v>
      </c>
      <c r="W37" s="59">
        <v>0.24476299832787968</v>
      </c>
      <c r="X37" s="60">
        <v>0.14157917355052752</v>
      </c>
      <c r="Y37" s="59">
        <v>0.34798292450353963</v>
      </c>
      <c r="Z37" s="60">
        <v>6.0269075400378562E-2</v>
      </c>
      <c r="AA37" s="59">
        <v>0.38857537454903163</v>
      </c>
      <c r="AB37" s="60">
        <v>2.7513805159198646E-2</v>
      </c>
      <c r="AC37" s="54"/>
      <c r="AD37" s="54"/>
    </row>
    <row r="38" spans="1:30" ht="17.25" x14ac:dyDescent="0.35">
      <c r="A38" s="54"/>
      <c r="B38" s="41" t="s">
        <v>58</v>
      </c>
      <c r="C38" s="54"/>
      <c r="D38" s="41" t="s">
        <v>150</v>
      </c>
      <c r="E38" s="59">
        <v>0.46156985439161435</v>
      </c>
      <c r="F38" s="60">
        <v>0.13626097991855046</v>
      </c>
      <c r="G38" s="59">
        <v>0.58285956087546842</v>
      </c>
      <c r="H38" s="60">
        <v>5.9119952445036886E-2</v>
      </c>
      <c r="I38" s="59">
        <v>0.62022082042929039</v>
      </c>
      <c r="J38" s="60">
        <v>2.7334024605715736E-2</v>
      </c>
      <c r="K38" s="54"/>
      <c r="L38" s="54"/>
      <c r="M38" s="41" t="s">
        <v>150</v>
      </c>
      <c r="N38" s="59">
        <v>0.42123314623349223</v>
      </c>
      <c r="O38" s="60">
        <v>9.8018829832360585E-2</v>
      </c>
      <c r="P38" s="59">
        <v>0.40661619025593365</v>
      </c>
      <c r="Q38" s="60">
        <v>4.7499458056473286E-2</v>
      </c>
      <c r="R38" s="59">
        <v>0.40585968852309096</v>
      </c>
      <c r="S38" s="60">
        <v>2.1937397347424371E-2</v>
      </c>
      <c r="T38" s="54"/>
      <c r="U38" s="54"/>
      <c r="V38" s="41" t="s">
        <v>150</v>
      </c>
      <c r="W38" s="59">
        <v>0.15828480525339014</v>
      </c>
      <c r="X38" s="60">
        <v>0.25187614998219698</v>
      </c>
      <c r="Y38" s="59">
        <v>0.32595698293124453</v>
      </c>
      <c r="Z38" s="60">
        <v>0.11466288975105463</v>
      </c>
      <c r="AA38" s="59">
        <v>0.55277384580832833</v>
      </c>
      <c r="AB38" s="60">
        <v>5.618646919897613E-2</v>
      </c>
      <c r="AC38" s="54"/>
      <c r="AD38" s="54"/>
    </row>
    <row r="39" spans="1:30" ht="17.25" x14ac:dyDescent="0.35">
      <c r="A39" s="54"/>
      <c r="B39" s="41" t="s">
        <v>59</v>
      </c>
      <c r="C39" s="54"/>
      <c r="D39" s="41" t="s">
        <v>151</v>
      </c>
      <c r="E39" s="59" t="s">
        <v>221</v>
      </c>
      <c r="F39" s="60" t="s">
        <v>221</v>
      </c>
      <c r="G39" s="59" t="s">
        <v>221</v>
      </c>
      <c r="H39" s="60" t="s">
        <v>221</v>
      </c>
      <c r="I39" s="59" t="s">
        <v>221</v>
      </c>
      <c r="J39" s="60" t="s">
        <v>221</v>
      </c>
      <c r="K39" s="54"/>
      <c r="L39" s="54"/>
      <c r="M39" s="41" t="s">
        <v>151</v>
      </c>
      <c r="N39" s="59" t="s">
        <v>221</v>
      </c>
      <c r="O39" s="60" t="s">
        <v>221</v>
      </c>
      <c r="P39" s="59" t="s">
        <v>221</v>
      </c>
      <c r="Q39" s="60" t="s">
        <v>221</v>
      </c>
      <c r="R39" s="59" t="s">
        <v>221</v>
      </c>
      <c r="S39" s="60" t="s">
        <v>221</v>
      </c>
      <c r="T39" s="54"/>
      <c r="U39" s="54"/>
      <c r="V39" s="41" t="s">
        <v>151</v>
      </c>
      <c r="W39" s="59" t="s">
        <v>221</v>
      </c>
      <c r="X39" s="60" t="s">
        <v>221</v>
      </c>
      <c r="Y39" s="59" t="s">
        <v>221</v>
      </c>
      <c r="Z39" s="60" t="s">
        <v>221</v>
      </c>
      <c r="AA39" s="59" t="s">
        <v>221</v>
      </c>
      <c r="AB39" s="60" t="s">
        <v>221</v>
      </c>
      <c r="AC39" s="54"/>
      <c r="AD39" s="54"/>
    </row>
    <row r="40" spans="1:30" ht="17.25" x14ac:dyDescent="0.35">
      <c r="A40" s="54"/>
      <c r="B40" s="41" t="s">
        <v>60</v>
      </c>
      <c r="C40" s="54"/>
      <c r="D40" s="41" t="s">
        <v>152</v>
      </c>
      <c r="E40" s="59">
        <v>1.0520179295880088</v>
      </c>
      <c r="F40" s="60">
        <v>0.21625187408229846</v>
      </c>
      <c r="G40" s="59">
        <v>0.87808733453607302</v>
      </c>
      <c r="H40" s="60">
        <v>9.5078817239433677E-2</v>
      </c>
      <c r="I40" s="59">
        <v>0.63092020000000004</v>
      </c>
      <c r="J40" s="60">
        <v>4.0349490000000002E-2</v>
      </c>
      <c r="K40" s="54"/>
      <c r="L40" s="54"/>
      <c r="M40" s="41" t="s">
        <v>152</v>
      </c>
      <c r="N40" s="59" t="s">
        <v>221</v>
      </c>
      <c r="O40" s="60" t="s">
        <v>221</v>
      </c>
      <c r="P40" s="59" t="s">
        <v>221</v>
      </c>
      <c r="Q40" s="60" t="s">
        <v>221</v>
      </c>
      <c r="R40" s="59" t="s">
        <v>221</v>
      </c>
      <c r="S40" s="60" t="s">
        <v>221</v>
      </c>
      <c r="T40" s="54"/>
      <c r="U40" s="54"/>
      <c r="V40" s="41" t="s">
        <v>152</v>
      </c>
      <c r="W40" s="59">
        <v>1.3554543608060263</v>
      </c>
      <c r="X40" s="60">
        <v>0.39189340386143678</v>
      </c>
      <c r="Y40" s="59">
        <v>1.2768717690422375</v>
      </c>
      <c r="Z40" s="60">
        <v>0.19705308779738179</v>
      </c>
      <c r="AA40" s="59">
        <v>0.94257219999999997</v>
      </c>
      <c r="AB40" s="60">
        <v>8.8452909999999996E-2</v>
      </c>
      <c r="AC40" s="54"/>
      <c r="AD40" s="54"/>
    </row>
    <row r="41" spans="1:30" ht="17.25" x14ac:dyDescent="0.35">
      <c r="A41" s="54"/>
      <c r="B41" s="41" t="s">
        <v>61</v>
      </c>
      <c r="C41" s="54"/>
      <c r="D41" s="41" t="s">
        <v>153</v>
      </c>
      <c r="E41" s="59">
        <v>0.43889365429436811</v>
      </c>
      <c r="F41" s="60">
        <v>0.31004654494504147</v>
      </c>
      <c r="G41" s="59">
        <v>0.67969932885097362</v>
      </c>
      <c r="H41" s="60">
        <v>0.12959808414789356</v>
      </c>
      <c r="I41" s="59">
        <v>0.77040253225996569</v>
      </c>
      <c r="J41" s="60">
        <v>5.5208333489030703E-2</v>
      </c>
      <c r="K41" s="54"/>
      <c r="L41" s="54"/>
      <c r="M41" s="41" t="s">
        <v>153</v>
      </c>
      <c r="N41" s="59">
        <v>0.85547826250058845</v>
      </c>
      <c r="O41" s="60">
        <v>0.23217197981242835</v>
      </c>
      <c r="P41" s="59">
        <v>0.93235960863599909</v>
      </c>
      <c r="Q41" s="60">
        <v>0.1027327803911938</v>
      </c>
      <c r="R41" s="59">
        <v>1.3447561477679386</v>
      </c>
      <c r="S41" s="60">
        <v>4.6307084602814984E-2</v>
      </c>
      <c r="T41" s="54"/>
      <c r="U41" s="54"/>
      <c r="V41" s="41" t="s">
        <v>153</v>
      </c>
      <c r="W41" s="59">
        <v>4.3152801803667869E-3</v>
      </c>
      <c r="X41" s="60">
        <v>0.41420921610900019</v>
      </c>
      <c r="Y41" s="59">
        <v>0.51327328443157016</v>
      </c>
      <c r="Z41" s="60">
        <v>0.18136780869381444</v>
      </c>
      <c r="AA41" s="59">
        <v>0.62852131877742734</v>
      </c>
      <c r="AB41" s="60">
        <v>7.0884146437878104E-2</v>
      </c>
      <c r="AC41" s="54"/>
      <c r="AD41" s="54"/>
    </row>
    <row r="42" spans="1:30" ht="17.25" x14ac:dyDescent="0.35">
      <c r="A42" s="54"/>
      <c r="B42" s="41" t="s">
        <v>62</v>
      </c>
      <c r="C42" s="54"/>
      <c r="D42" s="41" t="s">
        <v>154</v>
      </c>
      <c r="E42" s="59" t="s">
        <v>221</v>
      </c>
      <c r="F42" s="60" t="s">
        <v>221</v>
      </c>
      <c r="G42" s="59" t="s">
        <v>221</v>
      </c>
      <c r="H42" s="60" t="s">
        <v>221</v>
      </c>
      <c r="I42" s="59" t="s">
        <v>221</v>
      </c>
      <c r="J42" s="60" t="s">
        <v>221</v>
      </c>
      <c r="K42" s="54"/>
      <c r="L42" s="54"/>
      <c r="M42" s="41" t="s">
        <v>154</v>
      </c>
      <c r="N42" s="59" t="s">
        <v>221</v>
      </c>
      <c r="O42" s="60" t="s">
        <v>221</v>
      </c>
      <c r="P42" s="59" t="s">
        <v>221</v>
      </c>
      <c r="Q42" s="60" t="s">
        <v>221</v>
      </c>
      <c r="R42" s="59" t="s">
        <v>221</v>
      </c>
      <c r="S42" s="60" t="s">
        <v>221</v>
      </c>
      <c r="T42" s="54"/>
      <c r="U42" s="54"/>
      <c r="V42" s="41" t="s">
        <v>154</v>
      </c>
      <c r="W42" s="59">
        <v>0.50581385185067351</v>
      </c>
      <c r="X42" s="60">
        <v>0.17843943304586748</v>
      </c>
      <c r="Y42" s="59">
        <v>0.58730041788627985</v>
      </c>
      <c r="Z42" s="60">
        <v>8.2570219675595566E-2</v>
      </c>
      <c r="AA42" s="59">
        <v>0.5680245594982557</v>
      </c>
      <c r="AB42" s="60">
        <v>3.7316309521044831E-2</v>
      </c>
      <c r="AC42" s="54"/>
      <c r="AD42" s="54"/>
    </row>
    <row r="43" spans="1:30" ht="17.25" x14ac:dyDescent="0.35">
      <c r="A43" s="54"/>
      <c r="B43" s="41" t="s">
        <v>63</v>
      </c>
      <c r="C43" s="54"/>
      <c r="D43" s="41" t="s">
        <v>155</v>
      </c>
      <c r="E43" s="59">
        <v>0.53935806866381175</v>
      </c>
      <c r="F43" s="60">
        <v>0.17281504674770273</v>
      </c>
      <c r="G43" s="59">
        <v>0.48744827042918937</v>
      </c>
      <c r="H43" s="60">
        <v>8.9601165528280027E-2</v>
      </c>
      <c r="I43" s="59">
        <v>0.37382739999999998</v>
      </c>
      <c r="J43" s="60">
        <v>5.4275379999999998E-2</v>
      </c>
      <c r="K43" s="54"/>
      <c r="L43" s="54"/>
      <c r="M43" s="41" t="s">
        <v>155</v>
      </c>
      <c r="N43" s="59">
        <v>0.69123716865626794</v>
      </c>
      <c r="O43" s="60">
        <v>0.11758446156127386</v>
      </c>
      <c r="P43" s="59">
        <v>0.65413966155480385</v>
      </c>
      <c r="Q43" s="60">
        <v>5.7122944706938093E-2</v>
      </c>
      <c r="R43" s="59">
        <v>0.60950197708770548</v>
      </c>
      <c r="S43" s="60">
        <v>2.538133280657846E-2</v>
      </c>
      <c r="T43" s="54"/>
      <c r="U43" s="54"/>
      <c r="V43" s="41" t="s">
        <v>155</v>
      </c>
      <c r="W43" s="59">
        <v>5.3140535092375873E-2</v>
      </c>
      <c r="X43" s="60">
        <v>0.2612150434861612</v>
      </c>
      <c r="Y43" s="59">
        <v>0.24538662682449788</v>
      </c>
      <c r="Z43" s="60">
        <v>0.15873031764715054</v>
      </c>
      <c r="AA43" s="59">
        <v>0.15466579999999999</v>
      </c>
      <c r="AB43" s="60">
        <v>0.1179293</v>
      </c>
      <c r="AC43" s="54"/>
      <c r="AD43" s="54"/>
    </row>
    <row r="44" spans="1:30" ht="17.25" x14ac:dyDescent="0.35">
      <c r="A44" s="54"/>
      <c r="B44" s="41" t="s">
        <v>64</v>
      </c>
      <c r="C44" s="54"/>
      <c r="D44" s="41" t="s">
        <v>156</v>
      </c>
      <c r="E44" s="59">
        <v>0.7331178127740603</v>
      </c>
      <c r="F44" s="60">
        <v>0.20132719368649121</v>
      </c>
      <c r="G44" s="59">
        <v>0.93357436573570585</v>
      </c>
      <c r="H44" s="60">
        <v>0.1197725012824148</v>
      </c>
      <c r="I44" s="59">
        <v>1.0674963810754998</v>
      </c>
      <c r="J44" s="60">
        <v>6.2053442255806945E-2</v>
      </c>
      <c r="K44" s="54"/>
      <c r="L44" s="54"/>
      <c r="M44" s="41" t="s">
        <v>156</v>
      </c>
      <c r="N44" s="59">
        <v>0.76950400095693527</v>
      </c>
      <c r="O44" s="60">
        <v>0.16588714964287851</v>
      </c>
      <c r="P44" s="59">
        <v>1.0463266516360625</v>
      </c>
      <c r="Q44" s="60">
        <v>9.3412257141789704E-2</v>
      </c>
      <c r="R44" s="59">
        <v>1.2861577690523167</v>
      </c>
      <c r="S44" s="60">
        <v>4.885360512293925E-2</v>
      </c>
      <c r="T44" s="54"/>
      <c r="U44" s="54"/>
      <c r="V44" s="41" t="s">
        <v>156</v>
      </c>
      <c r="W44" s="59">
        <v>0.47957884974121689</v>
      </c>
      <c r="X44" s="60">
        <v>0.28688833559307458</v>
      </c>
      <c r="Y44" s="59">
        <v>0.68621940158873396</v>
      </c>
      <c r="Z44" s="60">
        <v>0.15323670440534787</v>
      </c>
      <c r="AA44" s="59">
        <v>0.82834265521278883</v>
      </c>
      <c r="AB44" s="60">
        <v>8.2531076744842335E-2</v>
      </c>
      <c r="AC44" s="54"/>
      <c r="AD44" s="54"/>
    </row>
    <row r="45" spans="1:30" ht="17.25" x14ac:dyDescent="0.35">
      <c r="A45" s="54"/>
      <c r="B45" s="41" t="s">
        <v>65</v>
      </c>
      <c r="C45" s="54"/>
      <c r="D45" s="41" t="s">
        <v>157</v>
      </c>
      <c r="E45" s="59" t="s">
        <v>221</v>
      </c>
      <c r="F45" s="60" t="s">
        <v>221</v>
      </c>
      <c r="G45" s="59" t="s">
        <v>221</v>
      </c>
      <c r="H45" s="60" t="s">
        <v>221</v>
      </c>
      <c r="I45" s="59" t="s">
        <v>221</v>
      </c>
      <c r="J45" s="60" t="s">
        <v>221</v>
      </c>
      <c r="K45" s="54"/>
      <c r="L45" s="54"/>
      <c r="M45" s="41" t="s">
        <v>157</v>
      </c>
      <c r="N45" s="59" t="s">
        <v>221</v>
      </c>
      <c r="O45" s="60" t="s">
        <v>221</v>
      </c>
      <c r="P45" s="59" t="s">
        <v>221</v>
      </c>
      <c r="Q45" s="60" t="s">
        <v>221</v>
      </c>
      <c r="R45" s="59" t="s">
        <v>221</v>
      </c>
      <c r="S45" s="60" t="s">
        <v>221</v>
      </c>
      <c r="T45" s="54"/>
      <c r="U45" s="54"/>
      <c r="V45" s="41" t="s">
        <v>157</v>
      </c>
      <c r="W45" s="59">
        <v>0.17260402214982756</v>
      </c>
      <c r="X45" s="60">
        <v>0.24195969761699004</v>
      </c>
      <c r="Y45" s="59">
        <v>0.33636900620419569</v>
      </c>
      <c r="Z45" s="60">
        <v>0.1097985347422368</v>
      </c>
      <c r="AA45" s="59">
        <v>0.43203927204523512</v>
      </c>
      <c r="AB45" s="60">
        <v>5.4535932043529814E-2</v>
      </c>
      <c r="AC45" s="54"/>
      <c r="AD45" s="54"/>
    </row>
    <row r="46" spans="1:30" ht="17.25" x14ac:dyDescent="0.35">
      <c r="A46" s="54"/>
      <c r="B46" s="41" t="s">
        <v>66</v>
      </c>
      <c r="C46" s="54"/>
      <c r="D46" s="41" t="s">
        <v>158</v>
      </c>
      <c r="E46" s="59">
        <v>0.43605611148569967</v>
      </c>
      <c r="F46" s="60">
        <v>9.5856765443899108E-2</v>
      </c>
      <c r="G46" s="59">
        <v>0.45421084798113676</v>
      </c>
      <c r="H46" s="60">
        <v>4.1697406529051691E-2</v>
      </c>
      <c r="I46" s="59">
        <v>0.49701414355293694</v>
      </c>
      <c r="J46" s="60">
        <v>1.8712310877433552E-2</v>
      </c>
      <c r="K46" s="54"/>
      <c r="L46" s="54"/>
      <c r="M46" s="41" t="s">
        <v>158</v>
      </c>
      <c r="N46" s="59">
        <v>0.31765512970195015</v>
      </c>
      <c r="O46" s="60">
        <v>6.946535587572289E-2</v>
      </c>
      <c r="P46" s="59">
        <v>0.33438514638629557</v>
      </c>
      <c r="Q46" s="60">
        <v>3.306019459351138E-2</v>
      </c>
      <c r="R46" s="59">
        <v>0.32227737201690565</v>
      </c>
      <c r="S46" s="60">
        <v>1.5626576110870982E-2</v>
      </c>
      <c r="T46" s="54"/>
      <c r="U46" s="54"/>
      <c r="V46" s="41" t="s">
        <v>158</v>
      </c>
      <c r="W46" s="59">
        <v>0.34477961334583085</v>
      </c>
      <c r="X46" s="60">
        <v>0.16440560132723059</v>
      </c>
      <c r="Y46" s="59">
        <v>0.4103177070591621</v>
      </c>
      <c r="Z46" s="60">
        <v>7.8162400744747049E-2</v>
      </c>
      <c r="AA46" s="59">
        <v>0.53618105423908524</v>
      </c>
      <c r="AB46" s="60">
        <v>3.2845901487534281E-2</v>
      </c>
      <c r="AC46" s="54"/>
      <c r="AD46" s="54"/>
    </row>
    <row r="47" spans="1:30" ht="17.25" x14ac:dyDescent="0.35">
      <c r="A47" s="54"/>
      <c r="B47" s="41" t="s">
        <v>67</v>
      </c>
      <c r="C47" s="54"/>
      <c r="D47" s="41" t="s">
        <v>159</v>
      </c>
      <c r="E47" s="59">
        <v>0.48417726654855864</v>
      </c>
      <c r="F47" s="60">
        <v>0.25477962638107532</v>
      </c>
      <c r="G47" s="59">
        <v>0.52270042275091</v>
      </c>
      <c r="H47" s="60">
        <v>0.1114552951642209</v>
      </c>
      <c r="I47" s="59">
        <v>0.4925818077567336</v>
      </c>
      <c r="J47" s="60">
        <v>5.2950608984420278E-2</v>
      </c>
      <c r="K47" s="54"/>
      <c r="L47" s="54"/>
      <c r="M47" s="41" t="s">
        <v>159</v>
      </c>
      <c r="N47" s="59" t="s">
        <v>221</v>
      </c>
      <c r="O47" s="60" t="s">
        <v>221</v>
      </c>
      <c r="P47" s="59" t="s">
        <v>221</v>
      </c>
      <c r="Q47" s="60" t="s">
        <v>221</v>
      </c>
      <c r="R47" s="59" t="s">
        <v>221</v>
      </c>
      <c r="S47" s="60" t="s">
        <v>221</v>
      </c>
      <c r="T47" s="54"/>
      <c r="U47" s="54"/>
      <c r="V47" s="41" t="s">
        <v>159</v>
      </c>
      <c r="W47" s="59">
        <v>0.37095970240734971</v>
      </c>
      <c r="X47" s="60">
        <v>0.44663486609057229</v>
      </c>
      <c r="Y47" s="59">
        <v>0.26637876808110228</v>
      </c>
      <c r="Z47" s="60">
        <v>0.21603377802815782</v>
      </c>
      <c r="AA47" s="59">
        <v>0.37276785982354954</v>
      </c>
      <c r="AB47" s="60">
        <v>9.9557494932329238E-2</v>
      </c>
      <c r="AC47" s="54"/>
      <c r="AD47" s="54"/>
    </row>
    <row r="48" spans="1:30" ht="17.25" x14ac:dyDescent="0.35">
      <c r="A48" s="54"/>
      <c r="B48" s="41" t="s">
        <v>68</v>
      </c>
      <c r="C48" s="54"/>
      <c r="D48" s="41" t="s">
        <v>160</v>
      </c>
      <c r="E48" s="59" t="s">
        <v>221</v>
      </c>
      <c r="F48" s="60" t="s">
        <v>221</v>
      </c>
      <c r="G48" s="59" t="s">
        <v>221</v>
      </c>
      <c r="H48" s="60" t="s">
        <v>221</v>
      </c>
      <c r="I48" s="59" t="s">
        <v>221</v>
      </c>
      <c r="J48" s="60" t="s">
        <v>221</v>
      </c>
      <c r="K48" s="54"/>
      <c r="L48" s="54"/>
      <c r="M48" s="41" t="s">
        <v>160</v>
      </c>
      <c r="N48" s="59" t="s">
        <v>221</v>
      </c>
      <c r="O48" s="60" t="s">
        <v>221</v>
      </c>
      <c r="P48" s="59" t="s">
        <v>221</v>
      </c>
      <c r="Q48" s="60" t="s">
        <v>221</v>
      </c>
      <c r="R48" s="59" t="s">
        <v>221</v>
      </c>
      <c r="S48" s="60" t="s">
        <v>221</v>
      </c>
      <c r="T48" s="54"/>
      <c r="U48" s="54"/>
      <c r="V48" s="41" t="s">
        <v>160</v>
      </c>
      <c r="W48" s="59" t="s">
        <v>221</v>
      </c>
      <c r="X48" s="60" t="s">
        <v>221</v>
      </c>
      <c r="Y48" s="59" t="s">
        <v>221</v>
      </c>
      <c r="Z48" s="60" t="s">
        <v>221</v>
      </c>
      <c r="AA48" s="59" t="s">
        <v>221</v>
      </c>
      <c r="AB48" s="60" t="s">
        <v>221</v>
      </c>
      <c r="AC48" s="54"/>
      <c r="AD48" s="54"/>
    </row>
    <row r="49" spans="1:30" ht="17.25" x14ac:dyDescent="0.35">
      <c r="A49" s="54"/>
      <c r="B49" s="41" t="s">
        <v>69</v>
      </c>
      <c r="C49" s="54"/>
      <c r="D49" s="41" t="s">
        <v>161</v>
      </c>
      <c r="E49" s="59">
        <v>0.50680027560200491</v>
      </c>
      <c r="F49" s="60">
        <v>5.5794184337305472E-2</v>
      </c>
      <c r="G49" s="59">
        <v>0.50665498712047452</v>
      </c>
      <c r="H49" s="60">
        <v>2.1591115785143326E-2</v>
      </c>
      <c r="I49" s="59">
        <v>0.5178360289851206</v>
      </c>
      <c r="J49" s="60">
        <v>9.214114331688731E-3</v>
      </c>
      <c r="K49" s="54"/>
      <c r="L49" s="54"/>
      <c r="M49" s="41" t="s">
        <v>161</v>
      </c>
      <c r="N49" s="59">
        <v>0.45426440486431979</v>
      </c>
      <c r="O49" s="60">
        <v>3.8861802833874491E-2</v>
      </c>
      <c r="P49" s="59">
        <v>0.45836992158132561</v>
      </c>
      <c r="Q49" s="60">
        <v>1.7440202398011268E-2</v>
      </c>
      <c r="R49" s="59">
        <v>0.47798691272178118</v>
      </c>
      <c r="S49" s="60">
        <v>6.9048498228631268E-3</v>
      </c>
      <c r="T49" s="54"/>
      <c r="U49" s="54"/>
      <c r="V49" s="41" t="s">
        <v>161</v>
      </c>
      <c r="W49" s="59">
        <v>0.3758411634992862</v>
      </c>
      <c r="X49" s="60">
        <v>0.11516707073774984</v>
      </c>
      <c r="Y49" s="59">
        <v>0.47588426395278399</v>
      </c>
      <c r="Z49" s="60">
        <v>4.1938108016883656E-2</v>
      </c>
      <c r="AA49" s="59">
        <v>0.46847905551362834</v>
      </c>
      <c r="AB49" s="60">
        <v>1.8369751446858203E-2</v>
      </c>
      <c r="AC49" s="54"/>
      <c r="AD49" s="54"/>
    </row>
    <row r="50" spans="1:30" ht="17.25" x14ac:dyDescent="0.35">
      <c r="A50" s="54"/>
      <c r="B50" s="41" t="s">
        <v>70</v>
      </c>
      <c r="C50" s="54"/>
      <c r="D50" s="41" t="s">
        <v>162</v>
      </c>
      <c r="E50" s="59">
        <v>0.54859078996193822</v>
      </c>
      <c r="F50" s="60">
        <v>0.14774378983445369</v>
      </c>
      <c r="G50" s="59">
        <v>0.60873142446064388</v>
      </c>
      <c r="H50" s="60">
        <v>6.8449080485444444E-2</v>
      </c>
      <c r="I50" s="59">
        <v>0.6793851409859254</v>
      </c>
      <c r="J50" s="60">
        <v>2.8946729905057117E-2</v>
      </c>
      <c r="K50" s="54"/>
      <c r="L50" s="54"/>
      <c r="M50" s="41" t="s">
        <v>162</v>
      </c>
      <c r="N50" s="59">
        <v>0.62977256660752523</v>
      </c>
      <c r="O50" s="60">
        <v>0.15039179372280845</v>
      </c>
      <c r="P50" s="59">
        <v>0.58409281787744072</v>
      </c>
      <c r="Q50" s="60">
        <v>6.7544163136888075E-2</v>
      </c>
      <c r="R50" s="59">
        <v>0.62710910058843905</v>
      </c>
      <c r="S50" s="60">
        <v>2.9232616124399192E-2</v>
      </c>
      <c r="T50" s="54"/>
      <c r="U50" s="54"/>
      <c r="V50" s="41" t="s">
        <v>162</v>
      </c>
      <c r="W50" s="59">
        <v>0.47141940272133365</v>
      </c>
      <c r="X50" s="60">
        <v>0.24947744314251361</v>
      </c>
      <c r="Y50" s="59">
        <v>0.53075715078674768</v>
      </c>
      <c r="Z50" s="60">
        <v>0.13230295387216762</v>
      </c>
      <c r="AA50" s="59">
        <v>0.64912898360741533</v>
      </c>
      <c r="AB50" s="60">
        <v>6.1906910839835599E-2</v>
      </c>
      <c r="AC50" s="54"/>
      <c r="AD50" s="54"/>
    </row>
    <row r="51" spans="1:30" ht="17.25" x14ac:dyDescent="0.35">
      <c r="A51" s="54"/>
      <c r="B51" s="41" t="s">
        <v>71</v>
      </c>
      <c r="C51" s="54"/>
      <c r="D51" s="41" t="s">
        <v>163</v>
      </c>
      <c r="E51" s="59">
        <v>0.39354436434554074</v>
      </c>
      <c r="F51" s="60">
        <v>5.2538323466469916E-2</v>
      </c>
      <c r="G51" s="59">
        <v>0.35255032284741877</v>
      </c>
      <c r="H51" s="60">
        <v>2.7228882694834425E-2</v>
      </c>
      <c r="I51" s="59">
        <v>0.3574580623385184</v>
      </c>
      <c r="J51" s="60">
        <v>1.1564895507424705E-2</v>
      </c>
      <c r="K51" s="54"/>
      <c r="L51" s="54"/>
      <c r="M51" s="41" t="s">
        <v>163</v>
      </c>
      <c r="N51" s="59">
        <v>0.23873098569572906</v>
      </c>
      <c r="O51" s="60">
        <v>3.6158649815482516E-2</v>
      </c>
      <c r="P51" s="59">
        <v>0.26680198087308399</v>
      </c>
      <c r="Q51" s="60">
        <v>1.9935436996828565E-2</v>
      </c>
      <c r="R51" s="59">
        <v>0.28356191206351195</v>
      </c>
      <c r="S51" s="60">
        <v>9.0140318699426826E-3</v>
      </c>
      <c r="T51" s="54"/>
      <c r="U51" s="54"/>
      <c r="V51" s="41" t="s">
        <v>163</v>
      </c>
      <c r="W51" s="59">
        <v>0.30196750710306924</v>
      </c>
      <c r="X51" s="60">
        <v>0.11263737652285187</v>
      </c>
      <c r="Y51" s="59">
        <v>0.38653549114255237</v>
      </c>
      <c r="Z51" s="60">
        <v>5.7964431559953573E-2</v>
      </c>
      <c r="AA51" s="59">
        <v>0.31837753339036157</v>
      </c>
      <c r="AB51" s="60">
        <v>2.3277596440906323E-2</v>
      </c>
      <c r="AC51" s="54"/>
      <c r="AD51" s="54"/>
    </row>
    <row r="52" spans="1:30" ht="17.25" x14ac:dyDescent="0.35">
      <c r="A52" s="54"/>
      <c r="B52" s="41" t="s">
        <v>72</v>
      </c>
      <c r="C52" s="54"/>
      <c r="D52" s="41" t="s">
        <v>164</v>
      </c>
      <c r="E52" s="59" t="s">
        <v>221</v>
      </c>
      <c r="F52" s="60" t="s">
        <v>221</v>
      </c>
      <c r="G52" s="59" t="s">
        <v>221</v>
      </c>
      <c r="H52" s="60" t="s">
        <v>221</v>
      </c>
      <c r="I52" s="59" t="s">
        <v>221</v>
      </c>
      <c r="J52" s="60" t="s">
        <v>221</v>
      </c>
      <c r="K52" s="54"/>
      <c r="L52" s="54"/>
      <c r="M52" s="41" t="s">
        <v>164</v>
      </c>
      <c r="N52" s="59" t="s">
        <v>221</v>
      </c>
      <c r="O52" s="60" t="s">
        <v>221</v>
      </c>
      <c r="P52" s="59" t="s">
        <v>221</v>
      </c>
      <c r="Q52" s="60" t="s">
        <v>221</v>
      </c>
      <c r="R52" s="59" t="s">
        <v>221</v>
      </c>
      <c r="S52" s="60" t="s">
        <v>221</v>
      </c>
      <c r="T52" s="54"/>
      <c r="U52" s="54"/>
      <c r="V52" s="41" t="s">
        <v>164</v>
      </c>
      <c r="W52" s="59" t="s">
        <v>221</v>
      </c>
      <c r="X52" s="60" t="s">
        <v>221</v>
      </c>
      <c r="Y52" s="59" t="s">
        <v>221</v>
      </c>
      <c r="Z52" s="60" t="s">
        <v>221</v>
      </c>
      <c r="AA52" s="59" t="s">
        <v>221</v>
      </c>
      <c r="AB52" s="60" t="s">
        <v>221</v>
      </c>
      <c r="AC52" s="54"/>
      <c r="AD52" s="54"/>
    </row>
    <row r="53" spans="1:30" ht="17.25" x14ac:dyDescent="0.35">
      <c r="A53" s="54"/>
      <c r="B53" s="41" t="s">
        <v>73</v>
      </c>
      <c r="C53" s="54"/>
      <c r="D53" s="41" t="s">
        <v>165</v>
      </c>
      <c r="E53" s="59">
        <v>0.31937238870627577</v>
      </c>
      <c r="F53" s="60">
        <v>7.6828146911240944E-2</v>
      </c>
      <c r="G53" s="59">
        <v>0.24079774972208451</v>
      </c>
      <c r="H53" s="60">
        <v>3.8844272483820594E-2</v>
      </c>
      <c r="I53" s="59">
        <v>0.24473341450204697</v>
      </c>
      <c r="J53" s="60">
        <v>1.9116820756900979E-2</v>
      </c>
      <c r="K53" s="54"/>
      <c r="L53" s="54"/>
      <c r="M53" s="41" t="s">
        <v>165</v>
      </c>
      <c r="N53" s="59">
        <v>0.26454169923583726</v>
      </c>
      <c r="O53" s="60">
        <v>6.8491947562254199E-2</v>
      </c>
      <c r="P53" s="59">
        <v>0.31118625560441482</v>
      </c>
      <c r="Q53" s="60">
        <v>3.2854301167857751E-2</v>
      </c>
      <c r="R53" s="59">
        <v>0.3392305790878582</v>
      </c>
      <c r="S53" s="60">
        <v>1.5096636167816575E-2</v>
      </c>
      <c r="T53" s="54"/>
      <c r="U53" s="54"/>
      <c r="V53" s="41" t="s">
        <v>165</v>
      </c>
      <c r="W53" s="59">
        <v>0.39656495131575964</v>
      </c>
      <c r="X53" s="60">
        <v>0.15628435527723361</v>
      </c>
      <c r="Y53" s="59">
        <v>0.30227083789999043</v>
      </c>
      <c r="Z53" s="60">
        <v>8.4378410098932155E-2</v>
      </c>
      <c r="AA53" s="59">
        <v>0.2823908042253277</v>
      </c>
      <c r="AB53" s="60">
        <v>4.1426809923963005E-2</v>
      </c>
      <c r="AC53" s="54"/>
      <c r="AD53" s="54"/>
    </row>
    <row r="54" spans="1:30" ht="17.25" x14ac:dyDescent="0.35">
      <c r="A54" s="54"/>
      <c r="B54" s="41" t="s">
        <v>74</v>
      </c>
      <c r="C54" s="54"/>
      <c r="D54" s="41" t="s">
        <v>166</v>
      </c>
      <c r="E54" s="59">
        <v>0.68008378956602722</v>
      </c>
      <c r="F54" s="60">
        <v>0.18504657273798727</v>
      </c>
      <c r="G54" s="59">
        <v>0.75149804298944844</v>
      </c>
      <c r="H54" s="60">
        <v>8.547262084278863E-2</v>
      </c>
      <c r="I54" s="59">
        <v>0.6635481429491723</v>
      </c>
      <c r="J54" s="60">
        <v>3.855990100130325E-2</v>
      </c>
      <c r="K54" s="54"/>
      <c r="L54" s="54"/>
      <c r="M54" s="41" t="s">
        <v>166</v>
      </c>
      <c r="N54" s="59">
        <v>0.91774056809264493</v>
      </c>
      <c r="O54" s="60">
        <v>0.1603291803753665</v>
      </c>
      <c r="P54" s="59">
        <v>0.91553339900327746</v>
      </c>
      <c r="Q54" s="60">
        <v>6.7658634229182876E-2</v>
      </c>
      <c r="R54" s="59">
        <v>0.90817788075761263</v>
      </c>
      <c r="S54" s="60">
        <v>2.8927826681139055E-2</v>
      </c>
      <c r="T54" s="54"/>
      <c r="U54" s="54"/>
      <c r="V54" s="41" t="s">
        <v>166</v>
      </c>
      <c r="W54" s="59">
        <v>0.17781839269771776</v>
      </c>
      <c r="X54" s="60">
        <v>0.33492724750276853</v>
      </c>
      <c r="Y54" s="59">
        <v>0.55358736469721137</v>
      </c>
      <c r="Z54" s="60">
        <v>0.15244002775532975</v>
      </c>
      <c r="AA54" s="59">
        <v>0.53549182437475185</v>
      </c>
      <c r="AB54" s="60">
        <v>6.6218594968738068E-2</v>
      </c>
      <c r="AC54" s="54"/>
      <c r="AD54" s="54"/>
    </row>
    <row r="55" spans="1:30" ht="17.25" x14ac:dyDescent="0.35">
      <c r="A55" s="54"/>
      <c r="B55" s="41" t="s">
        <v>75</v>
      </c>
      <c r="C55" s="54"/>
      <c r="D55" s="41" t="s">
        <v>167</v>
      </c>
      <c r="E55" s="59">
        <v>0.39916399624398957</v>
      </c>
      <c r="F55" s="60">
        <v>9.9038764595411166E-2</v>
      </c>
      <c r="G55" s="59">
        <v>0.48884361330080806</v>
      </c>
      <c r="H55" s="60">
        <v>4.5165339348086204E-2</v>
      </c>
      <c r="I55" s="59">
        <v>0.56996413090886322</v>
      </c>
      <c r="J55" s="60">
        <v>1.8769358718290125E-2</v>
      </c>
      <c r="K55" s="54"/>
      <c r="L55" s="54"/>
      <c r="M55" s="41" t="s">
        <v>167</v>
      </c>
      <c r="N55" s="59">
        <v>0.41974137201069917</v>
      </c>
      <c r="O55" s="60">
        <v>7.8863825164941712E-2</v>
      </c>
      <c r="P55" s="59">
        <v>0.49910002034448209</v>
      </c>
      <c r="Q55" s="60">
        <v>3.6936425891178397E-2</v>
      </c>
      <c r="R55" s="59">
        <v>0.55226315866768272</v>
      </c>
      <c r="S55" s="60">
        <v>1.6201797146545977E-2</v>
      </c>
      <c r="T55" s="54"/>
      <c r="U55" s="54"/>
      <c r="V55" s="41" t="s">
        <v>167</v>
      </c>
      <c r="W55" s="59">
        <v>0.23185236279189034</v>
      </c>
      <c r="X55" s="60">
        <v>0.16236446520222647</v>
      </c>
      <c r="Y55" s="59">
        <v>0.38177672463611062</v>
      </c>
      <c r="Z55" s="60">
        <v>8.9163639790704005E-2</v>
      </c>
      <c r="AA55" s="59">
        <v>0.45434328206660346</v>
      </c>
      <c r="AB55" s="60">
        <v>3.8586878320698237E-2</v>
      </c>
      <c r="AC55" s="54"/>
      <c r="AD55" s="54"/>
    </row>
    <row r="56" spans="1:30" ht="17.25" x14ac:dyDescent="0.35">
      <c r="A56" s="54"/>
      <c r="B56" s="41" t="s">
        <v>76</v>
      </c>
      <c r="C56" s="54"/>
      <c r="D56" s="41" t="s">
        <v>168</v>
      </c>
      <c r="E56" s="59">
        <v>0.48622003635150285</v>
      </c>
      <c r="F56" s="60">
        <v>0.12021262669269138</v>
      </c>
      <c r="G56" s="59">
        <v>0.62264418597462456</v>
      </c>
      <c r="H56" s="60">
        <v>5.3846228663834629E-2</v>
      </c>
      <c r="I56" s="59">
        <v>0.64066843929951967</v>
      </c>
      <c r="J56" s="60">
        <v>2.297556810172946E-2</v>
      </c>
      <c r="K56" s="54"/>
      <c r="L56" s="54"/>
      <c r="M56" s="41" t="s">
        <v>168</v>
      </c>
      <c r="N56" s="59">
        <v>0.74699360523291136</v>
      </c>
      <c r="O56" s="60">
        <v>9.0092789200356765E-2</v>
      </c>
      <c r="P56" s="59">
        <v>0.62627288708687145</v>
      </c>
      <c r="Q56" s="60">
        <v>4.2966122816615597E-2</v>
      </c>
      <c r="R56" s="59">
        <v>0.6657153170953013</v>
      </c>
      <c r="S56" s="60">
        <v>2.0647427757908562E-2</v>
      </c>
      <c r="T56" s="54"/>
      <c r="U56" s="54"/>
      <c r="V56" s="41" t="s">
        <v>168</v>
      </c>
      <c r="W56" s="59">
        <v>0.22521993483728159</v>
      </c>
      <c r="X56" s="60">
        <v>0.22923230786275442</v>
      </c>
      <c r="Y56" s="59">
        <v>0.407002092163194</v>
      </c>
      <c r="Z56" s="60">
        <v>0.11052668623339705</v>
      </c>
      <c r="AA56" s="59">
        <v>0.5393190300647237</v>
      </c>
      <c r="AB56" s="60">
        <v>4.5929064255074252E-2</v>
      </c>
      <c r="AC56" s="54"/>
      <c r="AD56" s="54"/>
    </row>
    <row r="57" spans="1:30" ht="17.25" x14ac:dyDescent="0.35">
      <c r="A57" s="54"/>
      <c r="B57" s="41" t="s">
        <v>77</v>
      </c>
      <c r="C57" s="54"/>
      <c r="D57" s="41" t="s">
        <v>169</v>
      </c>
      <c r="E57" s="59">
        <v>0.55806363001926917</v>
      </c>
      <c r="F57" s="60">
        <v>0.14573465020312606</v>
      </c>
      <c r="G57" s="59">
        <v>0.48959678881765412</v>
      </c>
      <c r="H57" s="60">
        <v>6.8794579944426448E-2</v>
      </c>
      <c r="I57" s="59">
        <v>0.52999731068084366</v>
      </c>
      <c r="J57" s="60">
        <v>3.0747120132763931E-2</v>
      </c>
      <c r="K57" s="54"/>
      <c r="L57" s="54"/>
      <c r="M57" s="41" t="s">
        <v>169</v>
      </c>
      <c r="N57" s="59">
        <v>0.21900711958824221</v>
      </c>
      <c r="O57" s="60">
        <v>0.11230087138494295</v>
      </c>
      <c r="P57" s="59">
        <v>0.28746674028626862</v>
      </c>
      <c r="Q57" s="60">
        <v>5.4577410528101562E-2</v>
      </c>
      <c r="R57" s="59">
        <v>0.32136394671264895</v>
      </c>
      <c r="S57" s="60">
        <v>2.4677878220991989E-2</v>
      </c>
      <c r="T57" s="54"/>
      <c r="U57" s="54"/>
      <c r="V57" s="41" t="s">
        <v>169</v>
      </c>
      <c r="W57" s="59">
        <v>0.42088410360497486</v>
      </c>
      <c r="X57" s="60">
        <v>0.32667301595508308</v>
      </c>
      <c r="Y57" s="59">
        <v>0.39425935371174531</v>
      </c>
      <c r="Z57" s="60">
        <v>0.16299521948729143</v>
      </c>
      <c r="AA57" s="59">
        <v>0.4433747736831754</v>
      </c>
      <c r="AB57" s="60">
        <v>7.0419802529275891E-2</v>
      </c>
      <c r="AC57" s="54"/>
      <c r="AD57" s="54"/>
    </row>
    <row r="58" spans="1:30" ht="17.25" x14ac:dyDescent="0.35">
      <c r="A58" s="54"/>
      <c r="B58" s="41" t="s">
        <v>78</v>
      </c>
      <c r="C58" s="54"/>
      <c r="D58" s="41" t="s">
        <v>170</v>
      </c>
      <c r="E58" s="59">
        <v>0.35652627070264248</v>
      </c>
      <c r="F58" s="60">
        <v>0.13926167129288675</v>
      </c>
      <c r="G58" s="59">
        <v>0.52844981178809369</v>
      </c>
      <c r="H58" s="60">
        <v>6.7110492474206057E-2</v>
      </c>
      <c r="I58" s="59">
        <v>0.56287362933484475</v>
      </c>
      <c r="J58" s="60">
        <v>3.0433695142773082E-2</v>
      </c>
      <c r="K58" s="54"/>
      <c r="L58" s="54"/>
      <c r="M58" s="41" t="s">
        <v>170</v>
      </c>
      <c r="N58" s="59">
        <v>0.58475910777373086</v>
      </c>
      <c r="O58" s="60">
        <v>0.22369891862922131</v>
      </c>
      <c r="P58" s="59">
        <v>0.66324091487418513</v>
      </c>
      <c r="Q58" s="60">
        <v>9.3592467470734589E-2</v>
      </c>
      <c r="R58" s="59">
        <v>0.70023774834364061</v>
      </c>
      <c r="S58" s="60">
        <v>4.2433189555755382E-2</v>
      </c>
      <c r="T58" s="54"/>
      <c r="U58" s="54"/>
      <c r="V58" s="41" t="s">
        <v>170</v>
      </c>
      <c r="W58" s="59">
        <v>0.40883335597070064</v>
      </c>
      <c r="X58" s="60">
        <v>0.19432526176873066</v>
      </c>
      <c r="Y58" s="59">
        <v>0.51080215076981716</v>
      </c>
      <c r="Z58" s="60">
        <v>9.3780867105281718E-2</v>
      </c>
      <c r="AA58" s="59">
        <v>0.55686909471875157</v>
      </c>
      <c r="AB58" s="60">
        <v>4.3766506187028612E-2</v>
      </c>
      <c r="AC58" s="54"/>
      <c r="AD58" s="54"/>
    </row>
    <row r="59" spans="1:30" ht="17.25" x14ac:dyDescent="0.35">
      <c r="A59" s="54"/>
      <c r="B59" s="41" t="s">
        <v>79</v>
      </c>
      <c r="C59" s="54"/>
      <c r="D59" s="41" t="s">
        <v>171</v>
      </c>
      <c r="E59" s="59">
        <v>0.58170003128402481</v>
      </c>
      <c r="F59" s="60">
        <v>0.35956795316617129</v>
      </c>
      <c r="G59" s="59">
        <v>0.6501961984187925</v>
      </c>
      <c r="H59" s="60">
        <v>0.1462564273347996</v>
      </c>
      <c r="I59" s="59">
        <v>0.72394464847693529</v>
      </c>
      <c r="J59" s="60">
        <v>6.4725763693436009E-2</v>
      </c>
      <c r="K59" s="54"/>
      <c r="L59" s="54"/>
      <c r="M59" s="41" t="s">
        <v>171</v>
      </c>
      <c r="N59" s="59">
        <v>2.2666183481087709</v>
      </c>
      <c r="O59" s="60">
        <v>0.41968645594131326</v>
      </c>
      <c r="P59" s="59">
        <v>1.0979239919721806</v>
      </c>
      <c r="Q59" s="60">
        <v>0.16972681375835053</v>
      </c>
      <c r="R59" s="59">
        <v>0.68448000524725228</v>
      </c>
      <c r="S59" s="60">
        <v>6.7966134031082495E-2</v>
      </c>
      <c r="T59" s="54"/>
      <c r="U59" s="54"/>
      <c r="V59" s="41" t="s">
        <v>171</v>
      </c>
      <c r="W59" s="59">
        <v>0.91895333833123494</v>
      </c>
      <c r="X59" s="60">
        <v>0.71140276700884886</v>
      </c>
      <c r="Y59" s="59">
        <v>0.76076409627296193</v>
      </c>
      <c r="Z59" s="60">
        <v>0.28449287436005644</v>
      </c>
      <c r="AA59" s="59">
        <v>0.68835363888002254</v>
      </c>
      <c r="AB59" s="60">
        <v>0.1271396647851602</v>
      </c>
      <c r="AC59" s="54"/>
      <c r="AD59" s="54"/>
    </row>
    <row r="60" spans="1:30" ht="17.25" x14ac:dyDescent="0.35">
      <c r="A60" s="54"/>
      <c r="B60" s="41" t="s">
        <v>80</v>
      </c>
      <c r="C60" s="54"/>
      <c r="D60" s="41" t="s">
        <v>172</v>
      </c>
      <c r="E60" s="59" t="s">
        <v>221</v>
      </c>
      <c r="F60" s="60" t="s">
        <v>221</v>
      </c>
      <c r="G60" s="59" t="s">
        <v>221</v>
      </c>
      <c r="H60" s="60" t="s">
        <v>221</v>
      </c>
      <c r="I60" s="59" t="s">
        <v>221</v>
      </c>
      <c r="J60" s="60" t="s">
        <v>221</v>
      </c>
      <c r="K60" s="54"/>
      <c r="L60" s="54"/>
      <c r="M60" s="41" t="s">
        <v>172</v>
      </c>
      <c r="N60" s="59" t="s">
        <v>221</v>
      </c>
      <c r="O60" s="60" t="s">
        <v>221</v>
      </c>
      <c r="P60" s="59" t="s">
        <v>221</v>
      </c>
      <c r="Q60" s="60" t="s">
        <v>221</v>
      </c>
      <c r="R60" s="59" t="s">
        <v>221</v>
      </c>
      <c r="S60" s="60" t="s">
        <v>221</v>
      </c>
      <c r="T60" s="54"/>
      <c r="U60" s="54"/>
      <c r="V60" s="41" t="s">
        <v>172</v>
      </c>
      <c r="W60" s="59" t="s">
        <v>221</v>
      </c>
      <c r="X60" s="60" t="s">
        <v>221</v>
      </c>
      <c r="Y60" s="59" t="s">
        <v>221</v>
      </c>
      <c r="Z60" s="60" t="s">
        <v>221</v>
      </c>
      <c r="AA60" s="59" t="s">
        <v>221</v>
      </c>
      <c r="AB60" s="60" t="s">
        <v>221</v>
      </c>
      <c r="AC60" s="54"/>
      <c r="AD60" s="54"/>
    </row>
    <row r="61" spans="1:30" ht="17.25" x14ac:dyDescent="0.35">
      <c r="A61" s="54"/>
      <c r="B61" s="41" t="s">
        <v>81</v>
      </c>
      <c r="C61" s="54"/>
      <c r="D61" s="41" t="s">
        <v>173</v>
      </c>
      <c r="E61" s="59">
        <v>0.6268325641397966</v>
      </c>
      <c r="F61" s="60">
        <v>0.24349370117346247</v>
      </c>
      <c r="G61" s="59">
        <v>0.71981077506974833</v>
      </c>
      <c r="H61" s="60">
        <v>0.11105347641053218</v>
      </c>
      <c r="I61" s="59">
        <v>0.63194749533587979</v>
      </c>
      <c r="J61" s="60">
        <v>5.1842518778284823E-2</v>
      </c>
      <c r="K61" s="54"/>
      <c r="L61" s="54"/>
      <c r="M61" s="41" t="s">
        <v>173</v>
      </c>
      <c r="N61" s="59">
        <v>0.8158236128634655</v>
      </c>
      <c r="O61" s="60">
        <v>0.16657528469060687</v>
      </c>
      <c r="P61" s="59">
        <v>0.8834139608694711</v>
      </c>
      <c r="Q61" s="60">
        <v>7.5850871572005013E-2</v>
      </c>
      <c r="R61" s="59">
        <v>0.87766101192802903</v>
      </c>
      <c r="S61" s="60">
        <v>3.2868241316278211E-2</v>
      </c>
      <c r="T61" s="54"/>
      <c r="U61" s="54"/>
      <c r="V61" s="41" t="s">
        <v>173</v>
      </c>
      <c r="W61" s="59">
        <v>-1.0431553620583007E-2</v>
      </c>
      <c r="X61" s="60">
        <v>0.45297859520512995</v>
      </c>
      <c r="Y61" s="59">
        <v>0.44839083271233171</v>
      </c>
      <c r="Z61" s="60">
        <v>0.19941338138065329</v>
      </c>
      <c r="AA61" s="59">
        <v>0.53766548310129381</v>
      </c>
      <c r="AB61" s="60">
        <v>8.7562352458500192E-2</v>
      </c>
      <c r="AC61" s="54"/>
      <c r="AD61" s="54"/>
    </row>
    <row r="62" spans="1:30" ht="17.25" x14ac:dyDescent="0.35">
      <c r="A62" s="54"/>
      <c r="B62" s="41" t="s">
        <v>82</v>
      </c>
      <c r="C62" s="54"/>
      <c r="D62" s="41" t="s">
        <v>174</v>
      </c>
      <c r="E62" s="59">
        <v>0.27202474256207188</v>
      </c>
      <c r="F62" s="60">
        <v>0.12008881197282861</v>
      </c>
      <c r="G62" s="59">
        <v>0.33475128234429236</v>
      </c>
      <c r="H62" s="60">
        <v>4.8167961510246347E-2</v>
      </c>
      <c r="I62" s="59">
        <v>0.38026288758368992</v>
      </c>
      <c r="J62" s="60">
        <v>2.1215536221307035E-2</v>
      </c>
      <c r="K62" s="54"/>
      <c r="L62" s="54"/>
      <c r="M62" s="41" t="s">
        <v>174</v>
      </c>
      <c r="N62" s="59">
        <v>0.36818218590214619</v>
      </c>
      <c r="O62" s="60">
        <v>8.5834318010499067E-2</v>
      </c>
      <c r="P62" s="59">
        <v>0.28415885167842347</v>
      </c>
      <c r="Q62" s="60">
        <v>3.4495174259104769E-2</v>
      </c>
      <c r="R62" s="59">
        <v>0.39750810589011393</v>
      </c>
      <c r="S62" s="60">
        <v>1.5813338483586969E-2</v>
      </c>
      <c r="T62" s="54"/>
      <c r="U62" s="54"/>
      <c r="V62" s="41" t="s">
        <v>174</v>
      </c>
      <c r="W62" s="59">
        <v>0.21553774355060576</v>
      </c>
      <c r="X62" s="60">
        <v>0.21532977318812138</v>
      </c>
      <c r="Y62" s="59">
        <v>0.24068426329796586</v>
      </c>
      <c r="Z62" s="60">
        <v>8.4937243372040103E-2</v>
      </c>
      <c r="AA62" s="59">
        <v>0.31061249412611186</v>
      </c>
      <c r="AB62" s="60">
        <v>3.8873870745002058E-2</v>
      </c>
      <c r="AC62" s="54"/>
      <c r="AD62" s="54"/>
    </row>
    <row r="63" spans="1:30" ht="17.25" x14ac:dyDescent="0.35">
      <c r="A63" s="54"/>
      <c r="B63" s="41" t="s">
        <v>83</v>
      </c>
      <c r="C63" s="54"/>
      <c r="D63" s="41" t="s">
        <v>175</v>
      </c>
      <c r="E63" s="59">
        <v>0.3240680236247272</v>
      </c>
      <c r="F63" s="60">
        <v>0.38498298041299556</v>
      </c>
      <c r="G63" s="59">
        <v>0.66940758737419415</v>
      </c>
      <c r="H63" s="60">
        <v>0.1679389911390797</v>
      </c>
      <c r="I63" s="59">
        <v>0.71383254996263834</v>
      </c>
      <c r="J63" s="60">
        <v>6.9329279843930211E-2</v>
      </c>
      <c r="K63" s="54"/>
      <c r="L63" s="54"/>
      <c r="M63" s="41" t="s">
        <v>175</v>
      </c>
      <c r="N63" s="59" t="s">
        <v>221</v>
      </c>
      <c r="O63" s="60" t="s">
        <v>221</v>
      </c>
      <c r="P63" s="59" t="s">
        <v>221</v>
      </c>
      <c r="Q63" s="60" t="s">
        <v>221</v>
      </c>
      <c r="R63" s="59" t="s">
        <v>221</v>
      </c>
      <c r="S63" s="60" t="s">
        <v>221</v>
      </c>
      <c r="T63" s="54"/>
      <c r="U63" s="54"/>
      <c r="V63" s="41" t="s">
        <v>175</v>
      </c>
      <c r="W63" s="59">
        <v>0.54215428124826182</v>
      </c>
      <c r="X63" s="60">
        <v>0.70251410239822576</v>
      </c>
      <c r="Y63" s="59">
        <v>0.72550297735171276</v>
      </c>
      <c r="Z63" s="60">
        <v>0.33101495064616293</v>
      </c>
      <c r="AA63" s="59">
        <v>0.85017793026834154</v>
      </c>
      <c r="AB63" s="60">
        <v>0.1280660083937975</v>
      </c>
      <c r="AC63" s="54"/>
      <c r="AD63" s="54"/>
    </row>
    <row r="64" spans="1:30" ht="17.25" x14ac:dyDescent="0.35">
      <c r="A64" s="54"/>
      <c r="B64" s="41" t="s">
        <v>84</v>
      </c>
      <c r="C64" s="54"/>
      <c r="D64" s="41" t="s">
        <v>176</v>
      </c>
      <c r="E64" s="59">
        <v>0.59478083572627194</v>
      </c>
      <c r="F64" s="60">
        <v>0.12379840640967284</v>
      </c>
      <c r="G64" s="59">
        <v>0.61655551448542134</v>
      </c>
      <c r="H64" s="60">
        <v>4.9454160590281168E-2</v>
      </c>
      <c r="I64" s="59">
        <v>0.63549130877935844</v>
      </c>
      <c r="J64" s="60">
        <v>2.2236517944745796E-2</v>
      </c>
      <c r="K64" s="54"/>
      <c r="L64" s="54"/>
      <c r="M64" s="41" t="s">
        <v>176</v>
      </c>
      <c r="N64" s="59">
        <v>0.40254720272274425</v>
      </c>
      <c r="O64" s="60">
        <v>8.5223585085258652E-2</v>
      </c>
      <c r="P64" s="59">
        <v>0.35746229470667545</v>
      </c>
      <c r="Q64" s="60">
        <v>4.4035990085491139E-2</v>
      </c>
      <c r="R64" s="59">
        <v>0.47136474561129388</v>
      </c>
      <c r="S64" s="60">
        <v>2.2068840145948863E-2</v>
      </c>
      <c r="T64" s="54"/>
      <c r="U64" s="54"/>
      <c r="V64" s="41" t="s">
        <v>176</v>
      </c>
      <c r="W64" s="59">
        <v>0.57600327563275866</v>
      </c>
      <c r="X64" s="60">
        <v>0.22427698254996409</v>
      </c>
      <c r="Y64" s="59">
        <v>0.6030998921119739</v>
      </c>
      <c r="Z64" s="60">
        <v>0.10358213963283225</v>
      </c>
      <c r="AA64" s="59">
        <v>0.64270079276825476</v>
      </c>
      <c r="AB64" s="60">
        <v>4.4585464208928942E-2</v>
      </c>
      <c r="AC64" s="54"/>
      <c r="AD64" s="54"/>
    </row>
    <row r="65" spans="1:30" ht="17.25" x14ac:dyDescent="0.35">
      <c r="A65" s="54"/>
      <c r="B65" s="41" t="s">
        <v>85</v>
      </c>
      <c r="C65" s="54"/>
      <c r="D65" s="41" t="s">
        <v>177</v>
      </c>
      <c r="E65" s="59" t="s">
        <v>221</v>
      </c>
      <c r="F65" s="60" t="s">
        <v>221</v>
      </c>
      <c r="G65" s="59" t="s">
        <v>221</v>
      </c>
      <c r="H65" s="60" t="s">
        <v>221</v>
      </c>
      <c r="I65" s="59" t="s">
        <v>221</v>
      </c>
      <c r="J65" s="60" t="s">
        <v>221</v>
      </c>
      <c r="K65" s="54"/>
      <c r="L65" s="54"/>
      <c r="M65" s="41" t="s">
        <v>177</v>
      </c>
      <c r="N65" s="59" t="s">
        <v>221</v>
      </c>
      <c r="O65" s="60" t="s">
        <v>221</v>
      </c>
      <c r="P65" s="59" t="s">
        <v>221</v>
      </c>
      <c r="Q65" s="60" t="s">
        <v>221</v>
      </c>
      <c r="R65" s="59" t="s">
        <v>221</v>
      </c>
      <c r="S65" s="60" t="s">
        <v>221</v>
      </c>
      <c r="T65" s="54"/>
      <c r="U65" s="54"/>
      <c r="V65" s="41" t="s">
        <v>177</v>
      </c>
      <c r="W65" s="59">
        <v>0.65070507403632549</v>
      </c>
      <c r="X65" s="60">
        <v>0.25668030048225843</v>
      </c>
      <c r="Y65" s="59">
        <v>0.5214414572808761</v>
      </c>
      <c r="Z65" s="60">
        <v>0.11686720227897709</v>
      </c>
      <c r="AA65" s="59">
        <v>0.45382068680516507</v>
      </c>
      <c r="AB65" s="60">
        <v>6.0611441046826614E-2</v>
      </c>
      <c r="AC65" s="54"/>
      <c r="AD65" s="54"/>
    </row>
    <row r="66" spans="1:30" ht="17.25" x14ac:dyDescent="0.35">
      <c r="A66" s="54"/>
      <c r="B66" s="41" t="s">
        <v>86</v>
      </c>
      <c r="C66" s="54"/>
      <c r="D66" s="41" t="s">
        <v>178</v>
      </c>
      <c r="E66" s="59">
        <v>0.27391000539532084</v>
      </c>
      <c r="F66" s="60">
        <v>0.17424371532337662</v>
      </c>
      <c r="G66" s="59">
        <v>0.33173008642438162</v>
      </c>
      <c r="H66" s="60">
        <v>9.3237671597172458E-2</v>
      </c>
      <c r="I66" s="59">
        <v>0.25847528339723519</v>
      </c>
      <c r="J66" s="60">
        <v>4.577408555624584E-2</v>
      </c>
      <c r="K66" s="54"/>
      <c r="L66" s="54"/>
      <c r="M66" s="41" t="s">
        <v>178</v>
      </c>
      <c r="N66" s="59" t="s">
        <v>221</v>
      </c>
      <c r="O66" s="60" t="s">
        <v>221</v>
      </c>
      <c r="P66" s="59" t="s">
        <v>221</v>
      </c>
      <c r="Q66" s="60" t="s">
        <v>221</v>
      </c>
      <c r="R66" s="59" t="s">
        <v>221</v>
      </c>
      <c r="S66" s="60" t="s">
        <v>221</v>
      </c>
      <c r="T66" s="54"/>
      <c r="U66" s="54"/>
      <c r="V66" s="41" t="s">
        <v>178</v>
      </c>
      <c r="W66" s="59">
        <v>0.15430017863271955</v>
      </c>
      <c r="X66" s="60">
        <v>0.24341225444285877</v>
      </c>
      <c r="Y66" s="59">
        <v>0.26213166260408982</v>
      </c>
      <c r="Z66" s="60">
        <v>0.13033489846529522</v>
      </c>
      <c r="AA66" s="59">
        <v>0.16780721926345779</v>
      </c>
      <c r="AB66" s="60">
        <v>6.8695064201719877E-2</v>
      </c>
      <c r="AC66" s="54"/>
      <c r="AD66" s="54"/>
    </row>
    <row r="67" spans="1:30" ht="17.25" x14ac:dyDescent="0.35">
      <c r="A67" s="54"/>
      <c r="B67" s="41" t="s">
        <v>87</v>
      </c>
      <c r="C67" s="54"/>
      <c r="D67" s="41" t="s">
        <v>179</v>
      </c>
      <c r="E67" s="59" t="s">
        <v>221</v>
      </c>
      <c r="F67" s="60" t="s">
        <v>221</v>
      </c>
      <c r="G67" s="59" t="s">
        <v>221</v>
      </c>
      <c r="H67" s="60" t="s">
        <v>221</v>
      </c>
      <c r="I67" s="59" t="s">
        <v>221</v>
      </c>
      <c r="J67" s="60" t="s">
        <v>221</v>
      </c>
      <c r="K67" s="54"/>
      <c r="L67" s="54"/>
      <c r="M67" s="41" t="s">
        <v>179</v>
      </c>
      <c r="N67" s="59" t="s">
        <v>221</v>
      </c>
      <c r="O67" s="60" t="s">
        <v>221</v>
      </c>
      <c r="P67" s="59" t="s">
        <v>221</v>
      </c>
      <c r="Q67" s="60" t="s">
        <v>221</v>
      </c>
      <c r="R67" s="59" t="s">
        <v>221</v>
      </c>
      <c r="S67" s="60" t="s">
        <v>221</v>
      </c>
      <c r="T67" s="54"/>
      <c r="U67" s="54"/>
      <c r="V67" s="41" t="s">
        <v>179</v>
      </c>
      <c r="W67" s="59" t="s">
        <v>221</v>
      </c>
      <c r="X67" s="60" t="s">
        <v>221</v>
      </c>
      <c r="Y67" s="59" t="s">
        <v>221</v>
      </c>
      <c r="Z67" s="60" t="s">
        <v>221</v>
      </c>
      <c r="AA67" s="59" t="s">
        <v>221</v>
      </c>
      <c r="AB67" s="60" t="s">
        <v>221</v>
      </c>
      <c r="AC67" s="54"/>
      <c r="AD67" s="54"/>
    </row>
    <row r="68" spans="1:30" ht="17.25" x14ac:dyDescent="0.35">
      <c r="A68" s="54"/>
      <c r="B68" s="41" t="s">
        <v>88</v>
      </c>
      <c r="C68" s="54"/>
      <c r="D68" s="41" t="s">
        <v>180</v>
      </c>
      <c r="E68" s="59">
        <v>4.602663314132515E-2</v>
      </c>
      <c r="F68" s="60">
        <v>0.18678209689773506</v>
      </c>
      <c r="G68" s="59">
        <v>0.20335058761215902</v>
      </c>
      <c r="H68" s="60">
        <v>8.6777723656986605E-2</v>
      </c>
      <c r="I68" s="59">
        <v>0.20018443318101412</v>
      </c>
      <c r="J68" s="60">
        <v>4.6084924554038988E-2</v>
      </c>
      <c r="K68" s="54"/>
      <c r="L68" s="54"/>
      <c r="M68" s="41" t="s">
        <v>180</v>
      </c>
      <c r="N68" s="59" t="s">
        <v>221</v>
      </c>
      <c r="O68" s="60" t="s">
        <v>221</v>
      </c>
      <c r="P68" s="59" t="s">
        <v>221</v>
      </c>
      <c r="Q68" s="60" t="s">
        <v>221</v>
      </c>
      <c r="R68" s="59" t="s">
        <v>221</v>
      </c>
      <c r="S68" s="60" t="s">
        <v>221</v>
      </c>
      <c r="T68" s="54"/>
      <c r="U68" s="54"/>
      <c r="V68" s="41" t="s">
        <v>180</v>
      </c>
      <c r="W68" s="59">
        <v>2.9541631963665931E-2</v>
      </c>
      <c r="X68" s="60">
        <v>0.3349449871300999</v>
      </c>
      <c r="Y68" s="59">
        <v>0.25491194407247642</v>
      </c>
      <c r="Z68" s="60">
        <v>0.16157365139001997</v>
      </c>
      <c r="AA68" s="59">
        <v>0.17396391257659896</v>
      </c>
      <c r="AB68" s="60">
        <v>8.3682644191939243E-2</v>
      </c>
      <c r="AC68" s="54"/>
      <c r="AD68" s="54"/>
    </row>
    <row r="69" spans="1:30" ht="17.25" x14ac:dyDescent="0.35">
      <c r="A69" s="54"/>
      <c r="B69" s="41" t="s">
        <v>89</v>
      </c>
      <c r="C69" s="54"/>
      <c r="D69" s="41" t="s">
        <v>181</v>
      </c>
      <c r="E69" s="59" t="s">
        <v>221</v>
      </c>
      <c r="F69" s="60" t="s">
        <v>221</v>
      </c>
      <c r="G69" s="59" t="s">
        <v>221</v>
      </c>
      <c r="H69" s="60" t="s">
        <v>221</v>
      </c>
      <c r="I69" s="59" t="s">
        <v>221</v>
      </c>
      <c r="J69" s="60" t="s">
        <v>221</v>
      </c>
      <c r="K69" s="54"/>
      <c r="L69" s="54"/>
      <c r="M69" s="41" t="s">
        <v>181</v>
      </c>
      <c r="N69" s="59" t="s">
        <v>221</v>
      </c>
      <c r="O69" s="60" t="s">
        <v>221</v>
      </c>
      <c r="P69" s="59" t="s">
        <v>221</v>
      </c>
      <c r="Q69" s="60" t="s">
        <v>221</v>
      </c>
      <c r="R69" s="59" t="s">
        <v>221</v>
      </c>
      <c r="S69" s="60" t="s">
        <v>221</v>
      </c>
      <c r="T69" s="54"/>
      <c r="U69" s="54"/>
      <c r="V69" s="41" t="s">
        <v>181</v>
      </c>
      <c r="W69" s="59" t="s">
        <v>221</v>
      </c>
      <c r="X69" s="60" t="s">
        <v>221</v>
      </c>
      <c r="Y69" s="59" t="s">
        <v>221</v>
      </c>
      <c r="Z69" s="60" t="s">
        <v>221</v>
      </c>
      <c r="AA69" s="59" t="s">
        <v>221</v>
      </c>
      <c r="AB69" s="60" t="s">
        <v>221</v>
      </c>
      <c r="AC69" s="54"/>
      <c r="AD69" s="54"/>
    </row>
    <row r="70" spans="1:30" ht="17.25" x14ac:dyDescent="0.35">
      <c r="A70" s="54"/>
      <c r="B70" s="41" t="s">
        <v>90</v>
      </c>
      <c r="C70" s="54"/>
      <c r="D70" s="41" t="s">
        <v>182</v>
      </c>
      <c r="E70" s="59">
        <v>0.44661940207151041</v>
      </c>
      <c r="F70" s="60">
        <v>9.6115716834741363E-2</v>
      </c>
      <c r="G70" s="59">
        <v>0.48262352070514447</v>
      </c>
      <c r="H70" s="60">
        <v>4.7961756515645028E-2</v>
      </c>
      <c r="I70" s="59">
        <v>0.55489765835302274</v>
      </c>
      <c r="J70" s="60">
        <v>2.3197968139606683E-2</v>
      </c>
      <c r="K70" s="54"/>
      <c r="L70" s="54"/>
      <c r="M70" s="41" t="s">
        <v>182</v>
      </c>
      <c r="N70" s="59">
        <v>0.30535341525086662</v>
      </c>
      <c r="O70" s="60">
        <v>6.0678082475355159E-2</v>
      </c>
      <c r="P70" s="59">
        <v>0.36318754423830307</v>
      </c>
      <c r="Q70" s="60">
        <v>3.1993562959677549E-2</v>
      </c>
      <c r="R70" s="59">
        <v>0.38273709939340639</v>
      </c>
      <c r="S70" s="60">
        <v>1.6950034261875052E-2</v>
      </c>
      <c r="T70" s="54"/>
      <c r="U70" s="54"/>
      <c r="V70" s="41" t="s">
        <v>182</v>
      </c>
      <c r="W70" s="59">
        <v>0.51795367595120778</v>
      </c>
      <c r="X70" s="60">
        <v>0.15961158828665895</v>
      </c>
      <c r="Y70" s="59">
        <v>0.43786281685084799</v>
      </c>
      <c r="Z70" s="60">
        <v>9.4286010679649326E-2</v>
      </c>
      <c r="AA70" s="59">
        <v>0.51440265034434374</v>
      </c>
      <c r="AB70" s="60">
        <v>4.7061583111388451E-2</v>
      </c>
      <c r="AC70" s="54"/>
      <c r="AD70" s="54"/>
    </row>
    <row r="71" spans="1:30" ht="17.25" x14ac:dyDescent="0.35">
      <c r="A71" s="54"/>
      <c r="B71" s="41" t="s">
        <v>91</v>
      </c>
      <c r="C71" s="54"/>
      <c r="D71" s="41" t="s">
        <v>183</v>
      </c>
      <c r="E71" s="59">
        <v>0.57660415401189258</v>
      </c>
      <c r="F71" s="60">
        <v>0.11799063237483999</v>
      </c>
      <c r="G71" s="59">
        <v>0.67060104142366883</v>
      </c>
      <c r="H71" s="60">
        <v>6.2332547431859016E-2</v>
      </c>
      <c r="I71" s="59">
        <v>0.77716821164729954</v>
      </c>
      <c r="J71" s="60">
        <v>2.8986190865960978E-2</v>
      </c>
      <c r="K71" s="54"/>
      <c r="L71" s="54"/>
      <c r="M71" s="41" t="s">
        <v>183</v>
      </c>
      <c r="N71" s="59">
        <v>0.52807424743353892</v>
      </c>
      <c r="O71" s="60">
        <v>0.10114143852165425</v>
      </c>
      <c r="P71" s="59">
        <v>0.49819455699642656</v>
      </c>
      <c r="Q71" s="60">
        <v>5.1906837604121008E-2</v>
      </c>
      <c r="R71" s="59">
        <v>0.51785379232192164</v>
      </c>
      <c r="S71" s="60">
        <v>2.6202172391213023E-2</v>
      </c>
      <c r="T71" s="54"/>
      <c r="U71" s="54"/>
      <c r="V71" s="41" t="s">
        <v>183</v>
      </c>
      <c r="W71" s="59">
        <v>0.4729895514151356</v>
      </c>
      <c r="X71" s="60">
        <v>0.21695443362718331</v>
      </c>
      <c r="Y71" s="59">
        <v>0.4311182597363753</v>
      </c>
      <c r="Z71" s="60">
        <v>0.10904936513802507</v>
      </c>
      <c r="AA71" s="59">
        <v>0.61949664145537708</v>
      </c>
      <c r="AB71" s="60">
        <v>5.255025839562362E-2</v>
      </c>
      <c r="AC71" s="54"/>
      <c r="AD71" s="54"/>
    </row>
    <row r="72" spans="1:30" ht="17.25" x14ac:dyDescent="0.35">
      <c r="A72" s="54"/>
      <c r="B72" s="41" t="s">
        <v>92</v>
      </c>
      <c r="C72" s="54"/>
      <c r="D72" s="41" t="s">
        <v>184</v>
      </c>
      <c r="E72" s="59">
        <v>0.54895289138286529</v>
      </c>
      <c r="F72" s="60">
        <v>9.3994617110715467E-2</v>
      </c>
      <c r="G72" s="59">
        <v>0.52298661755387732</v>
      </c>
      <c r="H72" s="60">
        <v>4.3727084585953119E-2</v>
      </c>
      <c r="I72" s="59">
        <v>0.51008630116407083</v>
      </c>
      <c r="J72" s="60">
        <v>1.9147636102070074E-2</v>
      </c>
      <c r="K72" s="54"/>
      <c r="L72" s="54"/>
      <c r="M72" s="41" t="s">
        <v>184</v>
      </c>
      <c r="N72" s="59">
        <v>0.58255056086725288</v>
      </c>
      <c r="O72" s="60">
        <v>0.108316317286168</v>
      </c>
      <c r="P72" s="59">
        <v>0.60731802613874097</v>
      </c>
      <c r="Q72" s="60">
        <v>5.6331923395160112E-2</v>
      </c>
      <c r="R72" s="59">
        <v>0.61693623405861431</v>
      </c>
      <c r="S72" s="60">
        <v>2.5904386324033184E-2</v>
      </c>
      <c r="T72" s="54"/>
      <c r="U72" s="54"/>
      <c r="V72" s="41" t="s">
        <v>184</v>
      </c>
      <c r="W72" s="59">
        <v>0.66964887311829968</v>
      </c>
      <c r="X72" s="60">
        <v>0.17189275804480636</v>
      </c>
      <c r="Y72" s="59">
        <v>0.53797542828537692</v>
      </c>
      <c r="Z72" s="60">
        <v>8.3394644985005831E-2</v>
      </c>
      <c r="AA72" s="59">
        <v>0.53395150951185721</v>
      </c>
      <c r="AB72" s="60">
        <v>3.9413047806259899E-2</v>
      </c>
      <c r="AC72" s="54"/>
      <c r="AD72" s="54"/>
    </row>
    <row r="73" spans="1:30" ht="17.25" x14ac:dyDescent="0.35">
      <c r="A73" s="54"/>
      <c r="B73" s="41" t="s">
        <v>93</v>
      </c>
      <c r="C73" s="54"/>
      <c r="D73" s="41" t="s">
        <v>185</v>
      </c>
      <c r="E73" s="59">
        <v>0.28958381465452521</v>
      </c>
      <c r="F73" s="60">
        <v>8.7208295054803112E-2</v>
      </c>
      <c r="G73" s="59">
        <v>0.31546588132381326</v>
      </c>
      <c r="H73" s="60">
        <v>3.9980097718110036E-2</v>
      </c>
      <c r="I73" s="59">
        <v>0.34564702410121689</v>
      </c>
      <c r="J73" s="60">
        <v>2.067533388824026E-2</v>
      </c>
      <c r="K73" s="54"/>
      <c r="L73" s="54"/>
      <c r="M73" s="41" t="s">
        <v>185</v>
      </c>
      <c r="N73" s="59">
        <v>0.15881514187518028</v>
      </c>
      <c r="O73" s="60">
        <v>7.6735642755365166E-2</v>
      </c>
      <c r="P73" s="59">
        <v>0.15412548486327188</v>
      </c>
      <c r="Q73" s="60">
        <v>3.6335745328459824E-2</v>
      </c>
      <c r="R73" s="59">
        <v>0.22348225272376535</v>
      </c>
      <c r="S73" s="60">
        <v>1.7189290045896685E-2</v>
      </c>
      <c r="T73" s="54"/>
      <c r="U73" s="54"/>
      <c r="V73" s="41" t="s">
        <v>185</v>
      </c>
      <c r="W73" s="59">
        <v>0.32059511897241544</v>
      </c>
      <c r="X73" s="60">
        <v>0.14065505279701762</v>
      </c>
      <c r="Y73" s="59">
        <v>0.45064981024080952</v>
      </c>
      <c r="Z73" s="60">
        <v>7.3792848690915847E-2</v>
      </c>
      <c r="AA73" s="59">
        <v>0.40321377805156766</v>
      </c>
      <c r="AB73" s="60">
        <v>4.1307850041160256E-2</v>
      </c>
      <c r="AC73" s="54"/>
      <c r="AD73" s="54"/>
    </row>
    <row r="74" spans="1:30" ht="17.25" x14ac:dyDescent="0.35">
      <c r="A74" s="54"/>
      <c r="B74" s="41" t="s">
        <v>94</v>
      </c>
      <c r="C74" s="54"/>
      <c r="D74" s="41" t="s">
        <v>186</v>
      </c>
      <c r="E74" s="59" t="s">
        <v>221</v>
      </c>
      <c r="F74" s="60" t="s">
        <v>221</v>
      </c>
      <c r="G74" s="59" t="s">
        <v>221</v>
      </c>
      <c r="H74" s="60" t="s">
        <v>221</v>
      </c>
      <c r="I74" s="59" t="s">
        <v>221</v>
      </c>
      <c r="J74" s="60" t="s">
        <v>221</v>
      </c>
      <c r="K74" s="54"/>
      <c r="L74" s="54"/>
      <c r="M74" s="41" t="s">
        <v>186</v>
      </c>
      <c r="N74" s="59" t="s">
        <v>221</v>
      </c>
      <c r="O74" s="60" t="s">
        <v>221</v>
      </c>
      <c r="P74" s="59" t="s">
        <v>221</v>
      </c>
      <c r="Q74" s="60" t="s">
        <v>221</v>
      </c>
      <c r="R74" s="59" t="s">
        <v>221</v>
      </c>
      <c r="S74" s="60" t="s">
        <v>221</v>
      </c>
      <c r="T74" s="54"/>
      <c r="U74" s="54"/>
      <c r="V74" s="41" t="s">
        <v>186</v>
      </c>
      <c r="W74" s="59">
        <v>0.56190998662819325</v>
      </c>
      <c r="X74" s="60">
        <v>0.25253002537597441</v>
      </c>
      <c r="Y74" s="59">
        <v>0.64741094104640928</v>
      </c>
      <c r="Z74" s="60">
        <v>0.10797706902982095</v>
      </c>
      <c r="AA74" s="59">
        <v>0.56190875083255543</v>
      </c>
      <c r="AB74" s="60">
        <v>5.12545928973481E-2</v>
      </c>
      <c r="AC74" s="54"/>
      <c r="AD74" s="54"/>
    </row>
    <row r="75" spans="1:30" ht="17.25" x14ac:dyDescent="0.35">
      <c r="A75" s="54"/>
      <c r="B75" s="41" t="s">
        <v>95</v>
      </c>
      <c r="C75" s="54"/>
      <c r="D75" s="41" t="s">
        <v>187</v>
      </c>
      <c r="E75" s="59">
        <v>0.29299537265712666</v>
      </c>
      <c r="F75" s="60">
        <v>0.11178761510255515</v>
      </c>
      <c r="G75" s="59">
        <v>0.24105005055164525</v>
      </c>
      <c r="H75" s="60">
        <v>5.210710105735223E-2</v>
      </c>
      <c r="I75" s="59">
        <v>0.26782555994511331</v>
      </c>
      <c r="J75" s="60">
        <v>2.6974164473949059E-2</v>
      </c>
      <c r="K75" s="54"/>
      <c r="L75" s="54"/>
      <c r="M75" s="41" t="s">
        <v>187</v>
      </c>
      <c r="N75" s="59">
        <v>0.14575733343774064</v>
      </c>
      <c r="O75" s="60">
        <v>0.12708735504568081</v>
      </c>
      <c r="P75" s="59">
        <v>0.14894001682746341</v>
      </c>
      <c r="Q75" s="60">
        <v>5.3547624489707853E-2</v>
      </c>
      <c r="R75" s="59">
        <v>0.17985249027697939</v>
      </c>
      <c r="S75" s="60">
        <v>2.3807086945882728E-2</v>
      </c>
      <c r="T75" s="54"/>
      <c r="U75" s="54"/>
      <c r="V75" s="41" t="s">
        <v>187</v>
      </c>
      <c r="W75" s="59">
        <v>0.35562710618378024</v>
      </c>
      <c r="X75" s="60">
        <v>0.20867594349435764</v>
      </c>
      <c r="Y75" s="59">
        <v>0.3188095027630059</v>
      </c>
      <c r="Z75" s="60">
        <v>0.11297745215374488</v>
      </c>
      <c r="AA75" s="59">
        <v>0.3081741875836283</v>
      </c>
      <c r="AB75" s="60">
        <v>5.6933507277028103E-2</v>
      </c>
      <c r="AC75" s="54"/>
      <c r="AD75" s="54"/>
    </row>
    <row r="76" spans="1:30" ht="17.25" x14ac:dyDescent="0.35">
      <c r="A76" s="54"/>
      <c r="B76" s="41" t="s">
        <v>96</v>
      </c>
      <c r="C76" s="54"/>
      <c r="D76" s="41" t="s">
        <v>188</v>
      </c>
      <c r="E76" s="59" t="s">
        <v>221</v>
      </c>
      <c r="F76" s="60" t="s">
        <v>221</v>
      </c>
      <c r="G76" s="59" t="s">
        <v>221</v>
      </c>
      <c r="H76" s="60" t="s">
        <v>221</v>
      </c>
      <c r="I76" s="59" t="s">
        <v>221</v>
      </c>
      <c r="J76" s="60" t="s">
        <v>221</v>
      </c>
      <c r="K76" s="54"/>
      <c r="L76" s="54"/>
      <c r="M76" s="41" t="s">
        <v>188</v>
      </c>
      <c r="N76" s="59" t="s">
        <v>221</v>
      </c>
      <c r="O76" s="60" t="s">
        <v>221</v>
      </c>
      <c r="P76" s="59" t="s">
        <v>221</v>
      </c>
      <c r="Q76" s="60" t="s">
        <v>221</v>
      </c>
      <c r="R76" s="59" t="s">
        <v>221</v>
      </c>
      <c r="S76" s="60" t="s">
        <v>221</v>
      </c>
      <c r="T76" s="54"/>
      <c r="U76" s="54"/>
      <c r="V76" s="41" t="s">
        <v>188</v>
      </c>
      <c r="W76" s="59" t="s">
        <v>221</v>
      </c>
      <c r="X76" s="60" t="s">
        <v>221</v>
      </c>
      <c r="Y76" s="59" t="s">
        <v>221</v>
      </c>
      <c r="Z76" s="60" t="s">
        <v>221</v>
      </c>
      <c r="AA76" s="59" t="s">
        <v>221</v>
      </c>
      <c r="AB76" s="60" t="s">
        <v>221</v>
      </c>
      <c r="AC76" s="54"/>
      <c r="AD76" s="54"/>
    </row>
    <row r="77" spans="1:30" ht="17.25" x14ac:dyDescent="0.35">
      <c r="A77" s="54"/>
      <c r="B77" s="41" t="s">
        <v>97</v>
      </c>
      <c r="C77" s="54"/>
      <c r="D77" s="41" t="s">
        <v>189</v>
      </c>
      <c r="E77" s="59" t="s">
        <v>221</v>
      </c>
      <c r="F77" s="60" t="s">
        <v>221</v>
      </c>
      <c r="G77" s="59" t="s">
        <v>221</v>
      </c>
      <c r="H77" s="60" t="s">
        <v>221</v>
      </c>
      <c r="I77" s="59" t="s">
        <v>221</v>
      </c>
      <c r="J77" s="60" t="s">
        <v>221</v>
      </c>
      <c r="K77" s="54"/>
      <c r="L77" s="54"/>
      <c r="M77" s="41" t="s">
        <v>189</v>
      </c>
      <c r="N77" s="59" t="s">
        <v>221</v>
      </c>
      <c r="O77" s="60" t="s">
        <v>221</v>
      </c>
      <c r="P77" s="59" t="s">
        <v>221</v>
      </c>
      <c r="Q77" s="60" t="s">
        <v>221</v>
      </c>
      <c r="R77" s="59" t="s">
        <v>221</v>
      </c>
      <c r="S77" s="60" t="s">
        <v>221</v>
      </c>
      <c r="T77" s="54"/>
      <c r="U77" s="54"/>
      <c r="V77" s="41" t="s">
        <v>189</v>
      </c>
      <c r="W77" s="59">
        <v>0.47870454443497651</v>
      </c>
      <c r="X77" s="60">
        <v>0.18044859430467064</v>
      </c>
      <c r="Y77" s="59">
        <v>0.29686892434906836</v>
      </c>
      <c r="Z77" s="60">
        <v>8.212745056591067E-2</v>
      </c>
      <c r="AA77" s="59">
        <v>0.25758754414409679</v>
      </c>
      <c r="AB77" s="60">
        <v>3.8599390781252033E-2</v>
      </c>
      <c r="AC77" s="54"/>
      <c r="AD77" s="54"/>
    </row>
    <row r="78" spans="1:30" ht="17.25" x14ac:dyDescent="0.35">
      <c r="A78" s="54"/>
      <c r="B78" s="41" t="s">
        <v>98</v>
      </c>
      <c r="C78" s="54"/>
      <c r="D78" s="41" t="s">
        <v>190</v>
      </c>
      <c r="E78" s="59" t="s">
        <v>221</v>
      </c>
      <c r="F78" s="60" t="s">
        <v>221</v>
      </c>
      <c r="G78" s="59" t="s">
        <v>221</v>
      </c>
      <c r="H78" s="60" t="s">
        <v>221</v>
      </c>
      <c r="I78" s="59" t="s">
        <v>221</v>
      </c>
      <c r="J78" s="60" t="s">
        <v>221</v>
      </c>
      <c r="K78" s="54"/>
      <c r="L78" s="54"/>
      <c r="M78" s="41" t="s">
        <v>190</v>
      </c>
      <c r="N78" s="59" t="s">
        <v>221</v>
      </c>
      <c r="O78" s="60" t="s">
        <v>221</v>
      </c>
      <c r="P78" s="59" t="s">
        <v>221</v>
      </c>
      <c r="Q78" s="60" t="s">
        <v>221</v>
      </c>
      <c r="R78" s="59" t="s">
        <v>221</v>
      </c>
      <c r="S78" s="60" t="s">
        <v>221</v>
      </c>
      <c r="T78" s="54"/>
      <c r="U78" s="54"/>
      <c r="V78" s="41" t="s">
        <v>190</v>
      </c>
      <c r="W78" s="59" t="s">
        <v>221</v>
      </c>
      <c r="X78" s="60" t="s">
        <v>221</v>
      </c>
      <c r="Y78" s="59" t="s">
        <v>221</v>
      </c>
      <c r="Z78" s="60" t="s">
        <v>221</v>
      </c>
      <c r="AA78" s="59" t="s">
        <v>221</v>
      </c>
      <c r="AB78" s="60" t="s">
        <v>221</v>
      </c>
      <c r="AC78" s="54"/>
      <c r="AD78" s="54"/>
    </row>
    <row r="79" spans="1:30" ht="17.25" x14ac:dyDescent="0.35">
      <c r="A79" s="54"/>
      <c r="B79" s="41" t="s">
        <v>99</v>
      </c>
      <c r="C79" s="54"/>
      <c r="D79" s="41" t="s">
        <v>191</v>
      </c>
      <c r="E79" s="59">
        <v>0.52710467299396058</v>
      </c>
      <c r="F79" s="60">
        <v>0.10327627614905656</v>
      </c>
      <c r="G79" s="59">
        <v>0.49494300660684465</v>
      </c>
      <c r="H79" s="60">
        <v>5.3511298989869553E-2</v>
      </c>
      <c r="I79" s="59">
        <v>0.46507261002730604</v>
      </c>
      <c r="J79" s="60">
        <v>2.3351039628818848E-2</v>
      </c>
      <c r="K79" s="54"/>
      <c r="L79" s="54"/>
      <c r="M79" s="41" t="s">
        <v>191</v>
      </c>
      <c r="N79" s="59">
        <v>0.50940736999270775</v>
      </c>
      <c r="O79" s="60">
        <v>6.933047548843202E-2</v>
      </c>
      <c r="P79" s="59">
        <v>0.42131187423217281</v>
      </c>
      <c r="Q79" s="60">
        <v>3.1214373001068951E-2</v>
      </c>
      <c r="R79" s="59">
        <v>0.40324911285994131</v>
      </c>
      <c r="S79" s="60">
        <v>1.2497089031628154E-2</v>
      </c>
      <c r="T79" s="54"/>
      <c r="U79" s="54"/>
      <c r="V79" s="41" t="s">
        <v>191</v>
      </c>
      <c r="W79" s="59">
        <v>0.48637186229046614</v>
      </c>
      <c r="X79" s="60">
        <v>0.1621965061240446</v>
      </c>
      <c r="Y79" s="59">
        <v>0.36339837512985274</v>
      </c>
      <c r="Z79" s="60">
        <v>7.9400991497985643E-2</v>
      </c>
      <c r="AA79" s="59">
        <v>0.35450973951324516</v>
      </c>
      <c r="AB79" s="60">
        <v>3.720431677099327E-2</v>
      </c>
      <c r="AC79" s="54"/>
      <c r="AD79" s="54"/>
    </row>
    <row r="80" spans="1:30" ht="17.25" x14ac:dyDescent="0.35">
      <c r="A80" s="54"/>
      <c r="B80" s="41" t="s">
        <v>100</v>
      </c>
      <c r="C80" s="54"/>
      <c r="D80" s="41" t="s">
        <v>192</v>
      </c>
      <c r="E80" s="59">
        <v>0.24035241723941322</v>
      </c>
      <c r="F80" s="60">
        <v>0.10210862389267833</v>
      </c>
      <c r="G80" s="59">
        <v>0.26141497589616453</v>
      </c>
      <c r="H80" s="60">
        <v>4.8049928638612023E-2</v>
      </c>
      <c r="I80" s="59">
        <v>0.28346350627735628</v>
      </c>
      <c r="J80" s="60">
        <v>2.3749384070990337E-2</v>
      </c>
      <c r="K80" s="54"/>
      <c r="L80" s="54"/>
      <c r="M80" s="41" t="s">
        <v>192</v>
      </c>
      <c r="N80" s="59">
        <v>0.28150372728391987</v>
      </c>
      <c r="O80" s="60">
        <v>0.11398841899702612</v>
      </c>
      <c r="P80" s="59">
        <v>0.2906941919740621</v>
      </c>
      <c r="Q80" s="60">
        <v>5.3283931714473542E-2</v>
      </c>
      <c r="R80" s="59">
        <v>0.33669519388624808</v>
      </c>
      <c r="S80" s="60">
        <v>2.4105472560729698E-2</v>
      </c>
      <c r="T80" s="54"/>
      <c r="U80" s="54"/>
      <c r="V80" s="41" t="s">
        <v>192</v>
      </c>
      <c r="W80" s="59">
        <v>0.3221169577528874</v>
      </c>
      <c r="X80" s="60">
        <v>0.15916400869844413</v>
      </c>
      <c r="Y80" s="59">
        <v>0.36587870500638581</v>
      </c>
      <c r="Z80" s="60">
        <v>8.5084328710409399E-2</v>
      </c>
      <c r="AA80" s="59">
        <v>0.32231744003658724</v>
      </c>
      <c r="AB80" s="60">
        <v>4.1309143017132129E-2</v>
      </c>
      <c r="AC80" s="54"/>
      <c r="AD80" s="54"/>
    </row>
    <row r="81" spans="1:30" ht="17.25" x14ac:dyDescent="0.35">
      <c r="A81" s="54"/>
      <c r="B81" s="41" t="s">
        <v>101</v>
      </c>
      <c r="C81" s="54"/>
      <c r="D81" s="41" t="s">
        <v>193</v>
      </c>
      <c r="E81" s="59">
        <v>0.38052682228984624</v>
      </c>
      <c r="F81" s="60">
        <v>0.11077226185880176</v>
      </c>
      <c r="G81" s="59">
        <v>0.34336663220915692</v>
      </c>
      <c r="H81" s="60">
        <v>5.5699425960488651E-2</v>
      </c>
      <c r="I81" s="59">
        <v>0.41903785697671753</v>
      </c>
      <c r="J81" s="60">
        <v>2.7367755386433414E-2</v>
      </c>
      <c r="K81" s="54"/>
      <c r="L81" s="54"/>
      <c r="M81" s="41" t="s">
        <v>193</v>
      </c>
      <c r="N81" s="59">
        <v>0.23496542122682315</v>
      </c>
      <c r="O81" s="60">
        <v>8.6143798728641613E-2</v>
      </c>
      <c r="P81" s="59">
        <v>0.32404065411814093</v>
      </c>
      <c r="Q81" s="60">
        <v>3.9506854816739399E-2</v>
      </c>
      <c r="R81" s="59">
        <v>0.38790433815726078</v>
      </c>
      <c r="S81" s="60">
        <v>2.0390033885879875E-2</v>
      </c>
      <c r="T81" s="54"/>
      <c r="U81" s="54"/>
      <c r="V81" s="41" t="s">
        <v>193</v>
      </c>
      <c r="W81" s="59">
        <v>0.50810203304617407</v>
      </c>
      <c r="X81" s="60">
        <v>0.19140932285557555</v>
      </c>
      <c r="Y81" s="59">
        <v>0.46868266515919332</v>
      </c>
      <c r="Z81" s="60">
        <v>0.11529602138588062</v>
      </c>
      <c r="AA81" s="59">
        <v>0.48291191680084689</v>
      </c>
      <c r="AB81" s="60">
        <v>5.7454090613941577E-2</v>
      </c>
      <c r="AC81" s="54"/>
      <c r="AD81" s="54"/>
    </row>
    <row r="82" spans="1:30" ht="17.25" x14ac:dyDescent="0.35">
      <c r="A82" s="54"/>
      <c r="B82" s="41" t="s">
        <v>102</v>
      </c>
      <c r="C82" s="54"/>
      <c r="D82" s="41" t="s">
        <v>194</v>
      </c>
      <c r="E82" s="59" t="s">
        <v>221</v>
      </c>
      <c r="F82" s="60" t="s">
        <v>221</v>
      </c>
      <c r="G82" s="59" t="s">
        <v>221</v>
      </c>
      <c r="H82" s="60" t="s">
        <v>221</v>
      </c>
      <c r="I82" s="59" t="s">
        <v>221</v>
      </c>
      <c r="J82" s="60" t="s">
        <v>221</v>
      </c>
      <c r="K82" s="54"/>
      <c r="L82" s="54"/>
      <c r="M82" s="41" t="s">
        <v>194</v>
      </c>
      <c r="N82" s="59" t="s">
        <v>221</v>
      </c>
      <c r="O82" s="60" t="s">
        <v>221</v>
      </c>
      <c r="P82" s="59" t="s">
        <v>221</v>
      </c>
      <c r="Q82" s="60" t="s">
        <v>221</v>
      </c>
      <c r="R82" s="59" t="s">
        <v>221</v>
      </c>
      <c r="S82" s="60" t="s">
        <v>221</v>
      </c>
      <c r="T82" s="54"/>
      <c r="U82" s="54"/>
      <c r="V82" s="41" t="s">
        <v>194</v>
      </c>
      <c r="W82" s="59">
        <v>1.1544718454203284</v>
      </c>
      <c r="X82" s="60">
        <v>0.5393905896807738</v>
      </c>
      <c r="Y82" s="59">
        <v>0.88024978310923419</v>
      </c>
      <c r="Z82" s="60">
        <v>0.27177917754830871</v>
      </c>
      <c r="AA82" s="59">
        <v>0.58972639437950181</v>
      </c>
      <c r="AB82" s="60">
        <v>0.13952402704749142</v>
      </c>
      <c r="AC82" s="54"/>
      <c r="AD82" s="54"/>
    </row>
    <row r="83" spans="1:30" ht="17.25" x14ac:dyDescent="0.35">
      <c r="A83" s="54"/>
      <c r="B83" s="41" t="s">
        <v>103</v>
      </c>
      <c r="C83" s="54"/>
      <c r="D83" s="41" t="s">
        <v>195</v>
      </c>
      <c r="E83" s="59">
        <v>0.66990457856525809</v>
      </c>
      <c r="F83" s="60">
        <v>9.4383361623694054E-2</v>
      </c>
      <c r="G83" s="59">
        <v>0.68811711557680755</v>
      </c>
      <c r="H83" s="60">
        <v>5.3573755446379948E-2</v>
      </c>
      <c r="I83" s="59">
        <v>0.76118032555291393</v>
      </c>
      <c r="J83" s="60">
        <v>2.6320015696488612E-2</v>
      </c>
      <c r="K83" s="54"/>
      <c r="L83" s="54"/>
      <c r="M83" s="41" t="s">
        <v>195</v>
      </c>
      <c r="N83" s="59">
        <v>0.49753055310095001</v>
      </c>
      <c r="O83" s="60">
        <v>7.661471538767807E-2</v>
      </c>
      <c r="P83" s="59">
        <v>0.55299238199954082</v>
      </c>
      <c r="Q83" s="60">
        <v>4.7125391616957855E-2</v>
      </c>
      <c r="R83" s="59">
        <v>0.65194326123768198</v>
      </c>
      <c r="S83" s="60">
        <v>2.6595167498199141E-2</v>
      </c>
      <c r="T83" s="54"/>
      <c r="U83" s="54"/>
      <c r="V83" s="41" t="s">
        <v>195</v>
      </c>
      <c r="W83" s="59">
        <v>0.50208338679068987</v>
      </c>
      <c r="X83" s="60">
        <v>0.16270113285622825</v>
      </c>
      <c r="Y83" s="59">
        <v>0.53806700378497574</v>
      </c>
      <c r="Z83" s="60">
        <v>8.6412108078056549E-2</v>
      </c>
      <c r="AA83" s="59">
        <v>0.51280841410803479</v>
      </c>
      <c r="AB83" s="60">
        <v>4.0082545909828689E-2</v>
      </c>
      <c r="AC83" s="54"/>
      <c r="AD83" s="54"/>
    </row>
    <row r="84" spans="1:30" ht="17.25" x14ac:dyDescent="0.35">
      <c r="A84" s="54"/>
      <c r="B84" s="41" t="s">
        <v>104</v>
      </c>
      <c r="C84" s="54"/>
      <c r="D84" s="41" t="s">
        <v>196</v>
      </c>
      <c r="E84" s="59">
        <v>0.46483297446793692</v>
      </c>
      <c r="F84" s="60">
        <v>0.1710101232658966</v>
      </c>
      <c r="G84" s="59">
        <v>0.46313354808268786</v>
      </c>
      <c r="H84" s="60">
        <v>8.2871334143429454E-2</v>
      </c>
      <c r="I84" s="59">
        <v>0.52287646368842799</v>
      </c>
      <c r="J84" s="60">
        <v>4.0568418131085623E-2</v>
      </c>
      <c r="K84" s="54"/>
      <c r="L84" s="54"/>
      <c r="M84" s="41" t="s">
        <v>196</v>
      </c>
      <c r="N84" s="59">
        <v>0.34145753899878473</v>
      </c>
      <c r="O84" s="60">
        <v>8.8984809600125933E-2</v>
      </c>
      <c r="P84" s="59">
        <v>0.28208875690478707</v>
      </c>
      <c r="Q84" s="60">
        <v>5.1977020196303646E-2</v>
      </c>
      <c r="R84" s="59">
        <v>0.30541812732073753</v>
      </c>
      <c r="S84" s="60">
        <v>2.9280452821666549E-2</v>
      </c>
      <c r="T84" s="54"/>
      <c r="U84" s="54"/>
      <c r="V84" s="41" t="s">
        <v>196</v>
      </c>
      <c r="W84" s="59">
        <v>0.66996077712957847</v>
      </c>
      <c r="X84" s="60">
        <v>0.37387077762801985</v>
      </c>
      <c r="Y84" s="59">
        <v>0.5001991217831312</v>
      </c>
      <c r="Z84" s="60">
        <v>0.15842483025896856</v>
      </c>
      <c r="AA84" s="59">
        <v>0.49432637464594376</v>
      </c>
      <c r="AB84" s="60">
        <v>7.6236336750747771E-2</v>
      </c>
      <c r="AC84" s="54"/>
      <c r="AD84" s="54"/>
    </row>
    <row r="85" spans="1:30" ht="17.25" x14ac:dyDescent="0.35">
      <c r="A85" s="54"/>
      <c r="B85" s="41" t="s">
        <v>105</v>
      </c>
      <c r="C85" s="54"/>
      <c r="D85" s="41" t="s">
        <v>197</v>
      </c>
      <c r="E85" s="59" t="s">
        <v>221</v>
      </c>
      <c r="F85" s="60" t="s">
        <v>221</v>
      </c>
      <c r="G85" s="59" t="s">
        <v>221</v>
      </c>
      <c r="H85" s="60" t="s">
        <v>221</v>
      </c>
      <c r="I85" s="59" t="s">
        <v>221</v>
      </c>
      <c r="J85" s="60" t="s">
        <v>221</v>
      </c>
      <c r="K85" s="54"/>
      <c r="L85" s="54"/>
      <c r="M85" s="41" t="s">
        <v>197</v>
      </c>
      <c r="N85" s="59" t="s">
        <v>221</v>
      </c>
      <c r="O85" s="60" t="s">
        <v>221</v>
      </c>
      <c r="P85" s="59" t="s">
        <v>221</v>
      </c>
      <c r="Q85" s="60" t="s">
        <v>221</v>
      </c>
      <c r="R85" s="59" t="s">
        <v>221</v>
      </c>
      <c r="S85" s="60" t="s">
        <v>221</v>
      </c>
      <c r="T85" s="54"/>
      <c r="U85" s="54"/>
      <c r="V85" s="41" t="s">
        <v>197</v>
      </c>
      <c r="W85" s="59" t="s">
        <v>221</v>
      </c>
      <c r="X85" s="60" t="s">
        <v>221</v>
      </c>
      <c r="Y85" s="59" t="s">
        <v>221</v>
      </c>
      <c r="Z85" s="60" t="s">
        <v>221</v>
      </c>
      <c r="AA85" s="59" t="s">
        <v>221</v>
      </c>
      <c r="AB85" s="60" t="s">
        <v>221</v>
      </c>
      <c r="AC85" s="54"/>
      <c r="AD85" s="54"/>
    </row>
    <row r="86" spans="1:30" ht="17.25" x14ac:dyDescent="0.35">
      <c r="A86" s="54"/>
      <c r="B86" s="64"/>
      <c r="C86" s="54"/>
      <c r="D86" s="64" t="s">
        <v>244</v>
      </c>
      <c r="E86" s="65">
        <v>0.4698693632901863</v>
      </c>
      <c r="F86" s="65">
        <v>0.16707306064722802</v>
      </c>
      <c r="G86" s="65">
        <v>0.51995777068053106</v>
      </c>
      <c r="H86" s="65">
        <v>7.6756060326151315E-2</v>
      </c>
      <c r="I86" s="65">
        <v>0.54035403529756887</v>
      </c>
      <c r="J86" s="65">
        <v>3.6351977653614059E-2</v>
      </c>
      <c r="K86" s="54"/>
      <c r="L86" s="54"/>
      <c r="M86" s="64" t="s">
        <v>244</v>
      </c>
      <c r="N86" s="65">
        <v>0.5113740890158468</v>
      </c>
      <c r="O86" s="65">
        <v>0.13374810507017001</v>
      </c>
      <c r="P86" s="65">
        <v>0.48162848735823188</v>
      </c>
      <c r="Q86" s="65">
        <v>6.1601894097438055E-2</v>
      </c>
      <c r="R86" s="65">
        <v>0.51148144161511666</v>
      </c>
      <c r="S86" s="65">
        <v>3.0184858008272995E-2</v>
      </c>
      <c r="T86" s="54"/>
      <c r="U86" s="54"/>
      <c r="V86" s="64" t="s">
        <v>244</v>
      </c>
      <c r="W86" s="65">
        <v>0.41020656692774138</v>
      </c>
      <c r="X86" s="65">
        <v>0.30017163591300194</v>
      </c>
      <c r="Y86" s="65">
        <v>0.47313821872763806</v>
      </c>
      <c r="Z86" s="65">
        <v>0.14421238668803682</v>
      </c>
      <c r="AA86" s="65">
        <v>0.48690607868270191</v>
      </c>
      <c r="AB86" s="65">
        <v>6.8291494617902362E-2</v>
      </c>
      <c r="AC86" s="54"/>
      <c r="AD86" s="54"/>
    </row>
    <row r="87" spans="1:30" ht="17.25" x14ac:dyDescent="0.35">
      <c r="A87" s="54"/>
      <c r="B87" s="41" t="s">
        <v>245</v>
      </c>
      <c r="C87" s="54"/>
      <c r="D87" s="41" t="s">
        <v>246</v>
      </c>
      <c r="E87" s="59">
        <v>0.37288601373330049</v>
      </c>
      <c r="F87" s="60">
        <v>0.12767373228418863</v>
      </c>
      <c r="G87" s="59">
        <v>0.79631022136773777</v>
      </c>
      <c r="H87" s="60">
        <v>3.1626596891901566E-2</v>
      </c>
      <c r="I87" s="59">
        <v>0.19085857181406721</v>
      </c>
      <c r="J87" s="60">
        <v>3.9718650496508932E-2</v>
      </c>
      <c r="K87" s="54"/>
      <c r="L87" s="54"/>
      <c r="M87" s="41" t="s">
        <v>246</v>
      </c>
      <c r="N87" s="59">
        <v>0.71789253328385727</v>
      </c>
      <c r="O87" s="60">
        <v>0.11226381392542381</v>
      </c>
      <c r="P87" s="59">
        <v>0.90621352010901823</v>
      </c>
      <c r="Q87" s="60">
        <v>3.4112972658360226E-2</v>
      </c>
      <c r="R87" s="59">
        <v>0.40918969999999999</v>
      </c>
      <c r="S87" s="60">
        <v>3.4058320000000003E-2</v>
      </c>
      <c r="T87" s="54"/>
      <c r="U87" s="54"/>
      <c r="V87" s="41" t="s">
        <v>246</v>
      </c>
      <c r="W87" s="59">
        <v>0.84336876056263255</v>
      </c>
      <c r="X87" s="60">
        <v>6.9272212212957082E-2</v>
      </c>
      <c r="Y87" s="59">
        <v>0.83518675869239067</v>
      </c>
      <c r="Z87" s="60">
        <v>3.4008713720082427E-2</v>
      </c>
      <c r="AA87" s="59">
        <v>0.12440743278174402</v>
      </c>
      <c r="AB87" s="60">
        <v>6.3097323264954E-2</v>
      </c>
      <c r="AC87" s="54"/>
      <c r="AD87" s="54"/>
    </row>
    <row r="88" spans="1:30" ht="17.25" x14ac:dyDescent="0.35">
      <c r="A88" s="54"/>
      <c r="B88" s="41" t="s">
        <v>247</v>
      </c>
      <c r="C88" s="54"/>
      <c r="D88" s="41" t="s">
        <v>248</v>
      </c>
      <c r="E88" s="59">
        <v>0.50182335829385427</v>
      </c>
      <c r="F88" s="60">
        <v>6.8827610981411005E-2</v>
      </c>
      <c r="G88" s="59">
        <v>0.66766340666400781</v>
      </c>
      <c r="H88" s="60">
        <v>1.2376633628385061E-2</v>
      </c>
      <c r="I88" s="59">
        <v>0.35826574159623714</v>
      </c>
      <c r="J88" s="60">
        <v>2.1747732367355548E-2</v>
      </c>
      <c r="K88" s="54"/>
      <c r="L88" s="54"/>
      <c r="M88" s="41" t="s">
        <v>248</v>
      </c>
      <c r="N88" s="59">
        <v>0.40296876253432162</v>
      </c>
      <c r="O88" s="60">
        <v>7.6133612118734151E-2</v>
      </c>
      <c r="P88" s="59">
        <v>0.65853837505132695</v>
      </c>
      <c r="Q88" s="60">
        <v>1.7975738520656783E-2</v>
      </c>
      <c r="R88" s="59">
        <v>0.30855529250152214</v>
      </c>
      <c r="S88" s="60">
        <v>2.2412825058288299E-2</v>
      </c>
      <c r="T88" s="54"/>
      <c r="U88" s="54"/>
      <c r="V88" s="41" t="s">
        <v>248</v>
      </c>
      <c r="W88" s="59">
        <v>0.67132576546277534</v>
      </c>
      <c r="X88" s="60">
        <v>1.9824869866230534E-2</v>
      </c>
      <c r="Y88" s="59">
        <v>0.67032970419375459</v>
      </c>
      <c r="Z88" s="60">
        <v>9.9992234779426054E-3</v>
      </c>
      <c r="AA88" s="59">
        <v>0.31980863019685773</v>
      </c>
      <c r="AB88" s="60">
        <v>3.1657621235228389E-2</v>
      </c>
      <c r="AC88" s="54"/>
      <c r="AD88" s="54"/>
    </row>
    <row r="89" spans="1:30" ht="17.25" x14ac:dyDescent="0.35">
      <c r="A89" s="54"/>
      <c r="B89" s="41" t="s">
        <v>249</v>
      </c>
      <c r="C89" s="54"/>
      <c r="D89" s="41" t="s">
        <v>250</v>
      </c>
      <c r="E89" s="59">
        <v>0.90351682509019793</v>
      </c>
      <c r="F89" s="60">
        <v>8.8086619272943256E-2</v>
      </c>
      <c r="G89" s="59">
        <v>0.91165578857714213</v>
      </c>
      <c r="H89" s="60">
        <v>2.7074037230522978E-2</v>
      </c>
      <c r="I89" s="59">
        <v>0.73156202045506669</v>
      </c>
      <c r="J89" s="60">
        <v>3.1113073946638096E-2</v>
      </c>
      <c r="K89" s="54"/>
      <c r="L89" s="54"/>
      <c r="M89" s="41" t="s">
        <v>250</v>
      </c>
      <c r="N89" s="59">
        <v>0.67558053529459527</v>
      </c>
      <c r="O89" s="60">
        <v>8.3066871968438177E-2</v>
      </c>
      <c r="P89" s="59">
        <v>0.89374552542474495</v>
      </c>
      <c r="Q89" s="60">
        <v>2.8847176421798661E-2</v>
      </c>
      <c r="R89" s="59">
        <v>0.61925039999999998</v>
      </c>
      <c r="S89" s="60">
        <v>2.6947369999999998E-2</v>
      </c>
      <c r="T89" s="54"/>
      <c r="U89" s="54"/>
      <c r="V89" s="41" t="s">
        <v>250</v>
      </c>
      <c r="W89" s="59">
        <v>0.76935236004064389</v>
      </c>
      <c r="X89" s="60">
        <v>4.3475202827262777E-2</v>
      </c>
      <c r="Y89" s="59">
        <v>0.76831380530005333</v>
      </c>
      <c r="Z89" s="60">
        <v>2.5578047187075553E-2</v>
      </c>
      <c r="AA89" s="59">
        <v>0.69789604101526415</v>
      </c>
      <c r="AB89" s="60">
        <v>4.7650431524277101E-2</v>
      </c>
      <c r="AC89" s="54"/>
      <c r="AD89" s="54"/>
    </row>
    <row r="90" spans="1:30" ht="17.25" x14ac:dyDescent="0.35">
      <c r="A90" s="54"/>
      <c r="B90" s="41" t="s">
        <v>251</v>
      </c>
      <c r="C90" s="54"/>
      <c r="D90" s="41" t="s">
        <v>252</v>
      </c>
      <c r="E90" s="59">
        <v>0.3270996689943575</v>
      </c>
      <c r="F90" s="60">
        <v>0.36834385537123582</v>
      </c>
      <c r="G90" s="59">
        <v>0.92445105556797524</v>
      </c>
      <c r="H90" s="60">
        <v>4.5194656324032967E-2</v>
      </c>
      <c r="I90" s="59">
        <v>0.55774287918428855</v>
      </c>
      <c r="J90" s="60">
        <v>5.9688734964905343E-2</v>
      </c>
      <c r="K90" s="54"/>
      <c r="L90" s="54"/>
      <c r="M90" s="41" t="s">
        <v>252</v>
      </c>
      <c r="N90" s="59">
        <v>0.57038762316251967</v>
      </c>
      <c r="O90" s="60">
        <v>7.7554583681406233E-2</v>
      </c>
      <c r="P90" s="59">
        <v>0.88766097549069412</v>
      </c>
      <c r="Q90" s="60">
        <v>2.7880109481195296E-2</v>
      </c>
      <c r="R90" s="59">
        <v>0.43428539999999999</v>
      </c>
      <c r="S90" s="60">
        <v>2.6437200000000001E-2</v>
      </c>
      <c r="T90" s="54"/>
      <c r="U90" s="54"/>
      <c r="V90" s="41" t="s">
        <v>252</v>
      </c>
      <c r="W90" s="59">
        <v>0.91512017941895252</v>
      </c>
      <c r="X90" s="60">
        <v>3.7775070258510034E-2</v>
      </c>
      <c r="Y90" s="59">
        <v>0.92206468208692949</v>
      </c>
      <c r="Z90" s="60">
        <v>2.082441617500078E-2</v>
      </c>
      <c r="AA90" s="59">
        <v>0.47106556585724846</v>
      </c>
      <c r="AB90" s="60">
        <v>7.5604250889896391E-2</v>
      </c>
      <c r="AC90" s="54"/>
      <c r="AD90" s="54"/>
    </row>
    <row r="91" spans="1:30" ht="17.25" x14ac:dyDescent="0.35">
      <c r="A91" s="54"/>
      <c r="B91" s="41" t="s">
        <v>253</v>
      </c>
      <c r="C91" s="54"/>
      <c r="D91" s="41" t="s">
        <v>254</v>
      </c>
      <c r="E91" s="59">
        <v>0.28337783904830932</v>
      </c>
      <c r="F91" s="60">
        <v>0.24206310344218865</v>
      </c>
      <c r="G91" s="59">
        <v>0.69005214562096862</v>
      </c>
      <c r="H91" s="60">
        <v>3.4421748054591444E-2</v>
      </c>
      <c r="I91" s="59">
        <v>0.19133883255516818</v>
      </c>
      <c r="J91" s="60">
        <v>7.3674651436070493E-2</v>
      </c>
      <c r="K91" s="54"/>
      <c r="L91" s="54"/>
      <c r="M91" s="41" t="s">
        <v>254</v>
      </c>
      <c r="N91" s="59"/>
      <c r="O91" s="60"/>
      <c r="P91" s="59"/>
      <c r="Q91" s="60"/>
      <c r="R91" s="59"/>
      <c r="S91" s="60"/>
      <c r="T91" s="54"/>
      <c r="U91" s="54"/>
      <c r="V91" s="41" t="s">
        <v>254</v>
      </c>
      <c r="W91" s="59">
        <v>0.7525376556546195</v>
      </c>
      <c r="X91" s="60">
        <v>9.7542472277683978E-2</v>
      </c>
      <c r="Y91" s="59">
        <v>0.74469615420866864</v>
      </c>
      <c r="Z91" s="60">
        <v>3.7732215577023068E-2</v>
      </c>
      <c r="AA91" s="59">
        <v>0.23495096499787504</v>
      </c>
      <c r="AB91" s="60">
        <v>0.1192544671791179</v>
      </c>
      <c r="AC91" s="54"/>
      <c r="AD91" s="54"/>
    </row>
    <row r="92" spans="1:30" ht="17.25" x14ac:dyDescent="0.35">
      <c r="A92" s="54"/>
      <c r="B92" s="41" t="s">
        <v>255</v>
      </c>
      <c r="C92" s="54"/>
      <c r="D92" s="41" t="s">
        <v>256</v>
      </c>
      <c r="E92" s="59">
        <v>0.67687728377679668</v>
      </c>
      <c r="F92" s="60">
        <v>7.5090357683794698E-2</v>
      </c>
      <c r="G92" s="59">
        <v>0.66269803265974148</v>
      </c>
      <c r="H92" s="60">
        <v>1.8538957137007372E-2</v>
      </c>
      <c r="I92" s="59">
        <v>0.57337992080541356</v>
      </c>
      <c r="J92" s="60">
        <v>2.3278127786453429E-2</v>
      </c>
      <c r="K92" s="54"/>
      <c r="L92" s="54"/>
      <c r="M92" s="41" t="s">
        <v>256</v>
      </c>
      <c r="N92" s="59">
        <v>0.59773222993675001</v>
      </c>
      <c r="O92" s="60">
        <v>6.8580996466127406E-2</v>
      </c>
      <c r="P92" s="59">
        <v>0.76089810188303642</v>
      </c>
      <c r="Q92" s="60">
        <v>2.4854195566470401E-2</v>
      </c>
      <c r="R92" s="59">
        <v>0.51834365755697731</v>
      </c>
      <c r="S92" s="60">
        <v>2.3992312543411526E-2</v>
      </c>
      <c r="T92" s="54"/>
      <c r="U92" s="54"/>
      <c r="V92" s="41" t="s">
        <v>256</v>
      </c>
      <c r="W92" s="59">
        <v>0.59593396763514206</v>
      </c>
      <c r="X92" s="60">
        <v>4.7772718320782837E-2</v>
      </c>
      <c r="Y92" s="59">
        <v>0.59423456185169865</v>
      </c>
      <c r="Z92" s="60">
        <v>2.1759089688861422E-2</v>
      </c>
      <c r="AA92" s="59">
        <v>0.61482345513337078</v>
      </c>
      <c r="AB92" s="60">
        <v>4.0406571803779982E-2</v>
      </c>
      <c r="AC92" s="54"/>
      <c r="AD92" s="54"/>
    </row>
    <row r="93" spans="1:30" ht="17.25" x14ac:dyDescent="0.35">
      <c r="A93" s="54"/>
      <c r="B93" s="41" t="s">
        <v>257</v>
      </c>
      <c r="C93" s="54"/>
      <c r="D93" s="41" t="s">
        <v>258</v>
      </c>
      <c r="E93" s="59">
        <v>0.6873267118504256</v>
      </c>
      <c r="F93" s="60">
        <v>0.11392998584581283</v>
      </c>
      <c r="G93" s="59">
        <v>0.84887184251760206</v>
      </c>
      <c r="H93" s="60">
        <v>2.5018953902953327E-2</v>
      </c>
      <c r="I93" s="59">
        <v>0.7290264918130166</v>
      </c>
      <c r="J93" s="60">
        <v>3.2413957752127284E-2</v>
      </c>
      <c r="K93" s="54"/>
      <c r="L93" s="54"/>
      <c r="M93" s="41" t="s">
        <v>258</v>
      </c>
      <c r="N93" s="59">
        <v>0.69353918721921248</v>
      </c>
      <c r="O93" s="60">
        <v>0.11191958233905562</v>
      </c>
      <c r="P93" s="59">
        <v>0.8632877043121242</v>
      </c>
      <c r="Q93" s="60">
        <v>3.242874146194024E-2</v>
      </c>
      <c r="R93" s="59">
        <v>0.68825422879652209</v>
      </c>
      <c r="S93" s="60">
        <v>3.4822129132208099E-2</v>
      </c>
      <c r="T93" s="54"/>
      <c r="U93" s="54"/>
      <c r="V93" s="41" t="s">
        <v>258</v>
      </c>
      <c r="W93" s="59">
        <v>0.83444689500097002</v>
      </c>
      <c r="X93" s="60">
        <v>5.5812223200658262E-2</v>
      </c>
      <c r="Y93" s="59">
        <v>0.84533169892846338</v>
      </c>
      <c r="Z93" s="60">
        <v>2.6414007144479945E-2</v>
      </c>
      <c r="AA93" s="59">
        <v>0.82472940073440815</v>
      </c>
      <c r="AB93" s="60">
        <v>6.8081357545470053E-2</v>
      </c>
      <c r="AC93" s="54"/>
      <c r="AD93" s="54"/>
    </row>
    <row r="94" spans="1:30" ht="17.25" x14ac:dyDescent="0.35">
      <c r="A94" s="54"/>
      <c r="B94" s="64"/>
      <c r="C94" s="54"/>
      <c r="D94" s="64" t="s">
        <v>259</v>
      </c>
      <c r="E94" s="65">
        <v>0.53612967154103441</v>
      </c>
      <c r="F94" s="65">
        <v>0.18581381609920203</v>
      </c>
      <c r="G94" s="65">
        <v>0.78595749899645373</v>
      </c>
      <c r="H94" s="65">
        <v>2.9479971090315776E-2</v>
      </c>
      <c r="I94" s="65">
        <v>0.47602492260332258</v>
      </c>
      <c r="J94" s="65">
        <v>4.4080759759999068E-2</v>
      </c>
      <c r="K94" s="54"/>
      <c r="L94" s="54"/>
      <c r="M94" s="64" t="s">
        <v>259</v>
      </c>
      <c r="N94" s="65">
        <v>0.61</v>
      </c>
      <c r="O94" s="65">
        <v>0.09</v>
      </c>
      <c r="P94" s="65">
        <v>0.83</v>
      </c>
      <c r="Q94" s="65">
        <v>3.0762936075793515E-2</v>
      </c>
      <c r="R94" s="65">
        <v>0.5</v>
      </c>
      <c r="S94" s="65">
        <v>0.03</v>
      </c>
      <c r="T94" s="54"/>
      <c r="U94" s="54"/>
      <c r="V94" s="64" t="s">
        <v>259</v>
      </c>
      <c r="W94" s="65">
        <v>0.76886936911081949</v>
      </c>
      <c r="X94" s="65">
        <v>5.7842748423631477E-2</v>
      </c>
      <c r="Y94" s="65">
        <v>0.76859390932313698</v>
      </c>
      <c r="Z94" s="65">
        <v>2.6563529605881375E-2</v>
      </c>
      <c r="AA94" s="65">
        <v>0.46966878438810983</v>
      </c>
      <c r="AB94" s="65">
        <v>6.9136959099716372E-2</v>
      </c>
      <c r="AC94" s="54"/>
      <c r="AD94" s="54"/>
    </row>
    <row r="95" spans="1:30" ht="17.25" x14ac:dyDescent="0.35">
      <c r="A95" s="54"/>
      <c r="B95" s="66"/>
      <c r="C95" s="54"/>
      <c r="D95" s="66" t="s">
        <v>198</v>
      </c>
      <c r="E95" s="67">
        <v>0.47878902017010816</v>
      </c>
      <c r="F95" s="67">
        <v>0.16971643553433086</v>
      </c>
      <c r="G95" s="67">
        <v>0.55576542641536675</v>
      </c>
      <c r="H95" s="67">
        <v>7.2217707279398621E-2</v>
      </c>
      <c r="I95" s="67">
        <v>0.53169434705026652</v>
      </c>
      <c r="J95" s="67">
        <v>3.7485324368582977E-2</v>
      </c>
      <c r="K95" s="54"/>
      <c r="L95" s="54"/>
      <c r="M95" s="66" t="s">
        <v>198</v>
      </c>
      <c r="N95" s="67">
        <v>0.52</v>
      </c>
      <c r="O95" s="67">
        <v>0.13160902913117944</v>
      </c>
      <c r="P95" s="67">
        <v>0.53359717388266747</v>
      </c>
      <c r="Q95" s="67">
        <v>5.7977028537792165E-2</v>
      </c>
      <c r="R95" s="67">
        <v>0.51</v>
      </c>
      <c r="S95" s="67">
        <v>3.1333088742793905E-2</v>
      </c>
      <c r="T95" s="54"/>
      <c r="U95" s="54"/>
      <c r="V95" s="66" t="s">
        <v>198</v>
      </c>
      <c r="W95" s="67">
        <v>0.45205056051576709</v>
      </c>
      <c r="X95" s="67">
        <v>0.28280971424177448</v>
      </c>
      <c r="Y95" s="67">
        <v>0.50760804929711301</v>
      </c>
      <c r="Z95" s="67">
        <v>0.13584253193015006</v>
      </c>
      <c r="AA95" s="67">
        <v>0.48489506101499946</v>
      </c>
      <c r="AB95" s="67">
        <v>6.8390670704378154E-2</v>
      </c>
      <c r="AC95" s="54"/>
      <c r="AD95" s="54"/>
    </row>
    <row r="96" spans="1:30" ht="17.25" x14ac:dyDescent="0.35">
      <c r="A96" s="54"/>
      <c r="B96" s="68"/>
      <c r="C96" s="54"/>
      <c r="D96" s="68"/>
      <c r="E96" s="69"/>
      <c r="F96" s="69"/>
      <c r="G96" s="69"/>
      <c r="H96" s="69"/>
      <c r="I96" s="69"/>
      <c r="J96" s="69"/>
      <c r="K96" s="54"/>
      <c r="L96" s="54"/>
      <c r="M96" s="68"/>
      <c r="N96" s="69"/>
      <c r="O96" s="69"/>
      <c r="P96" s="69"/>
      <c r="Q96" s="69"/>
      <c r="R96" s="69"/>
      <c r="S96" s="69"/>
      <c r="T96" s="54"/>
      <c r="U96" s="54"/>
      <c r="V96" s="68"/>
      <c r="W96" s="69"/>
      <c r="X96" s="69"/>
      <c r="Y96" s="69"/>
      <c r="Z96" s="69"/>
      <c r="AA96" s="69"/>
      <c r="AB96" s="69"/>
      <c r="AC96" s="54"/>
      <c r="AD96" s="54"/>
    </row>
    <row r="97" spans="1:30" ht="17.25" x14ac:dyDescent="0.35">
      <c r="A97" s="54"/>
      <c r="B97" s="54"/>
      <c r="C97" s="54"/>
      <c r="D97" s="70" t="s">
        <v>199</v>
      </c>
      <c r="E97" s="71" t="s">
        <v>200</v>
      </c>
      <c r="F97" s="71" t="s">
        <v>201</v>
      </c>
      <c r="G97" s="71"/>
      <c r="H97" s="71" t="s">
        <v>202</v>
      </c>
      <c r="I97" s="71"/>
      <c r="J97" s="54"/>
      <c r="K97" s="54"/>
      <c r="L97" s="54"/>
      <c r="M97" s="54"/>
      <c r="N97" s="54"/>
      <c r="O97" s="54"/>
      <c r="P97" s="54"/>
      <c r="Q97" s="54"/>
      <c r="R97" s="54"/>
      <c r="S97" s="54"/>
      <c r="T97" s="54"/>
      <c r="U97" s="54"/>
      <c r="V97" s="54"/>
      <c r="W97" s="54"/>
      <c r="X97" s="54"/>
      <c r="Y97" s="54"/>
      <c r="Z97" s="54"/>
      <c r="AA97" s="54"/>
      <c r="AB97" s="54"/>
      <c r="AC97" s="54"/>
      <c r="AD97" s="54"/>
    </row>
    <row r="98" spans="1:30" ht="17.25" x14ac:dyDescent="0.35">
      <c r="A98" s="54"/>
      <c r="B98" s="54"/>
      <c r="C98" s="54"/>
      <c r="D98" s="54" t="s">
        <v>203</v>
      </c>
      <c r="E98" s="71">
        <v>0.3770931017282983</v>
      </c>
      <c r="F98" s="71">
        <v>0.44693894349126173</v>
      </c>
      <c r="G98" s="54"/>
      <c r="H98" s="71">
        <v>0.41201602260977999</v>
      </c>
      <c r="I98" s="54"/>
      <c r="J98" s="54"/>
      <c r="K98" s="54"/>
      <c r="L98" s="54"/>
      <c r="M98" s="54"/>
      <c r="N98" s="54"/>
      <c r="O98" s="54"/>
      <c r="P98" s="54"/>
      <c r="Q98" s="54"/>
      <c r="R98" s="54"/>
      <c r="S98" s="54"/>
      <c r="T98" s="54"/>
      <c r="U98" s="54"/>
      <c r="V98" s="54"/>
      <c r="W98" s="54"/>
      <c r="X98" s="54"/>
      <c r="Y98" s="54"/>
      <c r="Z98" s="54"/>
      <c r="AA98" s="54"/>
      <c r="AB98" s="54"/>
      <c r="AC98" s="54"/>
      <c r="AD98" s="54"/>
    </row>
    <row r="99" spans="1:30" ht="17.25" x14ac:dyDescent="0.35">
      <c r="A99" s="54"/>
      <c r="B99" s="54"/>
      <c r="C99" s="54"/>
      <c r="D99" s="54" t="s">
        <v>204</v>
      </c>
      <c r="E99" s="71">
        <v>0.47878902017010816</v>
      </c>
      <c r="F99" s="71">
        <v>0.55576542641536675</v>
      </c>
      <c r="G99" s="54"/>
      <c r="H99" s="71">
        <v>0.5172772232927374</v>
      </c>
      <c r="I99" s="54"/>
      <c r="J99" s="54"/>
      <c r="K99" s="54"/>
      <c r="L99" s="54"/>
      <c r="M99" s="54"/>
      <c r="N99" s="54"/>
      <c r="O99" s="54"/>
      <c r="P99" s="54"/>
      <c r="Q99" s="54"/>
      <c r="R99" s="54"/>
      <c r="S99" s="54"/>
      <c r="T99" s="54"/>
      <c r="U99" s="54"/>
      <c r="V99" s="54"/>
      <c r="W99" s="54"/>
      <c r="X99" s="54"/>
      <c r="Y99" s="54"/>
      <c r="Z99" s="54"/>
      <c r="AA99" s="54"/>
      <c r="AB99" s="54"/>
      <c r="AC99" s="54"/>
      <c r="AD99" s="54"/>
    </row>
    <row r="100" spans="1:30" ht="17.25" x14ac:dyDescent="0.35">
      <c r="A100" s="54"/>
      <c r="B100" s="54"/>
      <c r="C100" s="54"/>
      <c r="D100" s="54"/>
      <c r="E100" s="71"/>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row>
    <row r="101" spans="1:30" ht="17.25" x14ac:dyDescent="0.35">
      <c r="A101" s="54"/>
      <c r="B101" s="54"/>
      <c r="C101" s="54"/>
      <c r="D101" s="54"/>
      <c r="E101" s="54"/>
      <c r="F101" s="54" t="s">
        <v>205</v>
      </c>
      <c r="G101" s="54"/>
      <c r="H101" s="71">
        <v>0.46464662295125869</v>
      </c>
      <c r="I101" s="54"/>
      <c r="J101" s="54"/>
      <c r="K101" s="54"/>
      <c r="L101" s="54"/>
      <c r="M101" s="54"/>
      <c r="N101" s="54"/>
      <c r="O101" s="54"/>
      <c r="P101" s="54"/>
      <c r="Q101" s="54"/>
      <c r="R101" s="54"/>
      <c r="S101" s="54"/>
      <c r="T101" s="54"/>
      <c r="U101" s="54"/>
      <c r="V101" s="54"/>
      <c r="W101" s="54"/>
      <c r="X101" s="54"/>
      <c r="Y101" s="54"/>
      <c r="Z101" s="54"/>
      <c r="AA101" s="54"/>
      <c r="AB101" s="54"/>
      <c r="AC101" s="54"/>
      <c r="AD101" s="54"/>
    </row>
    <row r="102" spans="1:30" ht="17.25" x14ac:dyDescent="0.3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row>
    <row r="103" spans="1:30" ht="17.25" x14ac:dyDescent="0.35">
      <c r="A103" s="54"/>
      <c r="B103" s="54"/>
      <c r="C103" s="54"/>
      <c r="D103" s="70" t="s">
        <v>206</v>
      </c>
      <c r="E103" s="71" t="s">
        <v>200</v>
      </c>
      <c r="F103" s="71" t="s">
        <v>201</v>
      </c>
      <c r="G103" s="71"/>
      <c r="H103" s="71" t="s">
        <v>202</v>
      </c>
      <c r="I103" s="54"/>
      <c r="J103" s="54"/>
      <c r="K103" s="54"/>
      <c r="L103" s="54"/>
      <c r="M103" s="54"/>
      <c r="N103" s="54"/>
      <c r="O103" s="54"/>
      <c r="P103" s="54"/>
      <c r="Q103" s="54"/>
      <c r="R103" s="54"/>
      <c r="S103" s="54"/>
      <c r="T103" s="54"/>
      <c r="U103" s="54"/>
      <c r="V103" s="54"/>
      <c r="W103" s="54"/>
      <c r="X103" s="54"/>
      <c r="Y103" s="54"/>
      <c r="Z103" s="54"/>
      <c r="AA103" s="54"/>
      <c r="AB103" s="54"/>
      <c r="AC103" s="54"/>
      <c r="AD103" s="54"/>
    </row>
    <row r="104" spans="1:30" ht="17.25" x14ac:dyDescent="0.35">
      <c r="A104" s="54"/>
      <c r="B104" s="54"/>
      <c r="C104" s="54"/>
      <c r="D104" s="54" t="s">
        <v>203</v>
      </c>
      <c r="E104" s="71">
        <v>0.3770931017282983</v>
      </c>
      <c r="F104" s="71">
        <v>0.44693894349126173</v>
      </c>
      <c r="G104" s="54"/>
      <c r="H104" s="71">
        <v>0.41201602260977999</v>
      </c>
      <c r="I104" s="54"/>
      <c r="J104" s="54"/>
      <c r="K104" s="54"/>
      <c r="L104" s="54"/>
      <c r="M104" s="54"/>
      <c r="N104" s="54"/>
      <c r="O104" s="54"/>
      <c r="P104" s="54"/>
      <c r="Q104" s="54"/>
      <c r="R104" s="54"/>
      <c r="S104" s="54"/>
      <c r="T104" s="54"/>
      <c r="U104" s="54"/>
      <c r="V104" s="54"/>
      <c r="W104" s="54"/>
      <c r="X104" s="54"/>
      <c r="Y104" s="54"/>
      <c r="Z104" s="54"/>
      <c r="AA104" s="54"/>
      <c r="AB104" s="54"/>
      <c r="AC104" s="54"/>
      <c r="AD104" s="54"/>
    </row>
    <row r="105" spans="1:30" ht="17.25" x14ac:dyDescent="0.35">
      <c r="A105" s="54"/>
      <c r="B105" s="54"/>
      <c r="C105" s="54"/>
      <c r="D105" s="54" t="s">
        <v>204</v>
      </c>
      <c r="E105" s="71">
        <v>0.47878902017010816</v>
      </c>
      <c r="F105" s="71">
        <v>0.55576542641536675</v>
      </c>
      <c r="G105" s="54"/>
      <c r="H105" s="71">
        <v>0.5172772232927374</v>
      </c>
      <c r="I105" s="54"/>
      <c r="J105" s="54"/>
      <c r="K105" s="54"/>
      <c r="L105" s="54"/>
      <c r="M105" s="54"/>
      <c r="N105" s="54"/>
      <c r="O105" s="54"/>
      <c r="P105" s="54"/>
      <c r="Q105" s="54"/>
      <c r="R105" s="54"/>
      <c r="S105" s="54"/>
      <c r="T105" s="54"/>
      <c r="U105" s="54"/>
      <c r="V105" s="54"/>
      <c r="W105" s="54"/>
      <c r="X105" s="54"/>
      <c r="Y105" s="54"/>
      <c r="Z105" s="54"/>
      <c r="AA105" s="54"/>
      <c r="AB105" s="54"/>
      <c r="AC105" s="54"/>
      <c r="AD105" s="54"/>
    </row>
    <row r="106" spans="1:30" ht="17.25" x14ac:dyDescent="0.3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row>
    <row r="107" spans="1:30" ht="17.25" x14ac:dyDescent="0.35">
      <c r="A107" s="54"/>
      <c r="B107" s="54"/>
      <c r="C107" s="54"/>
      <c r="D107" s="54"/>
      <c r="E107" s="54"/>
      <c r="F107" s="54" t="s">
        <v>205</v>
      </c>
      <c r="G107" s="54"/>
      <c r="H107" s="71">
        <v>0.46464662295125869</v>
      </c>
      <c r="I107" s="54"/>
      <c r="J107" s="54"/>
      <c r="K107" s="54"/>
      <c r="L107" s="54"/>
      <c r="M107" s="54"/>
      <c r="N107" s="54"/>
      <c r="O107" s="54"/>
      <c r="P107" s="54"/>
      <c r="Q107" s="54"/>
      <c r="R107" s="54"/>
      <c r="S107" s="54"/>
      <c r="T107" s="54"/>
      <c r="U107" s="54"/>
      <c r="V107" s="54"/>
      <c r="W107" s="54"/>
      <c r="X107" s="54"/>
      <c r="Y107" s="54"/>
      <c r="Z107" s="54"/>
      <c r="AA107" s="54"/>
      <c r="AB107" s="54"/>
      <c r="AC107" s="54"/>
      <c r="AD107" s="54"/>
    </row>
    <row r="108" spans="1:30" ht="17.25" x14ac:dyDescent="0.3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row>
    <row r="109" spans="1:30" ht="17.25" x14ac:dyDescent="0.35">
      <c r="A109" s="38"/>
      <c r="B109" s="38"/>
      <c r="C109" s="38"/>
      <c r="D109" s="70" t="s">
        <v>207</v>
      </c>
      <c r="E109" s="71" t="s">
        <v>200</v>
      </c>
      <c r="F109" s="71" t="s">
        <v>201</v>
      </c>
      <c r="G109" s="71"/>
      <c r="H109" s="71" t="s">
        <v>202</v>
      </c>
      <c r="I109" s="54"/>
      <c r="J109" s="38"/>
      <c r="K109" s="38"/>
      <c r="L109" s="38"/>
      <c r="M109" s="38"/>
      <c r="N109" s="38"/>
      <c r="O109" s="38"/>
      <c r="P109" s="38"/>
      <c r="Q109" s="38"/>
      <c r="R109" s="38"/>
      <c r="S109" s="38"/>
      <c r="T109" s="38"/>
      <c r="U109" s="38"/>
      <c r="V109" s="38"/>
      <c r="W109" s="38"/>
      <c r="X109" s="38"/>
      <c r="Y109" s="38"/>
      <c r="Z109" s="38"/>
      <c r="AA109" s="38"/>
      <c r="AB109" s="38"/>
      <c r="AC109" s="38"/>
      <c r="AD109" s="38"/>
    </row>
    <row r="110" spans="1:30" ht="17.25" x14ac:dyDescent="0.35">
      <c r="A110" s="38"/>
      <c r="B110" s="38"/>
      <c r="C110" s="38"/>
      <c r="D110" s="54" t="s">
        <v>203</v>
      </c>
      <c r="E110" s="71">
        <v>0.3770931017282983</v>
      </c>
      <c r="F110" s="71">
        <v>0.48145734165577225</v>
      </c>
      <c r="G110" s="54"/>
      <c r="H110" s="71">
        <v>0.42927522169203525</v>
      </c>
      <c r="I110" s="54"/>
      <c r="J110" s="38"/>
      <c r="K110" s="38"/>
      <c r="L110" s="38"/>
      <c r="M110" s="38"/>
      <c r="N110" s="38"/>
      <c r="O110" s="38"/>
      <c r="P110" s="38"/>
      <c r="Q110" s="38"/>
      <c r="R110" s="38"/>
      <c r="S110" s="38"/>
      <c r="T110" s="38"/>
      <c r="U110" s="38"/>
      <c r="V110" s="38"/>
      <c r="W110" s="38"/>
      <c r="X110" s="38"/>
      <c r="Y110" s="38"/>
      <c r="Z110" s="38"/>
      <c r="AA110" s="38"/>
      <c r="AB110" s="38"/>
      <c r="AC110" s="38"/>
      <c r="AD110" s="38"/>
    </row>
    <row r="111" spans="1:30" ht="17.25" x14ac:dyDescent="0.35">
      <c r="A111" s="38"/>
      <c r="B111" s="38"/>
      <c r="C111" s="38"/>
      <c r="D111" s="54" t="s">
        <v>204</v>
      </c>
      <c r="E111" s="71">
        <v>0.47878902017010816</v>
      </c>
      <c r="F111" s="71">
        <v>0.55576542641536675</v>
      </c>
      <c r="G111" s="54"/>
      <c r="H111" s="71">
        <v>0.5172772232927374</v>
      </c>
      <c r="I111" s="54"/>
      <c r="J111" s="38"/>
      <c r="K111" s="38"/>
      <c r="L111" s="38"/>
      <c r="M111" s="38"/>
      <c r="N111" s="38"/>
      <c r="O111" s="38"/>
      <c r="P111" s="38"/>
      <c r="Q111" s="38"/>
      <c r="R111" s="38"/>
      <c r="S111" s="38"/>
      <c r="T111" s="38"/>
      <c r="U111" s="38"/>
      <c r="V111" s="38"/>
      <c r="W111" s="38"/>
      <c r="X111" s="38"/>
      <c r="Y111" s="38"/>
      <c r="Z111" s="38"/>
      <c r="AA111" s="38"/>
      <c r="AB111" s="38"/>
      <c r="AC111" s="38"/>
      <c r="AD111" s="38"/>
    </row>
    <row r="112" spans="1:30" ht="17.25" x14ac:dyDescent="0.35">
      <c r="A112" s="38"/>
      <c r="B112" s="38"/>
      <c r="C112" s="38"/>
      <c r="D112" s="54"/>
      <c r="E112" s="54"/>
      <c r="F112" s="54"/>
      <c r="G112" s="54"/>
      <c r="H112" s="54"/>
      <c r="I112" s="54"/>
      <c r="J112" s="38"/>
      <c r="K112" s="38"/>
      <c r="L112" s="38"/>
      <c r="M112" s="38"/>
      <c r="N112" s="38"/>
      <c r="O112" s="38"/>
      <c r="P112" s="38"/>
      <c r="Q112" s="38"/>
      <c r="R112" s="38"/>
      <c r="S112" s="38"/>
      <c r="T112" s="38"/>
      <c r="U112" s="38"/>
      <c r="V112" s="38"/>
      <c r="W112" s="38"/>
      <c r="X112" s="38"/>
      <c r="Y112" s="38"/>
      <c r="Z112" s="38"/>
      <c r="AA112" s="38"/>
      <c r="AB112" s="38"/>
      <c r="AC112" s="38"/>
      <c r="AD112" s="38"/>
    </row>
    <row r="113" spans="1:30" ht="17.25" x14ac:dyDescent="0.35">
      <c r="A113" s="38"/>
      <c r="B113" s="38"/>
      <c r="C113" s="38"/>
      <c r="D113" s="54"/>
      <c r="E113" s="54"/>
      <c r="F113" s="54" t="s">
        <v>205</v>
      </c>
      <c r="G113" s="54"/>
      <c r="H113" s="71">
        <v>0.47327622249238632</v>
      </c>
      <c r="I113" s="54"/>
      <c r="J113" s="38"/>
      <c r="K113" s="38"/>
      <c r="L113" s="38"/>
      <c r="M113" s="38"/>
      <c r="N113" s="38"/>
      <c r="O113" s="38"/>
      <c r="P113" s="38"/>
      <c r="Q113" s="38"/>
      <c r="R113" s="38"/>
      <c r="S113" s="38"/>
      <c r="T113" s="38"/>
      <c r="U113" s="38"/>
      <c r="V113" s="38"/>
      <c r="W113" s="38"/>
      <c r="X113" s="38"/>
      <c r="Y113" s="38"/>
      <c r="Z113" s="38"/>
      <c r="AA113" s="38"/>
      <c r="AB113" s="38"/>
      <c r="AC113" s="38"/>
      <c r="AD113" s="38"/>
    </row>
    <row r="114" spans="1:30" ht="17.25" x14ac:dyDescent="0.35">
      <c r="A114" s="38"/>
      <c r="B114" s="38"/>
      <c r="C114" s="38"/>
      <c r="D114" s="54"/>
      <c r="E114" s="72" t="s">
        <v>208</v>
      </c>
      <c r="F114" s="54"/>
      <c r="G114" s="54"/>
      <c r="H114" s="54"/>
      <c r="I114" s="54"/>
      <c r="J114" s="38"/>
      <c r="K114" s="38"/>
      <c r="L114" s="38"/>
      <c r="M114" s="38"/>
      <c r="N114" s="38"/>
      <c r="O114" s="38"/>
      <c r="P114" s="38"/>
      <c r="Q114" s="38"/>
      <c r="R114" s="38"/>
      <c r="S114" s="38"/>
      <c r="T114" s="38"/>
      <c r="U114" s="38"/>
      <c r="V114" s="38"/>
      <c r="W114" s="38"/>
      <c r="X114" s="38"/>
      <c r="Y114" s="38"/>
      <c r="Z114" s="38"/>
      <c r="AA114" s="38"/>
      <c r="AB114" s="38"/>
      <c r="AC114" s="38"/>
      <c r="AD114" s="38"/>
    </row>
    <row r="115" spans="1:30"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row>
    <row r="116" spans="1:30"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row>
    <row r="117" spans="1:30"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row>
    <row r="118" spans="1:30"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row>
    <row r="119" spans="1:30"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row>
    <row r="120" spans="1:30"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row>
    <row r="121" spans="1:30"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9CFF-9D55-413E-A5A4-13CC74BC2BD7}">
  <sheetPr>
    <tabColor theme="4" tint="-0.249977111117893"/>
  </sheetPr>
  <dimension ref="A1:R167"/>
  <sheetViews>
    <sheetView zoomScale="70" zoomScaleNormal="70" workbookViewId="0">
      <selection activeCell="B102" sqref="B102"/>
    </sheetView>
  </sheetViews>
  <sheetFormatPr defaultColWidth="0" defaultRowHeight="15" zeroHeight="1" x14ac:dyDescent="0.25"/>
  <cols>
    <col min="1" max="1" width="4.42578125" style="150" customWidth="1"/>
    <col min="2" max="2" width="16" style="150" bestFit="1" customWidth="1"/>
    <col min="3" max="3" width="4.42578125" style="150" customWidth="1"/>
    <col min="4" max="4" width="44.7109375" style="150" bestFit="1" customWidth="1"/>
    <col min="5" max="7" width="13.85546875" style="150" customWidth="1"/>
    <col min="8" max="8" width="4.42578125" style="150" customWidth="1"/>
    <col min="9" max="9" width="47" style="150" bestFit="1" customWidth="1"/>
    <col min="10" max="10" width="13.7109375" style="150" customWidth="1"/>
    <col min="11" max="15" width="13.85546875" style="150" customWidth="1"/>
    <col min="16" max="17" width="4.42578125" style="150" customWidth="1"/>
    <col min="18" max="18" width="0" style="150" hidden="1" customWidth="1"/>
    <col min="19" max="16384" width="8.85546875" style="150" hidden="1"/>
  </cols>
  <sheetData>
    <row r="1" spans="1:17" s="148" customFormat="1" ht="17.25" x14ac:dyDescent="0.35">
      <c r="D1" s="149"/>
      <c r="I1" s="149"/>
    </row>
    <row r="2" spans="1:17" ht="17.25" x14ac:dyDescent="0.35">
      <c r="A2" s="148"/>
      <c r="B2" s="149" t="s">
        <v>108</v>
      </c>
      <c r="C2" s="148"/>
      <c r="D2" s="149">
        <v>1</v>
      </c>
      <c r="E2" s="149">
        <v>2</v>
      </c>
      <c r="F2" s="149">
        <v>3</v>
      </c>
      <c r="G2" s="149">
        <v>4</v>
      </c>
      <c r="H2" s="148"/>
      <c r="I2" s="149">
        <v>1</v>
      </c>
      <c r="J2" s="149">
        <v>2</v>
      </c>
      <c r="K2" s="149">
        <v>3</v>
      </c>
      <c r="L2" s="149">
        <v>4</v>
      </c>
      <c r="M2" s="149">
        <v>5</v>
      </c>
      <c r="N2" s="149">
        <v>6</v>
      </c>
      <c r="O2" s="149">
        <v>7</v>
      </c>
      <c r="P2" s="148"/>
      <c r="Q2" s="148"/>
    </row>
    <row r="3" spans="1:17" ht="17.25" x14ac:dyDescent="0.35">
      <c r="A3" s="148"/>
      <c r="B3" s="151"/>
      <c r="C3" s="148"/>
      <c r="D3" s="152"/>
      <c r="E3" s="206" t="s">
        <v>271</v>
      </c>
      <c r="F3" s="207"/>
      <c r="G3" s="207"/>
      <c r="H3" s="152"/>
      <c r="I3" s="153" t="s">
        <v>209</v>
      </c>
      <c r="J3" s="152"/>
      <c r="K3" s="153"/>
      <c r="L3" s="152"/>
      <c r="M3" s="152"/>
      <c r="N3" s="152"/>
      <c r="O3" s="152"/>
      <c r="P3" s="148"/>
      <c r="Q3" s="148"/>
    </row>
    <row r="4" spans="1:17" ht="69" x14ac:dyDescent="0.25">
      <c r="A4" s="154"/>
      <c r="B4" s="155" t="s">
        <v>112</v>
      </c>
      <c r="C4" s="154"/>
      <c r="D4" s="156" t="s">
        <v>113</v>
      </c>
      <c r="E4" s="156" t="s">
        <v>210</v>
      </c>
      <c r="F4" s="156" t="s">
        <v>211</v>
      </c>
      <c r="G4" s="156" t="s">
        <v>212</v>
      </c>
      <c r="H4" s="157"/>
      <c r="I4" s="156" t="s">
        <v>272</v>
      </c>
      <c r="J4" s="156" t="s">
        <v>273</v>
      </c>
      <c r="K4" s="156" t="s">
        <v>274</v>
      </c>
      <c r="L4" s="158" t="s">
        <v>215</v>
      </c>
      <c r="M4" s="158" t="s">
        <v>216</v>
      </c>
      <c r="N4" s="158" t="s">
        <v>275</v>
      </c>
      <c r="O4" s="158" t="s">
        <v>276</v>
      </c>
      <c r="P4" s="154"/>
      <c r="Q4" s="154"/>
    </row>
    <row r="5" spans="1:17" ht="17.25" x14ac:dyDescent="0.35">
      <c r="A5" s="148"/>
      <c r="B5" s="159" t="s">
        <v>19</v>
      </c>
      <c r="C5" s="148"/>
      <c r="D5" s="160" t="s">
        <v>117</v>
      </c>
      <c r="E5" s="161">
        <v>0.5495118386376765</v>
      </c>
      <c r="F5" s="161" t="s">
        <v>221</v>
      </c>
      <c r="G5" s="162">
        <v>0.49771083002246519</v>
      </c>
      <c r="H5" s="152"/>
      <c r="I5" s="160" t="s">
        <v>117</v>
      </c>
      <c r="J5" s="161" t="s">
        <v>219</v>
      </c>
      <c r="K5" s="163" t="s">
        <v>219</v>
      </c>
      <c r="L5" s="163">
        <v>6</v>
      </c>
      <c r="M5" s="163">
        <v>1</v>
      </c>
      <c r="N5" s="164">
        <v>0.5495118386376765</v>
      </c>
      <c r="O5" s="164">
        <v>0.5495118386376765</v>
      </c>
      <c r="P5" s="148"/>
      <c r="Q5" s="148"/>
    </row>
    <row r="6" spans="1:17" ht="17.25" x14ac:dyDescent="0.35">
      <c r="A6" s="148"/>
      <c r="B6" s="159" t="s">
        <v>22</v>
      </c>
      <c r="C6" s="148"/>
      <c r="D6" s="160" t="s">
        <v>118</v>
      </c>
      <c r="E6" s="161" t="s">
        <v>221</v>
      </c>
      <c r="F6" s="162" t="s">
        <v>221</v>
      </c>
      <c r="G6" s="162">
        <v>0.55514521621159907</v>
      </c>
      <c r="H6" s="152"/>
      <c r="I6" s="160" t="s">
        <v>118</v>
      </c>
      <c r="J6" s="161" t="s">
        <v>221</v>
      </c>
      <c r="K6" s="163"/>
      <c r="L6" s="163" t="s">
        <v>221</v>
      </c>
      <c r="M6" s="163" t="s">
        <v>221</v>
      </c>
      <c r="N6" s="164" t="s">
        <v>221</v>
      </c>
      <c r="O6" s="164" t="s">
        <v>221</v>
      </c>
      <c r="P6" s="148"/>
      <c r="Q6" s="148"/>
    </row>
    <row r="7" spans="1:17" ht="17.25" x14ac:dyDescent="0.35">
      <c r="A7" s="148"/>
      <c r="B7" s="165" t="s">
        <v>25</v>
      </c>
      <c r="C7" s="148"/>
      <c r="D7" s="166" t="s">
        <v>119</v>
      </c>
      <c r="E7" s="167">
        <v>0.26273822998061053</v>
      </c>
      <c r="F7" s="168">
        <v>0.20081154997927442</v>
      </c>
      <c r="G7" s="168">
        <v>0.23806922911486064</v>
      </c>
      <c r="H7" s="152"/>
      <c r="I7" s="166" t="s">
        <v>119</v>
      </c>
      <c r="J7" s="167" t="s">
        <v>220</v>
      </c>
      <c r="K7" s="169" t="s">
        <v>220</v>
      </c>
      <c r="L7" s="169">
        <v>7</v>
      </c>
      <c r="M7" s="169">
        <v>1</v>
      </c>
      <c r="N7" s="170">
        <v>0.26273822998061053</v>
      </c>
      <c r="O7" s="170">
        <v>0.26273822998061053</v>
      </c>
      <c r="P7" s="148"/>
      <c r="Q7" s="148"/>
    </row>
    <row r="8" spans="1:17" ht="17.25" x14ac:dyDescent="0.35">
      <c r="A8" s="148"/>
      <c r="B8" s="165" t="s">
        <v>28</v>
      </c>
      <c r="C8" s="148"/>
      <c r="D8" s="166" t="s">
        <v>120</v>
      </c>
      <c r="E8" s="167">
        <v>0.27473282178087471</v>
      </c>
      <c r="F8" s="168">
        <v>0.34620474665709938</v>
      </c>
      <c r="G8" s="168">
        <v>0.24833237506823508</v>
      </c>
      <c r="H8" s="152"/>
      <c r="I8" s="166" t="s">
        <v>120</v>
      </c>
      <c r="J8" s="167" t="s">
        <v>220</v>
      </c>
      <c r="K8" s="169" t="s">
        <v>220</v>
      </c>
      <c r="L8" s="169">
        <v>7</v>
      </c>
      <c r="M8" s="169">
        <v>1</v>
      </c>
      <c r="N8" s="170">
        <v>0.27473282178087471</v>
      </c>
      <c r="O8" s="170">
        <v>0.27473282178087471</v>
      </c>
      <c r="P8" s="148"/>
      <c r="Q8" s="148"/>
    </row>
    <row r="9" spans="1:17" ht="17.25" x14ac:dyDescent="0.35">
      <c r="A9" s="148"/>
      <c r="B9" s="165" t="s">
        <v>31</v>
      </c>
      <c r="C9" s="148"/>
      <c r="D9" s="166" t="s">
        <v>121</v>
      </c>
      <c r="E9" s="167" t="s">
        <v>221</v>
      </c>
      <c r="F9" s="168" t="s">
        <v>221</v>
      </c>
      <c r="G9" s="168">
        <v>0.31822349640177178</v>
      </c>
      <c r="H9" s="152"/>
      <c r="I9" s="166" t="s">
        <v>121</v>
      </c>
      <c r="J9" s="167" t="s">
        <v>221</v>
      </c>
      <c r="K9" s="169"/>
      <c r="L9" s="169" t="s">
        <v>221</v>
      </c>
      <c r="M9" s="169" t="s">
        <v>221</v>
      </c>
      <c r="N9" s="170" t="s">
        <v>221</v>
      </c>
      <c r="O9" s="170" t="s">
        <v>221</v>
      </c>
      <c r="P9" s="148"/>
      <c r="Q9" s="148"/>
    </row>
    <row r="10" spans="1:17" ht="17.25" x14ac:dyDescent="0.35">
      <c r="A10" s="148"/>
      <c r="B10" s="165" t="s">
        <v>33</v>
      </c>
      <c r="C10" s="148"/>
      <c r="D10" s="166" t="s">
        <v>122</v>
      </c>
      <c r="E10" s="171" t="s">
        <v>221</v>
      </c>
      <c r="F10" s="172" t="s">
        <v>221</v>
      </c>
      <c r="G10" s="172">
        <v>1.3074426031438942E-2</v>
      </c>
      <c r="H10" s="152"/>
      <c r="I10" s="166" t="s">
        <v>122</v>
      </c>
      <c r="J10" s="171" t="s">
        <v>221</v>
      </c>
      <c r="K10" s="169" t="s">
        <v>221</v>
      </c>
      <c r="L10" s="169" t="s">
        <v>221</v>
      </c>
      <c r="M10" s="169" t="s">
        <v>221</v>
      </c>
      <c r="N10" s="170" t="s">
        <v>221</v>
      </c>
      <c r="O10" s="170" t="s">
        <v>221</v>
      </c>
      <c r="P10" s="148"/>
      <c r="Q10" s="148"/>
    </row>
    <row r="11" spans="1:17" ht="17.25" x14ac:dyDescent="0.35">
      <c r="A11" s="148"/>
      <c r="B11" s="165" t="s">
        <v>34</v>
      </c>
      <c r="C11" s="148"/>
      <c r="D11" s="166" t="s">
        <v>123</v>
      </c>
      <c r="E11" s="171" t="s">
        <v>221</v>
      </c>
      <c r="F11" s="172" t="s">
        <v>221</v>
      </c>
      <c r="G11" s="172">
        <v>5.754694463363544E-3</v>
      </c>
      <c r="H11" s="152"/>
      <c r="I11" s="166" t="s">
        <v>123</v>
      </c>
      <c r="J11" s="171" t="s">
        <v>221</v>
      </c>
      <c r="K11" s="169" t="s">
        <v>221</v>
      </c>
      <c r="L11" s="169" t="s">
        <v>221</v>
      </c>
      <c r="M11" s="169" t="s">
        <v>221</v>
      </c>
      <c r="N11" s="170" t="s">
        <v>221</v>
      </c>
      <c r="O11" s="170" t="s">
        <v>221</v>
      </c>
      <c r="P11" s="148"/>
      <c r="Q11" s="148"/>
    </row>
    <row r="12" spans="1:17" ht="17.25" x14ac:dyDescent="0.35">
      <c r="A12" s="148"/>
      <c r="B12" s="165" t="s">
        <v>35</v>
      </c>
      <c r="C12" s="148"/>
      <c r="D12" s="166" t="s">
        <v>124</v>
      </c>
      <c r="E12" s="167">
        <v>0.35306349833789874</v>
      </c>
      <c r="F12" s="168">
        <v>0.37503587083089318</v>
      </c>
      <c r="G12" s="168">
        <v>0.33571178338979268</v>
      </c>
      <c r="H12" s="152"/>
      <c r="I12" s="166" t="s">
        <v>124</v>
      </c>
      <c r="J12" s="167" t="s">
        <v>222</v>
      </c>
      <c r="K12" s="169" t="s">
        <v>222</v>
      </c>
      <c r="L12" s="169">
        <v>9</v>
      </c>
      <c r="M12" s="169" t="s">
        <v>221</v>
      </c>
      <c r="N12" s="170">
        <v>0.35306349833789874</v>
      </c>
      <c r="O12" s="170" t="s">
        <v>221</v>
      </c>
      <c r="P12" s="148"/>
      <c r="Q12" s="148"/>
    </row>
    <row r="13" spans="1:17" ht="17.25" x14ac:dyDescent="0.35">
      <c r="A13" s="148"/>
      <c r="B13" s="160"/>
      <c r="C13" s="148"/>
      <c r="D13" s="160" t="s">
        <v>125</v>
      </c>
      <c r="E13" s="161">
        <v>0.29684485003312799</v>
      </c>
      <c r="F13" s="161">
        <v>0.30735072248908901</v>
      </c>
      <c r="G13" s="161">
        <v>0.19319433407824374</v>
      </c>
      <c r="H13" s="152"/>
      <c r="I13" s="160" t="s">
        <v>125</v>
      </c>
      <c r="J13" s="161"/>
      <c r="K13" s="163" t="s">
        <v>221</v>
      </c>
      <c r="L13" s="163" t="s">
        <v>221</v>
      </c>
      <c r="M13" s="163" t="s">
        <v>221</v>
      </c>
      <c r="N13" s="164">
        <v>0.29684485003312799</v>
      </c>
      <c r="O13" s="164">
        <v>0.26873552588074262</v>
      </c>
      <c r="P13" s="148"/>
      <c r="Q13" s="148"/>
    </row>
    <row r="14" spans="1:17" ht="17.25" x14ac:dyDescent="0.35">
      <c r="A14" s="148"/>
      <c r="B14" s="165" t="s">
        <v>36</v>
      </c>
      <c r="C14" s="148"/>
      <c r="D14" s="166" t="s">
        <v>126</v>
      </c>
      <c r="E14" s="171">
        <v>0.38595439825848327</v>
      </c>
      <c r="F14" s="172">
        <v>0.30841849756332129</v>
      </c>
      <c r="G14" s="172">
        <v>0.39093730162876594</v>
      </c>
      <c r="H14" s="152"/>
      <c r="I14" s="166" t="s">
        <v>126</v>
      </c>
      <c r="J14" s="171" t="s">
        <v>220</v>
      </c>
      <c r="K14" s="169" t="s">
        <v>220</v>
      </c>
      <c r="L14" s="169">
        <v>7</v>
      </c>
      <c r="M14" s="169">
        <v>1</v>
      </c>
      <c r="N14" s="170">
        <v>0.38595439825848327</v>
      </c>
      <c r="O14" s="170">
        <v>0.38595439825848327</v>
      </c>
      <c r="P14" s="148"/>
      <c r="Q14" s="148"/>
    </row>
    <row r="15" spans="1:17" ht="17.25" x14ac:dyDescent="0.35">
      <c r="A15" s="148"/>
      <c r="B15" s="165" t="s">
        <v>37</v>
      </c>
      <c r="C15" s="148"/>
      <c r="D15" s="166" t="s">
        <v>127</v>
      </c>
      <c r="E15" s="171">
        <v>0.28550202556906146</v>
      </c>
      <c r="F15" s="172">
        <v>0.34069397826260323</v>
      </c>
      <c r="G15" s="172">
        <v>0.33339095911789457</v>
      </c>
      <c r="H15" s="152"/>
      <c r="I15" s="166" t="s">
        <v>127</v>
      </c>
      <c r="J15" s="171" t="s">
        <v>220</v>
      </c>
      <c r="K15" s="169" t="s">
        <v>220</v>
      </c>
      <c r="L15" s="169">
        <v>7</v>
      </c>
      <c r="M15" s="169">
        <v>1</v>
      </c>
      <c r="N15" s="170">
        <v>0.28550202556906146</v>
      </c>
      <c r="O15" s="170">
        <v>0.28550202556906146</v>
      </c>
      <c r="P15" s="148"/>
      <c r="Q15" s="148"/>
    </row>
    <row r="16" spans="1:17" ht="17.25" x14ac:dyDescent="0.35">
      <c r="A16" s="148"/>
      <c r="B16" s="160"/>
      <c r="C16" s="148"/>
      <c r="D16" s="160" t="s">
        <v>128</v>
      </c>
      <c r="E16" s="161">
        <v>0.33572821191377233</v>
      </c>
      <c r="F16" s="161">
        <v>0.32455623791296229</v>
      </c>
      <c r="G16" s="161">
        <v>0.36216413037333028</v>
      </c>
      <c r="H16" s="152"/>
      <c r="I16" s="160" t="s">
        <v>128</v>
      </c>
      <c r="J16" s="161"/>
      <c r="K16" s="163" t="s">
        <v>221</v>
      </c>
      <c r="L16" s="163" t="s">
        <v>221</v>
      </c>
      <c r="M16" s="163" t="s">
        <v>221</v>
      </c>
      <c r="N16" s="164">
        <v>0.33572821191377233</v>
      </c>
      <c r="O16" s="164">
        <v>0.33572821191377233</v>
      </c>
      <c r="P16" s="148"/>
      <c r="Q16" s="148"/>
    </row>
    <row r="17" spans="1:17" ht="17.25" x14ac:dyDescent="0.35">
      <c r="A17" s="173"/>
      <c r="B17" s="174"/>
      <c r="C17" s="173"/>
      <c r="D17" s="174" t="s">
        <v>129</v>
      </c>
      <c r="E17" s="175">
        <v>0.35191713542743419</v>
      </c>
      <c r="F17" s="175">
        <v>0.31423292865863833</v>
      </c>
      <c r="G17" s="175">
        <v>0.29363503114501877</v>
      </c>
      <c r="H17" s="176"/>
      <c r="I17" s="174" t="s">
        <v>129</v>
      </c>
      <c r="J17" s="175"/>
      <c r="K17" s="174"/>
      <c r="L17" s="177"/>
      <c r="M17" s="177"/>
      <c r="N17" s="178">
        <v>0.35191713542743419</v>
      </c>
      <c r="O17" s="178">
        <v>0.35168786284534126</v>
      </c>
      <c r="P17" s="173"/>
      <c r="Q17" s="173"/>
    </row>
    <row r="18" spans="1:17" ht="17.25" x14ac:dyDescent="0.35">
      <c r="A18" s="148"/>
      <c r="B18" s="165" t="s">
        <v>38</v>
      </c>
      <c r="C18" s="148"/>
      <c r="D18" s="166" t="s">
        <v>130</v>
      </c>
      <c r="E18" s="167" t="s">
        <v>221</v>
      </c>
      <c r="F18" s="168" t="s">
        <v>221</v>
      </c>
      <c r="G18" s="168" t="s">
        <v>221</v>
      </c>
      <c r="H18" s="152"/>
      <c r="I18" s="166" t="s">
        <v>130</v>
      </c>
      <c r="J18" s="167" t="s">
        <v>221</v>
      </c>
      <c r="K18" s="169"/>
      <c r="L18" s="169" t="s">
        <v>221</v>
      </c>
      <c r="M18" s="169" t="s">
        <v>221</v>
      </c>
      <c r="N18" s="170" t="s">
        <v>221</v>
      </c>
      <c r="O18" s="170" t="s">
        <v>221</v>
      </c>
      <c r="P18" s="148"/>
      <c r="Q18" s="148"/>
    </row>
    <row r="19" spans="1:17" ht="17.25" x14ac:dyDescent="0.35">
      <c r="A19" s="148"/>
      <c r="B19" s="165" t="s">
        <v>39</v>
      </c>
      <c r="C19" s="148"/>
      <c r="D19" s="166" t="s">
        <v>131</v>
      </c>
      <c r="E19" s="167">
        <v>0.23313480816765458</v>
      </c>
      <c r="F19" s="168">
        <v>0.40756532286101244</v>
      </c>
      <c r="G19" s="168">
        <v>0.30905020496433588</v>
      </c>
      <c r="H19" s="152"/>
      <c r="I19" s="166" t="s">
        <v>131</v>
      </c>
      <c r="J19" s="167" t="s">
        <v>219</v>
      </c>
      <c r="K19" s="169" t="s">
        <v>219</v>
      </c>
      <c r="L19" s="169">
        <v>6</v>
      </c>
      <c r="M19" s="169">
        <v>1</v>
      </c>
      <c r="N19" s="170">
        <v>0.23313480816765458</v>
      </c>
      <c r="O19" s="170">
        <v>0.23313480816765458</v>
      </c>
      <c r="P19" s="148"/>
      <c r="Q19" s="148"/>
    </row>
    <row r="20" spans="1:17" ht="17.25" x14ac:dyDescent="0.35">
      <c r="A20" s="148"/>
      <c r="B20" s="165" t="s">
        <v>40</v>
      </c>
      <c r="C20" s="148"/>
      <c r="D20" s="166" t="s">
        <v>132</v>
      </c>
      <c r="E20" s="167">
        <v>0.57820475442041563</v>
      </c>
      <c r="F20" s="168">
        <v>0.43413157325843904</v>
      </c>
      <c r="G20" s="168">
        <v>0.64261699192528954</v>
      </c>
      <c r="H20" s="152"/>
      <c r="I20" s="166" t="s">
        <v>132</v>
      </c>
      <c r="J20" s="167" t="s">
        <v>222</v>
      </c>
      <c r="K20" s="169" t="s">
        <v>222</v>
      </c>
      <c r="L20" s="169">
        <v>9</v>
      </c>
      <c r="M20" s="169" t="s">
        <v>221</v>
      </c>
      <c r="N20" s="170">
        <v>0.57820475442041563</v>
      </c>
      <c r="O20" s="170" t="s">
        <v>221</v>
      </c>
      <c r="P20" s="148"/>
      <c r="Q20" s="148"/>
    </row>
    <row r="21" spans="1:17" ht="17.25" x14ac:dyDescent="0.35">
      <c r="A21" s="148"/>
      <c r="B21" s="165" t="s">
        <v>41</v>
      </c>
      <c r="C21" s="148"/>
      <c r="D21" s="166" t="s">
        <v>133</v>
      </c>
      <c r="E21" s="167" t="s">
        <v>221</v>
      </c>
      <c r="F21" s="168" t="s">
        <v>221</v>
      </c>
      <c r="G21" s="168" t="s">
        <v>221</v>
      </c>
      <c r="H21" s="152"/>
      <c r="I21" s="166" t="s">
        <v>133</v>
      </c>
      <c r="J21" s="167" t="s">
        <v>221</v>
      </c>
      <c r="K21" s="169"/>
      <c r="L21" s="169" t="s">
        <v>221</v>
      </c>
      <c r="M21" s="169" t="s">
        <v>221</v>
      </c>
      <c r="N21" s="170" t="s">
        <v>221</v>
      </c>
      <c r="O21" s="170" t="s">
        <v>221</v>
      </c>
      <c r="P21" s="148"/>
      <c r="Q21" s="148"/>
    </row>
    <row r="22" spans="1:17" ht="17.25" x14ac:dyDescent="0.35">
      <c r="A22" s="148"/>
      <c r="B22" s="165" t="s">
        <v>42</v>
      </c>
      <c r="C22" s="148"/>
      <c r="D22" s="166" t="s">
        <v>134</v>
      </c>
      <c r="E22" s="167">
        <v>0.17822923299815124</v>
      </c>
      <c r="F22" s="168">
        <v>0.16975889927154547</v>
      </c>
      <c r="G22" s="168">
        <v>0.18324249713272908</v>
      </c>
      <c r="H22" s="152"/>
      <c r="I22" s="166" t="s">
        <v>134</v>
      </c>
      <c r="J22" s="167" t="s">
        <v>224</v>
      </c>
      <c r="K22" s="169" t="s">
        <v>224</v>
      </c>
      <c r="L22" s="169">
        <v>11</v>
      </c>
      <c r="M22" s="169" t="s">
        <v>221</v>
      </c>
      <c r="N22" s="170">
        <v>0.17822923299815124</v>
      </c>
      <c r="O22" s="170" t="s">
        <v>221</v>
      </c>
      <c r="P22" s="148"/>
      <c r="Q22" s="148"/>
    </row>
    <row r="23" spans="1:17" ht="17.25" x14ac:dyDescent="0.35">
      <c r="A23" s="148"/>
      <c r="B23" s="165" t="s">
        <v>43</v>
      </c>
      <c r="C23" s="148"/>
      <c r="D23" s="166" t="s">
        <v>135</v>
      </c>
      <c r="E23" s="167">
        <v>0.59718600417430401</v>
      </c>
      <c r="F23" s="168">
        <v>0.62768553802157567</v>
      </c>
      <c r="G23" s="168">
        <v>0.66963688060423598</v>
      </c>
      <c r="H23" s="152"/>
      <c r="I23" s="166" t="s">
        <v>135</v>
      </c>
      <c r="J23" s="167" t="s">
        <v>223</v>
      </c>
      <c r="K23" s="169" t="s">
        <v>223</v>
      </c>
      <c r="L23" s="169">
        <v>12</v>
      </c>
      <c r="M23" s="169" t="s">
        <v>221</v>
      </c>
      <c r="N23" s="170">
        <v>0.59718600417430401</v>
      </c>
      <c r="O23" s="170" t="s">
        <v>221</v>
      </c>
      <c r="P23" s="148"/>
      <c r="Q23" s="148"/>
    </row>
    <row r="24" spans="1:17" ht="17.25" x14ac:dyDescent="0.35">
      <c r="A24" s="148"/>
      <c r="B24" s="165" t="s">
        <v>44</v>
      </c>
      <c r="C24" s="148"/>
      <c r="D24" s="166" t="s">
        <v>136</v>
      </c>
      <c r="E24" s="167" t="s">
        <v>221</v>
      </c>
      <c r="F24" s="168" t="s">
        <v>221</v>
      </c>
      <c r="G24" s="168">
        <v>0.13963445282956188</v>
      </c>
      <c r="H24" s="152"/>
      <c r="I24" s="166" t="s">
        <v>136</v>
      </c>
      <c r="J24" s="167" t="s">
        <v>221</v>
      </c>
      <c r="K24" s="169" t="s">
        <v>221</v>
      </c>
      <c r="L24" s="169" t="s">
        <v>221</v>
      </c>
      <c r="M24" s="169" t="s">
        <v>221</v>
      </c>
      <c r="N24" s="170" t="s">
        <v>221</v>
      </c>
      <c r="O24" s="170" t="s">
        <v>221</v>
      </c>
      <c r="P24" s="148"/>
      <c r="Q24" s="148"/>
    </row>
    <row r="25" spans="1:17" ht="17.25" x14ac:dyDescent="0.35">
      <c r="A25" s="148"/>
      <c r="B25" s="179" t="s">
        <v>45</v>
      </c>
      <c r="C25" s="148"/>
      <c r="D25" s="166" t="s">
        <v>137</v>
      </c>
      <c r="E25" s="167">
        <v>0.41857670291534388</v>
      </c>
      <c r="F25" s="168">
        <v>0.51225025506419852</v>
      </c>
      <c r="G25" s="168">
        <v>0.42722412739916144</v>
      </c>
      <c r="H25" s="152"/>
      <c r="I25" s="166" t="s">
        <v>137</v>
      </c>
      <c r="J25" s="167" t="s">
        <v>240</v>
      </c>
      <c r="K25" s="169" t="s">
        <v>225</v>
      </c>
      <c r="L25" s="169">
        <v>5</v>
      </c>
      <c r="M25" s="169">
        <v>1</v>
      </c>
      <c r="N25" s="170">
        <v>0.41857670291534388</v>
      </c>
      <c r="O25" s="170">
        <v>0.41857670291534388</v>
      </c>
      <c r="P25" s="148"/>
      <c r="Q25" s="148"/>
    </row>
    <row r="26" spans="1:17" ht="17.25" x14ac:dyDescent="0.35">
      <c r="A26" s="148"/>
      <c r="B26" s="165" t="s">
        <v>46</v>
      </c>
      <c r="C26" s="148"/>
      <c r="D26" s="166" t="s">
        <v>138</v>
      </c>
      <c r="E26" s="167">
        <v>0.17013040299051763</v>
      </c>
      <c r="F26" s="168">
        <v>0.23671411289854252</v>
      </c>
      <c r="G26" s="168">
        <v>0.15763205028314009</v>
      </c>
      <c r="H26" s="152"/>
      <c r="I26" s="166" t="s">
        <v>138</v>
      </c>
      <c r="J26" s="167" t="s">
        <v>225</v>
      </c>
      <c r="K26" s="169" t="s">
        <v>225</v>
      </c>
      <c r="L26" s="169">
        <v>5</v>
      </c>
      <c r="M26" s="169">
        <v>1</v>
      </c>
      <c r="N26" s="170">
        <v>0.17013040299051763</v>
      </c>
      <c r="O26" s="170">
        <v>0.17013040299051763</v>
      </c>
      <c r="P26" s="148"/>
      <c r="Q26" s="148"/>
    </row>
    <row r="27" spans="1:17" ht="17.25" x14ac:dyDescent="0.35">
      <c r="A27" s="148"/>
      <c r="B27" s="165" t="s">
        <v>47</v>
      </c>
      <c r="C27" s="148"/>
      <c r="D27" s="166" t="s">
        <v>139</v>
      </c>
      <c r="E27" s="167" t="s">
        <v>221</v>
      </c>
      <c r="F27" s="168" t="s">
        <v>221</v>
      </c>
      <c r="G27" s="168">
        <v>0</v>
      </c>
      <c r="H27" s="152"/>
      <c r="I27" s="166" t="s">
        <v>139</v>
      </c>
      <c r="J27" s="167" t="s">
        <v>221</v>
      </c>
      <c r="K27" s="169" t="s">
        <v>221</v>
      </c>
      <c r="L27" s="169" t="s">
        <v>221</v>
      </c>
      <c r="M27" s="169" t="s">
        <v>221</v>
      </c>
      <c r="N27" s="170" t="s">
        <v>221</v>
      </c>
      <c r="O27" s="170" t="s">
        <v>221</v>
      </c>
      <c r="P27" s="148"/>
      <c r="Q27" s="148"/>
    </row>
    <row r="28" spans="1:17" ht="17.25" x14ac:dyDescent="0.35">
      <c r="A28" s="148"/>
      <c r="B28" s="165" t="s">
        <v>48</v>
      </c>
      <c r="C28" s="148"/>
      <c r="D28" s="166" t="s">
        <v>140</v>
      </c>
      <c r="E28" s="167">
        <v>0.14468874326158673</v>
      </c>
      <c r="F28" s="168">
        <v>0.28228905064526566</v>
      </c>
      <c r="G28" s="168">
        <v>0.13868956917246208</v>
      </c>
      <c r="H28" s="152"/>
      <c r="I28" s="166" t="s">
        <v>140</v>
      </c>
      <c r="J28" s="167" t="s">
        <v>221</v>
      </c>
      <c r="K28" s="169" t="s">
        <v>221</v>
      </c>
      <c r="L28" s="169" t="s">
        <v>221</v>
      </c>
      <c r="M28" s="169" t="s">
        <v>221</v>
      </c>
      <c r="N28" s="170" t="s">
        <v>221</v>
      </c>
      <c r="O28" s="170" t="s">
        <v>221</v>
      </c>
      <c r="P28" s="148"/>
      <c r="Q28" s="148"/>
    </row>
    <row r="29" spans="1:17" ht="17.25" x14ac:dyDescent="0.35">
      <c r="A29" s="148"/>
      <c r="B29" s="165" t="s">
        <v>49</v>
      </c>
      <c r="C29" s="148"/>
      <c r="D29" s="166" t="s">
        <v>141</v>
      </c>
      <c r="E29" s="167">
        <v>0.16361648913782373</v>
      </c>
      <c r="F29" s="168">
        <v>0.54205904252161641</v>
      </c>
      <c r="G29" s="168">
        <v>0.11546493981478631</v>
      </c>
      <c r="H29" s="152"/>
      <c r="I29" s="166" t="s">
        <v>141</v>
      </c>
      <c r="J29" s="167" t="s">
        <v>226</v>
      </c>
      <c r="K29" s="169" t="s">
        <v>226</v>
      </c>
      <c r="L29" s="169">
        <v>8</v>
      </c>
      <c r="M29" s="169" t="s">
        <v>221</v>
      </c>
      <c r="N29" s="170">
        <v>0.16361648913782373</v>
      </c>
      <c r="O29" s="170" t="s">
        <v>221</v>
      </c>
      <c r="P29" s="148"/>
      <c r="Q29" s="148"/>
    </row>
    <row r="30" spans="1:17" ht="17.25" x14ac:dyDescent="0.35">
      <c r="A30" s="148"/>
      <c r="B30" s="165" t="s">
        <v>50</v>
      </c>
      <c r="C30" s="148"/>
      <c r="D30" s="166" t="s">
        <v>142</v>
      </c>
      <c r="E30" s="167" t="s">
        <v>221</v>
      </c>
      <c r="F30" s="168" t="s">
        <v>221</v>
      </c>
      <c r="G30" s="168" t="s">
        <v>221</v>
      </c>
      <c r="H30" s="152"/>
      <c r="I30" s="166" t="s">
        <v>142</v>
      </c>
      <c r="J30" s="167" t="s">
        <v>221</v>
      </c>
      <c r="K30" s="169" t="s">
        <v>221</v>
      </c>
      <c r="L30" s="169" t="s">
        <v>221</v>
      </c>
      <c r="M30" s="169" t="s">
        <v>221</v>
      </c>
      <c r="N30" s="170" t="s">
        <v>221</v>
      </c>
      <c r="O30" s="170" t="s">
        <v>221</v>
      </c>
      <c r="P30" s="148"/>
      <c r="Q30" s="148"/>
    </row>
    <row r="31" spans="1:17" ht="17.25" x14ac:dyDescent="0.35">
      <c r="A31" s="148"/>
      <c r="B31" s="165" t="s">
        <v>51</v>
      </c>
      <c r="C31" s="148"/>
      <c r="D31" s="166" t="s">
        <v>143</v>
      </c>
      <c r="E31" s="167">
        <v>0.13947355297860359</v>
      </c>
      <c r="F31" s="168">
        <v>0.13281671492168975</v>
      </c>
      <c r="G31" s="168">
        <v>0.21097309394038363</v>
      </c>
      <c r="H31" s="152"/>
      <c r="I31" s="166" t="s">
        <v>143</v>
      </c>
      <c r="J31" s="167" t="s">
        <v>221</v>
      </c>
      <c r="K31" s="169" t="s">
        <v>221</v>
      </c>
      <c r="L31" s="169" t="s">
        <v>221</v>
      </c>
      <c r="M31" s="169" t="s">
        <v>221</v>
      </c>
      <c r="N31" s="170" t="s">
        <v>221</v>
      </c>
      <c r="O31" s="170" t="s">
        <v>221</v>
      </c>
      <c r="P31" s="148"/>
      <c r="Q31" s="148"/>
    </row>
    <row r="32" spans="1:17" ht="17.25" x14ac:dyDescent="0.35">
      <c r="A32" s="148"/>
      <c r="B32" s="165" t="s">
        <v>52</v>
      </c>
      <c r="C32" s="148"/>
      <c r="D32" s="166" t="s">
        <v>144</v>
      </c>
      <c r="E32" s="167" t="s">
        <v>221</v>
      </c>
      <c r="F32" s="168" t="s">
        <v>221</v>
      </c>
      <c r="G32" s="168" t="s">
        <v>221</v>
      </c>
      <c r="H32" s="152"/>
      <c r="I32" s="166" t="s">
        <v>144</v>
      </c>
      <c r="J32" s="167" t="s">
        <v>221</v>
      </c>
      <c r="K32" s="169" t="s">
        <v>221</v>
      </c>
      <c r="L32" s="169" t="s">
        <v>221</v>
      </c>
      <c r="M32" s="169" t="s">
        <v>221</v>
      </c>
      <c r="N32" s="170" t="s">
        <v>221</v>
      </c>
      <c r="O32" s="170" t="s">
        <v>221</v>
      </c>
      <c r="P32" s="148"/>
      <c r="Q32" s="148"/>
    </row>
    <row r="33" spans="1:17" ht="17.25" x14ac:dyDescent="0.35">
      <c r="A33" s="148"/>
      <c r="B33" s="165" t="s">
        <v>53</v>
      </c>
      <c r="C33" s="148"/>
      <c r="D33" s="166" t="s">
        <v>145</v>
      </c>
      <c r="E33" s="167">
        <v>0.35806935157141306</v>
      </c>
      <c r="F33" s="168">
        <v>0.47983839620190466</v>
      </c>
      <c r="G33" s="168">
        <v>0.29354289913208248</v>
      </c>
      <c r="H33" s="152"/>
      <c r="I33" s="166" t="s">
        <v>145</v>
      </c>
      <c r="J33" s="167" t="s">
        <v>219</v>
      </c>
      <c r="K33" s="169" t="s">
        <v>219</v>
      </c>
      <c r="L33" s="169">
        <v>6</v>
      </c>
      <c r="M33" s="169">
        <v>1</v>
      </c>
      <c r="N33" s="170">
        <v>0.35806935157141306</v>
      </c>
      <c r="O33" s="170">
        <v>0.35806935157141306</v>
      </c>
      <c r="P33" s="148"/>
      <c r="Q33" s="148"/>
    </row>
    <row r="34" spans="1:17" ht="17.25" x14ac:dyDescent="0.35">
      <c r="A34" s="148"/>
      <c r="B34" s="165" t="s">
        <v>54</v>
      </c>
      <c r="C34" s="148"/>
      <c r="D34" s="166" t="s">
        <v>146</v>
      </c>
      <c r="E34" s="167">
        <v>0.21905996882995879</v>
      </c>
      <c r="F34" s="168" t="s">
        <v>221</v>
      </c>
      <c r="G34" s="168">
        <v>0.22192629751214929</v>
      </c>
      <c r="H34" s="152"/>
      <c r="I34" s="166" t="s">
        <v>146</v>
      </c>
      <c r="J34" s="167" t="s">
        <v>221</v>
      </c>
      <c r="K34" s="169" t="s">
        <v>221</v>
      </c>
      <c r="L34" s="169" t="s">
        <v>221</v>
      </c>
      <c r="M34" s="169" t="s">
        <v>221</v>
      </c>
      <c r="N34" s="170" t="s">
        <v>221</v>
      </c>
      <c r="O34" s="170" t="s">
        <v>221</v>
      </c>
      <c r="P34" s="148"/>
      <c r="Q34" s="148"/>
    </row>
    <row r="35" spans="1:17" ht="17.25" x14ac:dyDescent="0.35">
      <c r="A35" s="148"/>
      <c r="B35" s="165" t="s">
        <v>55</v>
      </c>
      <c r="C35" s="148"/>
      <c r="D35" s="166" t="s">
        <v>147</v>
      </c>
      <c r="E35" s="167" t="s">
        <v>221</v>
      </c>
      <c r="F35" s="168" t="s">
        <v>221</v>
      </c>
      <c r="G35" s="168" t="s">
        <v>221</v>
      </c>
      <c r="H35" s="152"/>
      <c r="I35" s="166" t="s">
        <v>147</v>
      </c>
      <c r="J35" s="167" t="s">
        <v>221</v>
      </c>
      <c r="K35" s="169" t="s">
        <v>221</v>
      </c>
      <c r="L35" s="169" t="s">
        <v>221</v>
      </c>
      <c r="M35" s="169" t="s">
        <v>221</v>
      </c>
      <c r="N35" s="170" t="s">
        <v>221</v>
      </c>
      <c r="O35" s="170" t="s">
        <v>221</v>
      </c>
      <c r="P35" s="148"/>
      <c r="Q35" s="148"/>
    </row>
    <row r="36" spans="1:17" ht="17.25" x14ac:dyDescent="0.35">
      <c r="A36" s="148"/>
      <c r="B36" s="165" t="s">
        <v>56</v>
      </c>
      <c r="C36" s="148"/>
      <c r="D36" s="166" t="s">
        <v>148</v>
      </c>
      <c r="E36" s="167" t="s">
        <v>221</v>
      </c>
      <c r="F36" s="168" t="s">
        <v>221</v>
      </c>
      <c r="G36" s="168" t="s">
        <v>221</v>
      </c>
      <c r="H36" s="152"/>
      <c r="I36" s="166" t="s">
        <v>148</v>
      </c>
      <c r="J36" s="167" t="s">
        <v>221</v>
      </c>
      <c r="K36" s="169" t="s">
        <v>221</v>
      </c>
      <c r="L36" s="169" t="s">
        <v>221</v>
      </c>
      <c r="M36" s="169" t="s">
        <v>221</v>
      </c>
      <c r="N36" s="170" t="s">
        <v>221</v>
      </c>
      <c r="O36" s="170" t="s">
        <v>221</v>
      </c>
      <c r="P36" s="148"/>
      <c r="Q36" s="148"/>
    </row>
    <row r="37" spans="1:17" ht="17.25" x14ac:dyDescent="0.35">
      <c r="A37" s="148"/>
      <c r="B37" s="165" t="s">
        <v>57</v>
      </c>
      <c r="C37" s="148"/>
      <c r="D37" s="166" t="s">
        <v>149</v>
      </c>
      <c r="E37" s="167">
        <v>0.41181721141876032</v>
      </c>
      <c r="F37" s="168">
        <v>0.4949143193339009</v>
      </c>
      <c r="G37" s="168">
        <v>0.38152082533679232</v>
      </c>
      <c r="H37" s="152"/>
      <c r="I37" s="166" t="s">
        <v>149</v>
      </c>
      <c r="J37" s="167" t="s">
        <v>225</v>
      </c>
      <c r="K37" s="169" t="s">
        <v>225</v>
      </c>
      <c r="L37" s="169">
        <v>5</v>
      </c>
      <c r="M37" s="169">
        <v>1</v>
      </c>
      <c r="N37" s="170">
        <v>0.41181721141876032</v>
      </c>
      <c r="O37" s="170">
        <v>0.41181721141876032</v>
      </c>
      <c r="P37" s="148"/>
      <c r="Q37" s="148"/>
    </row>
    <row r="38" spans="1:17" ht="17.25" x14ac:dyDescent="0.35">
      <c r="A38" s="148"/>
      <c r="B38" s="165" t="s">
        <v>58</v>
      </c>
      <c r="C38" s="148"/>
      <c r="D38" s="166" t="s">
        <v>150</v>
      </c>
      <c r="E38" s="167">
        <v>0.1714999949515687</v>
      </c>
      <c r="F38" s="168">
        <v>0.17388632053894842</v>
      </c>
      <c r="G38" s="168">
        <v>0.18848735899399327</v>
      </c>
      <c r="H38" s="152"/>
      <c r="I38" s="166" t="s">
        <v>150</v>
      </c>
      <c r="J38" s="167" t="s">
        <v>227</v>
      </c>
      <c r="K38" s="169" t="s">
        <v>227</v>
      </c>
      <c r="L38" s="169">
        <v>3</v>
      </c>
      <c r="M38" s="169">
        <v>1</v>
      </c>
      <c r="N38" s="170">
        <v>0.1714999949515687</v>
      </c>
      <c r="O38" s="170">
        <v>0.1714999949515687</v>
      </c>
      <c r="P38" s="148"/>
      <c r="Q38" s="148"/>
    </row>
    <row r="39" spans="1:17" ht="17.25" x14ac:dyDescent="0.35">
      <c r="A39" s="148"/>
      <c r="B39" s="165" t="s">
        <v>59</v>
      </c>
      <c r="C39" s="148"/>
      <c r="D39" s="166" t="s">
        <v>151</v>
      </c>
      <c r="E39" s="167" t="s">
        <v>221</v>
      </c>
      <c r="F39" s="168" t="s">
        <v>221</v>
      </c>
      <c r="G39" s="168" t="s">
        <v>221</v>
      </c>
      <c r="H39" s="152"/>
      <c r="I39" s="166" t="s">
        <v>151</v>
      </c>
      <c r="J39" s="167" t="s">
        <v>221</v>
      </c>
      <c r="K39" s="169" t="s">
        <v>221</v>
      </c>
      <c r="L39" s="169" t="s">
        <v>221</v>
      </c>
      <c r="M39" s="169" t="s">
        <v>221</v>
      </c>
      <c r="N39" s="170" t="s">
        <v>221</v>
      </c>
      <c r="O39" s="170" t="s">
        <v>221</v>
      </c>
      <c r="P39" s="148"/>
      <c r="Q39" s="148"/>
    </row>
    <row r="40" spans="1:17" ht="17.25" x14ac:dyDescent="0.35">
      <c r="A40" s="148"/>
      <c r="B40" s="165" t="s">
        <v>60</v>
      </c>
      <c r="C40" s="148"/>
      <c r="D40" s="166" t="s">
        <v>152</v>
      </c>
      <c r="E40" s="167">
        <v>0</v>
      </c>
      <c r="F40" s="168" t="s">
        <v>221</v>
      </c>
      <c r="G40" s="168">
        <v>0</v>
      </c>
      <c r="H40" s="152"/>
      <c r="I40" s="166" t="s">
        <v>152</v>
      </c>
      <c r="J40" s="167" t="s">
        <v>221</v>
      </c>
      <c r="K40" s="169" t="s">
        <v>221</v>
      </c>
      <c r="L40" s="169" t="s">
        <v>221</v>
      </c>
      <c r="M40" s="169" t="s">
        <v>221</v>
      </c>
      <c r="N40" s="170" t="s">
        <v>221</v>
      </c>
      <c r="O40" s="170" t="s">
        <v>221</v>
      </c>
      <c r="P40" s="148"/>
      <c r="Q40" s="148"/>
    </row>
    <row r="41" spans="1:17" ht="17.25" x14ac:dyDescent="0.35">
      <c r="A41" s="148"/>
      <c r="B41" s="165" t="s">
        <v>61</v>
      </c>
      <c r="C41" s="148"/>
      <c r="D41" s="166" t="s">
        <v>153</v>
      </c>
      <c r="E41" s="167">
        <v>0.23567725242446963</v>
      </c>
      <c r="F41" s="168">
        <v>0.21702007224836325</v>
      </c>
      <c r="G41" s="168">
        <v>0.30100233912920171</v>
      </c>
      <c r="H41" s="152"/>
      <c r="I41" s="166" t="s">
        <v>153</v>
      </c>
      <c r="J41" s="167" t="s">
        <v>221</v>
      </c>
      <c r="K41" s="169" t="s">
        <v>221</v>
      </c>
      <c r="L41" s="169" t="s">
        <v>221</v>
      </c>
      <c r="M41" s="169" t="s">
        <v>221</v>
      </c>
      <c r="N41" s="170" t="s">
        <v>221</v>
      </c>
      <c r="O41" s="170" t="s">
        <v>221</v>
      </c>
      <c r="P41" s="148"/>
      <c r="Q41" s="148"/>
    </row>
    <row r="42" spans="1:17" ht="17.25" x14ac:dyDescent="0.35">
      <c r="A42" s="148"/>
      <c r="B42" s="165" t="s">
        <v>62</v>
      </c>
      <c r="C42" s="148"/>
      <c r="D42" s="166" t="s">
        <v>154</v>
      </c>
      <c r="E42" s="167" t="s">
        <v>221</v>
      </c>
      <c r="F42" s="168" t="s">
        <v>221</v>
      </c>
      <c r="G42" s="168">
        <v>0.25476192509991635</v>
      </c>
      <c r="H42" s="152"/>
      <c r="I42" s="166" t="s">
        <v>154</v>
      </c>
      <c r="J42" s="167" t="s">
        <v>221</v>
      </c>
      <c r="K42" s="169" t="s">
        <v>221</v>
      </c>
      <c r="L42" s="169" t="s">
        <v>221</v>
      </c>
      <c r="M42" s="169" t="s">
        <v>221</v>
      </c>
      <c r="N42" s="170" t="s">
        <v>221</v>
      </c>
      <c r="O42" s="170" t="s">
        <v>221</v>
      </c>
      <c r="P42" s="148"/>
      <c r="Q42" s="148"/>
    </row>
    <row r="43" spans="1:17" ht="17.25" x14ac:dyDescent="0.35">
      <c r="A43" s="148"/>
      <c r="B43" s="165" t="s">
        <v>63</v>
      </c>
      <c r="C43" s="148"/>
      <c r="D43" s="166" t="s">
        <v>155</v>
      </c>
      <c r="E43" s="167">
        <v>0</v>
      </c>
      <c r="F43" s="168">
        <v>0.28317847600204693</v>
      </c>
      <c r="G43" s="168">
        <v>0</v>
      </c>
      <c r="H43" s="152"/>
      <c r="I43" s="166" t="s">
        <v>155</v>
      </c>
      <c r="J43" s="167" t="s">
        <v>221</v>
      </c>
      <c r="K43" s="169" t="s">
        <v>221</v>
      </c>
      <c r="L43" s="169" t="s">
        <v>221</v>
      </c>
      <c r="M43" s="169" t="s">
        <v>221</v>
      </c>
      <c r="N43" s="170" t="s">
        <v>221</v>
      </c>
      <c r="O43" s="170" t="s">
        <v>221</v>
      </c>
      <c r="P43" s="148"/>
      <c r="Q43" s="148"/>
    </row>
    <row r="44" spans="1:17" ht="17.25" x14ac:dyDescent="0.35">
      <c r="A44" s="148"/>
      <c r="B44" s="165" t="s">
        <v>64</v>
      </c>
      <c r="C44" s="148"/>
      <c r="D44" s="166" t="s">
        <v>156</v>
      </c>
      <c r="E44" s="167">
        <v>0.11729521710848927</v>
      </c>
      <c r="F44" s="168">
        <v>0.24408467944705303</v>
      </c>
      <c r="G44" s="168">
        <v>0.13699725598138673</v>
      </c>
      <c r="H44" s="180"/>
      <c r="I44" s="166" t="s">
        <v>156</v>
      </c>
      <c r="J44" s="167" t="s">
        <v>228</v>
      </c>
      <c r="K44" s="169" t="s">
        <v>228</v>
      </c>
      <c r="L44" s="169">
        <v>4</v>
      </c>
      <c r="M44" s="169">
        <v>1</v>
      </c>
      <c r="N44" s="170">
        <v>0.11729521710848927</v>
      </c>
      <c r="O44" s="170">
        <v>0.11729521710848927</v>
      </c>
      <c r="P44" s="181"/>
      <c r="Q44" s="181"/>
    </row>
    <row r="45" spans="1:17" ht="17.25" x14ac:dyDescent="0.35">
      <c r="A45" s="148"/>
      <c r="B45" s="165" t="s">
        <v>65</v>
      </c>
      <c r="C45" s="148"/>
      <c r="D45" s="166" t="s">
        <v>157</v>
      </c>
      <c r="E45" s="167" t="s">
        <v>221</v>
      </c>
      <c r="F45" s="168" t="s">
        <v>221</v>
      </c>
      <c r="G45" s="168">
        <v>0.25815420122105798</v>
      </c>
      <c r="H45" s="152"/>
      <c r="I45" s="166" t="s">
        <v>157</v>
      </c>
      <c r="J45" s="167" t="s">
        <v>221</v>
      </c>
      <c r="K45" s="169" t="s">
        <v>221</v>
      </c>
      <c r="L45" s="169" t="s">
        <v>221</v>
      </c>
      <c r="M45" s="169" t="s">
        <v>221</v>
      </c>
      <c r="N45" s="170" t="s">
        <v>221</v>
      </c>
      <c r="O45" s="170" t="s">
        <v>221</v>
      </c>
      <c r="P45" s="148"/>
      <c r="Q45" s="148"/>
    </row>
    <row r="46" spans="1:17" ht="17.25" x14ac:dyDescent="0.35">
      <c r="A46" s="148"/>
      <c r="B46" s="165" t="s">
        <v>66</v>
      </c>
      <c r="C46" s="148"/>
      <c r="D46" s="166" t="s">
        <v>158</v>
      </c>
      <c r="E46" s="167">
        <v>0.24318540812701792</v>
      </c>
      <c r="F46" s="168">
        <v>0.30678721253060509</v>
      </c>
      <c r="G46" s="168">
        <v>0.2454173821910447</v>
      </c>
      <c r="H46" s="152"/>
      <c r="I46" s="166" t="s">
        <v>158</v>
      </c>
      <c r="J46" s="167" t="s">
        <v>227</v>
      </c>
      <c r="K46" s="169" t="s">
        <v>227</v>
      </c>
      <c r="L46" s="169">
        <v>3</v>
      </c>
      <c r="M46" s="169">
        <v>1</v>
      </c>
      <c r="N46" s="170">
        <v>0.24318540812701792</v>
      </c>
      <c r="O46" s="170">
        <v>0.24318540812701792</v>
      </c>
      <c r="P46" s="148"/>
      <c r="Q46" s="148"/>
    </row>
    <row r="47" spans="1:17" ht="17.25" x14ac:dyDescent="0.35">
      <c r="A47" s="148"/>
      <c r="B47" s="165" t="s">
        <v>67</v>
      </c>
      <c r="C47" s="148"/>
      <c r="D47" s="166" t="s">
        <v>159</v>
      </c>
      <c r="E47" s="167">
        <v>0.26538022264195849</v>
      </c>
      <c r="F47" s="168" t="s">
        <v>221</v>
      </c>
      <c r="G47" s="168">
        <v>0.35440665007477518</v>
      </c>
      <c r="H47" s="152"/>
      <c r="I47" s="166" t="s">
        <v>159</v>
      </c>
      <c r="J47" s="167" t="s">
        <v>229</v>
      </c>
      <c r="K47" s="169" t="s">
        <v>229</v>
      </c>
      <c r="L47" s="169">
        <v>10</v>
      </c>
      <c r="M47" s="169" t="s">
        <v>221</v>
      </c>
      <c r="N47" s="170">
        <v>0.26538022264195849</v>
      </c>
      <c r="O47" s="170" t="s">
        <v>221</v>
      </c>
      <c r="P47" s="148"/>
      <c r="Q47" s="148"/>
    </row>
    <row r="48" spans="1:17" ht="17.25" x14ac:dyDescent="0.35">
      <c r="A48" s="148"/>
      <c r="B48" s="165" t="s">
        <v>68</v>
      </c>
      <c r="C48" s="148"/>
      <c r="D48" s="166" t="s">
        <v>160</v>
      </c>
      <c r="E48" s="167" t="s">
        <v>221</v>
      </c>
      <c r="F48" s="168" t="s">
        <v>221</v>
      </c>
      <c r="G48" s="168" t="s">
        <v>221</v>
      </c>
      <c r="H48" s="152"/>
      <c r="I48" s="166" t="s">
        <v>160</v>
      </c>
      <c r="J48" s="167" t="s">
        <v>221</v>
      </c>
      <c r="K48" s="169"/>
      <c r="L48" s="169" t="s">
        <v>221</v>
      </c>
      <c r="M48" s="169" t="s">
        <v>221</v>
      </c>
      <c r="N48" s="170" t="s">
        <v>221</v>
      </c>
      <c r="O48" s="170" t="s">
        <v>221</v>
      </c>
      <c r="P48" s="148"/>
      <c r="Q48" s="148"/>
    </row>
    <row r="49" spans="1:17" ht="17.25" x14ac:dyDescent="0.35">
      <c r="A49" s="148"/>
      <c r="B49" s="165" t="s">
        <v>69</v>
      </c>
      <c r="C49" s="148"/>
      <c r="D49" s="166" t="s">
        <v>161</v>
      </c>
      <c r="E49" s="167">
        <v>0.51162057597495025</v>
      </c>
      <c r="F49" s="168">
        <v>0.4491716020351767</v>
      </c>
      <c r="G49" s="168">
        <v>0.53723653602986676</v>
      </c>
      <c r="H49" s="152"/>
      <c r="I49" s="166" t="s">
        <v>161</v>
      </c>
      <c r="J49" s="167" t="s">
        <v>219</v>
      </c>
      <c r="K49" s="169" t="s">
        <v>219</v>
      </c>
      <c r="L49" s="169">
        <v>6</v>
      </c>
      <c r="M49" s="169">
        <v>1</v>
      </c>
      <c r="N49" s="170">
        <v>0.51162057597495025</v>
      </c>
      <c r="O49" s="170">
        <v>0.51162057597495025</v>
      </c>
      <c r="P49" s="148"/>
      <c r="Q49" s="148"/>
    </row>
    <row r="50" spans="1:17" ht="17.25" x14ac:dyDescent="0.35">
      <c r="A50" s="148"/>
      <c r="B50" s="165" t="s">
        <v>70</v>
      </c>
      <c r="C50" s="148"/>
      <c r="D50" s="166" t="s">
        <v>162</v>
      </c>
      <c r="E50" s="167">
        <v>0.19474247909778195</v>
      </c>
      <c r="F50" s="168">
        <v>0.13602275563352967</v>
      </c>
      <c r="G50" s="168">
        <v>0.19587484797756216</v>
      </c>
      <c r="H50" s="152"/>
      <c r="I50" s="166" t="s">
        <v>162</v>
      </c>
      <c r="J50" s="167" t="s">
        <v>219</v>
      </c>
      <c r="K50" s="169" t="s">
        <v>219</v>
      </c>
      <c r="L50" s="169">
        <v>6</v>
      </c>
      <c r="M50" s="169">
        <v>1</v>
      </c>
      <c r="N50" s="170">
        <v>0.19474247909778195</v>
      </c>
      <c r="O50" s="170">
        <v>0.19474247909778195</v>
      </c>
      <c r="P50" s="148"/>
      <c r="Q50" s="148"/>
    </row>
    <row r="51" spans="1:17" ht="17.25" x14ac:dyDescent="0.35">
      <c r="A51" s="148"/>
      <c r="B51" s="165" t="s">
        <v>71</v>
      </c>
      <c r="C51" s="148"/>
      <c r="D51" s="166" t="s">
        <v>163</v>
      </c>
      <c r="E51" s="167">
        <v>0.63729269242330866</v>
      </c>
      <c r="F51" s="168">
        <v>0.67464796150603012</v>
      </c>
      <c r="G51" s="168">
        <v>0.65535086232735174</v>
      </c>
      <c r="H51" s="152"/>
      <c r="I51" s="166" t="s">
        <v>163</v>
      </c>
      <c r="J51" s="167" t="s">
        <v>226</v>
      </c>
      <c r="K51" s="169" t="s">
        <v>226</v>
      </c>
      <c r="L51" s="169">
        <v>8</v>
      </c>
      <c r="M51" s="169" t="s">
        <v>221</v>
      </c>
      <c r="N51" s="170">
        <v>0.63729269242330866</v>
      </c>
      <c r="O51" s="170" t="s">
        <v>221</v>
      </c>
      <c r="P51" s="148"/>
      <c r="Q51" s="148"/>
    </row>
    <row r="52" spans="1:17" ht="17.25" x14ac:dyDescent="0.35">
      <c r="A52" s="148"/>
      <c r="B52" s="165" t="s">
        <v>72</v>
      </c>
      <c r="C52" s="148"/>
      <c r="D52" s="166" t="s">
        <v>164</v>
      </c>
      <c r="E52" s="167" t="s">
        <v>221</v>
      </c>
      <c r="F52" s="168" t="s">
        <v>221</v>
      </c>
      <c r="G52" s="168" t="s">
        <v>221</v>
      </c>
      <c r="H52" s="152"/>
      <c r="I52" s="166" t="s">
        <v>164</v>
      </c>
      <c r="J52" s="167" t="s">
        <v>221</v>
      </c>
      <c r="K52" s="169" t="s">
        <v>221</v>
      </c>
      <c r="L52" s="169" t="s">
        <v>221</v>
      </c>
      <c r="M52" s="169" t="s">
        <v>221</v>
      </c>
      <c r="N52" s="170" t="s">
        <v>221</v>
      </c>
      <c r="O52" s="170" t="s">
        <v>221</v>
      </c>
      <c r="P52" s="148"/>
      <c r="Q52" s="148"/>
    </row>
    <row r="53" spans="1:17" ht="17.25" x14ac:dyDescent="0.35">
      <c r="A53" s="148"/>
      <c r="B53" s="165" t="s">
        <v>73</v>
      </c>
      <c r="C53" s="148"/>
      <c r="D53" s="166" t="s">
        <v>165</v>
      </c>
      <c r="E53" s="167">
        <v>0.40555906252425111</v>
      </c>
      <c r="F53" s="168">
        <v>0.46987902682246718</v>
      </c>
      <c r="G53" s="168">
        <v>0.34880253425221658</v>
      </c>
      <c r="H53" s="152"/>
      <c r="I53" s="166" t="s">
        <v>165</v>
      </c>
      <c r="J53" s="167" t="s">
        <v>225</v>
      </c>
      <c r="K53" s="169" t="s">
        <v>225</v>
      </c>
      <c r="L53" s="169">
        <v>5</v>
      </c>
      <c r="M53" s="169">
        <v>1</v>
      </c>
      <c r="N53" s="170">
        <v>0.40555906252425111</v>
      </c>
      <c r="O53" s="170">
        <v>0.40555906252425111</v>
      </c>
      <c r="P53" s="148"/>
      <c r="Q53" s="148"/>
    </row>
    <row r="54" spans="1:17" ht="17.25" x14ac:dyDescent="0.35">
      <c r="A54" s="148"/>
      <c r="B54" s="165" t="s">
        <v>74</v>
      </c>
      <c r="C54" s="148"/>
      <c r="D54" s="166" t="s">
        <v>166</v>
      </c>
      <c r="E54" s="167">
        <v>0.3145687375349015</v>
      </c>
      <c r="F54" s="168">
        <v>0.20656263956769583</v>
      </c>
      <c r="G54" s="168">
        <v>0.33290231069908899</v>
      </c>
      <c r="H54" s="152"/>
      <c r="I54" s="166" t="s">
        <v>166</v>
      </c>
      <c r="J54" s="167" t="s">
        <v>222</v>
      </c>
      <c r="K54" s="169" t="s">
        <v>222</v>
      </c>
      <c r="L54" s="169">
        <v>9</v>
      </c>
      <c r="M54" s="169" t="s">
        <v>221</v>
      </c>
      <c r="N54" s="170">
        <v>0.3145687375349015</v>
      </c>
      <c r="O54" s="170" t="s">
        <v>221</v>
      </c>
      <c r="P54" s="148"/>
      <c r="Q54" s="148"/>
    </row>
    <row r="55" spans="1:17" ht="17.25" x14ac:dyDescent="0.35">
      <c r="A55" s="148"/>
      <c r="B55" s="165" t="s">
        <v>75</v>
      </c>
      <c r="C55" s="148"/>
      <c r="D55" s="166" t="s">
        <v>167</v>
      </c>
      <c r="E55" s="167">
        <v>0.27931907436382536</v>
      </c>
      <c r="F55" s="168">
        <v>0.21998399267381186</v>
      </c>
      <c r="G55" s="168">
        <v>0.28787413286347097</v>
      </c>
      <c r="H55" s="152"/>
      <c r="I55" s="166" t="s">
        <v>167</v>
      </c>
      <c r="J55" s="167" t="s">
        <v>225</v>
      </c>
      <c r="K55" s="169" t="s">
        <v>225</v>
      </c>
      <c r="L55" s="169">
        <v>5</v>
      </c>
      <c r="M55" s="169">
        <v>1</v>
      </c>
      <c r="N55" s="170">
        <v>0.27931907436382536</v>
      </c>
      <c r="O55" s="170">
        <v>0.27931907436382536</v>
      </c>
      <c r="P55" s="148"/>
      <c r="Q55" s="148"/>
    </row>
    <row r="56" spans="1:17" ht="17.25" x14ac:dyDescent="0.35">
      <c r="A56" s="148"/>
      <c r="B56" s="165" t="s">
        <v>76</v>
      </c>
      <c r="C56" s="148"/>
      <c r="D56" s="166" t="s">
        <v>168</v>
      </c>
      <c r="E56" s="167">
        <v>0.18595297646298434</v>
      </c>
      <c r="F56" s="168">
        <v>0.15236375156329018</v>
      </c>
      <c r="G56" s="168">
        <v>0.16673833515045283</v>
      </c>
      <c r="H56" s="152"/>
      <c r="I56" s="166" t="s">
        <v>168</v>
      </c>
      <c r="J56" s="167" t="s">
        <v>241</v>
      </c>
      <c r="K56" s="169" t="s">
        <v>227</v>
      </c>
      <c r="L56" s="169">
        <v>3</v>
      </c>
      <c r="M56" s="169">
        <v>1</v>
      </c>
      <c r="N56" s="170">
        <v>0.18595297646298434</v>
      </c>
      <c r="O56" s="170">
        <v>0.18595297646298434</v>
      </c>
      <c r="P56" s="148"/>
      <c r="Q56" s="148"/>
    </row>
    <row r="57" spans="1:17" ht="17.25" x14ac:dyDescent="0.35">
      <c r="A57" s="148"/>
      <c r="B57" s="165" t="s">
        <v>77</v>
      </c>
      <c r="C57" s="148"/>
      <c r="D57" s="166" t="s">
        <v>169</v>
      </c>
      <c r="E57" s="167">
        <v>0.21746677549222904</v>
      </c>
      <c r="F57" s="168">
        <v>0.23133955557145414</v>
      </c>
      <c r="G57" s="168">
        <v>0.29095828636396276</v>
      </c>
      <c r="H57" s="152"/>
      <c r="I57" s="166" t="s">
        <v>169</v>
      </c>
      <c r="J57" s="167" t="s">
        <v>228</v>
      </c>
      <c r="K57" s="169" t="s">
        <v>228</v>
      </c>
      <c r="L57" s="169">
        <v>4</v>
      </c>
      <c r="M57" s="169">
        <v>1</v>
      </c>
      <c r="N57" s="170">
        <v>0.21746677549222904</v>
      </c>
      <c r="O57" s="170">
        <v>0.21746677549222904</v>
      </c>
      <c r="P57" s="148"/>
      <c r="Q57" s="148"/>
    </row>
    <row r="58" spans="1:17" ht="17.25" x14ac:dyDescent="0.35">
      <c r="A58" s="148"/>
      <c r="B58" s="165" t="s">
        <v>78</v>
      </c>
      <c r="C58" s="148"/>
      <c r="D58" s="166" t="s">
        <v>170</v>
      </c>
      <c r="E58" s="167">
        <v>0.38775930737360997</v>
      </c>
      <c r="F58" s="168">
        <v>0.43657222870072293</v>
      </c>
      <c r="G58" s="168">
        <v>0.35400562389402596</v>
      </c>
      <c r="H58" s="152"/>
      <c r="I58" s="166" t="s">
        <v>170</v>
      </c>
      <c r="J58" s="167" t="s">
        <v>242</v>
      </c>
      <c r="K58" s="169" t="s">
        <v>226</v>
      </c>
      <c r="L58" s="169">
        <v>8</v>
      </c>
      <c r="M58" s="169" t="s">
        <v>221</v>
      </c>
      <c r="N58" s="170">
        <v>0.38775930737360997</v>
      </c>
      <c r="O58" s="170" t="s">
        <v>221</v>
      </c>
      <c r="P58" s="148"/>
      <c r="Q58" s="148"/>
    </row>
    <row r="59" spans="1:17" ht="17.25" x14ac:dyDescent="0.35">
      <c r="A59" s="148"/>
      <c r="B59" s="165" t="s">
        <v>79</v>
      </c>
      <c r="C59" s="148"/>
      <c r="D59" s="166" t="s">
        <v>171</v>
      </c>
      <c r="E59" s="167">
        <v>0.10579175227829274</v>
      </c>
      <c r="F59" s="168">
        <v>0.10239611374829191</v>
      </c>
      <c r="G59" s="168">
        <v>0.17392335921414401</v>
      </c>
      <c r="H59" s="152"/>
      <c r="I59" s="166" t="s">
        <v>171</v>
      </c>
      <c r="J59" s="167" t="s">
        <v>221</v>
      </c>
      <c r="K59" s="169" t="s">
        <v>221</v>
      </c>
      <c r="L59" s="169" t="s">
        <v>221</v>
      </c>
      <c r="M59" s="169" t="s">
        <v>221</v>
      </c>
      <c r="N59" s="170" t="s">
        <v>221</v>
      </c>
      <c r="O59" s="170" t="s">
        <v>221</v>
      </c>
      <c r="P59" s="148"/>
      <c r="Q59" s="148"/>
    </row>
    <row r="60" spans="1:17" ht="17.25" x14ac:dyDescent="0.35">
      <c r="A60" s="148"/>
      <c r="B60" s="165" t="s">
        <v>80</v>
      </c>
      <c r="C60" s="148"/>
      <c r="D60" s="166" t="s">
        <v>172</v>
      </c>
      <c r="E60" s="167" t="s">
        <v>221</v>
      </c>
      <c r="F60" s="168" t="s">
        <v>221</v>
      </c>
      <c r="G60" s="168" t="s">
        <v>221</v>
      </c>
      <c r="H60" s="152"/>
      <c r="I60" s="166" t="s">
        <v>172</v>
      </c>
      <c r="J60" s="167" t="s">
        <v>221</v>
      </c>
      <c r="K60" s="169" t="s">
        <v>221</v>
      </c>
      <c r="L60" s="169" t="s">
        <v>221</v>
      </c>
      <c r="M60" s="169" t="s">
        <v>221</v>
      </c>
      <c r="N60" s="170" t="s">
        <v>221</v>
      </c>
      <c r="O60" s="170" t="s">
        <v>221</v>
      </c>
      <c r="P60" s="148"/>
      <c r="Q60" s="148"/>
    </row>
    <row r="61" spans="1:17" ht="17.25" x14ac:dyDescent="0.35">
      <c r="A61" s="148"/>
      <c r="B61" s="165" t="s">
        <v>81</v>
      </c>
      <c r="C61" s="148"/>
      <c r="D61" s="166" t="s">
        <v>173</v>
      </c>
      <c r="E61" s="167">
        <v>0.21047679559542776</v>
      </c>
      <c r="F61" s="168">
        <v>0.11518329121094152</v>
      </c>
      <c r="G61" s="168">
        <v>0.23953829630453999</v>
      </c>
      <c r="H61" s="152"/>
      <c r="I61" s="166" t="s">
        <v>173</v>
      </c>
      <c r="J61" s="167" t="s">
        <v>222</v>
      </c>
      <c r="K61" s="169" t="s">
        <v>222</v>
      </c>
      <c r="L61" s="169">
        <v>9</v>
      </c>
      <c r="M61" s="169" t="s">
        <v>221</v>
      </c>
      <c r="N61" s="170">
        <v>0.21047679559542776</v>
      </c>
      <c r="O61" s="170" t="s">
        <v>221</v>
      </c>
      <c r="P61" s="148"/>
      <c r="Q61" s="148"/>
    </row>
    <row r="62" spans="1:17" ht="17.25" x14ac:dyDescent="0.35">
      <c r="A62" s="148"/>
      <c r="B62" s="165" t="s">
        <v>82</v>
      </c>
      <c r="C62" s="148"/>
      <c r="D62" s="166" t="s">
        <v>174</v>
      </c>
      <c r="E62" s="167">
        <v>0.3427260436326684</v>
      </c>
      <c r="F62" s="168">
        <v>0.31744072286618513</v>
      </c>
      <c r="G62" s="168">
        <v>0.35262362707989048</v>
      </c>
      <c r="H62" s="152"/>
      <c r="I62" s="166" t="s">
        <v>174</v>
      </c>
      <c r="J62" s="167" t="s">
        <v>225</v>
      </c>
      <c r="K62" s="169" t="s">
        <v>225</v>
      </c>
      <c r="L62" s="169">
        <v>5</v>
      </c>
      <c r="M62" s="169">
        <v>1</v>
      </c>
      <c r="N62" s="170">
        <v>0.3427260436326684</v>
      </c>
      <c r="O62" s="170">
        <v>0.3427260436326684</v>
      </c>
      <c r="P62" s="148"/>
      <c r="Q62" s="148"/>
    </row>
    <row r="63" spans="1:17" ht="17.25" x14ac:dyDescent="0.35">
      <c r="A63" s="148"/>
      <c r="B63" s="165" t="s">
        <v>83</v>
      </c>
      <c r="C63" s="148"/>
      <c r="D63" s="166" t="s">
        <v>175</v>
      </c>
      <c r="E63" s="167">
        <v>0.20296603039059999</v>
      </c>
      <c r="F63" s="168" t="s">
        <v>221</v>
      </c>
      <c r="G63" s="168">
        <v>0.36052518456770655</v>
      </c>
      <c r="H63" s="152"/>
      <c r="I63" s="166" t="s">
        <v>175</v>
      </c>
      <c r="J63" s="167" t="s">
        <v>221</v>
      </c>
      <c r="K63" s="169" t="s">
        <v>221</v>
      </c>
      <c r="L63" s="169" t="s">
        <v>221</v>
      </c>
      <c r="M63" s="169" t="s">
        <v>221</v>
      </c>
      <c r="N63" s="170" t="s">
        <v>221</v>
      </c>
      <c r="O63" s="170" t="s">
        <v>221</v>
      </c>
      <c r="P63" s="148"/>
      <c r="Q63" s="148"/>
    </row>
    <row r="64" spans="1:17" ht="17.25" x14ac:dyDescent="0.35">
      <c r="A64" s="148"/>
      <c r="B64" s="165" t="s">
        <v>84</v>
      </c>
      <c r="C64" s="148"/>
      <c r="D64" s="166" t="s">
        <v>176</v>
      </c>
      <c r="E64" s="167">
        <v>0.35486462704385763</v>
      </c>
      <c r="F64" s="168">
        <v>0.29754346838694168</v>
      </c>
      <c r="G64" s="168">
        <v>0.36182957905006868</v>
      </c>
      <c r="H64" s="152"/>
      <c r="I64" s="166" t="s">
        <v>176</v>
      </c>
      <c r="J64" s="167" t="s">
        <v>219</v>
      </c>
      <c r="K64" s="169" t="s">
        <v>219</v>
      </c>
      <c r="L64" s="169">
        <v>6</v>
      </c>
      <c r="M64" s="169">
        <v>1</v>
      </c>
      <c r="N64" s="170">
        <v>0.35486462704385763</v>
      </c>
      <c r="O64" s="170">
        <v>0.35486462704385763</v>
      </c>
      <c r="P64" s="148"/>
      <c r="Q64" s="148"/>
    </row>
    <row r="65" spans="1:17" ht="17.25" x14ac:dyDescent="0.35">
      <c r="A65" s="148"/>
      <c r="B65" s="165" t="s">
        <v>85</v>
      </c>
      <c r="C65" s="148"/>
      <c r="D65" s="166" t="s">
        <v>177</v>
      </c>
      <c r="E65" s="167" t="s">
        <v>221</v>
      </c>
      <c r="F65" s="168" t="s">
        <v>221</v>
      </c>
      <c r="G65" s="168">
        <v>0.40284325948832023</v>
      </c>
      <c r="H65" s="152"/>
      <c r="I65" s="166" t="s">
        <v>177</v>
      </c>
      <c r="J65" s="167" t="s">
        <v>221</v>
      </c>
      <c r="K65" s="169" t="s">
        <v>221</v>
      </c>
      <c r="L65" s="169" t="s">
        <v>221</v>
      </c>
      <c r="M65" s="169" t="s">
        <v>221</v>
      </c>
      <c r="N65" s="170" t="s">
        <v>221</v>
      </c>
      <c r="O65" s="170" t="s">
        <v>221</v>
      </c>
      <c r="P65" s="148"/>
      <c r="Q65" s="148"/>
    </row>
    <row r="66" spans="1:17" ht="17.25" x14ac:dyDescent="0.35">
      <c r="A66" s="148"/>
      <c r="B66" s="165" t="s">
        <v>86</v>
      </c>
      <c r="C66" s="148"/>
      <c r="D66" s="166" t="s">
        <v>178</v>
      </c>
      <c r="E66" s="167">
        <v>0.20546763270578675</v>
      </c>
      <c r="F66" s="168" t="s">
        <v>221</v>
      </c>
      <c r="G66" s="168">
        <v>0.20689949200525842</v>
      </c>
      <c r="H66" s="152"/>
      <c r="I66" s="166" t="s">
        <v>178</v>
      </c>
      <c r="J66" s="167" t="s">
        <v>228</v>
      </c>
      <c r="K66" s="169" t="s">
        <v>228</v>
      </c>
      <c r="L66" s="169">
        <v>4</v>
      </c>
      <c r="M66" s="169">
        <v>1</v>
      </c>
      <c r="N66" s="170">
        <v>0.20546763270578675</v>
      </c>
      <c r="O66" s="170">
        <v>0.20546763270578675</v>
      </c>
      <c r="P66" s="148"/>
      <c r="Q66" s="148"/>
    </row>
    <row r="67" spans="1:17" ht="17.25" x14ac:dyDescent="0.35">
      <c r="A67" s="148"/>
      <c r="B67" s="165" t="s">
        <v>87</v>
      </c>
      <c r="C67" s="148"/>
      <c r="D67" s="166" t="s">
        <v>179</v>
      </c>
      <c r="E67" s="167" t="s">
        <v>221</v>
      </c>
      <c r="F67" s="168" t="s">
        <v>221</v>
      </c>
      <c r="G67" s="168" t="s">
        <v>221</v>
      </c>
      <c r="H67" s="152"/>
      <c r="I67" s="166" t="s">
        <v>179</v>
      </c>
      <c r="J67" s="167" t="s">
        <v>221</v>
      </c>
      <c r="K67" s="169"/>
      <c r="L67" s="169" t="s">
        <v>221</v>
      </c>
      <c r="M67" s="169" t="s">
        <v>221</v>
      </c>
      <c r="N67" s="170" t="s">
        <v>221</v>
      </c>
      <c r="O67" s="170" t="s">
        <v>221</v>
      </c>
      <c r="P67" s="148"/>
      <c r="Q67" s="148"/>
    </row>
    <row r="68" spans="1:17" ht="17.25" x14ac:dyDescent="0.35">
      <c r="A68" s="148"/>
      <c r="B68" s="165" t="s">
        <v>88</v>
      </c>
      <c r="C68" s="148"/>
      <c r="D68" s="166" t="s">
        <v>180</v>
      </c>
      <c r="E68" s="167">
        <v>0.411164237708674</v>
      </c>
      <c r="F68" s="168" t="s">
        <v>221</v>
      </c>
      <c r="G68" s="168">
        <v>0.31776396412498426</v>
      </c>
      <c r="H68" s="152"/>
      <c r="I68" s="166" t="s">
        <v>180</v>
      </c>
      <c r="J68" s="167" t="s">
        <v>243</v>
      </c>
      <c r="K68" s="169" t="s">
        <v>221</v>
      </c>
      <c r="L68" s="169" t="s">
        <v>221</v>
      </c>
      <c r="M68" s="169" t="s">
        <v>221</v>
      </c>
      <c r="N68" s="170" t="s">
        <v>221</v>
      </c>
      <c r="O68" s="170" t="s">
        <v>221</v>
      </c>
      <c r="P68" s="148"/>
      <c r="Q68" s="148"/>
    </row>
    <row r="69" spans="1:17" ht="17.25" x14ac:dyDescent="0.35">
      <c r="A69" s="148"/>
      <c r="B69" s="165" t="s">
        <v>89</v>
      </c>
      <c r="C69" s="148"/>
      <c r="D69" s="166" t="s">
        <v>181</v>
      </c>
      <c r="E69" s="167" t="s">
        <v>221</v>
      </c>
      <c r="F69" s="168" t="s">
        <v>221</v>
      </c>
      <c r="G69" s="168" t="s">
        <v>221</v>
      </c>
      <c r="H69" s="152"/>
      <c r="I69" s="166" t="s">
        <v>181</v>
      </c>
      <c r="J69" s="167" t="s">
        <v>221</v>
      </c>
      <c r="K69" s="169" t="s">
        <v>221</v>
      </c>
      <c r="L69" s="169" t="s">
        <v>221</v>
      </c>
      <c r="M69" s="169" t="s">
        <v>221</v>
      </c>
      <c r="N69" s="170" t="s">
        <v>221</v>
      </c>
      <c r="O69" s="170" t="s">
        <v>221</v>
      </c>
      <c r="P69" s="148"/>
      <c r="Q69" s="148"/>
    </row>
    <row r="70" spans="1:17" ht="17.25" x14ac:dyDescent="0.35">
      <c r="A70" s="148"/>
      <c r="B70" s="165" t="s">
        <v>90</v>
      </c>
      <c r="C70" s="148"/>
      <c r="D70" s="166" t="s">
        <v>182</v>
      </c>
      <c r="E70" s="167">
        <v>0.2621176205260321</v>
      </c>
      <c r="F70" s="168">
        <v>0.36728835321693332</v>
      </c>
      <c r="G70" s="168">
        <v>0.23724410725273648</v>
      </c>
      <c r="H70" s="152"/>
      <c r="I70" s="166" t="s">
        <v>182</v>
      </c>
      <c r="J70" s="167" t="s">
        <v>230</v>
      </c>
      <c r="K70" s="169" t="s">
        <v>230</v>
      </c>
      <c r="L70" s="169">
        <v>1</v>
      </c>
      <c r="M70" s="169">
        <v>1</v>
      </c>
      <c r="N70" s="170">
        <v>0.2621176205260321</v>
      </c>
      <c r="O70" s="170">
        <v>0.2621176205260321</v>
      </c>
      <c r="P70" s="148"/>
      <c r="Q70" s="148"/>
    </row>
    <row r="71" spans="1:17" ht="17.25" x14ac:dyDescent="0.35">
      <c r="A71" s="148"/>
      <c r="B71" s="165" t="s">
        <v>91</v>
      </c>
      <c r="C71" s="148"/>
      <c r="D71" s="166" t="s">
        <v>183</v>
      </c>
      <c r="E71" s="167">
        <v>0.10543745040707075</v>
      </c>
      <c r="F71" s="168">
        <v>0.24053561708992238</v>
      </c>
      <c r="G71" s="168">
        <v>0.10746633104811235</v>
      </c>
      <c r="H71" s="152"/>
      <c r="I71" s="166" t="s">
        <v>183</v>
      </c>
      <c r="J71" s="167" t="s">
        <v>243</v>
      </c>
      <c r="K71" s="169" t="s">
        <v>221</v>
      </c>
      <c r="L71" s="169" t="s">
        <v>221</v>
      </c>
      <c r="M71" s="169" t="s">
        <v>221</v>
      </c>
      <c r="N71" s="170" t="s">
        <v>221</v>
      </c>
      <c r="O71" s="170" t="s">
        <v>221</v>
      </c>
      <c r="P71" s="148"/>
      <c r="Q71" s="148"/>
    </row>
    <row r="72" spans="1:17" ht="17.25" x14ac:dyDescent="0.35">
      <c r="A72" s="148"/>
      <c r="B72" s="165" t="s">
        <v>92</v>
      </c>
      <c r="C72" s="148"/>
      <c r="D72" s="166" t="s">
        <v>184</v>
      </c>
      <c r="E72" s="167">
        <v>0.53845110385258388</v>
      </c>
      <c r="F72" s="168">
        <v>0.3791452812855336</v>
      </c>
      <c r="G72" s="168">
        <v>0.56603350337707214</v>
      </c>
      <c r="H72" s="152"/>
      <c r="I72" s="166" t="s">
        <v>184</v>
      </c>
      <c r="J72" s="167" t="s">
        <v>226</v>
      </c>
      <c r="K72" s="169" t="s">
        <v>226</v>
      </c>
      <c r="L72" s="169">
        <v>8</v>
      </c>
      <c r="M72" s="169" t="s">
        <v>221</v>
      </c>
      <c r="N72" s="170">
        <v>0.53845110385258388</v>
      </c>
      <c r="O72" s="170" t="s">
        <v>221</v>
      </c>
      <c r="P72" s="148"/>
      <c r="Q72" s="148"/>
    </row>
    <row r="73" spans="1:17" ht="17.25" x14ac:dyDescent="0.35">
      <c r="A73" s="148"/>
      <c r="B73" s="165" t="s">
        <v>93</v>
      </c>
      <c r="C73" s="148"/>
      <c r="D73" s="166" t="s">
        <v>185</v>
      </c>
      <c r="E73" s="167">
        <v>0.30465766874499955</v>
      </c>
      <c r="F73" s="168">
        <v>0.31578016432839001</v>
      </c>
      <c r="G73" s="168">
        <v>0.31230539342297226</v>
      </c>
      <c r="H73" s="152"/>
      <c r="I73" s="166" t="s">
        <v>185</v>
      </c>
      <c r="J73" s="167" t="s">
        <v>225</v>
      </c>
      <c r="K73" s="169" t="s">
        <v>225</v>
      </c>
      <c r="L73" s="169">
        <v>5</v>
      </c>
      <c r="M73" s="169">
        <v>1</v>
      </c>
      <c r="N73" s="170">
        <v>0.30465766874499955</v>
      </c>
      <c r="O73" s="170">
        <v>0.30465766874499955</v>
      </c>
      <c r="P73" s="148"/>
      <c r="Q73" s="148"/>
    </row>
    <row r="74" spans="1:17" ht="17.25" x14ac:dyDescent="0.35">
      <c r="A74" s="148"/>
      <c r="B74" s="165" t="s">
        <v>94</v>
      </c>
      <c r="C74" s="148"/>
      <c r="D74" s="166" t="s">
        <v>186</v>
      </c>
      <c r="E74" s="167" t="s">
        <v>221</v>
      </c>
      <c r="F74" s="168" t="s">
        <v>221</v>
      </c>
      <c r="G74" s="168">
        <v>0.17155059060356717</v>
      </c>
      <c r="H74" s="152"/>
      <c r="I74" s="166" t="s">
        <v>186</v>
      </c>
      <c r="J74" s="167" t="s">
        <v>221</v>
      </c>
      <c r="K74" s="169" t="s">
        <v>221</v>
      </c>
      <c r="L74" s="169" t="s">
        <v>221</v>
      </c>
      <c r="M74" s="169" t="s">
        <v>221</v>
      </c>
      <c r="N74" s="170" t="s">
        <v>221</v>
      </c>
      <c r="O74" s="170" t="s">
        <v>221</v>
      </c>
      <c r="P74" s="148"/>
      <c r="Q74" s="148"/>
    </row>
    <row r="75" spans="1:17" ht="17.25" x14ac:dyDescent="0.35">
      <c r="A75" s="148"/>
      <c r="B75" s="165" t="s">
        <v>95</v>
      </c>
      <c r="C75" s="148"/>
      <c r="D75" s="166" t="s">
        <v>187</v>
      </c>
      <c r="E75" s="167">
        <v>0.46893315532636515</v>
      </c>
      <c r="F75" s="168">
        <v>0.39227373423421402</v>
      </c>
      <c r="G75" s="168">
        <v>0.45678584961326985</v>
      </c>
      <c r="H75" s="152"/>
      <c r="I75" s="166" t="s">
        <v>187</v>
      </c>
      <c r="J75" s="167" t="s">
        <v>226</v>
      </c>
      <c r="K75" s="169" t="s">
        <v>226</v>
      </c>
      <c r="L75" s="169">
        <v>8</v>
      </c>
      <c r="M75" s="169" t="s">
        <v>221</v>
      </c>
      <c r="N75" s="170">
        <v>0.46893315532636515</v>
      </c>
      <c r="O75" s="170" t="s">
        <v>221</v>
      </c>
      <c r="P75" s="148"/>
      <c r="Q75" s="148"/>
    </row>
    <row r="76" spans="1:17" ht="17.25" x14ac:dyDescent="0.35">
      <c r="A76" s="148"/>
      <c r="B76" s="165" t="s">
        <v>96</v>
      </c>
      <c r="C76" s="148"/>
      <c r="D76" s="166" t="s">
        <v>188</v>
      </c>
      <c r="E76" s="167" t="s">
        <v>221</v>
      </c>
      <c r="F76" s="168" t="s">
        <v>221</v>
      </c>
      <c r="G76" s="168" t="s">
        <v>221</v>
      </c>
      <c r="H76" s="152"/>
      <c r="I76" s="166" t="s">
        <v>188</v>
      </c>
      <c r="J76" s="167" t="s">
        <v>221</v>
      </c>
      <c r="K76" s="169"/>
      <c r="L76" s="169" t="s">
        <v>221</v>
      </c>
      <c r="M76" s="169" t="s">
        <v>221</v>
      </c>
      <c r="N76" s="170" t="s">
        <v>221</v>
      </c>
      <c r="O76" s="170" t="s">
        <v>221</v>
      </c>
      <c r="P76" s="148"/>
      <c r="Q76" s="148"/>
    </row>
    <row r="77" spans="1:17" ht="17.25" x14ac:dyDescent="0.35">
      <c r="A77" s="148"/>
      <c r="B77" s="165" t="s">
        <v>97</v>
      </c>
      <c r="C77" s="148"/>
      <c r="D77" s="166" t="s">
        <v>189</v>
      </c>
      <c r="E77" s="167" t="s">
        <v>221</v>
      </c>
      <c r="F77" s="168" t="s">
        <v>221</v>
      </c>
      <c r="G77" s="168">
        <v>0.51085932624431785</v>
      </c>
      <c r="H77" s="152"/>
      <c r="I77" s="166" t="s">
        <v>189</v>
      </c>
      <c r="J77" s="167" t="s">
        <v>221</v>
      </c>
      <c r="K77" s="169" t="s">
        <v>221</v>
      </c>
      <c r="L77" s="169" t="s">
        <v>221</v>
      </c>
      <c r="M77" s="169" t="s">
        <v>221</v>
      </c>
      <c r="N77" s="170" t="s">
        <v>221</v>
      </c>
      <c r="O77" s="170" t="s">
        <v>221</v>
      </c>
      <c r="P77" s="148"/>
      <c r="Q77" s="148"/>
    </row>
    <row r="78" spans="1:17" ht="17.25" x14ac:dyDescent="0.35">
      <c r="A78" s="148"/>
      <c r="B78" s="165" t="s">
        <v>98</v>
      </c>
      <c r="C78" s="148"/>
      <c r="D78" s="166" t="s">
        <v>190</v>
      </c>
      <c r="E78" s="167" t="s">
        <v>221</v>
      </c>
      <c r="F78" s="168" t="s">
        <v>221</v>
      </c>
      <c r="G78" s="168" t="s">
        <v>221</v>
      </c>
      <c r="H78" s="152"/>
      <c r="I78" s="166" t="s">
        <v>190</v>
      </c>
      <c r="J78" s="167" t="s">
        <v>221</v>
      </c>
      <c r="K78" s="169" t="s">
        <v>221</v>
      </c>
      <c r="L78" s="169" t="s">
        <v>221</v>
      </c>
      <c r="M78" s="169" t="s">
        <v>221</v>
      </c>
      <c r="N78" s="170" t="s">
        <v>221</v>
      </c>
      <c r="O78" s="170" t="s">
        <v>221</v>
      </c>
      <c r="P78" s="148"/>
      <c r="Q78" s="148"/>
    </row>
    <row r="79" spans="1:17" ht="17.25" x14ac:dyDescent="0.35">
      <c r="A79" s="148"/>
      <c r="B79" s="165" t="s">
        <v>99</v>
      </c>
      <c r="C79" s="148"/>
      <c r="D79" s="166" t="s">
        <v>191</v>
      </c>
      <c r="E79" s="167">
        <v>0.57715921433468731</v>
      </c>
      <c r="F79" s="168">
        <v>0.66646110879229115</v>
      </c>
      <c r="G79" s="168">
        <v>0.60416078322585687</v>
      </c>
      <c r="H79" s="152"/>
      <c r="I79" s="166" t="s">
        <v>191</v>
      </c>
      <c r="J79" s="167" t="s">
        <v>229</v>
      </c>
      <c r="K79" s="169" t="s">
        <v>229</v>
      </c>
      <c r="L79" s="169">
        <v>10</v>
      </c>
      <c r="M79" s="169" t="s">
        <v>221</v>
      </c>
      <c r="N79" s="170">
        <v>0.57715921433468731</v>
      </c>
      <c r="O79" s="170" t="s">
        <v>221</v>
      </c>
      <c r="P79" s="148"/>
      <c r="Q79" s="148"/>
    </row>
    <row r="80" spans="1:17" ht="17.25" x14ac:dyDescent="0.35">
      <c r="A80" s="148"/>
      <c r="B80" s="165" t="s">
        <v>100</v>
      </c>
      <c r="C80" s="148"/>
      <c r="D80" s="166" t="s">
        <v>192</v>
      </c>
      <c r="E80" s="167">
        <v>0.37093076001490366</v>
      </c>
      <c r="F80" s="168">
        <v>0.31365534720338273</v>
      </c>
      <c r="G80" s="168">
        <v>0.33289819861920239</v>
      </c>
      <c r="H80" s="152"/>
      <c r="I80" s="166" t="s">
        <v>192</v>
      </c>
      <c r="J80" s="167" t="s">
        <v>225</v>
      </c>
      <c r="K80" s="169" t="s">
        <v>225</v>
      </c>
      <c r="L80" s="169">
        <v>5</v>
      </c>
      <c r="M80" s="169">
        <v>1</v>
      </c>
      <c r="N80" s="170">
        <v>0.37093076001490366</v>
      </c>
      <c r="O80" s="170">
        <v>0.37093076001490366</v>
      </c>
      <c r="P80" s="148"/>
      <c r="Q80" s="148"/>
    </row>
    <row r="81" spans="1:17" ht="17.25" x14ac:dyDescent="0.35">
      <c r="A81" s="148"/>
      <c r="B81" s="165" t="s">
        <v>101</v>
      </c>
      <c r="C81" s="148"/>
      <c r="D81" s="166" t="s">
        <v>193</v>
      </c>
      <c r="E81" s="167">
        <v>0.26691971050892427</v>
      </c>
      <c r="F81" s="168">
        <v>0.31278885631961162</v>
      </c>
      <c r="G81" s="168">
        <v>0.24117462326664479</v>
      </c>
      <c r="H81" s="152"/>
      <c r="I81" s="166" t="s">
        <v>193</v>
      </c>
      <c r="J81" s="167" t="s">
        <v>220</v>
      </c>
      <c r="K81" s="169" t="s">
        <v>220</v>
      </c>
      <c r="L81" s="169">
        <v>7</v>
      </c>
      <c r="M81" s="169">
        <v>1</v>
      </c>
      <c r="N81" s="170">
        <v>0.26691971050892427</v>
      </c>
      <c r="O81" s="170">
        <v>0.26691971050892427</v>
      </c>
      <c r="P81" s="148"/>
      <c r="Q81" s="148"/>
    </row>
    <row r="82" spans="1:17" ht="17.25" x14ac:dyDescent="0.35">
      <c r="A82" s="148"/>
      <c r="B82" s="165" t="s">
        <v>102</v>
      </c>
      <c r="C82" s="148"/>
      <c r="D82" s="166" t="s">
        <v>194</v>
      </c>
      <c r="E82" s="167" t="s">
        <v>221</v>
      </c>
      <c r="F82" s="168" t="s">
        <v>221</v>
      </c>
      <c r="G82" s="168">
        <v>6.0489838737914074E-2</v>
      </c>
      <c r="H82" s="152"/>
      <c r="I82" s="166" t="s">
        <v>194</v>
      </c>
      <c r="J82" s="167" t="s">
        <v>221</v>
      </c>
      <c r="K82" s="169" t="s">
        <v>221</v>
      </c>
      <c r="L82" s="169" t="s">
        <v>221</v>
      </c>
      <c r="M82" s="169" t="s">
        <v>221</v>
      </c>
      <c r="N82" s="170" t="s">
        <v>221</v>
      </c>
      <c r="O82" s="170" t="s">
        <v>221</v>
      </c>
      <c r="P82" s="148"/>
      <c r="Q82" s="148"/>
    </row>
    <row r="83" spans="1:17" ht="17.25" x14ac:dyDescent="0.35">
      <c r="A83" s="148"/>
      <c r="B83" s="165" t="s">
        <v>103</v>
      </c>
      <c r="C83" s="148"/>
      <c r="D83" s="166" t="s">
        <v>195</v>
      </c>
      <c r="E83" s="167">
        <v>0.13142834600385225</v>
      </c>
      <c r="F83" s="168">
        <v>0.10630800144446316</v>
      </c>
      <c r="G83" s="168">
        <v>0.14821707532967049</v>
      </c>
      <c r="H83" s="152"/>
      <c r="I83" s="166" t="s">
        <v>195</v>
      </c>
      <c r="J83" s="167" t="s">
        <v>231</v>
      </c>
      <c r="K83" s="169" t="s">
        <v>231</v>
      </c>
      <c r="L83" s="169">
        <v>2</v>
      </c>
      <c r="M83" s="169">
        <v>1</v>
      </c>
      <c r="N83" s="170">
        <v>0.13142834600385225</v>
      </c>
      <c r="O83" s="170">
        <v>0.13142834600385225</v>
      </c>
      <c r="P83" s="148"/>
      <c r="Q83" s="148"/>
    </row>
    <row r="84" spans="1:17" ht="17.25" x14ac:dyDescent="0.35">
      <c r="A84" s="148"/>
      <c r="B84" s="165" t="s">
        <v>104</v>
      </c>
      <c r="C84" s="148"/>
      <c r="D84" s="166" t="s">
        <v>196</v>
      </c>
      <c r="E84" s="167">
        <v>9.9039994692164027E-2</v>
      </c>
      <c r="F84" s="168">
        <v>9.4926533177893846E-2</v>
      </c>
      <c r="G84" s="168">
        <v>0.14575560193895401</v>
      </c>
      <c r="H84" s="152"/>
      <c r="I84" s="166" t="s">
        <v>196</v>
      </c>
      <c r="J84" s="167" t="s">
        <v>221</v>
      </c>
      <c r="K84" s="169" t="s">
        <v>221</v>
      </c>
      <c r="L84" s="169" t="s">
        <v>221</v>
      </c>
      <c r="M84" s="169" t="s">
        <v>221</v>
      </c>
      <c r="N84" s="170" t="s">
        <v>221</v>
      </c>
      <c r="O84" s="170" t="s">
        <v>221</v>
      </c>
      <c r="P84" s="148"/>
      <c r="Q84" s="148"/>
    </row>
    <row r="85" spans="1:17" ht="17.25" x14ac:dyDescent="0.35">
      <c r="A85" s="173"/>
      <c r="B85" s="182"/>
      <c r="C85" s="173"/>
      <c r="D85" s="182" t="s">
        <v>244</v>
      </c>
      <c r="E85" s="183">
        <v>0.28306753651406152</v>
      </c>
      <c r="F85" s="183">
        <v>0.32162179726015078</v>
      </c>
      <c r="G85" s="183">
        <v>0.28511346031720164</v>
      </c>
      <c r="H85" s="176"/>
      <c r="I85" s="182" t="s">
        <v>244</v>
      </c>
      <c r="J85" s="182"/>
      <c r="K85" s="182"/>
      <c r="L85" s="182"/>
      <c r="M85" s="182"/>
      <c r="N85" s="183">
        <v>0.32572765176945145</v>
      </c>
      <c r="O85" s="183">
        <v>0.27988556592490055</v>
      </c>
      <c r="P85" s="173"/>
      <c r="Q85" s="173"/>
    </row>
    <row r="86" spans="1:17" ht="17.25" x14ac:dyDescent="0.35">
      <c r="A86" s="148"/>
      <c r="B86" s="165" t="s">
        <v>245</v>
      </c>
      <c r="C86" s="148"/>
      <c r="D86" s="166" t="s">
        <v>246</v>
      </c>
      <c r="E86" s="167">
        <v>0.11742843646848862</v>
      </c>
      <c r="F86" s="168">
        <v>0</v>
      </c>
      <c r="G86" s="168">
        <v>0.12414667285915226</v>
      </c>
      <c r="H86" s="152"/>
      <c r="I86" s="166" t="s">
        <v>246</v>
      </c>
      <c r="J86" s="167" t="s">
        <v>243</v>
      </c>
      <c r="K86" s="169" t="s">
        <v>221</v>
      </c>
      <c r="L86" s="169" t="s">
        <v>221</v>
      </c>
      <c r="M86" s="169" t="s">
        <v>221</v>
      </c>
      <c r="N86" s="170" t="s">
        <v>221</v>
      </c>
      <c r="O86" s="170" t="s">
        <v>221</v>
      </c>
      <c r="P86" s="148"/>
      <c r="Q86" s="148"/>
    </row>
    <row r="87" spans="1:17" ht="17.25" x14ac:dyDescent="0.35">
      <c r="A87" s="148"/>
      <c r="B87" s="165" t="s">
        <v>247</v>
      </c>
      <c r="C87" s="148"/>
      <c r="D87" s="166" t="s">
        <v>248</v>
      </c>
      <c r="E87" s="167">
        <v>0.30894335263338946</v>
      </c>
      <c r="F87" s="168">
        <v>0.29341950810768108</v>
      </c>
      <c r="G87" s="168">
        <v>0.32343641405408102</v>
      </c>
      <c r="H87" s="152"/>
      <c r="I87" s="166" t="s">
        <v>248</v>
      </c>
      <c r="J87" s="167" t="s">
        <v>225</v>
      </c>
      <c r="K87" s="169" t="s">
        <v>225</v>
      </c>
      <c r="L87" s="169">
        <v>5</v>
      </c>
      <c r="M87" s="169">
        <v>1</v>
      </c>
      <c r="N87" s="170">
        <v>0.30894335263338946</v>
      </c>
      <c r="O87" s="170">
        <v>0.30894335263338946</v>
      </c>
      <c r="P87" s="148"/>
      <c r="Q87" s="148"/>
    </row>
    <row r="88" spans="1:17" ht="17.25" x14ac:dyDescent="0.35">
      <c r="A88" s="148"/>
      <c r="B88" s="165" t="s">
        <v>249</v>
      </c>
      <c r="C88" s="148"/>
      <c r="D88" s="166" t="s">
        <v>250</v>
      </c>
      <c r="E88" s="167">
        <v>6.0196630978063298E-2</v>
      </c>
      <c r="F88" s="168">
        <v>0</v>
      </c>
      <c r="G88" s="168">
        <v>0.23204242110452258</v>
      </c>
      <c r="H88" s="152"/>
      <c r="I88" s="166" t="s">
        <v>250</v>
      </c>
      <c r="J88" s="167" t="s">
        <v>229</v>
      </c>
      <c r="K88" s="169" t="s">
        <v>229</v>
      </c>
      <c r="L88" s="169">
        <v>10</v>
      </c>
      <c r="M88" s="169" t="s">
        <v>221</v>
      </c>
      <c r="N88" s="170">
        <v>6.0196630978063298E-2</v>
      </c>
      <c r="O88" s="170" t="s">
        <v>221</v>
      </c>
      <c r="P88" s="148"/>
      <c r="Q88" s="148"/>
    </row>
    <row r="89" spans="1:17" ht="17.25" x14ac:dyDescent="0.35">
      <c r="A89" s="148"/>
      <c r="B89" s="165" t="s">
        <v>251</v>
      </c>
      <c r="C89" s="148"/>
      <c r="D89" s="166" t="s">
        <v>252</v>
      </c>
      <c r="E89" s="167">
        <v>4.393698459910915E-2</v>
      </c>
      <c r="F89" s="168">
        <v>0</v>
      </c>
      <c r="G89" s="168">
        <v>6.7755323084195129E-2</v>
      </c>
      <c r="H89" s="152"/>
      <c r="I89" s="166" t="s">
        <v>252</v>
      </c>
      <c r="J89" s="167" t="s">
        <v>243</v>
      </c>
      <c r="K89" s="169" t="s">
        <v>221</v>
      </c>
      <c r="L89" s="169" t="s">
        <v>221</v>
      </c>
      <c r="M89" s="169" t="s">
        <v>221</v>
      </c>
      <c r="N89" s="170" t="s">
        <v>221</v>
      </c>
      <c r="O89" s="170" t="s">
        <v>221</v>
      </c>
      <c r="P89" s="148"/>
      <c r="Q89" s="148"/>
    </row>
    <row r="90" spans="1:17" ht="17.25" x14ac:dyDescent="0.35">
      <c r="A90" s="148"/>
      <c r="B90" s="165" t="s">
        <v>253</v>
      </c>
      <c r="C90" s="148"/>
      <c r="D90" s="166" t="s">
        <v>254</v>
      </c>
      <c r="E90" s="167">
        <v>0.27256968567485712</v>
      </c>
      <c r="F90" s="168" t="s">
        <v>221</v>
      </c>
      <c r="G90" s="168">
        <v>0.24932604165648242</v>
      </c>
      <c r="H90" s="152"/>
      <c r="I90" s="166" t="s">
        <v>254</v>
      </c>
      <c r="J90" s="167" t="s">
        <v>221</v>
      </c>
      <c r="K90" s="169" t="s">
        <v>221</v>
      </c>
      <c r="L90" s="169" t="s">
        <v>221</v>
      </c>
      <c r="M90" s="169" t="s">
        <v>221</v>
      </c>
      <c r="N90" s="170" t="s">
        <v>221</v>
      </c>
      <c r="O90" s="170" t="s">
        <v>221</v>
      </c>
      <c r="P90" s="148"/>
      <c r="Q90" s="148"/>
    </row>
    <row r="91" spans="1:17" ht="17.25" x14ac:dyDescent="0.35">
      <c r="A91" s="148"/>
      <c r="B91" s="165" t="s">
        <v>255</v>
      </c>
      <c r="C91" s="148"/>
      <c r="D91" s="166" t="s">
        <v>256</v>
      </c>
      <c r="E91" s="167">
        <v>0.33611018872033999</v>
      </c>
      <c r="F91" s="168">
        <v>0.16172581386126852</v>
      </c>
      <c r="G91" s="168">
        <v>0.41739959089387962</v>
      </c>
      <c r="H91" s="152"/>
      <c r="I91" s="166" t="s">
        <v>256</v>
      </c>
      <c r="J91" s="167" t="s">
        <v>229</v>
      </c>
      <c r="K91" s="169" t="s">
        <v>229</v>
      </c>
      <c r="L91" s="169">
        <v>10</v>
      </c>
      <c r="M91" s="169" t="s">
        <v>221</v>
      </c>
      <c r="N91" s="170">
        <v>0.33611018872033999</v>
      </c>
      <c r="O91" s="170" t="s">
        <v>221</v>
      </c>
      <c r="P91" s="148"/>
      <c r="Q91" s="148"/>
    </row>
    <row r="92" spans="1:17" ht="17.25" x14ac:dyDescent="0.35">
      <c r="A92" s="148"/>
      <c r="B92" s="165" t="s">
        <v>257</v>
      </c>
      <c r="C92" s="148"/>
      <c r="D92" s="166" t="s">
        <v>258</v>
      </c>
      <c r="E92" s="167">
        <v>0.13438407631745869</v>
      </c>
      <c r="F92" s="168">
        <v>0.10268548801807673</v>
      </c>
      <c r="G92" s="168">
        <v>0.15618467802394423</v>
      </c>
      <c r="H92" s="152"/>
      <c r="I92" s="166" t="s">
        <v>258</v>
      </c>
      <c r="J92" s="167" t="s">
        <v>221</v>
      </c>
      <c r="K92" s="169" t="s">
        <v>221</v>
      </c>
      <c r="L92" s="169" t="s">
        <v>221</v>
      </c>
      <c r="M92" s="169" t="s">
        <v>221</v>
      </c>
      <c r="N92" s="170" t="s">
        <v>221</v>
      </c>
      <c r="O92" s="170" t="s">
        <v>221</v>
      </c>
      <c r="P92" s="148"/>
      <c r="Q92" s="148"/>
    </row>
    <row r="93" spans="1:17" ht="17.25" x14ac:dyDescent="0.35">
      <c r="A93" s="173"/>
      <c r="B93" s="183"/>
      <c r="C93" s="173"/>
      <c r="D93" s="182" t="s">
        <v>259</v>
      </c>
      <c r="E93" s="183">
        <v>0.18193847934167232</v>
      </c>
      <c r="F93" s="183">
        <v>9.2971801664504403E-2</v>
      </c>
      <c r="G93" s="183">
        <v>0.22432730595375103</v>
      </c>
      <c r="H93" s="176"/>
      <c r="I93" s="182" t="s">
        <v>259</v>
      </c>
      <c r="J93" s="182"/>
      <c r="K93" s="182"/>
      <c r="L93" s="182"/>
      <c r="M93" s="182"/>
      <c r="N93" s="183">
        <v>0.23508339077726426</v>
      </c>
      <c r="O93" s="183">
        <v>0.30894335263338946</v>
      </c>
      <c r="P93" s="173"/>
      <c r="Q93" s="173"/>
    </row>
    <row r="94" spans="1:17" ht="17.25" x14ac:dyDescent="0.35">
      <c r="A94" s="173"/>
      <c r="B94" s="174"/>
      <c r="C94" s="173"/>
      <c r="D94" s="174" t="s">
        <v>198</v>
      </c>
      <c r="E94" s="175">
        <v>0.2694540095870091</v>
      </c>
      <c r="F94" s="175">
        <v>0.29113513118073125</v>
      </c>
      <c r="G94" s="175">
        <v>0.27802174230813237</v>
      </c>
      <c r="H94" s="176"/>
      <c r="I94" s="174" t="s">
        <v>198</v>
      </c>
      <c r="J94" s="175"/>
      <c r="K94" s="174"/>
      <c r="L94" s="177"/>
      <c r="M94" s="177"/>
      <c r="N94" s="175">
        <v>0.31837811709440927</v>
      </c>
      <c r="O94" s="175">
        <v>0.28114894795570444</v>
      </c>
      <c r="P94" s="173"/>
      <c r="Q94" s="173"/>
    </row>
    <row r="95" spans="1:17" ht="17.25" x14ac:dyDescent="0.35">
      <c r="A95" s="148"/>
      <c r="B95" s="174"/>
      <c r="C95" s="148"/>
      <c r="D95" s="184" t="s">
        <v>277</v>
      </c>
      <c r="E95" s="175">
        <v>0.2911674893273995</v>
      </c>
      <c r="F95" s="175">
        <v>0.32078215310088809</v>
      </c>
      <c r="G95" s="175">
        <v>0.2864660906073313</v>
      </c>
      <c r="H95" s="152"/>
      <c r="I95" s="184" t="s">
        <v>277</v>
      </c>
      <c r="J95" s="175"/>
      <c r="K95" s="184"/>
      <c r="L95" s="177"/>
      <c r="M95" s="177"/>
      <c r="N95" s="175">
        <v>0.32965607431814881</v>
      </c>
      <c r="O95" s="175">
        <v>0.29318228757683407</v>
      </c>
      <c r="P95" s="148"/>
      <c r="Q95" s="148"/>
    </row>
    <row r="96" spans="1:17" ht="17.25" x14ac:dyDescent="0.35">
      <c r="A96" s="148"/>
      <c r="B96" s="174"/>
      <c r="C96" s="148"/>
      <c r="D96" s="184" t="s">
        <v>278</v>
      </c>
      <c r="E96" s="175">
        <v>0.27798467777739794</v>
      </c>
      <c r="F96" s="175">
        <v>0.29344491092852204</v>
      </c>
      <c r="G96" s="175">
        <v>0.28025221214197327</v>
      </c>
      <c r="H96" s="152"/>
      <c r="I96" s="184" t="s">
        <v>278</v>
      </c>
      <c r="J96" s="175"/>
      <c r="K96" s="184"/>
      <c r="L96" s="177"/>
      <c r="M96" s="177"/>
      <c r="N96" s="175">
        <v>0.32305798011762199</v>
      </c>
      <c r="O96" s="175">
        <v>0.29374518275742528</v>
      </c>
      <c r="P96" s="148"/>
      <c r="Q96" s="148"/>
    </row>
    <row r="97" spans="1:17" x14ac:dyDescent="0.25">
      <c r="A97" s="148"/>
      <c r="B97" s="151"/>
      <c r="C97" s="148"/>
      <c r="D97" s="148"/>
      <c r="E97" s="148"/>
      <c r="F97" s="148"/>
      <c r="G97" s="148"/>
      <c r="H97" s="148"/>
      <c r="I97" s="148"/>
      <c r="J97" s="148"/>
      <c r="K97" s="148"/>
      <c r="L97" s="148"/>
      <c r="M97" s="148"/>
      <c r="N97" s="148"/>
      <c r="O97" s="148"/>
      <c r="P97" s="148"/>
      <c r="Q97" s="148"/>
    </row>
    <row r="98" spans="1:17" x14ac:dyDescent="0.25">
      <c r="A98" s="148"/>
      <c r="B98" s="148"/>
      <c r="C98" s="148"/>
      <c r="D98" s="148"/>
      <c r="E98" s="148"/>
      <c r="F98" s="148"/>
      <c r="G98" s="148"/>
      <c r="H98" s="148"/>
      <c r="I98" s="148"/>
      <c r="J98" s="148"/>
      <c r="K98" s="185" t="s">
        <v>279</v>
      </c>
      <c r="L98" s="148"/>
      <c r="M98" s="148"/>
      <c r="N98" s="148"/>
      <c r="O98" s="148"/>
      <c r="P98" s="148"/>
      <c r="Q98" s="148"/>
    </row>
    <row r="99" spans="1:17" x14ac:dyDescent="0.25">
      <c r="A99" s="148"/>
      <c r="B99" s="148"/>
      <c r="C99" s="148"/>
      <c r="D99" s="148"/>
      <c r="E99" s="148"/>
      <c r="F99" s="148"/>
      <c r="G99" s="148"/>
      <c r="H99" s="148"/>
      <c r="I99" s="148"/>
      <c r="J99" s="148"/>
      <c r="K99" s="148"/>
      <c r="L99" s="148"/>
      <c r="M99" s="148"/>
      <c r="N99" s="148"/>
      <c r="O99" s="148"/>
      <c r="P99" s="148"/>
      <c r="Q99" s="148"/>
    </row>
    <row r="100" spans="1:17" x14ac:dyDescent="0.25">
      <c r="A100" s="148"/>
      <c r="B100" s="148"/>
      <c r="C100" s="148"/>
      <c r="D100" s="148"/>
      <c r="E100" s="148"/>
      <c r="F100" s="148"/>
      <c r="G100" s="148"/>
      <c r="H100" s="148"/>
      <c r="I100" s="148"/>
      <c r="J100" s="148"/>
      <c r="K100" s="186" t="s">
        <v>232</v>
      </c>
      <c r="L100" s="187" t="s">
        <v>215</v>
      </c>
      <c r="M100" s="187" t="s">
        <v>233</v>
      </c>
      <c r="N100" s="188" t="s">
        <v>280</v>
      </c>
      <c r="O100" s="148"/>
      <c r="P100" s="148"/>
      <c r="Q100" s="148"/>
    </row>
    <row r="101" spans="1:17" x14ac:dyDescent="0.25">
      <c r="A101" s="148"/>
      <c r="B101" s="148"/>
      <c r="C101" s="148"/>
      <c r="D101" s="148"/>
      <c r="E101" s="148"/>
      <c r="F101" s="148"/>
      <c r="G101" s="148"/>
      <c r="H101" s="148"/>
      <c r="I101" s="148"/>
      <c r="J101" s="148"/>
      <c r="K101" s="148" t="s">
        <v>230</v>
      </c>
      <c r="L101" s="189">
        <v>1</v>
      </c>
      <c r="M101" s="189">
        <v>1</v>
      </c>
      <c r="N101" s="190">
        <v>0.2621176205260321</v>
      </c>
      <c r="O101" s="148"/>
      <c r="P101" s="148"/>
      <c r="Q101" s="148"/>
    </row>
    <row r="102" spans="1:17" x14ac:dyDescent="0.25">
      <c r="A102" s="148"/>
      <c r="B102" s="148"/>
      <c r="C102" s="148"/>
      <c r="D102" s="148"/>
      <c r="E102" s="148"/>
      <c r="F102" s="148"/>
      <c r="G102" s="148"/>
      <c r="H102" s="148"/>
      <c r="I102" s="148"/>
      <c r="J102" s="148"/>
      <c r="K102" s="148" t="s">
        <v>231</v>
      </c>
      <c r="L102" s="189">
        <v>2</v>
      </c>
      <c r="M102" s="189">
        <v>1</v>
      </c>
      <c r="N102" s="190">
        <v>0.13142834600385225</v>
      </c>
      <c r="O102" s="148"/>
      <c r="P102" s="148"/>
      <c r="Q102" s="148"/>
    </row>
    <row r="103" spans="1:17" x14ac:dyDescent="0.25">
      <c r="A103" s="148"/>
      <c r="B103" s="148"/>
      <c r="C103" s="148"/>
      <c r="D103" s="148"/>
      <c r="E103" s="148"/>
      <c r="F103" s="148"/>
      <c r="G103" s="148"/>
      <c r="H103" s="148"/>
      <c r="I103" s="148"/>
      <c r="J103" s="148"/>
      <c r="K103" s="148" t="s">
        <v>227</v>
      </c>
      <c r="L103" s="148">
        <v>3</v>
      </c>
      <c r="M103" s="148">
        <v>3</v>
      </c>
      <c r="N103" s="190">
        <v>0.20021279318052365</v>
      </c>
      <c r="O103" s="148"/>
      <c r="P103" s="148"/>
      <c r="Q103" s="148"/>
    </row>
    <row r="104" spans="1:17" x14ac:dyDescent="0.25">
      <c r="A104" s="148"/>
      <c r="B104" s="148"/>
      <c r="C104" s="148"/>
      <c r="D104" s="148"/>
      <c r="E104" s="148"/>
      <c r="F104" s="148"/>
      <c r="G104" s="148"/>
      <c r="H104" s="148"/>
      <c r="I104" s="148"/>
      <c r="J104" s="148"/>
      <c r="K104" s="148" t="s">
        <v>228</v>
      </c>
      <c r="L104" s="148">
        <v>4</v>
      </c>
      <c r="M104" s="148">
        <v>3</v>
      </c>
      <c r="N104" s="190">
        <v>0.18007654176883503</v>
      </c>
      <c r="O104" s="148"/>
      <c r="P104" s="148"/>
      <c r="Q104" s="148"/>
    </row>
    <row r="105" spans="1:17" x14ac:dyDescent="0.25">
      <c r="A105" s="148"/>
      <c r="B105" s="191"/>
      <c r="C105" s="148"/>
      <c r="D105" s="148"/>
      <c r="E105" s="148"/>
      <c r="F105" s="148"/>
      <c r="G105" s="148"/>
      <c r="H105" s="148"/>
      <c r="I105" s="148"/>
      <c r="J105" s="148"/>
      <c r="K105" s="148" t="s">
        <v>225</v>
      </c>
      <c r="L105" s="148">
        <v>5</v>
      </c>
      <c r="M105" s="148">
        <v>9</v>
      </c>
      <c r="N105" s="190">
        <v>0.33474003102651767</v>
      </c>
      <c r="O105" s="148"/>
      <c r="P105" s="148"/>
      <c r="Q105" s="148"/>
    </row>
    <row r="106" spans="1:17" x14ac:dyDescent="0.25">
      <c r="A106" s="148"/>
      <c r="B106" s="191"/>
      <c r="C106" s="148"/>
      <c r="D106" s="148"/>
      <c r="E106" s="148"/>
      <c r="F106" s="148"/>
      <c r="G106" s="148"/>
      <c r="H106" s="148"/>
      <c r="I106" s="148"/>
      <c r="J106" s="148"/>
      <c r="K106" s="148" t="s">
        <v>219</v>
      </c>
      <c r="L106" s="148">
        <v>6</v>
      </c>
      <c r="M106" s="148">
        <v>6</v>
      </c>
      <c r="N106" s="190">
        <v>0.36699061341555561</v>
      </c>
      <c r="O106" s="148"/>
      <c r="P106" s="148"/>
      <c r="Q106" s="148"/>
    </row>
    <row r="107" spans="1:17" x14ac:dyDescent="0.25">
      <c r="A107" s="148"/>
      <c r="B107" s="191"/>
      <c r="C107" s="148"/>
      <c r="D107" s="148"/>
      <c r="E107" s="148"/>
      <c r="F107" s="148"/>
      <c r="G107" s="148"/>
      <c r="H107" s="148"/>
      <c r="I107" s="148"/>
      <c r="J107" s="148"/>
      <c r="K107" s="186" t="s">
        <v>220</v>
      </c>
      <c r="L107" s="186">
        <v>7</v>
      </c>
      <c r="M107" s="186">
        <v>5</v>
      </c>
      <c r="N107" s="192">
        <v>0.29516943721959088</v>
      </c>
      <c r="O107" s="148"/>
      <c r="P107" s="148"/>
      <c r="Q107" s="148"/>
    </row>
    <row r="108" spans="1:17" x14ac:dyDescent="0.25">
      <c r="A108" s="148"/>
      <c r="B108" s="191"/>
      <c r="C108" s="148"/>
      <c r="D108" s="148"/>
      <c r="E108" s="148"/>
      <c r="F108" s="148"/>
      <c r="G108" s="148"/>
      <c r="H108" s="148"/>
      <c r="I108" s="148"/>
      <c r="J108" s="148"/>
      <c r="K108" s="148" t="s">
        <v>226</v>
      </c>
      <c r="L108" s="148">
        <v>8</v>
      </c>
      <c r="M108" s="148">
        <v>5</v>
      </c>
      <c r="N108" s="190">
        <v>0.43921054962273826</v>
      </c>
      <c r="O108" s="148"/>
      <c r="P108" s="148"/>
      <c r="Q108" s="148"/>
    </row>
    <row r="109" spans="1:17" x14ac:dyDescent="0.25">
      <c r="A109" s="148"/>
      <c r="B109" s="191"/>
      <c r="C109" s="148"/>
      <c r="D109" s="148"/>
      <c r="E109" s="148"/>
      <c r="F109" s="148"/>
      <c r="G109" s="148"/>
      <c r="H109" s="148"/>
      <c r="I109" s="148"/>
      <c r="J109" s="148"/>
      <c r="K109" s="148" t="s">
        <v>222</v>
      </c>
      <c r="L109" s="148">
        <v>9</v>
      </c>
      <c r="M109" s="148">
        <v>4</v>
      </c>
      <c r="N109" s="190">
        <v>0.36407844647216092</v>
      </c>
      <c r="O109" s="148"/>
      <c r="P109" s="148"/>
      <c r="Q109" s="148"/>
    </row>
    <row r="110" spans="1:17" x14ac:dyDescent="0.25">
      <c r="A110" s="148"/>
      <c r="B110" s="191"/>
      <c r="C110" s="148"/>
      <c r="D110" s="148"/>
      <c r="E110" s="148"/>
      <c r="F110" s="148"/>
      <c r="G110" s="148"/>
      <c r="H110" s="148"/>
      <c r="I110" s="148"/>
      <c r="J110" s="148"/>
      <c r="K110" s="148" t="s">
        <v>229</v>
      </c>
      <c r="L110" s="148">
        <v>10</v>
      </c>
      <c r="M110" s="148">
        <v>4</v>
      </c>
      <c r="N110" s="190">
        <v>0.30971156416876228</v>
      </c>
      <c r="O110" s="148"/>
      <c r="P110" s="148"/>
      <c r="Q110" s="148"/>
    </row>
    <row r="111" spans="1:17" x14ac:dyDescent="0.25">
      <c r="A111" s="148"/>
      <c r="B111" s="151"/>
      <c r="C111" s="148"/>
      <c r="D111" s="148"/>
      <c r="E111" s="148"/>
      <c r="F111" s="148"/>
      <c r="G111" s="148"/>
      <c r="H111" s="148"/>
      <c r="I111" s="148"/>
      <c r="J111" s="148"/>
      <c r="K111" s="148" t="s">
        <v>224</v>
      </c>
      <c r="L111" s="148">
        <v>11</v>
      </c>
      <c r="M111" s="148">
        <v>1</v>
      </c>
      <c r="N111" s="190">
        <v>0.17822923299815124</v>
      </c>
      <c r="O111" s="148"/>
      <c r="P111" s="148"/>
      <c r="Q111" s="148"/>
    </row>
    <row r="112" spans="1:17" x14ac:dyDescent="0.25">
      <c r="A112" s="148"/>
      <c r="B112" s="191"/>
      <c r="C112" s="148"/>
      <c r="D112" s="148"/>
      <c r="E112" s="148"/>
      <c r="F112" s="148"/>
      <c r="G112" s="148"/>
      <c r="H112" s="148"/>
      <c r="I112" s="148"/>
      <c r="J112" s="148"/>
      <c r="K112" s="148" t="s">
        <v>223</v>
      </c>
      <c r="L112" s="148">
        <v>12</v>
      </c>
      <c r="M112" s="148">
        <v>1</v>
      </c>
      <c r="N112" s="190">
        <v>0.59718600417430401</v>
      </c>
      <c r="O112" s="148"/>
      <c r="P112" s="148"/>
      <c r="Q112" s="148"/>
    </row>
    <row r="113" spans="1:17" x14ac:dyDescent="0.25">
      <c r="A113" s="148"/>
      <c r="B113" s="191"/>
      <c r="C113" s="148"/>
      <c r="D113" s="148"/>
      <c r="E113" s="148"/>
      <c r="F113" s="148"/>
      <c r="G113" s="148"/>
      <c r="H113" s="148"/>
      <c r="I113" s="148"/>
      <c r="J113" s="148"/>
      <c r="K113" s="148" t="s">
        <v>234</v>
      </c>
      <c r="L113" s="148">
        <v>13</v>
      </c>
      <c r="M113" s="148">
        <v>0</v>
      </c>
      <c r="N113" s="190">
        <v>0</v>
      </c>
      <c r="O113" s="148"/>
      <c r="P113" s="148"/>
      <c r="Q113" s="148"/>
    </row>
    <row r="114" spans="1:17" x14ac:dyDescent="0.25">
      <c r="A114" s="148"/>
      <c r="B114" s="191"/>
      <c r="C114" s="148"/>
      <c r="D114" s="148"/>
      <c r="E114" s="148"/>
      <c r="F114" s="148"/>
      <c r="G114" s="148"/>
      <c r="H114" s="148"/>
      <c r="I114" s="148"/>
      <c r="J114" s="148"/>
      <c r="K114" s="186" t="s">
        <v>235</v>
      </c>
      <c r="L114" s="186">
        <v>14</v>
      </c>
      <c r="M114" s="186">
        <v>0</v>
      </c>
      <c r="N114" s="192">
        <v>0</v>
      </c>
      <c r="O114" s="148"/>
      <c r="P114" s="148"/>
      <c r="Q114" s="148"/>
    </row>
    <row r="115" spans="1:17" x14ac:dyDescent="0.25">
      <c r="A115" s="148"/>
      <c r="B115" s="191"/>
      <c r="C115" s="148"/>
      <c r="D115" s="148"/>
      <c r="E115" s="148"/>
      <c r="F115" s="148"/>
      <c r="G115" s="148"/>
      <c r="H115" s="148"/>
      <c r="I115" s="148"/>
      <c r="J115" s="148"/>
      <c r="K115" s="148"/>
      <c r="L115" s="148"/>
      <c r="M115" s="148">
        <v>43</v>
      </c>
      <c r="N115" s="148"/>
      <c r="O115" s="148"/>
      <c r="P115" s="148"/>
      <c r="Q115" s="148"/>
    </row>
    <row r="116" spans="1:17" x14ac:dyDescent="0.25">
      <c r="A116" s="148"/>
      <c r="B116" s="191"/>
      <c r="C116" s="148"/>
      <c r="D116" s="148"/>
      <c r="E116" s="148"/>
      <c r="F116" s="148"/>
      <c r="G116" s="148"/>
      <c r="H116" s="148"/>
      <c r="I116" s="148"/>
      <c r="J116" s="148"/>
      <c r="K116" s="148"/>
      <c r="L116" s="185" t="s">
        <v>236</v>
      </c>
      <c r="M116" s="185">
        <v>0</v>
      </c>
      <c r="N116" s="148"/>
      <c r="O116" s="148"/>
      <c r="P116" s="148"/>
      <c r="Q116" s="148"/>
    </row>
    <row r="117" spans="1:17" x14ac:dyDescent="0.25">
      <c r="A117" s="148"/>
      <c r="B117" s="151"/>
      <c r="C117" s="148"/>
      <c r="D117" s="148"/>
      <c r="E117" s="148"/>
      <c r="F117" s="148"/>
      <c r="G117" s="148"/>
      <c r="H117" s="148"/>
      <c r="I117" s="148"/>
      <c r="J117" s="148"/>
      <c r="K117" s="148"/>
      <c r="L117" s="185" t="s">
        <v>281</v>
      </c>
      <c r="M117" s="193">
        <v>6.4883720930232558</v>
      </c>
      <c r="N117" s="194" t="s">
        <v>237</v>
      </c>
      <c r="O117" s="148"/>
      <c r="P117" s="148"/>
      <c r="Q117" s="148"/>
    </row>
    <row r="118" spans="1:17" x14ac:dyDescent="0.25">
      <c r="A118" s="148"/>
      <c r="B118" s="151"/>
      <c r="C118" s="148"/>
      <c r="D118" s="148"/>
      <c r="E118" s="148"/>
      <c r="F118" s="148"/>
      <c r="G118" s="148"/>
      <c r="H118" s="148"/>
      <c r="I118" s="148"/>
      <c r="J118" s="148"/>
      <c r="K118" s="148"/>
      <c r="L118" s="185" t="s">
        <v>282</v>
      </c>
      <c r="M118" s="193">
        <v>5</v>
      </c>
      <c r="N118" s="194" t="s">
        <v>225</v>
      </c>
      <c r="O118" s="148"/>
      <c r="P118" s="148"/>
      <c r="Q118" s="148"/>
    </row>
    <row r="119" spans="1:17" x14ac:dyDescent="0.25">
      <c r="A119" s="148"/>
      <c r="B119" s="191"/>
      <c r="C119" s="148"/>
      <c r="D119" s="148"/>
      <c r="E119" s="148"/>
      <c r="F119" s="148"/>
      <c r="G119" s="148"/>
      <c r="H119" s="148"/>
      <c r="I119" s="148"/>
      <c r="J119" s="148"/>
      <c r="K119" s="148"/>
      <c r="L119" s="148"/>
      <c r="M119" s="148"/>
      <c r="N119" s="148"/>
      <c r="O119" s="148"/>
      <c r="P119" s="148"/>
      <c r="Q119" s="148"/>
    </row>
    <row r="120" spans="1:17" x14ac:dyDescent="0.25">
      <c r="A120" s="148"/>
      <c r="B120" s="191"/>
      <c r="C120" s="148"/>
      <c r="D120" s="148"/>
      <c r="E120" s="148"/>
      <c r="F120" s="148"/>
      <c r="G120" s="148"/>
      <c r="H120" s="148"/>
      <c r="I120" s="148"/>
      <c r="J120" s="148"/>
      <c r="K120" s="185" t="s">
        <v>283</v>
      </c>
      <c r="L120" s="148"/>
      <c r="M120" s="148"/>
      <c r="N120" s="148"/>
      <c r="O120" s="148"/>
      <c r="P120" s="148"/>
      <c r="Q120" s="148"/>
    </row>
    <row r="121" spans="1:17" x14ac:dyDescent="0.25">
      <c r="A121" s="148"/>
      <c r="B121" s="151"/>
      <c r="C121" s="148"/>
      <c r="D121" s="148"/>
      <c r="E121" s="148"/>
      <c r="F121" s="148"/>
      <c r="G121" s="148"/>
      <c r="H121" s="148"/>
      <c r="I121" s="148"/>
      <c r="J121" s="148"/>
      <c r="K121" s="148"/>
      <c r="L121" s="148"/>
      <c r="M121" s="148"/>
      <c r="N121" s="148"/>
      <c r="O121" s="148"/>
      <c r="P121" s="148"/>
      <c r="Q121" s="148"/>
    </row>
    <row r="122" spans="1:17" x14ac:dyDescent="0.25">
      <c r="A122" s="148"/>
      <c r="B122" s="151"/>
      <c r="C122" s="148"/>
      <c r="D122" s="148"/>
      <c r="E122" s="148"/>
      <c r="F122" s="148"/>
      <c r="G122" s="148"/>
      <c r="H122" s="148"/>
      <c r="I122" s="148"/>
      <c r="J122" s="148"/>
      <c r="K122" s="186" t="s">
        <v>232</v>
      </c>
      <c r="L122" s="195" t="s">
        <v>215</v>
      </c>
      <c r="M122" s="195" t="s">
        <v>233</v>
      </c>
      <c r="N122" s="148"/>
      <c r="O122" s="148"/>
      <c r="P122" s="148"/>
      <c r="Q122" s="148"/>
    </row>
    <row r="123" spans="1:17" x14ac:dyDescent="0.25">
      <c r="A123" s="148"/>
      <c r="B123" s="151"/>
      <c r="C123" s="148"/>
      <c r="D123" s="148"/>
      <c r="E123" s="148"/>
      <c r="F123" s="148"/>
      <c r="G123" s="148"/>
      <c r="H123" s="148"/>
      <c r="I123" s="148"/>
      <c r="J123" s="148"/>
      <c r="K123" s="148" t="s">
        <v>230</v>
      </c>
      <c r="L123" s="189">
        <v>1</v>
      </c>
      <c r="M123" s="189">
        <v>0</v>
      </c>
      <c r="N123" s="148"/>
      <c r="O123" s="148"/>
      <c r="P123" s="148"/>
      <c r="Q123" s="148"/>
    </row>
    <row r="124" spans="1:17" x14ac:dyDescent="0.25">
      <c r="A124" s="148"/>
      <c r="B124" s="151"/>
      <c r="C124" s="148"/>
      <c r="D124" s="148"/>
      <c r="E124" s="148"/>
      <c r="F124" s="148"/>
      <c r="G124" s="148"/>
      <c r="H124" s="148"/>
      <c r="I124" s="148"/>
      <c r="J124" s="148"/>
      <c r="K124" s="148" t="s">
        <v>231</v>
      </c>
      <c r="L124" s="189">
        <v>2</v>
      </c>
      <c r="M124" s="189">
        <v>0</v>
      </c>
      <c r="N124" s="148"/>
      <c r="O124" s="148"/>
      <c r="P124" s="148"/>
      <c r="Q124" s="148"/>
    </row>
    <row r="125" spans="1:17" x14ac:dyDescent="0.25">
      <c r="A125" s="148"/>
      <c r="B125" s="151"/>
      <c r="C125" s="148"/>
      <c r="D125" s="148"/>
      <c r="E125" s="148"/>
      <c r="F125" s="148"/>
      <c r="G125" s="148"/>
      <c r="H125" s="148"/>
      <c r="I125" s="148"/>
      <c r="J125" s="148"/>
      <c r="K125" s="148" t="s">
        <v>227</v>
      </c>
      <c r="L125" s="148">
        <v>3</v>
      </c>
      <c r="M125" s="148">
        <v>0</v>
      </c>
      <c r="N125" s="148"/>
      <c r="O125" s="148"/>
      <c r="P125" s="148"/>
      <c r="Q125" s="148"/>
    </row>
    <row r="126" spans="1:17" x14ac:dyDescent="0.25">
      <c r="A126" s="148"/>
      <c r="B126" s="151"/>
      <c r="C126" s="148"/>
      <c r="D126" s="148"/>
      <c r="E126" s="148"/>
      <c r="F126" s="148"/>
      <c r="G126" s="148"/>
      <c r="H126" s="148"/>
      <c r="I126" s="148"/>
      <c r="J126" s="148"/>
      <c r="K126" s="148" t="s">
        <v>228</v>
      </c>
      <c r="L126" s="148">
        <v>4</v>
      </c>
      <c r="M126" s="148">
        <v>0</v>
      </c>
      <c r="N126" s="148"/>
      <c r="O126" s="148"/>
      <c r="P126" s="148"/>
      <c r="Q126" s="148"/>
    </row>
    <row r="127" spans="1:17" x14ac:dyDescent="0.25">
      <c r="A127" s="148"/>
      <c r="B127" s="151"/>
      <c r="C127" s="148"/>
      <c r="D127" s="148"/>
      <c r="E127" s="148"/>
      <c r="F127" s="148"/>
      <c r="G127" s="148"/>
      <c r="H127" s="148"/>
      <c r="I127" s="148"/>
      <c r="J127" s="148"/>
      <c r="K127" s="148" t="s">
        <v>225</v>
      </c>
      <c r="L127" s="148">
        <v>5</v>
      </c>
      <c r="M127" s="148">
        <v>0</v>
      </c>
      <c r="N127" s="148"/>
      <c r="O127" s="148"/>
      <c r="P127" s="148"/>
      <c r="Q127" s="148"/>
    </row>
    <row r="128" spans="1:17" x14ac:dyDescent="0.25">
      <c r="A128" s="148"/>
      <c r="B128" s="151"/>
      <c r="C128" s="148"/>
      <c r="D128" s="148"/>
      <c r="E128" s="148"/>
      <c r="F128" s="148"/>
      <c r="G128" s="148"/>
      <c r="H128" s="148"/>
      <c r="I128" s="148"/>
      <c r="J128" s="148"/>
      <c r="K128" s="148" t="s">
        <v>219</v>
      </c>
      <c r="L128" s="148">
        <v>6</v>
      </c>
      <c r="M128" s="148">
        <v>1</v>
      </c>
      <c r="N128" s="148"/>
      <c r="O128" s="148"/>
      <c r="P128" s="148"/>
      <c r="Q128" s="148"/>
    </row>
    <row r="129" spans="1:17" x14ac:dyDescent="0.25">
      <c r="A129" s="148"/>
      <c r="B129" s="151"/>
      <c r="C129" s="148"/>
      <c r="D129" s="148"/>
      <c r="E129" s="148"/>
      <c r="F129" s="148"/>
      <c r="G129" s="148"/>
      <c r="H129" s="148"/>
      <c r="I129" s="148"/>
      <c r="J129" s="148"/>
      <c r="K129" s="186" t="s">
        <v>220</v>
      </c>
      <c r="L129" s="186">
        <v>7</v>
      </c>
      <c r="M129" s="186">
        <v>4</v>
      </c>
      <c r="N129" s="148"/>
      <c r="O129" s="148"/>
      <c r="P129" s="148"/>
      <c r="Q129" s="148"/>
    </row>
    <row r="130" spans="1:17" x14ac:dyDescent="0.25">
      <c r="A130" s="148"/>
      <c r="B130" s="151"/>
      <c r="C130" s="148"/>
      <c r="D130" s="148"/>
      <c r="E130" s="148"/>
      <c r="F130" s="148"/>
      <c r="G130" s="148"/>
      <c r="H130" s="148"/>
      <c r="I130" s="148"/>
      <c r="J130" s="148"/>
      <c r="K130" s="148" t="s">
        <v>226</v>
      </c>
      <c r="L130" s="148">
        <v>8</v>
      </c>
      <c r="M130" s="148">
        <v>0</v>
      </c>
      <c r="N130" s="148"/>
      <c r="O130" s="148"/>
      <c r="P130" s="148"/>
      <c r="Q130" s="148"/>
    </row>
    <row r="131" spans="1:17" x14ac:dyDescent="0.25">
      <c r="A131" s="148"/>
      <c r="B131" s="151"/>
      <c r="C131" s="148"/>
      <c r="D131" s="148"/>
      <c r="E131" s="148"/>
      <c r="F131" s="148"/>
      <c r="G131" s="148"/>
      <c r="H131" s="148"/>
      <c r="I131" s="148"/>
      <c r="J131" s="148"/>
      <c r="K131" s="148" t="s">
        <v>222</v>
      </c>
      <c r="L131" s="148">
        <v>9</v>
      </c>
      <c r="M131" s="148">
        <v>1</v>
      </c>
      <c r="N131" s="148"/>
      <c r="O131" s="148"/>
      <c r="P131" s="148"/>
      <c r="Q131" s="148"/>
    </row>
    <row r="132" spans="1:17" x14ac:dyDescent="0.25">
      <c r="A132" s="148"/>
      <c r="B132" s="151"/>
      <c r="C132" s="148"/>
      <c r="D132" s="148"/>
      <c r="E132" s="148"/>
      <c r="F132" s="148"/>
      <c r="G132" s="148"/>
      <c r="H132" s="148"/>
      <c r="I132" s="148"/>
      <c r="J132" s="148"/>
      <c r="K132" s="148" t="s">
        <v>229</v>
      </c>
      <c r="L132" s="148">
        <v>10</v>
      </c>
      <c r="M132" s="148">
        <v>0</v>
      </c>
      <c r="N132" s="148"/>
      <c r="O132" s="148"/>
      <c r="P132" s="148"/>
      <c r="Q132" s="148"/>
    </row>
    <row r="133" spans="1:17" x14ac:dyDescent="0.25">
      <c r="A133" s="148"/>
      <c r="B133" s="151"/>
      <c r="C133" s="148"/>
      <c r="D133" s="148"/>
      <c r="E133" s="148"/>
      <c r="F133" s="148"/>
      <c r="G133" s="148"/>
      <c r="H133" s="148"/>
      <c r="I133" s="148"/>
      <c r="J133" s="148"/>
      <c r="K133" s="148" t="s">
        <v>224</v>
      </c>
      <c r="L133" s="148">
        <v>11</v>
      </c>
      <c r="M133" s="148">
        <v>0</v>
      </c>
      <c r="N133" s="148"/>
      <c r="O133" s="148"/>
      <c r="P133" s="148"/>
      <c r="Q133" s="148"/>
    </row>
    <row r="134" spans="1:17" x14ac:dyDescent="0.25">
      <c r="A134" s="148"/>
      <c r="B134" s="151"/>
      <c r="C134" s="148"/>
      <c r="D134" s="148"/>
      <c r="E134" s="148"/>
      <c r="F134" s="148"/>
      <c r="G134" s="148"/>
      <c r="H134" s="148"/>
      <c r="I134" s="148"/>
      <c r="J134" s="148"/>
      <c r="K134" s="148" t="s">
        <v>223</v>
      </c>
      <c r="L134" s="148">
        <v>12</v>
      </c>
      <c r="M134" s="148">
        <v>0</v>
      </c>
      <c r="N134" s="148"/>
      <c r="O134" s="148"/>
      <c r="P134" s="148"/>
      <c r="Q134" s="148"/>
    </row>
    <row r="135" spans="1:17" x14ac:dyDescent="0.25">
      <c r="A135" s="148"/>
      <c r="B135" s="151"/>
      <c r="C135" s="148"/>
      <c r="D135" s="148"/>
      <c r="E135" s="148"/>
      <c r="F135" s="148"/>
      <c r="G135" s="148"/>
      <c r="H135" s="148"/>
      <c r="I135" s="148"/>
      <c r="J135" s="148"/>
      <c r="K135" s="148" t="s">
        <v>234</v>
      </c>
      <c r="L135" s="148">
        <v>13</v>
      </c>
      <c r="M135" s="148">
        <v>0</v>
      </c>
      <c r="N135" s="148"/>
      <c r="O135" s="148"/>
      <c r="P135" s="148"/>
      <c r="Q135" s="148"/>
    </row>
    <row r="136" spans="1:17" x14ac:dyDescent="0.25">
      <c r="A136" s="148"/>
      <c r="B136" s="151"/>
      <c r="C136" s="148"/>
      <c r="D136" s="148"/>
      <c r="E136" s="148"/>
      <c r="F136" s="148"/>
      <c r="G136" s="148"/>
      <c r="H136" s="148"/>
      <c r="I136" s="148"/>
      <c r="J136" s="148"/>
      <c r="K136" s="186" t="s">
        <v>235</v>
      </c>
      <c r="L136" s="186">
        <v>14</v>
      </c>
      <c r="M136" s="186">
        <v>0</v>
      </c>
      <c r="N136" s="148"/>
      <c r="O136" s="148"/>
      <c r="P136" s="148"/>
      <c r="Q136" s="148"/>
    </row>
    <row r="137" spans="1:17" x14ac:dyDescent="0.25">
      <c r="A137" s="148"/>
      <c r="B137" s="151"/>
      <c r="C137" s="148"/>
      <c r="D137" s="148"/>
      <c r="E137" s="148"/>
      <c r="F137" s="148"/>
      <c r="G137" s="148"/>
      <c r="H137" s="148"/>
      <c r="I137" s="148"/>
      <c r="J137" s="148"/>
      <c r="K137" s="148"/>
      <c r="L137" s="148"/>
      <c r="M137" s="148">
        <v>6</v>
      </c>
      <c r="N137" s="148"/>
      <c r="O137" s="148"/>
      <c r="P137" s="148"/>
      <c r="Q137" s="148"/>
    </row>
    <row r="138" spans="1:17" x14ac:dyDescent="0.25">
      <c r="A138" s="148"/>
      <c r="B138" s="151"/>
      <c r="C138" s="148"/>
      <c r="D138" s="148"/>
      <c r="E138" s="148"/>
      <c r="F138" s="148"/>
      <c r="G138" s="148"/>
      <c r="H138" s="148"/>
      <c r="I138" s="148"/>
      <c r="J138" s="148"/>
      <c r="K138" s="148"/>
      <c r="L138" s="185" t="s">
        <v>236</v>
      </c>
      <c r="M138" s="185">
        <v>0</v>
      </c>
      <c r="N138" s="148"/>
      <c r="O138" s="148"/>
      <c r="P138" s="148"/>
      <c r="Q138" s="148"/>
    </row>
    <row r="139" spans="1:17" x14ac:dyDescent="0.25">
      <c r="A139" s="148"/>
      <c r="B139" s="151"/>
      <c r="C139" s="148"/>
      <c r="D139" s="148"/>
      <c r="E139" s="148"/>
      <c r="F139" s="148"/>
      <c r="G139" s="148"/>
      <c r="H139" s="148"/>
      <c r="I139" s="148"/>
      <c r="J139" s="148"/>
      <c r="K139" s="148"/>
      <c r="L139" s="185" t="s">
        <v>281</v>
      </c>
      <c r="M139" s="193">
        <v>7.166666666666667</v>
      </c>
      <c r="N139" s="194" t="s">
        <v>284</v>
      </c>
      <c r="O139" s="148"/>
      <c r="P139" s="148"/>
      <c r="Q139" s="148"/>
    </row>
    <row r="140" spans="1:17" x14ac:dyDescent="0.25">
      <c r="A140" s="148"/>
      <c r="B140" s="151"/>
      <c r="C140" s="148"/>
      <c r="D140" s="148"/>
      <c r="E140" s="148"/>
      <c r="F140" s="148"/>
      <c r="G140" s="148"/>
      <c r="H140" s="148"/>
      <c r="I140" s="148"/>
      <c r="J140" s="148"/>
      <c r="K140" s="148"/>
      <c r="L140" s="185" t="s">
        <v>282</v>
      </c>
      <c r="M140" s="193">
        <v>6.8</v>
      </c>
      <c r="N140" s="194" t="s">
        <v>237</v>
      </c>
      <c r="O140" s="148"/>
      <c r="P140" s="148"/>
      <c r="Q140" s="148"/>
    </row>
    <row r="141" spans="1:17" x14ac:dyDescent="0.25">
      <c r="A141" s="148"/>
      <c r="B141" s="151"/>
      <c r="C141" s="148"/>
      <c r="D141" s="148"/>
      <c r="E141" s="148"/>
      <c r="F141" s="148"/>
      <c r="G141" s="148"/>
      <c r="H141" s="148"/>
      <c r="I141" s="148"/>
      <c r="J141" s="148"/>
      <c r="K141" s="148"/>
      <c r="L141" s="148"/>
      <c r="M141" s="148"/>
      <c r="N141" s="148"/>
      <c r="O141" s="148"/>
      <c r="P141" s="148"/>
      <c r="Q141" s="148"/>
    </row>
    <row r="142" spans="1:17" x14ac:dyDescent="0.25">
      <c r="A142" s="148"/>
      <c r="B142" s="151"/>
      <c r="C142" s="148"/>
      <c r="D142" s="148"/>
      <c r="E142" s="148"/>
      <c r="F142" s="148"/>
      <c r="G142" s="148"/>
      <c r="H142" s="148"/>
      <c r="I142" s="148"/>
      <c r="J142" s="148"/>
      <c r="K142" s="185" t="s">
        <v>285</v>
      </c>
      <c r="L142" s="148"/>
      <c r="M142" s="148"/>
      <c r="N142" s="148"/>
      <c r="O142" s="148"/>
      <c r="P142" s="148"/>
      <c r="Q142" s="148"/>
    </row>
    <row r="143" spans="1:17" x14ac:dyDescent="0.25">
      <c r="A143" s="148"/>
      <c r="B143" s="151"/>
      <c r="C143" s="148"/>
      <c r="D143" s="148"/>
      <c r="E143" s="148"/>
      <c r="F143" s="148"/>
      <c r="G143" s="148"/>
      <c r="H143" s="148"/>
      <c r="I143" s="148"/>
      <c r="J143" s="148"/>
      <c r="K143" s="148"/>
      <c r="L143" s="148"/>
      <c r="M143" s="148"/>
      <c r="N143" s="148"/>
      <c r="O143" s="148"/>
      <c r="P143" s="148"/>
      <c r="Q143" s="148"/>
    </row>
    <row r="144" spans="1:17" x14ac:dyDescent="0.25">
      <c r="A144" s="148"/>
      <c r="B144" s="151"/>
      <c r="C144" s="148"/>
      <c r="D144" s="148"/>
      <c r="E144" s="148"/>
      <c r="F144" s="148"/>
      <c r="G144" s="148"/>
      <c r="H144" s="148"/>
      <c r="I144" s="148"/>
      <c r="J144" s="148"/>
      <c r="K144" s="186" t="s">
        <v>232</v>
      </c>
      <c r="L144" s="195" t="s">
        <v>215</v>
      </c>
      <c r="M144" s="195" t="s">
        <v>233</v>
      </c>
      <c r="N144" s="148"/>
      <c r="O144" s="148"/>
      <c r="P144" s="148"/>
      <c r="Q144" s="148"/>
    </row>
    <row r="145" spans="1:17" x14ac:dyDescent="0.25">
      <c r="A145" s="148"/>
      <c r="B145" s="151"/>
      <c r="C145" s="148"/>
      <c r="D145" s="148"/>
      <c r="E145" s="148"/>
      <c r="F145" s="148"/>
      <c r="G145" s="148"/>
      <c r="H145" s="148"/>
      <c r="I145" s="148"/>
      <c r="J145" s="148"/>
      <c r="K145" s="148" t="s">
        <v>230</v>
      </c>
      <c r="L145" s="189">
        <v>1</v>
      </c>
      <c r="M145" s="189">
        <v>1</v>
      </c>
      <c r="N145" s="148"/>
      <c r="O145" s="148"/>
      <c r="P145" s="148"/>
      <c r="Q145" s="148"/>
    </row>
    <row r="146" spans="1:17" x14ac:dyDescent="0.25">
      <c r="A146" s="148"/>
      <c r="B146" s="151"/>
      <c r="C146" s="148"/>
      <c r="D146" s="148"/>
      <c r="E146" s="148"/>
      <c r="F146" s="148"/>
      <c r="G146" s="148"/>
      <c r="H146" s="148"/>
      <c r="I146" s="148"/>
      <c r="J146" s="148"/>
      <c r="K146" s="148" t="s">
        <v>231</v>
      </c>
      <c r="L146" s="189">
        <v>2</v>
      </c>
      <c r="M146" s="189">
        <v>1</v>
      </c>
      <c r="N146" s="148"/>
      <c r="O146" s="148"/>
      <c r="P146" s="148"/>
      <c r="Q146" s="148"/>
    </row>
    <row r="147" spans="1:17" x14ac:dyDescent="0.25">
      <c r="A147" s="148"/>
      <c r="B147" s="151"/>
      <c r="C147" s="148"/>
      <c r="D147" s="148"/>
      <c r="E147" s="148"/>
      <c r="F147" s="148"/>
      <c r="G147" s="148"/>
      <c r="H147" s="148"/>
      <c r="I147" s="148"/>
      <c r="J147" s="148"/>
      <c r="K147" s="148" t="s">
        <v>227</v>
      </c>
      <c r="L147" s="148">
        <v>3</v>
      </c>
      <c r="M147" s="148">
        <v>3</v>
      </c>
      <c r="N147" s="148"/>
      <c r="O147" s="148"/>
      <c r="P147" s="148"/>
      <c r="Q147" s="148"/>
    </row>
    <row r="148" spans="1:17" x14ac:dyDescent="0.25">
      <c r="A148" s="148"/>
      <c r="B148" s="151"/>
      <c r="C148" s="148"/>
      <c r="D148" s="148"/>
      <c r="E148" s="148"/>
      <c r="F148" s="148"/>
      <c r="G148" s="148"/>
      <c r="H148" s="148"/>
      <c r="I148" s="148"/>
      <c r="J148" s="148"/>
      <c r="K148" s="148" t="s">
        <v>228</v>
      </c>
      <c r="L148" s="148">
        <v>4</v>
      </c>
      <c r="M148" s="148">
        <v>3</v>
      </c>
      <c r="N148" s="148"/>
      <c r="O148" s="148"/>
      <c r="P148" s="148"/>
      <c r="Q148" s="148"/>
    </row>
    <row r="149" spans="1:17" x14ac:dyDescent="0.25">
      <c r="A149" s="148"/>
      <c r="B149" s="151"/>
      <c r="C149" s="148"/>
      <c r="D149" s="148"/>
      <c r="E149" s="148"/>
      <c r="F149" s="148"/>
      <c r="G149" s="148"/>
      <c r="H149" s="148"/>
      <c r="I149" s="148"/>
      <c r="J149" s="148"/>
      <c r="K149" s="148" t="s">
        <v>225</v>
      </c>
      <c r="L149" s="148">
        <v>5</v>
      </c>
      <c r="M149" s="148">
        <v>9</v>
      </c>
      <c r="N149" s="148"/>
      <c r="O149" s="148"/>
      <c r="P149" s="148"/>
      <c r="Q149" s="148"/>
    </row>
    <row r="150" spans="1:17" x14ac:dyDescent="0.25">
      <c r="A150" s="148"/>
      <c r="B150" s="151"/>
      <c r="C150" s="148"/>
      <c r="D150" s="148"/>
      <c r="E150" s="148"/>
      <c r="F150" s="148"/>
      <c r="G150" s="148"/>
      <c r="H150" s="148"/>
      <c r="I150" s="148"/>
      <c r="J150" s="148"/>
      <c r="K150" s="148" t="s">
        <v>219</v>
      </c>
      <c r="L150" s="148">
        <v>6</v>
      </c>
      <c r="M150" s="148">
        <v>5</v>
      </c>
      <c r="N150" s="148"/>
      <c r="O150" s="148"/>
      <c r="P150" s="148"/>
      <c r="Q150" s="148"/>
    </row>
    <row r="151" spans="1:17" x14ac:dyDescent="0.25">
      <c r="A151" s="148"/>
      <c r="B151" s="151"/>
      <c r="C151" s="148"/>
      <c r="D151" s="148"/>
      <c r="E151" s="148"/>
      <c r="F151" s="148"/>
      <c r="G151" s="148"/>
      <c r="H151" s="148"/>
      <c r="I151" s="148"/>
      <c r="J151" s="148"/>
      <c r="K151" s="186" t="s">
        <v>220</v>
      </c>
      <c r="L151" s="186">
        <v>7</v>
      </c>
      <c r="M151" s="186">
        <v>1</v>
      </c>
      <c r="N151" s="148"/>
      <c r="O151" s="148"/>
      <c r="P151" s="148"/>
      <c r="Q151" s="148"/>
    </row>
    <row r="152" spans="1:17" x14ac:dyDescent="0.25">
      <c r="A152" s="148"/>
      <c r="B152" s="151"/>
      <c r="C152" s="148"/>
      <c r="D152" s="148"/>
      <c r="E152" s="148"/>
      <c r="F152" s="148"/>
      <c r="G152" s="148"/>
      <c r="H152" s="148"/>
      <c r="I152" s="148"/>
      <c r="J152" s="148"/>
      <c r="K152" s="148" t="s">
        <v>226</v>
      </c>
      <c r="L152" s="148">
        <v>8</v>
      </c>
      <c r="M152" s="148">
        <v>5</v>
      </c>
      <c r="N152" s="148"/>
      <c r="O152" s="148"/>
      <c r="P152" s="148"/>
      <c r="Q152" s="148"/>
    </row>
    <row r="153" spans="1:17" x14ac:dyDescent="0.25">
      <c r="A153" s="148"/>
      <c r="B153" s="151"/>
      <c r="C153" s="148"/>
      <c r="D153" s="148"/>
      <c r="E153" s="148"/>
      <c r="F153" s="148"/>
      <c r="G153" s="148"/>
      <c r="H153" s="148"/>
      <c r="I153" s="148"/>
      <c r="J153" s="148"/>
      <c r="K153" s="148" t="s">
        <v>222</v>
      </c>
      <c r="L153" s="148">
        <v>9</v>
      </c>
      <c r="M153" s="148">
        <v>3</v>
      </c>
      <c r="N153" s="148"/>
      <c r="O153" s="148"/>
      <c r="P153" s="148"/>
      <c r="Q153" s="148"/>
    </row>
    <row r="154" spans="1:17" x14ac:dyDescent="0.25">
      <c r="A154" s="148"/>
      <c r="B154" s="151"/>
      <c r="C154" s="148"/>
      <c r="D154" s="148"/>
      <c r="E154" s="148"/>
      <c r="F154" s="148"/>
      <c r="G154" s="148"/>
      <c r="H154" s="148"/>
      <c r="I154" s="148"/>
      <c r="J154" s="148"/>
      <c r="K154" s="148" t="s">
        <v>229</v>
      </c>
      <c r="L154" s="148">
        <v>10</v>
      </c>
      <c r="M154" s="148">
        <v>4</v>
      </c>
      <c r="N154" s="148"/>
      <c r="O154" s="148"/>
      <c r="P154" s="148"/>
      <c r="Q154" s="148"/>
    </row>
    <row r="155" spans="1:17" x14ac:dyDescent="0.25">
      <c r="A155" s="148"/>
      <c r="B155" s="151"/>
      <c r="C155" s="148"/>
      <c r="D155" s="148"/>
      <c r="E155" s="148"/>
      <c r="F155" s="148"/>
      <c r="G155" s="148"/>
      <c r="H155" s="148"/>
      <c r="I155" s="148"/>
      <c r="J155" s="148"/>
      <c r="K155" s="148" t="s">
        <v>224</v>
      </c>
      <c r="L155" s="148">
        <v>11</v>
      </c>
      <c r="M155" s="148">
        <v>1</v>
      </c>
      <c r="N155" s="148"/>
      <c r="O155" s="148"/>
      <c r="P155" s="148"/>
      <c r="Q155" s="148"/>
    </row>
    <row r="156" spans="1:17" x14ac:dyDescent="0.25">
      <c r="A156" s="148"/>
      <c r="B156" s="151"/>
      <c r="C156" s="148"/>
      <c r="D156" s="148"/>
      <c r="E156" s="148"/>
      <c r="F156" s="148"/>
      <c r="G156" s="148"/>
      <c r="H156" s="148"/>
      <c r="I156" s="148"/>
      <c r="J156" s="148"/>
      <c r="K156" s="148" t="s">
        <v>223</v>
      </c>
      <c r="L156" s="148">
        <v>12</v>
      </c>
      <c r="M156" s="148">
        <v>1</v>
      </c>
      <c r="N156" s="148"/>
      <c r="O156" s="148"/>
      <c r="P156" s="148"/>
      <c r="Q156" s="148"/>
    </row>
    <row r="157" spans="1:17" x14ac:dyDescent="0.25">
      <c r="A157" s="148"/>
      <c r="B157" s="151"/>
      <c r="C157" s="148"/>
      <c r="D157" s="148"/>
      <c r="E157" s="148"/>
      <c r="F157" s="148"/>
      <c r="G157" s="148"/>
      <c r="H157" s="148"/>
      <c r="I157" s="148"/>
      <c r="J157" s="148"/>
      <c r="K157" s="148" t="s">
        <v>234</v>
      </c>
      <c r="L157" s="148">
        <v>13</v>
      </c>
      <c r="M157" s="148">
        <v>0</v>
      </c>
      <c r="N157" s="148"/>
      <c r="O157" s="148"/>
      <c r="P157" s="148"/>
      <c r="Q157" s="148"/>
    </row>
    <row r="158" spans="1:17" x14ac:dyDescent="0.25">
      <c r="A158" s="148"/>
      <c r="B158" s="151"/>
      <c r="C158" s="148"/>
      <c r="D158" s="148"/>
      <c r="E158" s="148"/>
      <c r="F158" s="148"/>
      <c r="G158" s="148"/>
      <c r="H158" s="148"/>
      <c r="I158" s="148"/>
      <c r="J158" s="148"/>
      <c r="K158" s="186" t="s">
        <v>235</v>
      </c>
      <c r="L158" s="186">
        <v>14</v>
      </c>
      <c r="M158" s="186">
        <v>0</v>
      </c>
      <c r="N158" s="148"/>
      <c r="O158" s="148"/>
      <c r="P158" s="148"/>
      <c r="Q158" s="148"/>
    </row>
    <row r="159" spans="1:17" x14ac:dyDescent="0.25">
      <c r="A159" s="148"/>
      <c r="B159" s="151"/>
      <c r="C159" s="148"/>
      <c r="D159" s="148"/>
      <c r="E159" s="148"/>
      <c r="F159" s="148"/>
      <c r="G159" s="148"/>
      <c r="H159" s="148"/>
      <c r="I159" s="148"/>
      <c r="J159" s="148"/>
      <c r="K159" s="148"/>
      <c r="L159" s="148"/>
      <c r="M159" s="148">
        <v>37</v>
      </c>
      <c r="N159" s="148"/>
      <c r="O159" s="148"/>
      <c r="P159" s="148"/>
      <c r="Q159" s="148"/>
    </row>
    <row r="160" spans="1:17" x14ac:dyDescent="0.25">
      <c r="A160" s="148"/>
      <c r="B160" s="151"/>
      <c r="C160" s="148"/>
      <c r="D160" s="148"/>
      <c r="E160" s="148"/>
      <c r="F160" s="148"/>
      <c r="G160" s="148"/>
      <c r="H160" s="148"/>
      <c r="I160" s="148"/>
      <c r="J160" s="148"/>
      <c r="K160" s="148"/>
      <c r="L160" s="185" t="s">
        <v>236</v>
      </c>
      <c r="M160" s="185">
        <v>0</v>
      </c>
      <c r="N160" s="148"/>
      <c r="O160" s="148"/>
      <c r="P160" s="148"/>
      <c r="Q160" s="148"/>
    </row>
    <row r="161" spans="1:17" x14ac:dyDescent="0.25">
      <c r="A161" s="148"/>
      <c r="B161" s="151"/>
      <c r="C161" s="148"/>
      <c r="D161" s="148"/>
      <c r="E161" s="148"/>
      <c r="F161" s="148"/>
      <c r="G161" s="148"/>
      <c r="H161" s="148"/>
      <c r="I161" s="148"/>
      <c r="J161" s="148"/>
      <c r="K161" s="148"/>
      <c r="L161" s="185" t="s">
        <v>281</v>
      </c>
      <c r="M161" s="193">
        <v>6.3783783783783781</v>
      </c>
      <c r="N161" s="194" t="s">
        <v>237</v>
      </c>
      <c r="O161" s="148"/>
      <c r="P161" s="148"/>
      <c r="Q161" s="148"/>
    </row>
    <row r="162" spans="1:17" x14ac:dyDescent="0.25">
      <c r="A162" s="148"/>
      <c r="B162" s="151"/>
      <c r="C162" s="148"/>
      <c r="D162" s="148"/>
      <c r="E162" s="148"/>
      <c r="F162" s="148"/>
      <c r="G162" s="148"/>
      <c r="H162" s="148"/>
      <c r="I162" s="148"/>
      <c r="J162" s="148"/>
      <c r="K162" s="148"/>
      <c r="L162" s="185" t="s">
        <v>282</v>
      </c>
      <c r="M162" s="193">
        <v>4.6086956521739131</v>
      </c>
      <c r="N162" s="194" t="s">
        <v>286</v>
      </c>
      <c r="O162" s="148"/>
      <c r="P162" s="148"/>
      <c r="Q162" s="148"/>
    </row>
    <row r="163" spans="1:17" x14ac:dyDescent="0.25">
      <c r="A163" s="148"/>
      <c r="B163" s="151"/>
      <c r="C163" s="148"/>
      <c r="D163" s="148"/>
      <c r="E163" s="148"/>
      <c r="F163" s="148"/>
      <c r="G163" s="148"/>
      <c r="H163" s="148"/>
      <c r="I163" s="148"/>
      <c r="J163" s="148"/>
      <c r="K163" s="148"/>
      <c r="L163" s="148"/>
      <c r="M163" s="148"/>
      <c r="N163" s="148"/>
      <c r="O163" s="148"/>
      <c r="P163" s="148"/>
      <c r="Q163" s="148"/>
    </row>
    <row r="164" spans="1:17" x14ac:dyDescent="0.25">
      <c r="A164" s="148"/>
      <c r="B164" s="151"/>
      <c r="C164" s="148"/>
      <c r="D164" s="148"/>
      <c r="E164" s="148"/>
      <c r="F164" s="148"/>
      <c r="G164" s="148"/>
      <c r="H164" s="148"/>
      <c r="I164" s="148"/>
      <c r="J164" s="148"/>
      <c r="K164" s="148"/>
      <c r="L164" s="148"/>
      <c r="M164" s="148"/>
      <c r="N164" s="148"/>
      <c r="O164" s="148"/>
      <c r="P164" s="148"/>
      <c r="Q164" s="148"/>
    </row>
    <row r="165" spans="1:17" x14ac:dyDescent="0.25">
      <c r="A165" s="148"/>
      <c r="B165" s="151"/>
      <c r="C165" s="148"/>
      <c r="D165" s="148"/>
      <c r="E165" s="148"/>
      <c r="F165" s="148"/>
      <c r="G165" s="148"/>
      <c r="H165" s="148"/>
      <c r="I165" s="148"/>
      <c r="J165" s="148"/>
      <c r="K165" s="148"/>
      <c r="L165" s="148"/>
      <c r="M165" s="148"/>
      <c r="N165" s="148"/>
      <c r="O165" s="148"/>
      <c r="P165" s="148"/>
      <c r="Q165" s="148"/>
    </row>
    <row r="166" spans="1:17" x14ac:dyDescent="0.25">
      <c r="A166" s="148"/>
      <c r="B166" s="151"/>
      <c r="C166" s="148"/>
      <c r="D166" s="148"/>
      <c r="E166" s="148"/>
      <c r="F166" s="148"/>
      <c r="G166" s="148"/>
      <c r="H166" s="148"/>
      <c r="I166" s="148"/>
      <c r="J166" s="148"/>
      <c r="K166" s="148"/>
      <c r="L166" s="148"/>
      <c r="M166" s="148"/>
      <c r="N166" s="148"/>
      <c r="O166" s="148"/>
      <c r="P166" s="148"/>
      <c r="Q166" s="148"/>
    </row>
    <row r="167" spans="1:17" x14ac:dyDescent="0.25"/>
  </sheetData>
  <mergeCells count="1">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24BD3-F646-40AF-AC7C-2BB8863E945F}">
  <sheetPr>
    <tabColor theme="5" tint="-0.249977111117893"/>
  </sheetPr>
  <dimension ref="A1:AJ158"/>
  <sheetViews>
    <sheetView zoomScale="60" zoomScaleNormal="60" workbookViewId="0">
      <selection activeCell="G5" sqref="G5"/>
    </sheetView>
  </sheetViews>
  <sheetFormatPr defaultColWidth="8.85546875" defaultRowHeight="12.75" x14ac:dyDescent="0.2"/>
  <cols>
    <col min="1" max="1" width="4.42578125" customWidth="1"/>
    <col min="2" max="2" width="38.42578125" bestFit="1" customWidth="1"/>
    <col min="3" max="3" width="10.5703125" customWidth="1"/>
    <col min="4" max="4" width="53" customWidth="1"/>
    <col min="5" max="7" width="22" customWidth="1"/>
    <col min="8" max="8" width="4.42578125" customWidth="1"/>
    <col min="9" max="9" width="47" bestFit="1" customWidth="1"/>
    <col min="10" max="10" width="28.85546875" customWidth="1"/>
    <col min="11" max="11" width="4.42578125" customWidth="1"/>
    <col min="12" max="16" width="19.140625" customWidth="1"/>
    <col min="18" max="18" width="14" customWidth="1"/>
    <col min="19" max="30" width="15.7109375" customWidth="1"/>
  </cols>
  <sheetData>
    <row r="1" spans="1:36" x14ac:dyDescent="0.2">
      <c r="S1" s="38"/>
      <c r="T1" s="38"/>
      <c r="U1" s="38"/>
      <c r="V1" s="38"/>
      <c r="W1" s="38"/>
      <c r="X1" s="38"/>
      <c r="Y1" s="38"/>
      <c r="Z1" s="38"/>
      <c r="AA1" s="38"/>
      <c r="AB1" s="38"/>
      <c r="AC1" s="38"/>
      <c r="AD1" s="38"/>
      <c r="AE1" s="38"/>
      <c r="AF1" s="38"/>
      <c r="AG1" s="38"/>
      <c r="AH1" s="38"/>
      <c r="AI1" s="38"/>
      <c r="AJ1" s="38"/>
    </row>
    <row r="2" spans="1:36" x14ac:dyDescent="0.2">
      <c r="A2" s="38"/>
      <c r="B2" s="45"/>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1:36" ht="15" x14ac:dyDescent="0.25">
      <c r="A3" s="38"/>
      <c r="B3" s="45"/>
      <c r="C3" s="38"/>
      <c r="D3" s="38"/>
      <c r="E3" s="38"/>
      <c r="F3" s="38"/>
      <c r="G3" s="38"/>
      <c r="H3" s="38"/>
      <c r="I3" s="144" t="s">
        <v>209</v>
      </c>
      <c r="J3" s="138"/>
      <c r="K3" s="138"/>
      <c r="L3" s="144" t="s">
        <v>209</v>
      </c>
      <c r="M3" s="138"/>
      <c r="N3" s="138"/>
      <c r="O3" s="38"/>
      <c r="P3" s="38"/>
      <c r="Q3" s="38"/>
      <c r="R3" s="38"/>
      <c r="S3" s="38"/>
      <c r="T3" s="38"/>
      <c r="U3" s="38"/>
      <c r="V3" s="38"/>
      <c r="W3" s="38"/>
      <c r="X3" s="38"/>
      <c r="Y3" s="38"/>
      <c r="Z3" s="38"/>
      <c r="AA3" s="38"/>
      <c r="AB3" s="38"/>
      <c r="AC3" s="38"/>
      <c r="AD3" s="38"/>
      <c r="AE3" s="38"/>
      <c r="AF3" s="38"/>
      <c r="AG3" s="38"/>
      <c r="AH3" s="38"/>
      <c r="AI3" s="38"/>
      <c r="AJ3" s="38"/>
    </row>
    <row r="4" spans="1:36" ht="51.75" x14ac:dyDescent="0.2">
      <c r="A4" s="37"/>
      <c r="B4" s="134" t="s">
        <v>112</v>
      </c>
      <c r="C4" s="37"/>
      <c r="D4" s="135" t="s">
        <v>113</v>
      </c>
      <c r="E4" s="135" t="s">
        <v>210</v>
      </c>
      <c r="F4" s="135" t="s">
        <v>211</v>
      </c>
      <c r="G4" s="135" t="s">
        <v>212</v>
      </c>
      <c r="H4" s="37"/>
      <c r="I4" s="135" t="s">
        <v>213</v>
      </c>
      <c r="J4" s="135" t="s">
        <v>214</v>
      </c>
      <c r="K4" s="37"/>
      <c r="L4" s="135" t="s">
        <v>214</v>
      </c>
      <c r="M4" s="136" t="s">
        <v>215</v>
      </c>
      <c r="N4" s="136" t="s">
        <v>216</v>
      </c>
      <c r="O4" s="136" t="s">
        <v>217</v>
      </c>
      <c r="P4" s="136" t="s">
        <v>218</v>
      </c>
      <c r="Q4" s="37"/>
      <c r="R4" s="37"/>
      <c r="S4" s="38"/>
      <c r="T4" s="38"/>
      <c r="U4" s="38"/>
      <c r="V4" s="38"/>
      <c r="W4" s="38"/>
      <c r="X4" s="38"/>
      <c r="Y4" s="38"/>
      <c r="Z4" s="38"/>
      <c r="AA4" s="38"/>
      <c r="AB4" s="38"/>
      <c r="AC4" s="38"/>
      <c r="AD4" s="38"/>
      <c r="AE4" s="38"/>
      <c r="AF4" s="38"/>
      <c r="AG4" s="38"/>
      <c r="AH4" s="38"/>
      <c r="AI4" s="38"/>
      <c r="AJ4" s="38"/>
    </row>
    <row r="5" spans="1:36" ht="17.25" x14ac:dyDescent="0.25">
      <c r="A5" s="38"/>
      <c r="B5" s="137" t="s">
        <v>19</v>
      </c>
      <c r="C5" s="138">
        <v>1</v>
      </c>
      <c r="D5" s="139" t="s">
        <v>117</v>
      </c>
      <c r="E5" s="140">
        <v>0.5495118386376765</v>
      </c>
      <c r="F5" s="140" t="s">
        <v>221</v>
      </c>
      <c r="G5" s="141">
        <v>0.49771083002246519</v>
      </c>
      <c r="H5" s="138"/>
      <c r="I5" s="139" t="s">
        <v>117</v>
      </c>
      <c r="J5" s="140" t="s">
        <v>219</v>
      </c>
      <c r="K5" s="138"/>
      <c r="L5" s="142" t="s">
        <v>219</v>
      </c>
      <c r="M5" s="142">
        <v>6</v>
      </c>
      <c r="N5" s="142">
        <v>1</v>
      </c>
      <c r="O5" s="143">
        <v>0.5495118386376765</v>
      </c>
      <c r="P5" s="143">
        <v>0.5495118386376765</v>
      </c>
      <c r="Q5" s="38"/>
      <c r="R5" s="73"/>
      <c r="S5" s="38"/>
      <c r="T5" s="38"/>
      <c r="U5" s="38"/>
      <c r="V5" s="38"/>
      <c r="W5" s="38"/>
      <c r="X5" s="38"/>
      <c r="Y5" s="38"/>
      <c r="Z5" s="38"/>
      <c r="AA5" s="38"/>
      <c r="AB5" s="38"/>
      <c r="AC5" s="38"/>
      <c r="AD5" s="38"/>
      <c r="AE5" s="38"/>
      <c r="AF5" s="38"/>
      <c r="AG5" s="38"/>
      <c r="AH5" s="38"/>
      <c r="AI5" s="38"/>
      <c r="AJ5" s="38"/>
    </row>
    <row r="6" spans="1:36" ht="17.25" x14ac:dyDescent="0.25">
      <c r="A6" s="38"/>
      <c r="B6" s="137" t="s">
        <v>22</v>
      </c>
      <c r="C6" s="138">
        <v>0</v>
      </c>
      <c r="D6" s="139" t="s">
        <v>118</v>
      </c>
      <c r="E6" s="140" t="s">
        <v>221</v>
      </c>
      <c r="F6" s="141" t="s">
        <v>221</v>
      </c>
      <c r="G6" s="141">
        <v>0.55514521621159907</v>
      </c>
      <c r="H6" s="138"/>
      <c r="I6" s="139" t="s">
        <v>118</v>
      </c>
      <c r="J6" s="140" t="s">
        <v>221</v>
      </c>
      <c r="K6" s="138"/>
      <c r="L6" s="142"/>
      <c r="M6" s="142" t="s">
        <v>221</v>
      </c>
      <c r="N6" s="142" t="s">
        <v>221</v>
      </c>
      <c r="O6" s="143" t="s">
        <v>221</v>
      </c>
      <c r="P6" s="143" t="s">
        <v>221</v>
      </c>
      <c r="Q6" s="38"/>
      <c r="R6" s="73"/>
      <c r="S6" s="38"/>
      <c r="T6" s="38"/>
      <c r="U6" s="38"/>
      <c r="V6" s="38"/>
      <c r="W6" s="38"/>
      <c r="X6" s="38"/>
      <c r="Y6" s="38"/>
      <c r="Z6" s="38"/>
      <c r="AA6" s="38"/>
      <c r="AB6" s="38"/>
      <c r="AC6" s="38"/>
      <c r="AD6" s="38"/>
      <c r="AE6" s="38"/>
      <c r="AF6" s="38"/>
      <c r="AG6" s="38"/>
      <c r="AH6" s="38"/>
      <c r="AI6" s="38"/>
      <c r="AJ6" s="38"/>
    </row>
    <row r="7" spans="1:36" ht="17.25" x14ac:dyDescent="0.25">
      <c r="A7" s="38"/>
      <c r="B7" s="40" t="s">
        <v>25</v>
      </c>
      <c r="C7" s="38">
        <v>1</v>
      </c>
      <c r="D7" s="41" t="s">
        <v>119</v>
      </c>
      <c r="E7" s="74">
        <v>0.26273822998061053</v>
      </c>
      <c r="F7" s="75">
        <v>0.20081154997927442</v>
      </c>
      <c r="G7" s="75">
        <v>0.23806922911486064</v>
      </c>
      <c r="H7" s="38"/>
      <c r="I7" s="41" t="s">
        <v>119</v>
      </c>
      <c r="J7" s="74" t="s">
        <v>220</v>
      </c>
      <c r="K7" s="38"/>
      <c r="L7" s="42" t="s">
        <v>220</v>
      </c>
      <c r="M7" s="42">
        <v>7</v>
      </c>
      <c r="N7" s="42">
        <v>1</v>
      </c>
      <c r="O7" s="76">
        <v>0.26273822998061053</v>
      </c>
      <c r="P7" s="76">
        <v>0.26273822998061053</v>
      </c>
      <c r="Q7" s="38"/>
      <c r="R7" s="73"/>
      <c r="S7" s="38"/>
      <c r="T7" s="38"/>
      <c r="U7" s="38"/>
      <c r="V7" s="38"/>
      <c r="W7" s="38"/>
      <c r="X7" s="38"/>
      <c r="Y7" s="38"/>
      <c r="Z7" s="38"/>
      <c r="AA7" s="38"/>
      <c r="AB7" s="38"/>
      <c r="AC7" s="38"/>
      <c r="AD7" s="38"/>
      <c r="AE7" s="38"/>
      <c r="AF7" s="38"/>
      <c r="AG7" s="38"/>
      <c r="AH7" s="38"/>
      <c r="AI7" s="38"/>
      <c r="AJ7" s="38"/>
    </row>
    <row r="8" spans="1:36" ht="17.25" x14ac:dyDescent="0.25">
      <c r="A8" s="38"/>
      <c r="B8" s="40" t="s">
        <v>28</v>
      </c>
      <c r="C8" s="38">
        <v>1</v>
      </c>
      <c r="D8" s="41" t="s">
        <v>120</v>
      </c>
      <c r="E8" s="74">
        <v>0.27473282178087471</v>
      </c>
      <c r="F8" s="75">
        <v>0.34620474665709938</v>
      </c>
      <c r="G8" s="75">
        <v>0.24833237506823508</v>
      </c>
      <c r="H8" s="38"/>
      <c r="I8" s="41" t="s">
        <v>120</v>
      </c>
      <c r="J8" s="74" t="s">
        <v>220</v>
      </c>
      <c r="K8" s="38"/>
      <c r="L8" s="42" t="s">
        <v>220</v>
      </c>
      <c r="M8" s="42">
        <v>7</v>
      </c>
      <c r="N8" s="42">
        <v>1</v>
      </c>
      <c r="O8" s="76">
        <v>0.27473282178087471</v>
      </c>
      <c r="P8" s="76">
        <v>0.27473282178087471</v>
      </c>
      <c r="Q8" s="38"/>
      <c r="R8" s="73"/>
      <c r="S8" s="38"/>
      <c r="T8" s="38"/>
      <c r="U8" s="38"/>
      <c r="V8" s="38"/>
      <c r="W8" s="38"/>
      <c r="X8" s="38"/>
      <c r="Y8" s="38"/>
      <c r="Z8" s="38"/>
      <c r="AA8" s="38"/>
      <c r="AB8" s="38"/>
      <c r="AC8" s="38"/>
      <c r="AD8" s="38"/>
      <c r="AE8" s="38"/>
      <c r="AF8" s="38"/>
      <c r="AG8" s="38"/>
      <c r="AH8" s="38"/>
      <c r="AI8" s="38"/>
      <c r="AJ8" s="38"/>
    </row>
    <row r="9" spans="1:36" ht="17.25" x14ac:dyDescent="0.25">
      <c r="A9" s="38"/>
      <c r="B9" s="40" t="s">
        <v>31</v>
      </c>
      <c r="C9" s="38">
        <v>0</v>
      </c>
      <c r="D9" s="41" t="s">
        <v>121</v>
      </c>
      <c r="E9" s="74" t="s">
        <v>221</v>
      </c>
      <c r="F9" s="75" t="s">
        <v>221</v>
      </c>
      <c r="G9" s="75">
        <v>0.31822349640177178</v>
      </c>
      <c r="H9" s="38"/>
      <c r="I9" s="41" t="s">
        <v>121</v>
      </c>
      <c r="J9" s="74" t="s">
        <v>221</v>
      </c>
      <c r="K9" s="38"/>
      <c r="L9" s="42"/>
      <c r="M9" s="42" t="s">
        <v>221</v>
      </c>
      <c r="N9" s="42" t="s">
        <v>221</v>
      </c>
      <c r="O9" s="76" t="s">
        <v>221</v>
      </c>
      <c r="P9" s="76" t="s">
        <v>221</v>
      </c>
      <c r="Q9" s="38"/>
      <c r="R9" s="73"/>
      <c r="S9" s="38"/>
      <c r="T9" s="38"/>
      <c r="U9" s="38"/>
      <c r="V9" s="38"/>
      <c r="W9" s="38"/>
      <c r="X9" s="38"/>
      <c r="Y9" s="38"/>
      <c r="Z9" s="38"/>
      <c r="AA9" s="38"/>
      <c r="AB9" s="38"/>
      <c r="AC9" s="38"/>
      <c r="AD9" s="38"/>
      <c r="AE9" s="38"/>
      <c r="AF9" s="38"/>
      <c r="AG9" s="38"/>
      <c r="AH9" s="38"/>
      <c r="AI9" s="38"/>
      <c r="AJ9" s="38"/>
    </row>
    <row r="10" spans="1:36" ht="17.25" x14ac:dyDescent="0.25">
      <c r="A10" s="38"/>
      <c r="B10" s="40" t="s">
        <v>33</v>
      </c>
      <c r="C10" s="38">
        <v>0</v>
      </c>
      <c r="D10" s="41" t="s">
        <v>122</v>
      </c>
      <c r="E10" s="77" t="s">
        <v>221</v>
      </c>
      <c r="F10" s="78" t="s">
        <v>221</v>
      </c>
      <c r="G10" s="78">
        <v>1.3074426031438942E-2</v>
      </c>
      <c r="H10" s="38"/>
      <c r="I10" s="41" t="s">
        <v>122</v>
      </c>
      <c r="J10" s="77" t="s">
        <v>221</v>
      </c>
      <c r="K10" s="38"/>
      <c r="L10" s="42" t="s">
        <v>221</v>
      </c>
      <c r="M10" s="42" t="s">
        <v>221</v>
      </c>
      <c r="N10" s="42" t="s">
        <v>221</v>
      </c>
      <c r="O10" s="76" t="s">
        <v>221</v>
      </c>
      <c r="P10" s="76" t="s">
        <v>221</v>
      </c>
      <c r="Q10" s="38"/>
      <c r="R10" s="73"/>
      <c r="S10" s="38"/>
      <c r="T10" s="38"/>
      <c r="U10" s="38"/>
      <c r="V10" s="38"/>
      <c r="W10" s="38"/>
      <c r="X10" s="38"/>
      <c r="Y10" s="38"/>
      <c r="Z10" s="38"/>
      <c r="AA10" s="38"/>
      <c r="AB10" s="38"/>
      <c r="AC10" s="38"/>
      <c r="AD10" s="38"/>
      <c r="AE10" s="38"/>
      <c r="AF10" s="38"/>
      <c r="AG10" s="38"/>
      <c r="AH10" s="38"/>
      <c r="AI10" s="38"/>
      <c r="AJ10" s="38"/>
    </row>
    <row r="11" spans="1:36" ht="17.25" x14ac:dyDescent="0.25">
      <c r="A11" s="38"/>
      <c r="B11" s="40" t="s">
        <v>34</v>
      </c>
      <c r="C11" s="38">
        <v>0</v>
      </c>
      <c r="D11" s="41" t="s">
        <v>123</v>
      </c>
      <c r="E11" s="77" t="s">
        <v>221</v>
      </c>
      <c r="F11" s="78" t="s">
        <v>221</v>
      </c>
      <c r="G11" s="78">
        <v>5.754694463363544E-3</v>
      </c>
      <c r="H11" s="38"/>
      <c r="I11" s="41" t="s">
        <v>123</v>
      </c>
      <c r="J11" s="77" t="s">
        <v>221</v>
      </c>
      <c r="K11" s="38"/>
      <c r="L11" s="42" t="s">
        <v>221</v>
      </c>
      <c r="M11" s="42" t="s">
        <v>221</v>
      </c>
      <c r="N11" s="42" t="s">
        <v>221</v>
      </c>
      <c r="O11" s="76" t="s">
        <v>221</v>
      </c>
      <c r="P11" s="76" t="s">
        <v>221</v>
      </c>
      <c r="Q11" s="38"/>
      <c r="R11" s="73"/>
      <c r="S11" s="38"/>
      <c r="T11" s="38"/>
      <c r="U11" s="38"/>
      <c r="V11" s="38"/>
      <c r="W11" s="38"/>
      <c r="X11" s="38"/>
      <c r="Y11" s="38"/>
      <c r="Z11" s="38"/>
      <c r="AA11" s="38"/>
      <c r="AB11" s="38"/>
      <c r="AC11" s="38"/>
      <c r="AD11" s="38"/>
      <c r="AE11" s="38"/>
      <c r="AF11" s="38"/>
      <c r="AG11" s="38"/>
      <c r="AH11" s="38"/>
      <c r="AI11" s="38"/>
      <c r="AJ11" s="38"/>
    </row>
    <row r="12" spans="1:36" ht="17.25" x14ac:dyDescent="0.25">
      <c r="A12" s="38"/>
      <c r="B12" s="40" t="s">
        <v>35</v>
      </c>
      <c r="C12" s="38">
        <v>1</v>
      </c>
      <c r="D12" s="41" t="s">
        <v>124</v>
      </c>
      <c r="E12" s="74">
        <v>0.35306349833789874</v>
      </c>
      <c r="F12" s="75">
        <v>0.37503587083089318</v>
      </c>
      <c r="G12" s="75">
        <v>0.33571178338979268</v>
      </c>
      <c r="H12" s="38"/>
      <c r="I12" s="41" t="s">
        <v>124</v>
      </c>
      <c r="J12" s="74" t="s">
        <v>222</v>
      </c>
      <c r="K12" s="38"/>
      <c r="L12" s="42" t="s">
        <v>222</v>
      </c>
      <c r="M12" s="42">
        <v>9</v>
      </c>
      <c r="N12" s="42" t="s">
        <v>221</v>
      </c>
      <c r="O12" s="76">
        <v>0.35306349833789874</v>
      </c>
      <c r="P12" s="76" t="s">
        <v>221</v>
      </c>
      <c r="Q12" s="38"/>
      <c r="R12" s="73"/>
      <c r="S12" s="38"/>
      <c r="T12" s="38"/>
      <c r="U12" s="38"/>
      <c r="V12" s="38"/>
      <c r="W12" s="38"/>
      <c r="X12" s="38"/>
      <c r="Y12" s="38"/>
      <c r="Z12" s="38"/>
      <c r="AA12" s="38"/>
      <c r="AB12" s="38"/>
      <c r="AC12" s="38"/>
      <c r="AD12" s="38"/>
      <c r="AE12" s="38"/>
      <c r="AF12" s="38"/>
      <c r="AG12" s="38"/>
      <c r="AH12" s="38"/>
      <c r="AI12" s="38"/>
      <c r="AJ12" s="38"/>
    </row>
    <row r="13" spans="1:36" ht="17.25" x14ac:dyDescent="0.25">
      <c r="A13" s="38"/>
      <c r="B13" s="40" t="s">
        <v>36</v>
      </c>
      <c r="C13" s="38">
        <v>1</v>
      </c>
      <c r="D13" s="41" t="s">
        <v>126</v>
      </c>
      <c r="E13" s="77">
        <v>0.38595439825848327</v>
      </c>
      <c r="F13" s="78">
        <v>0.30841849756332129</v>
      </c>
      <c r="G13" s="78">
        <v>0.39093730162876594</v>
      </c>
      <c r="H13" s="38"/>
      <c r="I13" s="41" t="s">
        <v>126</v>
      </c>
      <c r="J13" s="77" t="s">
        <v>220</v>
      </c>
      <c r="K13" s="38"/>
      <c r="L13" s="42" t="s">
        <v>220</v>
      </c>
      <c r="M13" s="42">
        <v>7</v>
      </c>
      <c r="N13" s="42">
        <v>1</v>
      </c>
      <c r="O13" s="76">
        <v>0.38595439825848327</v>
      </c>
      <c r="P13" s="76">
        <v>0.38595439825848327</v>
      </c>
      <c r="Q13" s="38"/>
      <c r="R13" s="73"/>
      <c r="S13" s="38"/>
      <c r="T13" s="38"/>
      <c r="U13" s="38"/>
      <c r="V13" s="38"/>
      <c r="W13" s="38"/>
      <c r="X13" s="38"/>
      <c r="Y13" s="38"/>
      <c r="Z13" s="38"/>
      <c r="AA13" s="38"/>
      <c r="AB13" s="38"/>
      <c r="AC13" s="38"/>
      <c r="AD13" s="38"/>
      <c r="AE13" s="38"/>
      <c r="AF13" s="38"/>
      <c r="AG13" s="38"/>
      <c r="AH13" s="38"/>
      <c r="AI13" s="38"/>
      <c r="AJ13" s="38"/>
    </row>
    <row r="14" spans="1:36" ht="17.25" x14ac:dyDescent="0.25">
      <c r="A14" s="38"/>
      <c r="B14" s="40" t="s">
        <v>37</v>
      </c>
      <c r="C14" s="38">
        <v>1</v>
      </c>
      <c r="D14" s="41" t="s">
        <v>127</v>
      </c>
      <c r="E14" s="77">
        <v>0.28550202556906146</v>
      </c>
      <c r="F14" s="78">
        <v>0.34069397826260323</v>
      </c>
      <c r="G14" s="78">
        <v>0.33339095911789457</v>
      </c>
      <c r="H14" s="38"/>
      <c r="I14" s="41" t="s">
        <v>127</v>
      </c>
      <c r="J14" s="77" t="s">
        <v>220</v>
      </c>
      <c r="K14" s="38"/>
      <c r="L14" s="42" t="s">
        <v>220</v>
      </c>
      <c r="M14" s="42">
        <v>7</v>
      </c>
      <c r="N14" s="42">
        <v>1</v>
      </c>
      <c r="O14" s="76">
        <v>0.28550202556906146</v>
      </c>
      <c r="P14" s="76">
        <v>0.28550202556906146</v>
      </c>
      <c r="Q14" s="38"/>
      <c r="R14" s="73"/>
      <c r="S14" s="38"/>
      <c r="T14" s="38"/>
      <c r="U14" s="38"/>
      <c r="V14" s="38"/>
      <c r="W14" s="38"/>
      <c r="X14" s="38"/>
      <c r="Y14" s="38"/>
      <c r="Z14" s="38"/>
      <c r="AA14" s="38"/>
      <c r="AB14" s="38"/>
      <c r="AC14" s="38"/>
      <c r="AD14" s="38"/>
      <c r="AE14" s="38"/>
      <c r="AF14" s="38"/>
      <c r="AG14" s="38"/>
      <c r="AH14" s="38"/>
      <c r="AI14" s="38"/>
      <c r="AJ14" s="38"/>
    </row>
    <row r="16" spans="1:36" ht="17.25" x14ac:dyDescent="0.25">
      <c r="A16" s="38"/>
      <c r="B16" s="40" t="s">
        <v>39</v>
      </c>
      <c r="C16" s="38">
        <v>1</v>
      </c>
      <c r="D16" s="41" t="s">
        <v>131</v>
      </c>
      <c r="E16" s="74">
        <v>0.23313480816765458</v>
      </c>
      <c r="F16" s="75">
        <v>0.40756532286101244</v>
      </c>
      <c r="G16" s="75">
        <v>0.30905020496433588</v>
      </c>
      <c r="H16" s="38"/>
      <c r="I16" s="41" t="s">
        <v>131</v>
      </c>
      <c r="J16" s="74" t="s">
        <v>219</v>
      </c>
      <c r="K16" s="38"/>
      <c r="L16" s="42" t="s">
        <v>219</v>
      </c>
      <c r="M16" s="42">
        <v>6</v>
      </c>
      <c r="N16" s="42">
        <v>1</v>
      </c>
      <c r="O16" s="76">
        <v>0.23313480816765458</v>
      </c>
      <c r="P16" s="76">
        <v>0.23313480816765458</v>
      </c>
      <c r="Q16" s="38"/>
      <c r="R16" s="73"/>
      <c r="S16" s="38"/>
      <c r="T16" s="38"/>
      <c r="U16" s="38"/>
      <c r="V16" s="38"/>
      <c r="W16" s="38"/>
      <c r="X16" s="38"/>
      <c r="Y16" s="38"/>
      <c r="Z16" s="38"/>
      <c r="AA16" s="38"/>
      <c r="AB16" s="38"/>
      <c r="AC16" s="38"/>
      <c r="AD16" s="38"/>
      <c r="AE16" s="38"/>
      <c r="AF16" s="38"/>
      <c r="AG16" s="38"/>
      <c r="AH16" s="38"/>
      <c r="AI16" s="38"/>
      <c r="AJ16" s="38"/>
    </row>
    <row r="17" spans="1:36" ht="17.25" x14ac:dyDescent="0.25">
      <c r="A17" s="38"/>
      <c r="B17" s="40" t="s">
        <v>40</v>
      </c>
      <c r="C17" s="38">
        <v>1</v>
      </c>
      <c r="D17" s="41" t="s">
        <v>132</v>
      </c>
      <c r="E17" s="74">
        <v>0.57820475442041563</v>
      </c>
      <c r="F17" s="75">
        <v>0.43413157325843904</v>
      </c>
      <c r="G17" s="75">
        <v>0.64261699192528954</v>
      </c>
      <c r="H17" s="38"/>
      <c r="I17" s="41" t="s">
        <v>132</v>
      </c>
      <c r="J17" s="74" t="s">
        <v>222</v>
      </c>
      <c r="K17" s="38"/>
      <c r="L17" s="42" t="s">
        <v>222</v>
      </c>
      <c r="M17" s="42">
        <v>9</v>
      </c>
      <c r="N17" s="42" t="s">
        <v>221</v>
      </c>
      <c r="O17" s="76">
        <v>0.57820475442041563</v>
      </c>
      <c r="P17" s="76" t="s">
        <v>221</v>
      </c>
      <c r="Q17" s="38"/>
      <c r="R17" s="73"/>
      <c r="S17" s="38"/>
      <c r="T17" s="38"/>
      <c r="U17" s="38"/>
      <c r="V17" s="38"/>
      <c r="W17" s="38"/>
      <c r="X17" s="38"/>
      <c r="Y17" s="38"/>
      <c r="Z17" s="38"/>
      <c r="AA17" s="38"/>
      <c r="AB17" s="38"/>
      <c r="AC17" s="38"/>
      <c r="AD17" s="38"/>
      <c r="AE17" s="38"/>
      <c r="AF17" s="38"/>
      <c r="AG17" s="38"/>
      <c r="AH17" s="38"/>
      <c r="AI17" s="38"/>
      <c r="AJ17" s="38"/>
    </row>
    <row r="19" spans="1:36" ht="17.25" x14ac:dyDescent="0.25">
      <c r="A19" s="38"/>
      <c r="B19" s="40" t="s">
        <v>42</v>
      </c>
      <c r="C19" s="38">
        <v>1</v>
      </c>
      <c r="D19" s="41" t="s">
        <v>134</v>
      </c>
      <c r="E19" s="74">
        <v>0.17822923299815124</v>
      </c>
      <c r="F19" s="75">
        <v>0.16975889927154547</v>
      </c>
      <c r="G19" s="75">
        <v>0.18324249713272908</v>
      </c>
      <c r="H19" s="38"/>
      <c r="I19" s="41" t="s">
        <v>134</v>
      </c>
      <c r="J19" s="74" t="s">
        <v>224</v>
      </c>
      <c r="K19" s="38"/>
      <c r="L19" s="42" t="s">
        <v>224</v>
      </c>
      <c r="M19" s="42">
        <v>11</v>
      </c>
      <c r="N19" s="42" t="s">
        <v>221</v>
      </c>
      <c r="O19" s="76">
        <v>0.17822923299815124</v>
      </c>
      <c r="P19" s="76" t="s">
        <v>221</v>
      </c>
      <c r="Q19" s="38"/>
      <c r="R19" s="73"/>
      <c r="S19" s="38"/>
      <c r="T19" s="38"/>
      <c r="U19" s="38"/>
      <c r="V19" s="38"/>
      <c r="W19" s="38"/>
      <c r="X19" s="38"/>
      <c r="Y19" s="38"/>
      <c r="Z19" s="38"/>
      <c r="AA19" s="38"/>
      <c r="AB19" s="38"/>
      <c r="AC19" s="38"/>
      <c r="AD19" s="38"/>
      <c r="AE19" s="38"/>
      <c r="AF19" s="38"/>
      <c r="AG19" s="38"/>
      <c r="AH19" s="38"/>
      <c r="AI19" s="38"/>
      <c r="AJ19" s="38"/>
    </row>
    <row r="20" spans="1:36" ht="17.25" x14ac:dyDescent="0.25">
      <c r="A20" s="38"/>
      <c r="B20" s="40" t="s">
        <v>43</v>
      </c>
      <c r="C20" s="38">
        <v>1</v>
      </c>
      <c r="D20" s="41" t="s">
        <v>135</v>
      </c>
      <c r="E20" s="74">
        <v>0.59718600417430401</v>
      </c>
      <c r="F20" s="75">
        <v>0.62768553802157567</v>
      </c>
      <c r="G20" s="75">
        <v>0.66963688060423598</v>
      </c>
      <c r="H20" s="38"/>
      <c r="I20" s="41" t="s">
        <v>135</v>
      </c>
      <c r="J20" s="74" t="s">
        <v>223</v>
      </c>
      <c r="K20" s="38"/>
      <c r="L20" s="42" t="s">
        <v>223</v>
      </c>
      <c r="M20" s="42">
        <v>12</v>
      </c>
      <c r="N20" s="42" t="s">
        <v>221</v>
      </c>
      <c r="O20" s="76">
        <v>0.59718600417430401</v>
      </c>
      <c r="P20" s="76" t="s">
        <v>221</v>
      </c>
      <c r="Q20" s="38"/>
      <c r="R20" s="73"/>
      <c r="S20" s="38"/>
      <c r="T20" s="38"/>
      <c r="U20" s="38"/>
      <c r="V20" s="38"/>
      <c r="W20" s="38"/>
      <c r="X20" s="38"/>
      <c r="Y20" s="38"/>
      <c r="Z20" s="38"/>
      <c r="AA20" s="38"/>
      <c r="AB20" s="38"/>
      <c r="AC20" s="38"/>
      <c r="AD20" s="38"/>
      <c r="AE20" s="38"/>
      <c r="AF20" s="38"/>
      <c r="AG20" s="38"/>
      <c r="AH20" s="38"/>
      <c r="AI20" s="38"/>
      <c r="AJ20" s="38"/>
    </row>
    <row r="21" spans="1:36" ht="17.25" x14ac:dyDescent="0.25">
      <c r="A21" s="38"/>
      <c r="B21" s="40" t="s">
        <v>44</v>
      </c>
      <c r="C21" s="38">
        <v>0</v>
      </c>
      <c r="D21" s="41" t="s">
        <v>136</v>
      </c>
      <c r="E21" s="74" t="s">
        <v>221</v>
      </c>
      <c r="F21" s="75" t="s">
        <v>221</v>
      </c>
      <c r="G21" s="75">
        <v>0.13963445282956188</v>
      </c>
      <c r="H21" s="38"/>
      <c r="I21" s="41" t="s">
        <v>136</v>
      </c>
      <c r="J21" s="74" t="s">
        <v>221</v>
      </c>
      <c r="K21" s="38"/>
      <c r="L21" s="42" t="s">
        <v>221</v>
      </c>
      <c r="M21" s="42" t="s">
        <v>221</v>
      </c>
      <c r="N21" s="42" t="s">
        <v>221</v>
      </c>
      <c r="O21" s="76" t="s">
        <v>221</v>
      </c>
      <c r="P21" s="76" t="s">
        <v>221</v>
      </c>
      <c r="Q21" s="38"/>
      <c r="R21" s="73"/>
      <c r="S21" s="38"/>
      <c r="T21" s="38"/>
      <c r="U21" s="38"/>
      <c r="V21" s="38"/>
      <c r="W21" s="38"/>
      <c r="X21" s="38"/>
      <c r="Y21" s="38"/>
      <c r="Z21" s="38"/>
      <c r="AA21" s="38"/>
      <c r="AB21" s="38"/>
      <c r="AC21" s="38"/>
      <c r="AD21" s="38"/>
      <c r="AE21" s="38"/>
      <c r="AF21" s="38"/>
      <c r="AG21" s="38"/>
      <c r="AH21" s="38"/>
      <c r="AI21" s="38"/>
      <c r="AJ21" s="38"/>
    </row>
    <row r="22" spans="1:36" ht="17.25" x14ac:dyDescent="0.2">
      <c r="A22" s="38"/>
      <c r="B22" s="44" t="s">
        <v>45</v>
      </c>
      <c r="C22" s="38">
        <v>1</v>
      </c>
      <c r="D22" s="41" t="s">
        <v>137</v>
      </c>
      <c r="E22" s="74">
        <v>0.41857670291534388</v>
      </c>
      <c r="F22" s="75">
        <v>0.51225025506419852</v>
      </c>
      <c r="G22" s="75">
        <v>0.42722412739916144</v>
      </c>
      <c r="H22" s="38"/>
      <c r="I22" s="41" t="s">
        <v>137</v>
      </c>
      <c r="J22" s="74" t="s">
        <v>240</v>
      </c>
      <c r="K22" s="38"/>
      <c r="L22" s="42" t="s">
        <v>225</v>
      </c>
      <c r="M22" s="42">
        <v>5</v>
      </c>
      <c r="N22" s="42">
        <v>1</v>
      </c>
      <c r="O22" s="76">
        <v>0.41857670291534388</v>
      </c>
      <c r="P22" s="76">
        <v>0.41857670291534388</v>
      </c>
      <c r="Q22" s="38"/>
      <c r="R22" s="73"/>
      <c r="S22" s="38"/>
      <c r="T22" s="38"/>
      <c r="U22" s="38"/>
      <c r="V22" s="38"/>
      <c r="W22" s="38"/>
      <c r="X22" s="38"/>
      <c r="Y22" s="38"/>
      <c r="Z22" s="38"/>
      <c r="AA22" s="38"/>
      <c r="AB22" s="38"/>
      <c r="AC22" s="38"/>
      <c r="AD22" s="38"/>
      <c r="AE22" s="38"/>
      <c r="AF22" s="38"/>
      <c r="AG22" s="38"/>
      <c r="AH22" s="38"/>
      <c r="AI22" s="38"/>
      <c r="AJ22" s="38"/>
    </row>
    <row r="23" spans="1:36" ht="17.25" x14ac:dyDescent="0.25">
      <c r="A23" s="38"/>
      <c r="B23" s="40" t="s">
        <v>46</v>
      </c>
      <c r="C23" s="38">
        <v>1</v>
      </c>
      <c r="D23" s="41" t="s">
        <v>138</v>
      </c>
      <c r="E23" s="74">
        <v>0.17013040299051763</v>
      </c>
      <c r="F23" s="75">
        <v>0.23671411289854252</v>
      </c>
      <c r="G23" s="75">
        <v>0.15763205028314009</v>
      </c>
      <c r="H23" s="38"/>
      <c r="I23" s="41" t="s">
        <v>138</v>
      </c>
      <c r="J23" s="74" t="s">
        <v>225</v>
      </c>
      <c r="K23" s="38"/>
      <c r="L23" s="42" t="s">
        <v>225</v>
      </c>
      <c r="M23" s="42">
        <v>5</v>
      </c>
      <c r="N23" s="42">
        <v>1</v>
      </c>
      <c r="O23" s="76">
        <v>0.17013040299051763</v>
      </c>
      <c r="P23" s="76">
        <v>0.17013040299051763</v>
      </c>
      <c r="Q23" s="38"/>
      <c r="R23" s="73"/>
      <c r="S23" s="38"/>
      <c r="T23" s="38"/>
      <c r="U23" s="38"/>
      <c r="V23" s="38"/>
      <c r="W23" s="38"/>
      <c r="X23" s="38"/>
      <c r="Y23" s="38"/>
      <c r="Z23" s="38"/>
      <c r="AA23" s="38"/>
      <c r="AB23" s="38"/>
      <c r="AC23" s="38"/>
      <c r="AD23" s="38"/>
      <c r="AE23" s="38"/>
      <c r="AF23" s="38"/>
      <c r="AG23" s="38"/>
      <c r="AH23" s="38"/>
      <c r="AI23" s="38"/>
      <c r="AJ23" s="38"/>
    </row>
    <row r="24" spans="1:36" ht="17.25" x14ac:dyDescent="0.25">
      <c r="A24" s="38"/>
      <c r="B24" s="40" t="s">
        <v>47</v>
      </c>
      <c r="C24" s="38">
        <v>0</v>
      </c>
      <c r="D24" s="41" t="s">
        <v>139</v>
      </c>
      <c r="E24" s="74" t="s">
        <v>221</v>
      </c>
      <c r="F24" s="75" t="s">
        <v>221</v>
      </c>
      <c r="G24" s="75">
        <v>0</v>
      </c>
      <c r="H24" s="38"/>
      <c r="I24" s="41" t="s">
        <v>139</v>
      </c>
      <c r="J24" s="74" t="s">
        <v>221</v>
      </c>
      <c r="K24" s="38"/>
      <c r="L24" s="42" t="s">
        <v>221</v>
      </c>
      <c r="M24" s="42" t="s">
        <v>221</v>
      </c>
      <c r="N24" s="42" t="s">
        <v>221</v>
      </c>
      <c r="O24" s="76" t="s">
        <v>221</v>
      </c>
      <c r="P24" s="76" t="s">
        <v>221</v>
      </c>
      <c r="Q24" s="38"/>
      <c r="R24" s="73"/>
      <c r="S24" s="38"/>
      <c r="T24" s="38"/>
      <c r="U24" s="38"/>
      <c r="V24" s="38"/>
      <c r="W24" s="38"/>
      <c r="X24" s="38"/>
      <c r="Y24" s="38"/>
      <c r="Z24" s="38"/>
      <c r="AA24" s="38"/>
      <c r="AB24" s="38"/>
      <c r="AC24" s="38"/>
      <c r="AD24" s="38"/>
      <c r="AE24" s="38"/>
      <c r="AF24" s="38"/>
      <c r="AG24" s="38"/>
      <c r="AH24" s="38"/>
      <c r="AI24" s="38"/>
      <c r="AJ24" s="38"/>
    </row>
    <row r="25" spans="1:36" ht="17.25" x14ac:dyDescent="0.25">
      <c r="A25" s="38"/>
      <c r="B25" s="40" t="s">
        <v>48</v>
      </c>
      <c r="C25" s="38">
        <v>1</v>
      </c>
      <c r="D25" s="41" t="s">
        <v>140</v>
      </c>
      <c r="E25" s="74">
        <v>0.14468874326158673</v>
      </c>
      <c r="F25" s="75">
        <v>0.28228905064526566</v>
      </c>
      <c r="G25" s="75">
        <v>0.13868956917246208</v>
      </c>
      <c r="H25" s="38"/>
      <c r="I25" s="41" t="s">
        <v>140</v>
      </c>
      <c r="J25" s="74" t="s">
        <v>221</v>
      </c>
      <c r="K25" s="38"/>
      <c r="L25" s="42" t="s">
        <v>221</v>
      </c>
      <c r="M25" s="42" t="s">
        <v>221</v>
      </c>
      <c r="N25" s="42" t="s">
        <v>221</v>
      </c>
      <c r="O25" s="76" t="s">
        <v>221</v>
      </c>
      <c r="P25" s="76" t="s">
        <v>221</v>
      </c>
      <c r="Q25" s="38"/>
      <c r="R25" s="73"/>
      <c r="S25" s="38"/>
      <c r="T25" s="38"/>
      <c r="U25" s="38"/>
      <c r="V25" s="38"/>
      <c r="W25" s="38"/>
      <c r="X25" s="38"/>
      <c r="Y25" s="38"/>
      <c r="Z25" s="38"/>
      <c r="AA25" s="38"/>
      <c r="AB25" s="38"/>
      <c r="AC25" s="38"/>
      <c r="AD25" s="38"/>
      <c r="AE25" s="38"/>
      <c r="AF25" s="38"/>
      <c r="AG25" s="38"/>
      <c r="AH25" s="38"/>
      <c r="AI25" s="38"/>
      <c r="AJ25" s="38"/>
    </row>
    <row r="26" spans="1:36" ht="17.25" x14ac:dyDescent="0.25">
      <c r="A26" s="38"/>
      <c r="B26" s="40" t="s">
        <v>49</v>
      </c>
      <c r="C26" s="38">
        <v>1</v>
      </c>
      <c r="D26" s="41" t="s">
        <v>141</v>
      </c>
      <c r="E26" s="74">
        <v>0.16361648913782373</v>
      </c>
      <c r="F26" s="75">
        <v>0.54205904252161641</v>
      </c>
      <c r="G26" s="75">
        <v>0.11546493981478631</v>
      </c>
      <c r="H26" s="38"/>
      <c r="I26" s="41" t="s">
        <v>141</v>
      </c>
      <c r="J26" s="74" t="s">
        <v>226</v>
      </c>
      <c r="K26" s="38"/>
      <c r="L26" s="42" t="s">
        <v>226</v>
      </c>
      <c r="M26" s="42">
        <v>8</v>
      </c>
      <c r="N26" s="42" t="s">
        <v>221</v>
      </c>
      <c r="O26" s="76">
        <v>0.16361648913782373</v>
      </c>
      <c r="P26" s="76" t="s">
        <v>221</v>
      </c>
      <c r="Q26" s="38"/>
      <c r="R26" s="73"/>
      <c r="S26" s="38"/>
      <c r="T26" s="38"/>
      <c r="U26" s="38"/>
      <c r="V26" s="38"/>
      <c r="W26" s="38"/>
      <c r="X26" s="38"/>
      <c r="Y26" s="38"/>
      <c r="Z26" s="38"/>
      <c r="AA26" s="38"/>
      <c r="AB26" s="38"/>
      <c r="AC26" s="38"/>
      <c r="AD26" s="38"/>
      <c r="AE26" s="38"/>
      <c r="AF26" s="38"/>
      <c r="AG26" s="38"/>
      <c r="AH26" s="38"/>
      <c r="AI26" s="38"/>
      <c r="AJ26" s="38"/>
    </row>
    <row r="27" spans="1:36" ht="17.25" x14ac:dyDescent="0.25">
      <c r="A27" s="38"/>
      <c r="B27" s="40" t="s">
        <v>50</v>
      </c>
      <c r="C27" s="38">
        <v>0</v>
      </c>
      <c r="D27" s="41" t="s">
        <v>142</v>
      </c>
      <c r="E27" s="74" t="s">
        <v>221</v>
      </c>
      <c r="F27" s="75" t="s">
        <v>221</v>
      </c>
      <c r="G27" s="75" t="s">
        <v>221</v>
      </c>
      <c r="H27" s="38"/>
      <c r="I27" s="41" t="s">
        <v>142</v>
      </c>
      <c r="J27" s="74" t="s">
        <v>221</v>
      </c>
      <c r="K27" s="38"/>
      <c r="L27" s="42" t="s">
        <v>221</v>
      </c>
      <c r="M27" s="42" t="s">
        <v>221</v>
      </c>
      <c r="N27" s="42" t="s">
        <v>221</v>
      </c>
      <c r="O27" s="76" t="s">
        <v>221</v>
      </c>
      <c r="P27" s="76" t="s">
        <v>221</v>
      </c>
      <c r="Q27" s="38"/>
      <c r="R27" s="73"/>
      <c r="S27" s="38"/>
      <c r="T27" s="38"/>
      <c r="U27" s="38"/>
      <c r="V27" s="38"/>
      <c r="W27" s="38"/>
      <c r="X27" s="38"/>
      <c r="Y27" s="38"/>
      <c r="Z27" s="38"/>
      <c r="AA27" s="38"/>
      <c r="AB27" s="38"/>
      <c r="AC27" s="38"/>
      <c r="AD27" s="38"/>
      <c r="AE27" s="38"/>
      <c r="AF27" s="38"/>
      <c r="AG27" s="38"/>
      <c r="AH27" s="38"/>
      <c r="AI27" s="38"/>
      <c r="AJ27" s="38"/>
    </row>
    <row r="28" spans="1:36" ht="17.25" x14ac:dyDescent="0.25">
      <c r="A28" s="38"/>
      <c r="B28" s="40" t="s">
        <v>51</v>
      </c>
      <c r="C28" s="38">
        <v>1</v>
      </c>
      <c r="D28" s="41" t="s">
        <v>143</v>
      </c>
      <c r="E28" s="74">
        <v>0.13947355297860359</v>
      </c>
      <c r="F28" s="75">
        <v>0.13281671492168975</v>
      </c>
      <c r="G28" s="75">
        <v>0.21097309394038363</v>
      </c>
      <c r="H28" s="38"/>
      <c r="I28" s="41" t="s">
        <v>143</v>
      </c>
      <c r="J28" s="74" t="s">
        <v>221</v>
      </c>
      <c r="K28" s="38"/>
      <c r="L28" s="42" t="s">
        <v>221</v>
      </c>
      <c r="M28" s="42" t="s">
        <v>221</v>
      </c>
      <c r="N28" s="42" t="s">
        <v>221</v>
      </c>
      <c r="O28" s="76" t="s">
        <v>221</v>
      </c>
      <c r="P28" s="76" t="s">
        <v>221</v>
      </c>
      <c r="Q28" s="38"/>
      <c r="R28" s="73"/>
      <c r="S28" s="38"/>
      <c r="T28" s="38"/>
      <c r="U28" s="38"/>
      <c r="V28" s="38"/>
      <c r="W28" s="38"/>
      <c r="X28" s="38"/>
      <c r="Y28" s="38"/>
      <c r="Z28" s="38"/>
      <c r="AA28" s="38"/>
      <c r="AB28" s="38"/>
      <c r="AC28" s="38"/>
      <c r="AD28" s="38"/>
      <c r="AE28" s="38"/>
      <c r="AF28" s="38"/>
      <c r="AG28" s="38"/>
      <c r="AH28" s="38"/>
      <c r="AI28" s="38"/>
      <c r="AJ28" s="38"/>
    </row>
    <row r="29" spans="1:36" ht="17.25" x14ac:dyDescent="0.25">
      <c r="A29" s="38"/>
      <c r="B29" s="40" t="s">
        <v>52</v>
      </c>
      <c r="C29" s="38">
        <v>0</v>
      </c>
      <c r="D29" s="41" t="s">
        <v>144</v>
      </c>
      <c r="E29" s="74" t="s">
        <v>221</v>
      </c>
      <c r="F29" s="75" t="s">
        <v>221</v>
      </c>
      <c r="G29" s="75" t="s">
        <v>221</v>
      </c>
      <c r="H29" s="38"/>
      <c r="I29" s="41" t="s">
        <v>144</v>
      </c>
      <c r="J29" s="74" t="s">
        <v>221</v>
      </c>
      <c r="K29" s="38"/>
      <c r="L29" s="42" t="s">
        <v>221</v>
      </c>
      <c r="M29" s="42" t="s">
        <v>221</v>
      </c>
      <c r="N29" s="42" t="s">
        <v>221</v>
      </c>
      <c r="O29" s="76" t="s">
        <v>221</v>
      </c>
      <c r="P29" s="76" t="s">
        <v>221</v>
      </c>
      <c r="Q29" s="38"/>
      <c r="R29" s="73"/>
      <c r="S29" s="38"/>
      <c r="T29" s="38"/>
      <c r="U29" s="38"/>
      <c r="V29" s="38"/>
      <c r="W29" s="38"/>
      <c r="X29" s="38"/>
      <c r="Y29" s="38"/>
      <c r="Z29" s="38"/>
      <c r="AA29" s="38"/>
      <c r="AB29" s="38"/>
      <c r="AC29" s="38"/>
      <c r="AD29" s="38"/>
      <c r="AE29" s="38"/>
      <c r="AF29" s="38"/>
      <c r="AG29" s="38"/>
      <c r="AH29" s="38"/>
      <c r="AI29" s="38"/>
      <c r="AJ29" s="38"/>
    </row>
    <row r="30" spans="1:36" ht="17.25" x14ac:dyDescent="0.25">
      <c r="A30" s="38"/>
      <c r="B30" s="40" t="s">
        <v>53</v>
      </c>
      <c r="C30" s="38">
        <v>1</v>
      </c>
      <c r="D30" s="41" t="s">
        <v>145</v>
      </c>
      <c r="E30" s="74">
        <v>0.35806935157141306</v>
      </c>
      <c r="F30" s="75">
        <v>0.47983839620190466</v>
      </c>
      <c r="G30" s="75">
        <v>0.29354289913208248</v>
      </c>
      <c r="H30" s="38"/>
      <c r="I30" s="41" t="s">
        <v>145</v>
      </c>
      <c r="J30" s="74" t="s">
        <v>219</v>
      </c>
      <c r="K30" s="38"/>
      <c r="L30" s="42" t="s">
        <v>219</v>
      </c>
      <c r="M30" s="42">
        <v>6</v>
      </c>
      <c r="N30" s="42">
        <v>1</v>
      </c>
      <c r="O30" s="76">
        <v>0.35806935157141306</v>
      </c>
      <c r="P30" s="76">
        <v>0.35806935157141306</v>
      </c>
      <c r="Q30" s="38"/>
      <c r="R30" s="73"/>
      <c r="S30" s="38"/>
      <c r="T30" s="38"/>
      <c r="U30" s="38"/>
      <c r="V30" s="38"/>
      <c r="W30" s="38"/>
      <c r="X30" s="38"/>
      <c r="Y30" s="38"/>
      <c r="Z30" s="38"/>
      <c r="AA30" s="38"/>
      <c r="AB30" s="38"/>
      <c r="AC30" s="38"/>
      <c r="AD30" s="38"/>
      <c r="AE30" s="38"/>
      <c r="AF30" s="38"/>
      <c r="AG30" s="38"/>
      <c r="AH30" s="38"/>
      <c r="AI30" s="38"/>
      <c r="AJ30" s="38"/>
    </row>
    <row r="31" spans="1:36" ht="17.25" x14ac:dyDescent="0.25">
      <c r="A31" s="38"/>
      <c r="B31" s="40" t="s">
        <v>54</v>
      </c>
      <c r="C31" s="38">
        <v>1</v>
      </c>
      <c r="D31" s="41" t="s">
        <v>146</v>
      </c>
      <c r="E31" s="74">
        <v>0.21905996882995879</v>
      </c>
      <c r="F31" s="75" t="s">
        <v>221</v>
      </c>
      <c r="G31" s="75">
        <v>0.22192629751214929</v>
      </c>
      <c r="H31" s="38"/>
      <c r="I31" s="41" t="s">
        <v>146</v>
      </c>
      <c r="J31" s="74" t="s">
        <v>221</v>
      </c>
      <c r="K31" s="38"/>
      <c r="L31" s="42" t="s">
        <v>221</v>
      </c>
      <c r="M31" s="42" t="s">
        <v>221</v>
      </c>
      <c r="N31" s="42" t="s">
        <v>221</v>
      </c>
      <c r="O31" s="76" t="s">
        <v>221</v>
      </c>
      <c r="P31" s="76" t="s">
        <v>221</v>
      </c>
      <c r="Q31" s="38"/>
      <c r="R31" s="73"/>
      <c r="S31" s="38"/>
      <c r="T31" s="38"/>
      <c r="U31" s="38"/>
      <c r="V31" s="38"/>
      <c r="W31" s="38"/>
      <c r="X31" s="38"/>
      <c r="Y31" s="38"/>
      <c r="Z31" s="38"/>
      <c r="AA31" s="38"/>
      <c r="AB31" s="38"/>
      <c r="AC31" s="38"/>
      <c r="AD31" s="38"/>
      <c r="AE31" s="38"/>
      <c r="AF31" s="38"/>
      <c r="AG31" s="38"/>
      <c r="AH31" s="38"/>
      <c r="AI31" s="38"/>
      <c r="AJ31" s="38"/>
    </row>
    <row r="32" spans="1:36" ht="17.25" x14ac:dyDescent="0.25">
      <c r="A32" s="38"/>
      <c r="B32" s="40" t="s">
        <v>55</v>
      </c>
      <c r="C32" s="38">
        <v>0</v>
      </c>
      <c r="D32" s="41" t="s">
        <v>147</v>
      </c>
      <c r="E32" s="74" t="s">
        <v>221</v>
      </c>
      <c r="F32" s="75" t="s">
        <v>221</v>
      </c>
      <c r="G32" s="75" t="s">
        <v>221</v>
      </c>
      <c r="H32" s="38"/>
      <c r="I32" s="41" t="s">
        <v>147</v>
      </c>
      <c r="J32" s="74" t="s">
        <v>221</v>
      </c>
      <c r="K32" s="38"/>
      <c r="L32" s="42" t="s">
        <v>221</v>
      </c>
      <c r="M32" s="42" t="s">
        <v>221</v>
      </c>
      <c r="N32" s="42" t="s">
        <v>221</v>
      </c>
      <c r="O32" s="76" t="s">
        <v>221</v>
      </c>
      <c r="P32" s="76" t="s">
        <v>221</v>
      </c>
      <c r="Q32" s="38"/>
      <c r="R32" s="73"/>
      <c r="S32" s="38"/>
      <c r="T32" s="38"/>
      <c r="U32" s="38"/>
      <c r="V32" s="38"/>
      <c r="W32" s="38"/>
      <c r="X32" s="38"/>
      <c r="Y32" s="38"/>
      <c r="Z32" s="38"/>
      <c r="AA32" s="38"/>
      <c r="AB32" s="38"/>
      <c r="AC32" s="38"/>
      <c r="AD32" s="38"/>
      <c r="AE32" s="38"/>
      <c r="AF32" s="38"/>
      <c r="AG32" s="38"/>
      <c r="AH32" s="38"/>
      <c r="AI32" s="38"/>
      <c r="AJ32" s="38"/>
    </row>
    <row r="33" spans="1:36" ht="17.25" x14ac:dyDescent="0.25">
      <c r="A33" s="38"/>
      <c r="B33" s="40" t="s">
        <v>56</v>
      </c>
      <c r="C33" s="38">
        <v>0</v>
      </c>
      <c r="D33" s="41" t="s">
        <v>148</v>
      </c>
      <c r="E33" s="74" t="s">
        <v>221</v>
      </c>
      <c r="F33" s="75" t="s">
        <v>221</v>
      </c>
      <c r="G33" s="75" t="s">
        <v>221</v>
      </c>
      <c r="H33" s="38"/>
      <c r="I33" s="41" t="s">
        <v>148</v>
      </c>
      <c r="J33" s="74" t="s">
        <v>221</v>
      </c>
      <c r="K33" s="38"/>
      <c r="L33" s="42" t="s">
        <v>221</v>
      </c>
      <c r="M33" s="42" t="s">
        <v>221</v>
      </c>
      <c r="N33" s="42" t="s">
        <v>221</v>
      </c>
      <c r="O33" s="76" t="s">
        <v>221</v>
      </c>
      <c r="P33" s="76" t="s">
        <v>221</v>
      </c>
      <c r="Q33" s="38"/>
      <c r="R33" s="73"/>
      <c r="S33" s="38"/>
      <c r="T33" s="38"/>
      <c r="U33" s="38"/>
      <c r="V33" s="38"/>
      <c r="W33" s="38"/>
      <c r="X33" s="38"/>
      <c r="Y33" s="38"/>
      <c r="Z33" s="38"/>
      <c r="AA33" s="38"/>
      <c r="AB33" s="38"/>
      <c r="AC33" s="38"/>
      <c r="AD33" s="38"/>
      <c r="AE33" s="38"/>
      <c r="AF33" s="38"/>
      <c r="AG33" s="38"/>
      <c r="AH33" s="38"/>
      <c r="AI33" s="38"/>
      <c r="AJ33" s="38"/>
    </row>
    <row r="34" spans="1:36" ht="17.25" x14ac:dyDescent="0.25">
      <c r="A34" s="38"/>
      <c r="B34" s="40" t="s">
        <v>57</v>
      </c>
      <c r="C34" s="38">
        <v>1</v>
      </c>
      <c r="D34" s="41" t="s">
        <v>149</v>
      </c>
      <c r="E34" s="74">
        <v>0.41181721141876032</v>
      </c>
      <c r="F34" s="75">
        <v>0.4949143193339009</v>
      </c>
      <c r="G34" s="75">
        <v>0.38152082533679232</v>
      </c>
      <c r="H34" s="38"/>
      <c r="I34" s="41" t="s">
        <v>149</v>
      </c>
      <c r="J34" s="74" t="s">
        <v>225</v>
      </c>
      <c r="K34" s="38"/>
      <c r="L34" s="42" t="s">
        <v>225</v>
      </c>
      <c r="M34" s="42">
        <v>5</v>
      </c>
      <c r="N34" s="42">
        <v>1</v>
      </c>
      <c r="O34" s="76">
        <v>0.41181721141876032</v>
      </c>
      <c r="P34" s="76">
        <v>0.41181721141876032</v>
      </c>
      <c r="Q34" s="38"/>
      <c r="R34" s="73"/>
      <c r="S34" s="38"/>
      <c r="T34" s="38"/>
      <c r="U34" s="38"/>
      <c r="V34" s="38"/>
      <c r="W34" s="38"/>
      <c r="X34" s="38"/>
      <c r="Y34" s="38"/>
      <c r="Z34" s="38"/>
      <c r="AA34" s="38"/>
      <c r="AB34" s="38"/>
      <c r="AC34" s="38"/>
      <c r="AD34" s="38"/>
      <c r="AE34" s="38"/>
      <c r="AF34" s="38"/>
      <c r="AG34" s="38"/>
      <c r="AH34" s="38"/>
      <c r="AI34" s="38"/>
      <c r="AJ34" s="38"/>
    </row>
    <row r="35" spans="1:36" ht="17.25" x14ac:dyDescent="0.25">
      <c r="A35" s="38"/>
      <c r="B35" s="40" t="s">
        <v>58</v>
      </c>
      <c r="C35" s="38">
        <v>1</v>
      </c>
      <c r="D35" s="41" t="s">
        <v>150</v>
      </c>
      <c r="E35" s="74">
        <v>0.1714999949515687</v>
      </c>
      <c r="F35" s="75">
        <v>0.17388632053894842</v>
      </c>
      <c r="G35" s="75">
        <v>0.18848735899399327</v>
      </c>
      <c r="H35" s="38"/>
      <c r="I35" s="41" t="s">
        <v>150</v>
      </c>
      <c r="J35" s="74" t="s">
        <v>227</v>
      </c>
      <c r="K35" s="38"/>
      <c r="L35" s="42" t="s">
        <v>227</v>
      </c>
      <c r="M35" s="42">
        <v>3</v>
      </c>
      <c r="N35" s="42">
        <v>1</v>
      </c>
      <c r="O35" s="76">
        <v>0.1714999949515687</v>
      </c>
      <c r="P35" s="76">
        <v>0.1714999949515687</v>
      </c>
      <c r="Q35" s="38"/>
      <c r="R35" s="73"/>
      <c r="S35" s="38"/>
      <c r="T35" s="38"/>
      <c r="U35" s="38"/>
      <c r="V35" s="38"/>
      <c r="W35" s="38"/>
      <c r="X35" s="38"/>
      <c r="Y35" s="38"/>
      <c r="Z35" s="38"/>
      <c r="AA35" s="38"/>
      <c r="AB35" s="38"/>
      <c r="AC35" s="38"/>
      <c r="AD35" s="38"/>
      <c r="AE35" s="38"/>
      <c r="AF35" s="38"/>
      <c r="AG35" s="38"/>
      <c r="AH35" s="38"/>
      <c r="AI35" s="38"/>
      <c r="AJ35" s="38"/>
    </row>
    <row r="36" spans="1:36" ht="17.25" x14ac:dyDescent="0.25">
      <c r="A36" s="38"/>
      <c r="B36" s="40" t="s">
        <v>59</v>
      </c>
      <c r="C36" s="38">
        <v>0</v>
      </c>
      <c r="D36" s="41" t="s">
        <v>151</v>
      </c>
      <c r="E36" s="74" t="s">
        <v>221</v>
      </c>
      <c r="F36" s="75" t="s">
        <v>221</v>
      </c>
      <c r="G36" s="75" t="s">
        <v>221</v>
      </c>
      <c r="H36" s="38"/>
      <c r="I36" s="41" t="s">
        <v>151</v>
      </c>
      <c r="J36" s="74" t="s">
        <v>221</v>
      </c>
      <c r="K36" s="38"/>
      <c r="L36" s="42" t="s">
        <v>221</v>
      </c>
      <c r="M36" s="42" t="s">
        <v>221</v>
      </c>
      <c r="N36" s="42" t="s">
        <v>221</v>
      </c>
      <c r="O36" s="76" t="s">
        <v>221</v>
      </c>
      <c r="P36" s="76" t="s">
        <v>221</v>
      </c>
      <c r="Q36" s="38"/>
      <c r="R36" s="73"/>
      <c r="S36" s="38"/>
      <c r="T36" s="38"/>
      <c r="U36" s="38"/>
      <c r="V36" s="38"/>
      <c r="W36" s="38"/>
      <c r="X36" s="38"/>
      <c r="Y36" s="38"/>
      <c r="Z36" s="38"/>
      <c r="AA36" s="38"/>
      <c r="AB36" s="38"/>
      <c r="AC36" s="38"/>
      <c r="AD36" s="38"/>
      <c r="AE36" s="38"/>
      <c r="AF36" s="38"/>
      <c r="AG36" s="38"/>
      <c r="AH36" s="38"/>
      <c r="AI36" s="38"/>
      <c r="AJ36" s="38"/>
    </row>
    <row r="37" spans="1:36" ht="17.25" x14ac:dyDescent="0.25">
      <c r="A37" s="38"/>
      <c r="B37" s="40" t="s">
        <v>60</v>
      </c>
      <c r="C37" s="38">
        <v>1</v>
      </c>
      <c r="D37" s="41" t="s">
        <v>152</v>
      </c>
      <c r="E37" s="74">
        <v>0</v>
      </c>
      <c r="F37" s="75" t="s">
        <v>221</v>
      </c>
      <c r="G37" s="75">
        <v>0</v>
      </c>
      <c r="H37" s="38"/>
      <c r="I37" s="41" t="s">
        <v>152</v>
      </c>
      <c r="J37" s="74" t="s">
        <v>221</v>
      </c>
      <c r="K37" s="38"/>
      <c r="L37" s="42" t="s">
        <v>221</v>
      </c>
      <c r="M37" s="42" t="s">
        <v>221</v>
      </c>
      <c r="N37" s="42" t="s">
        <v>221</v>
      </c>
      <c r="O37" s="76" t="s">
        <v>221</v>
      </c>
      <c r="P37" s="76" t="s">
        <v>221</v>
      </c>
      <c r="Q37" s="38"/>
      <c r="R37" s="73"/>
      <c r="S37" s="38"/>
      <c r="T37" s="38"/>
      <c r="U37" s="38"/>
      <c r="V37" s="38"/>
      <c r="W37" s="38"/>
      <c r="X37" s="38"/>
      <c r="Y37" s="38"/>
      <c r="Z37" s="38"/>
      <c r="AA37" s="38"/>
      <c r="AB37" s="38"/>
      <c r="AC37" s="38"/>
      <c r="AD37" s="38"/>
      <c r="AE37" s="38"/>
      <c r="AF37" s="38"/>
      <c r="AG37" s="38"/>
      <c r="AH37" s="38"/>
      <c r="AI37" s="38"/>
      <c r="AJ37" s="38"/>
    </row>
    <row r="38" spans="1:36" ht="17.25" x14ac:dyDescent="0.25">
      <c r="A38" s="38"/>
      <c r="B38" s="40" t="s">
        <v>61</v>
      </c>
      <c r="C38" s="38">
        <v>1</v>
      </c>
      <c r="D38" s="41" t="s">
        <v>153</v>
      </c>
      <c r="E38" s="74">
        <v>0.23567725242446963</v>
      </c>
      <c r="F38" s="75">
        <v>0.21702007224836325</v>
      </c>
      <c r="G38" s="75">
        <v>0.30100233912920171</v>
      </c>
      <c r="H38" s="38"/>
      <c r="I38" s="41" t="s">
        <v>153</v>
      </c>
      <c r="J38" s="74" t="s">
        <v>221</v>
      </c>
      <c r="K38" s="38"/>
      <c r="L38" s="42" t="s">
        <v>221</v>
      </c>
      <c r="M38" s="42" t="s">
        <v>221</v>
      </c>
      <c r="N38" s="42" t="s">
        <v>221</v>
      </c>
      <c r="O38" s="76" t="s">
        <v>221</v>
      </c>
      <c r="P38" s="76" t="s">
        <v>221</v>
      </c>
      <c r="Q38" s="38"/>
      <c r="R38" s="73"/>
      <c r="S38" s="38"/>
      <c r="T38" s="38"/>
      <c r="U38" s="38"/>
      <c r="V38" s="38"/>
      <c r="W38" s="38"/>
      <c r="X38" s="38"/>
      <c r="Y38" s="38"/>
      <c r="Z38" s="38"/>
      <c r="AA38" s="38"/>
      <c r="AB38" s="38"/>
      <c r="AC38" s="38"/>
      <c r="AD38" s="38"/>
      <c r="AE38" s="38"/>
      <c r="AF38" s="38"/>
      <c r="AG38" s="38"/>
      <c r="AH38" s="38"/>
      <c r="AI38" s="38"/>
      <c r="AJ38" s="38"/>
    </row>
    <row r="39" spans="1:36" ht="17.25" x14ac:dyDescent="0.25">
      <c r="A39" s="38"/>
      <c r="B39" s="40" t="s">
        <v>62</v>
      </c>
      <c r="C39" s="38">
        <v>0</v>
      </c>
      <c r="D39" s="41" t="s">
        <v>154</v>
      </c>
      <c r="E39" s="74" t="s">
        <v>221</v>
      </c>
      <c r="F39" s="75" t="s">
        <v>221</v>
      </c>
      <c r="G39" s="75">
        <v>0.25476192509991635</v>
      </c>
      <c r="H39" s="38"/>
      <c r="I39" s="41" t="s">
        <v>154</v>
      </c>
      <c r="J39" s="74" t="s">
        <v>221</v>
      </c>
      <c r="K39" s="38"/>
      <c r="L39" s="42" t="s">
        <v>221</v>
      </c>
      <c r="M39" s="42" t="s">
        <v>221</v>
      </c>
      <c r="N39" s="42" t="s">
        <v>221</v>
      </c>
      <c r="O39" s="76" t="s">
        <v>221</v>
      </c>
      <c r="P39" s="76" t="s">
        <v>221</v>
      </c>
      <c r="Q39" s="38"/>
      <c r="R39" s="73"/>
      <c r="S39" s="38"/>
      <c r="T39" s="38"/>
      <c r="U39" s="38"/>
      <c r="V39" s="38"/>
      <c r="W39" s="38"/>
      <c r="X39" s="38"/>
      <c r="Y39" s="38"/>
      <c r="Z39" s="38"/>
      <c r="AA39" s="38"/>
      <c r="AB39" s="38"/>
      <c r="AC39" s="38"/>
      <c r="AD39" s="38"/>
      <c r="AE39" s="38"/>
      <c r="AF39" s="38"/>
      <c r="AG39" s="38"/>
      <c r="AH39" s="38"/>
      <c r="AI39" s="38"/>
      <c r="AJ39" s="38"/>
    </row>
    <row r="40" spans="1:36" ht="17.25" x14ac:dyDescent="0.25">
      <c r="A40" s="38"/>
      <c r="B40" s="40" t="s">
        <v>63</v>
      </c>
      <c r="C40" s="38">
        <v>1</v>
      </c>
      <c r="D40" s="41" t="s">
        <v>155</v>
      </c>
      <c r="E40" s="74">
        <v>0</v>
      </c>
      <c r="F40" s="75">
        <v>0.28317847600204693</v>
      </c>
      <c r="G40" s="75">
        <v>0</v>
      </c>
      <c r="H40" s="38"/>
      <c r="I40" s="41" t="s">
        <v>155</v>
      </c>
      <c r="J40" s="74" t="s">
        <v>221</v>
      </c>
      <c r="K40" s="38"/>
      <c r="L40" s="42" t="s">
        <v>221</v>
      </c>
      <c r="M40" s="42" t="s">
        <v>221</v>
      </c>
      <c r="N40" s="42" t="s">
        <v>221</v>
      </c>
      <c r="O40" s="76" t="s">
        <v>221</v>
      </c>
      <c r="P40" s="76" t="s">
        <v>221</v>
      </c>
      <c r="Q40" s="38"/>
      <c r="R40" s="73"/>
      <c r="S40" s="38"/>
      <c r="T40" s="38"/>
      <c r="U40" s="38"/>
      <c r="V40" s="38"/>
      <c r="W40" s="38"/>
      <c r="X40" s="38"/>
      <c r="Y40" s="38"/>
      <c r="Z40" s="38"/>
      <c r="AA40" s="38"/>
      <c r="AB40" s="38"/>
      <c r="AC40" s="38"/>
      <c r="AD40" s="38"/>
      <c r="AE40" s="38"/>
      <c r="AF40" s="38"/>
      <c r="AG40" s="38"/>
      <c r="AH40" s="38"/>
      <c r="AI40" s="38"/>
      <c r="AJ40" s="38"/>
    </row>
    <row r="41" spans="1:36" ht="17.25" x14ac:dyDescent="0.25">
      <c r="A41" s="38"/>
      <c r="B41" s="40" t="s">
        <v>64</v>
      </c>
      <c r="C41" s="38">
        <v>1</v>
      </c>
      <c r="D41" s="41" t="s">
        <v>156</v>
      </c>
      <c r="E41" s="74">
        <v>0.11729521710848927</v>
      </c>
      <c r="F41" s="75">
        <v>0.24408467944705303</v>
      </c>
      <c r="G41" s="75">
        <v>0.13699725598138673</v>
      </c>
      <c r="H41" s="79"/>
      <c r="I41" s="41" t="s">
        <v>156</v>
      </c>
      <c r="J41" s="74" t="s">
        <v>228</v>
      </c>
      <c r="K41" s="38"/>
      <c r="L41" s="42" t="s">
        <v>228</v>
      </c>
      <c r="M41" s="42">
        <v>4</v>
      </c>
      <c r="N41" s="42">
        <v>1</v>
      </c>
      <c r="O41" s="76">
        <v>0.11729521710848927</v>
      </c>
      <c r="P41" s="76">
        <v>0.11729521710848927</v>
      </c>
      <c r="Q41" s="79"/>
      <c r="R41" s="73"/>
      <c r="S41" s="38"/>
      <c r="T41" s="38"/>
      <c r="U41" s="38"/>
      <c r="V41" s="38"/>
      <c r="W41" s="38"/>
      <c r="X41" s="38"/>
      <c r="Y41" s="38"/>
      <c r="Z41" s="38"/>
      <c r="AA41" s="38"/>
      <c r="AB41" s="38"/>
      <c r="AC41" s="38"/>
      <c r="AD41" s="38"/>
      <c r="AE41" s="38"/>
      <c r="AF41" s="38"/>
      <c r="AG41" s="38"/>
      <c r="AH41" s="38"/>
      <c r="AI41" s="38"/>
      <c r="AJ41" s="38"/>
    </row>
    <row r="42" spans="1:36" ht="17.25" x14ac:dyDescent="0.25">
      <c r="A42" s="38"/>
      <c r="B42" s="40" t="s">
        <v>65</v>
      </c>
      <c r="C42" s="38">
        <v>0</v>
      </c>
      <c r="D42" s="41" t="s">
        <v>157</v>
      </c>
      <c r="E42" s="74" t="s">
        <v>221</v>
      </c>
      <c r="F42" s="75" t="s">
        <v>221</v>
      </c>
      <c r="G42" s="75">
        <v>0.25815420122105798</v>
      </c>
      <c r="H42" s="38"/>
      <c r="I42" s="41" t="s">
        <v>157</v>
      </c>
      <c r="J42" s="74" t="s">
        <v>221</v>
      </c>
      <c r="K42" s="38"/>
      <c r="L42" s="42" t="s">
        <v>221</v>
      </c>
      <c r="M42" s="42" t="s">
        <v>221</v>
      </c>
      <c r="N42" s="42" t="s">
        <v>221</v>
      </c>
      <c r="O42" s="76" t="s">
        <v>221</v>
      </c>
      <c r="P42" s="76" t="s">
        <v>221</v>
      </c>
      <c r="Q42" s="38"/>
      <c r="R42" s="73"/>
      <c r="S42" s="38"/>
      <c r="T42" s="38"/>
      <c r="U42" s="38"/>
      <c r="V42" s="38"/>
      <c r="W42" s="38"/>
      <c r="X42" s="38"/>
      <c r="Y42" s="38"/>
      <c r="Z42" s="38"/>
      <c r="AA42" s="38"/>
      <c r="AB42" s="38"/>
      <c r="AC42" s="38"/>
      <c r="AD42" s="38"/>
      <c r="AE42" s="38"/>
      <c r="AF42" s="38"/>
      <c r="AG42" s="38"/>
      <c r="AH42" s="38"/>
      <c r="AI42" s="38"/>
      <c r="AJ42" s="38"/>
    </row>
    <row r="43" spans="1:36" ht="17.25" x14ac:dyDescent="0.25">
      <c r="A43" s="38"/>
      <c r="B43" s="40" t="s">
        <v>66</v>
      </c>
      <c r="C43" s="38">
        <v>1</v>
      </c>
      <c r="D43" s="41" t="s">
        <v>158</v>
      </c>
      <c r="E43" s="74">
        <v>0.24318540812701792</v>
      </c>
      <c r="F43" s="75">
        <v>0.30678721253060509</v>
      </c>
      <c r="G43" s="75">
        <v>0.2454173821910447</v>
      </c>
      <c r="H43" s="38"/>
      <c r="I43" s="41" t="s">
        <v>158</v>
      </c>
      <c r="J43" s="74" t="s">
        <v>227</v>
      </c>
      <c r="K43" s="38"/>
      <c r="L43" s="42" t="s">
        <v>227</v>
      </c>
      <c r="M43" s="42">
        <v>3</v>
      </c>
      <c r="N43" s="42">
        <v>1</v>
      </c>
      <c r="O43" s="76">
        <v>0.24318540812701792</v>
      </c>
      <c r="P43" s="76">
        <v>0.24318540812701792</v>
      </c>
      <c r="Q43" s="38"/>
      <c r="R43" s="73"/>
      <c r="S43" s="38"/>
      <c r="T43" s="38"/>
      <c r="U43" s="38"/>
      <c r="V43" s="38"/>
      <c r="W43" s="38"/>
      <c r="X43" s="38"/>
      <c r="Y43" s="38"/>
      <c r="Z43" s="38"/>
      <c r="AA43" s="38"/>
      <c r="AB43" s="38"/>
      <c r="AC43" s="38"/>
      <c r="AD43" s="38"/>
      <c r="AE43" s="38"/>
      <c r="AF43" s="38"/>
      <c r="AG43" s="38"/>
      <c r="AH43" s="38"/>
      <c r="AI43" s="38"/>
      <c r="AJ43" s="38"/>
    </row>
    <row r="44" spans="1:36" ht="17.25" x14ac:dyDescent="0.25">
      <c r="A44" s="38"/>
      <c r="B44" s="40" t="s">
        <v>67</v>
      </c>
      <c r="C44" s="38">
        <v>1</v>
      </c>
      <c r="D44" s="41" t="s">
        <v>159</v>
      </c>
      <c r="E44" s="74">
        <v>0.26538022264195849</v>
      </c>
      <c r="F44" s="75" t="s">
        <v>221</v>
      </c>
      <c r="G44" s="75">
        <v>0.35440665007477518</v>
      </c>
      <c r="H44" s="38"/>
      <c r="I44" s="41" t="s">
        <v>159</v>
      </c>
      <c r="J44" s="74" t="s">
        <v>229</v>
      </c>
      <c r="K44" s="38"/>
      <c r="L44" s="42" t="s">
        <v>229</v>
      </c>
      <c r="M44" s="42">
        <v>10</v>
      </c>
      <c r="N44" s="42" t="s">
        <v>221</v>
      </c>
      <c r="O44" s="76">
        <v>0.26538022264195849</v>
      </c>
      <c r="P44" s="76" t="s">
        <v>221</v>
      </c>
      <c r="Q44" s="38"/>
      <c r="R44" s="73"/>
      <c r="S44" s="38"/>
      <c r="T44" s="38"/>
      <c r="U44" s="38"/>
      <c r="V44" s="38"/>
      <c r="W44" s="38"/>
      <c r="X44" s="38"/>
      <c r="Y44" s="38"/>
      <c r="Z44" s="38"/>
      <c r="AA44" s="38"/>
      <c r="AB44" s="38"/>
      <c r="AC44" s="38"/>
      <c r="AD44" s="38"/>
      <c r="AE44" s="38"/>
      <c r="AF44" s="38"/>
      <c r="AG44" s="38"/>
      <c r="AH44" s="38"/>
      <c r="AI44" s="38"/>
      <c r="AJ44" s="38"/>
    </row>
    <row r="45" spans="1:36" ht="17.25" x14ac:dyDescent="0.25">
      <c r="A45" s="38"/>
      <c r="B45" s="40" t="s">
        <v>68</v>
      </c>
      <c r="C45" s="38">
        <v>0</v>
      </c>
      <c r="D45" s="41" t="s">
        <v>160</v>
      </c>
      <c r="E45" s="74" t="s">
        <v>221</v>
      </c>
      <c r="F45" s="75" t="s">
        <v>221</v>
      </c>
      <c r="G45" s="75" t="s">
        <v>221</v>
      </c>
      <c r="H45" s="38"/>
      <c r="I45" s="41" t="s">
        <v>160</v>
      </c>
      <c r="J45" s="74" t="s">
        <v>221</v>
      </c>
      <c r="K45" s="38"/>
      <c r="L45" s="42"/>
      <c r="M45" s="42" t="s">
        <v>221</v>
      </c>
      <c r="N45" s="42" t="s">
        <v>221</v>
      </c>
      <c r="O45" s="76" t="s">
        <v>221</v>
      </c>
      <c r="P45" s="76" t="s">
        <v>221</v>
      </c>
      <c r="Q45" s="38"/>
      <c r="R45" s="73"/>
      <c r="S45" s="38"/>
      <c r="T45" s="38"/>
      <c r="U45" s="38"/>
      <c r="V45" s="38"/>
      <c r="W45" s="38"/>
      <c r="X45" s="38"/>
      <c r="Y45" s="38"/>
      <c r="Z45" s="38"/>
      <c r="AA45" s="38"/>
      <c r="AB45" s="38"/>
      <c r="AC45" s="38"/>
      <c r="AD45" s="38"/>
      <c r="AE45" s="38"/>
      <c r="AF45" s="38"/>
      <c r="AG45" s="38"/>
      <c r="AH45" s="38"/>
      <c r="AI45" s="38"/>
      <c r="AJ45" s="38"/>
    </row>
    <row r="46" spans="1:36" ht="17.25" x14ac:dyDescent="0.25">
      <c r="A46" s="38"/>
      <c r="B46" s="40" t="s">
        <v>69</v>
      </c>
      <c r="C46" s="38">
        <v>1</v>
      </c>
      <c r="D46" s="41" t="s">
        <v>161</v>
      </c>
      <c r="E46" s="74">
        <v>0.51162057597495025</v>
      </c>
      <c r="F46" s="75">
        <v>0.4491716020351767</v>
      </c>
      <c r="G46" s="75">
        <v>0.53723653602986676</v>
      </c>
      <c r="H46" s="38"/>
      <c r="I46" s="41" t="s">
        <v>161</v>
      </c>
      <c r="J46" s="74" t="s">
        <v>219</v>
      </c>
      <c r="K46" s="38"/>
      <c r="L46" s="42" t="s">
        <v>219</v>
      </c>
      <c r="M46" s="42">
        <v>6</v>
      </c>
      <c r="N46" s="42">
        <v>1</v>
      </c>
      <c r="O46" s="76">
        <v>0.51162057597495025</v>
      </c>
      <c r="P46" s="76">
        <v>0.51162057597495025</v>
      </c>
      <c r="Q46" s="38"/>
      <c r="R46" s="73"/>
      <c r="S46" s="38"/>
      <c r="T46" s="38"/>
      <c r="U46" s="38"/>
      <c r="V46" s="38"/>
      <c r="W46" s="38"/>
      <c r="X46" s="38"/>
      <c r="Y46" s="38"/>
      <c r="Z46" s="38"/>
      <c r="AA46" s="38"/>
      <c r="AB46" s="38"/>
      <c r="AC46" s="38"/>
      <c r="AD46" s="38"/>
      <c r="AE46" s="38"/>
      <c r="AF46" s="38"/>
      <c r="AG46" s="38"/>
      <c r="AH46" s="38"/>
      <c r="AI46" s="38"/>
      <c r="AJ46" s="38"/>
    </row>
    <row r="47" spans="1:36" ht="17.25" x14ac:dyDescent="0.25">
      <c r="A47" s="38"/>
      <c r="B47" s="40" t="s">
        <v>70</v>
      </c>
      <c r="C47" s="38">
        <v>1</v>
      </c>
      <c r="D47" s="41" t="s">
        <v>162</v>
      </c>
      <c r="E47" s="74">
        <v>0.19474247909778195</v>
      </c>
      <c r="F47" s="75">
        <v>0.13602275563352967</v>
      </c>
      <c r="G47" s="75">
        <v>0.19587484797756216</v>
      </c>
      <c r="H47" s="38"/>
      <c r="I47" s="41" t="s">
        <v>162</v>
      </c>
      <c r="J47" s="74" t="s">
        <v>219</v>
      </c>
      <c r="K47" s="38"/>
      <c r="L47" s="42" t="s">
        <v>219</v>
      </c>
      <c r="M47" s="42">
        <v>6</v>
      </c>
      <c r="N47" s="42">
        <v>1</v>
      </c>
      <c r="O47" s="76">
        <v>0.19474247909778195</v>
      </c>
      <c r="P47" s="76">
        <v>0.19474247909778195</v>
      </c>
      <c r="Q47" s="38"/>
      <c r="R47" s="73"/>
      <c r="S47" s="38"/>
      <c r="T47" s="38"/>
      <c r="U47" s="38"/>
      <c r="V47" s="38"/>
      <c r="W47" s="38"/>
      <c r="X47" s="38"/>
      <c r="Y47" s="38"/>
      <c r="Z47" s="38"/>
      <c r="AA47" s="38"/>
      <c r="AB47" s="38"/>
      <c r="AC47" s="38"/>
      <c r="AD47" s="38"/>
      <c r="AE47" s="38"/>
      <c r="AF47" s="38"/>
      <c r="AG47" s="38"/>
      <c r="AH47" s="38"/>
      <c r="AI47" s="38"/>
      <c r="AJ47" s="38"/>
    </row>
    <row r="48" spans="1:36" ht="17.25" x14ac:dyDescent="0.25">
      <c r="A48" s="38"/>
      <c r="B48" s="40" t="s">
        <v>71</v>
      </c>
      <c r="C48" s="38">
        <v>1</v>
      </c>
      <c r="D48" s="41" t="s">
        <v>163</v>
      </c>
      <c r="E48" s="74">
        <v>0.63729269242330866</v>
      </c>
      <c r="F48" s="75">
        <v>0.67464796150603012</v>
      </c>
      <c r="G48" s="75">
        <v>0.65535086232735174</v>
      </c>
      <c r="H48" s="38"/>
      <c r="I48" s="41" t="s">
        <v>163</v>
      </c>
      <c r="J48" s="74" t="s">
        <v>226</v>
      </c>
      <c r="K48" s="38"/>
      <c r="L48" s="42" t="s">
        <v>226</v>
      </c>
      <c r="M48" s="42">
        <v>8</v>
      </c>
      <c r="N48" s="42" t="s">
        <v>221</v>
      </c>
      <c r="O48" s="76">
        <v>0.63729269242330866</v>
      </c>
      <c r="P48" s="76" t="s">
        <v>221</v>
      </c>
      <c r="Q48" s="38"/>
      <c r="R48" s="73"/>
      <c r="S48" s="38"/>
      <c r="T48" s="38"/>
      <c r="U48" s="38"/>
      <c r="V48" s="38"/>
      <c r="W48" s="38"/>
      <c r="X48" s="38"/>
      <c r="Y48" s="38"/>
      <c r="Z48" s="38"/>
      <c r="AA48" s="38"/>
      <c r="AB48" s="38"/>
      <c r="AC48" s="38"/>
      <c r="AD48" s="38"/>
      <c r="AE48" s="38"/>
      <c r="AF48" s="38"/>
      <c r="AG48" s="38"/>
      <c r="AH48" s="38"/>
      <c r="AI48" s="38"/>
      <c r="AJ48" s="38"/>
    </row>
    <row r="49" spans="1:36" ht="17.25" x14ac:dyDescent="0.25">
      <c r="A49" s="38"/>
      <c r="B49" s="40" t="s">
        <v>72</v>
      </c>
      <c r="C49" s="38">
        <v>0</v>
      </c>
      <c r="D49" s="41" t="s">
        <v>164</v>
      </c>
      <c r="E49" s="74" t="s">
        <v>221</v>
      </c>
      <c r="F49" s="75" t="s">
        <v>221</v>
      </c>
      <c r="G49" s="75" t="s">
        <v>221</v>
      </c>
      <c r="H49" s="38"/>
      <c r="I49" s="41" t="s">
        <v>164</v>
      </c>
      <c r="J49" s="74" t="s">
        <v>221</v>
      </c>
      <c r="K49" s="38"/>
      <c r="L49" s="42" t="s">
        <v>221</v>
      </c>
      <c r="M49" s="42" t="s">
        <v>221</v>
      </c>
      <c r="N49" s="42" t="s">
        <v>221</v>
      </c>
      <c r="O49" s="76" t="s">
        <v>221</v>
      </c>
      <c r="P49" s="76" t="s">
        <v>221</v>
      </c>
      <c r="Q49" s="38"/>
      <c r="R49" s="73"/>
      <c r="S49" s="38"/>
      <c r="T49" s="38"/>
      <c r="U49" s="38"/>
      <c r="V49" s="38"/>
      <c r="W49" s="38"/>
      <c r="X49" s="38"/>
      <c r="Y49" s="38"/>
      <c r="Z49" s="38"/>
      <c r="AA49" s="38"/>
      <c r="AB49" s="38"/>
      <c r="AC49" s="38"/>
      <c r="AD49" s="38"/>
      <c r="AE49" s="38"/>
      <c r="AF49" s="38"/>
      <c r="AG49" s="38"/>
      <c r="AH49" s="38"/>
      <c r="AI49" s="38"/>
      <c r="AJ49" s="38"/>
    </row>
    <row r="50" spans="1:36" ht="17.25" x14ac:dyDescent="0.25">
      <c r="A50" s="38"/>
      <c r="B50" s="40" t="s">
        <v>73</v>
      </c>
      <c r="C50" s="38">
        <v>1</v>
      </c>
      <c r="D50" s="41" t="s">
        <v>165</v>
      </c>
      <c r="E50" s="74">
        <v>0.40555906252425111</v>
      </c>
      <c r="F50" s="75">
        <v>0.46987902682246718</v>
      </c>
      <c r="G50" s="75">
        <v>0.34880253425221658</v>
      </c>
      <c r="H50" s="38"/>
      <c r="I50" s="41" t="s">
        <v>165</v>
      </c>
      <c r="J50" s="74" t="s">
        <v>225</v>
      </c>
      <c r="K50" s="38"/>
      <c r="L50" s="42" t="s">
        <v>225</v>
      </c>
      <c r="M50" s="42">
        <v>5</v>
      </c>
      <c r="N50" s="42">
        <v>1</v>
      </c>
      <c r="O50" s="76">
        <v>0.40555906252425111</v>
      </c>
      <c r="P50" s="76">
        <v>0.40555906252425111</v>
      </c>
      <c r="Q50" s="38"/>
      <c r="R50" s="73"/>
      <c r="S50" s="38"/>
      <c r="T50" s="38"/>
      <c r="U50" s="38"/>
      <c r="V50" s="38"/>
      <c r="W50" s="38"/>
      <c r="X50" s="38"/>
      <c r="Y50" s="38"/>
      <c r="Z50" s="38"/>
      <c r="AA50" s="38"/>
      <c r="AB50" s="38"/>
      <c r="AC50" s="38"/>
      <c r="AD50" s="38"/>
      <c r="AE50" s="38"/>
      <c r="AF50" s="38"/>
      <c r="AG50" s="38"/>
      <c r="AH50" s="38"/>
      <c r="AI50" s="38"/>
      <c r="AJ50" s="38"/>
    </row>
    <row r="51" spans="1:36" ht="17.25" x14ac:dyDescent="0.25">
      <c r="A51" s="38"/>
      <c r="B51" s="40" t="s">
        <v>74</v>
      </c>
      <c r="C51" s="38">
        <v>1</v>
      </c>
      <c r="D51" s="41" t="s">
        <v>166</v>
      </c>
      <c r="E51" s="74">
        <v>0.3145687375349015</v>
      </c>
      <c r="F51" s="75">
        <v>0.20656263956769583</v>
      </c>
      <c r="G51" s="75">
        <v>0.33290231069908899</v>
      </c>
      <c r="H51" s="38"/>
      <c r="I51" s="41" t="s">
        <v>166</v>
      </c>
      <c r="J51" s="74" t="s">
        <v>222</v>
      </c>
      <c r="K51" s="38"/>
      <c r="L51" s="42" t="s">
        <v>222</v>
      </c>
      <c r="M51" s="42">
        <v>9</v>
      </c>
      <c r="N51" s="42" t="s">
        <v>221</v>
      </c>
      <c r="O51" s="76">
        <v>0.3145687375349015</v>
      </c>
      <c r="P51" s="76" t="s">
        <v>221</v>
      </c>
      <c r="Q51" s="38"/>
      <c r="R51" s="73"/>
      <c r="S51" s="38"/>
      <c r="T51" s="38"/>
      <c r="U51" s="38"/>
      <c r="V51" s="38"/>
      <c r="W51" s="38"/>
      <c r="X51" s="38"/>
      <c r="Y51" s="38"/>
      <c r="Z51" s="38"/>
      <c r="AA51" s="38"/>
      <c r="AB51" s="38"/>
      <c r="AC51" s="38"/>
      <c r="AD51" s="38"/>
      <c r="AE51" s="38"/>
      <c r="AF51" s="38"/>
      <c r="AG51" s="38"/>
      <c r="AH51" s="38"/>
      <c r="AI51" s="38"/>
      <c r="AJ51" s="38"/>
    </row>
    <row r="52" spans="1:36" ht="17.25" x14ac:dyDescent="0.25">
      <c r="A52" s="38"/>
      <c r="B52" s="40" t="s">
        <v>75</v>
      </c>
      <c r="C52" s="38">
        <v>1</v>
      </c>
      <c r="D52" s="41" t="s">
        <v>167</v>
      </c>
      <c r="E52" s="74">
        <v>0.27931907436382536</v>
      </c>
      <c r="F52" s="75">
        <v>0.21998399267381186</v>
      </c>
      <c r="G52" s="75">
        <v>0.28787413286347097</v>
      </c>
      <c r="H52" s="38"/>
      <c r="I52" s="41" t="s">
        <v>167</v>
      </c>
      <c r="J52" s="74" t="s">
        <v>225</v>
      </c>
      <c r="K52" s="38"/>
      <c r="L52" s="42" t="s">
        <v>225</v>
      </c>
      <c r="M52" s="42">
        <v>5</v>
      </c>
      <c r="N52" s="42">
        <v>1</v>
      </c>
      <c r="O52" s="76">
        <v>0.27931907436382536</v>
      </c>
      <c r="P52" s="76">
        <v>0.27931907436382536</v>
      </c>
      <c r="Q52" s="38"/>
      <c r="R52" s="73"/>
      <c r="S52" s="38"/>
      <c r="T52" s="38"/>
      <c r="U52" s="38"/>
      <c r="V52" s="38"/>
      <c r="W52" s="38"/>
      <c r="X52" s="38"/>
      <c r="Y52" s="38"/>
      <c r="Z52" s="38"/>
      <c r="AA52" s="38"/>
      <c r="AB52" s="38"/>
      <c r="AC52" s="38"/>
      <c r="AD52" s="38"/>
      <c r="AE52" s="38"/>
      <c r="AF52" s="38"/>
      <c r="AG52" s="38"/>
      <c r="AH52" s="38"/>
      <c r="AI52" s="38"/>
      <c r="AJ52" s="38"/>
    </row>
    <row r="53" spans="1:36" ht="17.25" x14ac:dyDescent="0.25">
      <c r="A53" s="38"/>
      <c r="B53" s="40" t="s">
        <v>76</v>
      </c>
      <c r="C53" s="38">
        <v>1</v>
      </c>
      <c r="D53" s="41" t="s">
        <v>168</v>
      </c>
      <c r="E53" s="74">
        <v>0.18595297646298434</v>
      </c>
      <c r="F53" s="75">
        <v>0.15236375156329018</v>
      </c>
      <c r="G53" s="75">
        <v>0.16673833515045283</v>
      </c>
      <c r="H53" s="38"/>
      <c r="I53" s="41" t="s">
        <v>168</v>
      </c>
      <c r="J53" s="74" t="s">
        <v>241</v>
      </c>
      <c r="K53" s="38"/>
      <c r="L53" s="42" t="s">
        <v>227</v>
      </c>
      <c r="M53" s="42">
        <v>3</v>
      </c>
      <c r="N53" s="42">
        <v>1</v>
      </c>
      <c r="O53" s="76">
        <v>0.18595297646298434</v>
      </c>
      <c r="P53" s="76">
        <v>0.18595297646298434</v>
      </c>
      <c r="Q53" s="38"/>
      <c r="R53" s="73"/>
      <c r="S53" s="38"/>
      <c r="T53" s="38"/>
      <c r="U53" s="38"/>
      <c r="V53" s="38"/>
      <c r="W53" s="38"/>
      <c r="X53" s="38"/>
      <c r="Y53" s="38"/>
      <c r="Z53" s="38"/>
      <c r="AA53" s="38"/>
      <c r="AB53" s="38"/>
      <c r="AC53" s="38"/>
      <c r="AD53" s="38"/>
      <c r="AE53" s="38"/>
      <c r="AF53" s="38"/>
      <c r="AG53" s="38"/>
      <c r="AH53" s="38"/>
      <c r="AI53" s="38"/>
      <c r="AJ53" s="38"/>
    </row>
    <row r="54" spans="1:36" ht="17.25" x14ac:dyDescent="0.25">
      <c r="A54" s="38"/>
      <c r="B54" s="40" t="s">
        <v>77</v>
      </c>
      <c r="C54" s="38">
        <v>1</v>
      </c>
      <c r="D54" s="41" t="s">
        <v>169</v>
      </c>
      <c r="E54" s="74">
        <v>0.21746677549222904</v>
      </c>
      <c r="F54" s="75">
        <v>0.23133955557145414</v>
      </c>
      <c r="G54" s="75">
        <v>0.29095828636396276</v>
      </c>
      <c r="H54" s="38"/>
      <c r="I54" s="41" t="s">
        <v>169</v>
      </c>
      <c r="J54" s="74" t="s">
        <v>228</v>
      </c>
      <c r="K54" s="38"/>
      <c r="L54" s="42" t="s">
        <v>228</v>
      </c>
      <c r="M54" s="42">
        <v>4</v>
      </c>
      <c r="N54" s="42">
        <v>1</v>
      </c>
      <c r="O54" s="76">
        <v>0.21746677549222904</v>
      </c>
      <c r="P54" s="76">
        <v>0.21746677549222904</v>
      </c>
      <c r="Q54" s="38"/>
      <c r="R54" s="73"/>
      <c r="S54" s="38"/>
      <c r="T54" s="38"/>
      <c r="U54" s="38"/>
      <c r="V54" s="38"/>
      <c r="W54" s="38"/>
      <c r="X54" s="38"/>
      <c r="Y54" s="38"/>
      <c r="Z54" s="38"/>
      <c r="AA54" s="38"/>
      <c r="AB54" s="38"/>
      <c r="AC54" s="38"/>
      <c r="AD54" s="38"/>
      <c r="AE54" s="38"/>
      <c r="AF54" s="38"/>
      <c r="AG54" s="38"/>
      <c r="AH54" s="38"/>
      <c r="AI54" s="38"/>
      <c r="AJ54" s="38"/>
    </row>
    <row r="55" spans="1:36" ht="17.25" x14ac:dyDescent="0.25">
      <c r="A55" s="38"/>
      <c r="B55" s="40" t="s">
        <v>78</v>
      </c>
      <c r="C55" s="38">
        <v>1</v>
      </c>
      <c r="D55" s="41" t="s">
        <v>170</v>
      </c>
      <c r="E55" s="74">
        <v>0.38775930737360997</v>
      </c>
      <c r="F55" s="75">
        <v>0.43657222870072293</v>
      </c>
      <c r="G55" s="75">
        <v>0.35400562389402596</v>
      </c>
      <c r="H55" s="38"/>
      <c r="I55" s="41" t="s">
        <v>170</v>
      </c>
      <c r="J55" s="74" t="s">
        <v>242</v>
      </c>
      <c r="K55" s="38"/>
      <c r="L55" s="42" t="s">
        <v>226</v>
      </c>
      <c r="M55" s="42">
        <v>8</v>
      </c>
      <c r="N55" s="42" t="s">
        <v>221</v>
      </c>
      <c r="O55" s="76">
        <v>0.38775930737360997</v>
      </c>
      <c r="P55" s="76" t="s">
        <v>221</v>
      </c>
      <c r="Q55" s="38"/>
      <c r="R55" s="73"/>
      <c r="S55" s="38"/>
      <c r="T55" s="38"/>
      <c r="U55" s="38"/>
      <c r="V55" s="38"/>
      <c r="W55" s="38"/>
      <c r="X55" s="38"/>
      <c r="Y55" s="38"/>
      <c r="Z55" s="38"/>
      <c r="AA55" s="38"/>
      <c r="AB55" s="38"/>
      <c r="AC55" s="38"/>
      <c r="AD55" s="38"/>
      <c r="AE55" s="38"/>
      <c r="AF55" s="38"/>
      <c r="AG55" s="38"/>
      <c r="AH55" s="38"/>
      <c r="AI55" s="38"/>
      <c r="AJ55" s="38"/>
    </row>
    <row r="56" spans="1:36" ht="17.25" x14ac:dyDescent="0.25">
      <c r="A56" s="38"/>
      <c r="B56" s="40" t="s">
        <v>79</v>
      </c>
      <c r="C56" s="38">
        <v>1</v>
      </c>
      <c r="D56" s="41" t="s">
        <v>171</v>
      </c>
      <c r="E56" s="74">
        <v>0.10579175227829274</v>
      </c>
      <c r="F56" s="75">
        <v>0.10239611374829191</v>
      </c>
      <c r="G56" s="75">
        <v>0.17392335921414401</v>
      </c>
      <c r="H56" s="38"/>
      <c r="I56" s="41" t="s">
        <v>171</v>
      </c>
      <c r="J56" s="74" t="s">
        <v>221</v>
      </c>
      <c r="K56" s="38"/>
      <c r="L56" s="42" t="s">
        <v>221</v>
      </c>
      <c r="M56" s="42" t="s">
        <v>221</v>
      </c>
      <c r="N56" s="42" t="s">
        <v>221</v>
      </c>
      <c r="O56" s="76" t="s">
        <v>221</v>
      </c>
      <c r="P56" s="76" t="s">
        <v>221</v>
      </c>
      <c r="Q56" s="38"/>
      <c r="R56" s="73"/>
      <c r="S56" s="38"/>
      <c r="T56" s="38"/>
      <c r="U56" s="38"/>
      <c r="V56" s="38"/>
      <c r="W56" s="38"/>
      <c r="X56" s="38"/>
      <c r="Y56" s="38"/>
      <c r="Z56" s="38"/>
      <c r="AA56" s="38"/>
      <c r="AB56" s="38"/>
      <c r="AC56" s="38"/>
      <c r="AD56" s="38"/>
      <c r="AE56" s="38"/>
      <c r="AF56" s="38"/>
      <c r="AG56" s="38"/>
      <c r="AH56" s="38"/>
      <c r="AI56" s="38"/>
      <c r="AJ56" s="38"/>
    </row>
    <row r="57" spans="1:36" ht="17.25" x14ac:dyDescent="0.25">
      <c r="A57" s="38"/>
      <c r="B57" s="40" t="s">
        <v>80</v>
      </c>
      <c r="C57" s="38">
        <v>0</v>
      </c>
      <c r="D57" s="41" t="s">
        <v>172</v>
      </c>
      <c r="E57" s="74" t="s">
        <v>221</v>
      </c>
      <c r="F57" s="75" t="s">
        <v>221</v>
      </c>
      <c r="G57" s="75" t="s">
        <v>221</v>
      </c>
      <c r="H57" s="38"/>
      <c r="I57" s="41" t="s">
        <v>172</v>
      </c>
      <c r="J57" s="74" t="s">
        <v>221</v>
      </c>
      <c r="K57" s="38"/>
      <c r="L57" s="42" t="s">
        <v>221</v>
      </c>
      <c r="M57" s="42" t="s">
        <v>221</v>
      </c>
      <c r="N57" s="42" t="s">
        <v>221</v>
      </c>
      <c r="O57" s="76" t="s">
        <v>221</v>
      </c>
      <c r="P57" s="76" t="s">
        <v>221</v>
      </c>
      <c r="Q57" s="38"/>
      <c r="R57" s="73"/>
      <c r="S57" s="38"/>
      <c r="T57" s="38"/>
      <c r="U57" s="38"/>
      <c r="V57" s="38"/>
      <c r="W57" s="38"/>
      <c r="X57" s="38"/>
      <c r="Y57" s="38"/>
      <c r="Z57" s="38"/>
      <c r="AA57" s="38"/>
      <c r="AB57" s="38"/>
      <c r="AC57" s="38"/>
      <c r="AD57" s="38"/>
      <c r="AE57" s="38"/>
      <c r="AF57" s="38"/>
      <c r="AG57" s="38"/>
      <c r="AH57" s="38"/>
      <c r="AI57" s="38"/>
      <c r="AJ57" s="38"/>
    </row>
    <row r="58" spans="1:36" ht="17.25" x14ac:dyDescent="0.25">
      <c r="A58" s="38"/>
      <c r="B58" s="40" t="s">
        <v>81</v>
      </c>
      <c r="C58" s="38">
        <v>1</v>
      </c>
      <c r="D58" s="41" t="s">
        <v>173</v>
      </c>
      <c r="E58" s="74">
        <v>0.21047679559542776</v>
      </c>
      <c r="F58" s="75">
        <v>0.11518329121094152</v>
      </c>
      <c r="G58" s="75">
        <v>0.23953829630453999</v>
      </c>
      <c r="H58" s="38"/>
      <c r="I58" s="41" t="s">
        <v>173</v>
      </c>
      <c r="J58" s="74" t="s">
        <v>222</v>
      </c>
      <c r="K58" s="38"/>
      <c r="L58" s="42" t="s">
        <v>222</v>
      </c>
      <c r="M58" s="42">
        <v>9</v>
      </c>
      <c r="N58" s="42" t="s">
        <v>221</v>
      </c>
      <c r="O58" s="76">
        <v>0.21047679559542776</v>
      </c>
      <c r="P58" s="76" t="s">
        <v>221</v>
      </c>
      <c r="Q58" s="38"/>
      <c r="R58" s="73"/>
      <c r="S58" s="38"/>
      <c r="T58" s="38"/>
      <c r="U58" s="38"/>
      <c r="V58" s="38"/>
      <c r="W58" s="38"/>
      <c r="X58" s="38"/>
      <c r="Y58" s="38"/>
      <c r="Z58" s="38"/>
      <c r="AA58" s="38"/>
      <c r="AB58" s="38"/>
      <c r="AC58" s="38"/>
      <c r="AD58" s="38"/>
      <c r="AE58" s="38"/>
      <c r="AF58" s="38"/>
      <c r="AG58" s="38"/>
      <c r="AH58" s="38"/>
      <c r="AI58" s="38"/>
      <c r="AJ58" s="38"/>
    </row>
    <row r="59" spans="1:36" ht="17.25" x14ac:dyDescent="0.25">
      <c r="A59" s="38"/>
      <c r="B59" s="40" t="s">
        <v>82</v>
      </c>
      <c r="C59" s="38">
        <v>1</v>
      </c>
      <c r="D59" s="41" t="s">
        <v>174</v>
      </c>
      <c r="E59" s="74">
        <v>0.3427260436326684</v>
      </c>
      <c r="F59" s="75">
        <v>0.31744072286618513</v>
      </c>
      <c r="G59" s="75">
        <v>0.35262362707989048</v>
      </c>
      <c r="H59" s="38"/>
      <c r="I59" s="41" t="s">
        <v>174</v>
      </c>
      <c r="J59" s="74" t="s">
        <v>225</v>
      </c>
      <c r="K59" s="38"/>
      <c r="L59" s="42" t="s">
        <v>225</v>
      </c>
      <c r="M59" s="42">
        <v>5</v>
      </c>
      <c r="N59" s="42">
        <v>1</v>
      </c>
      <c r="O59" s="76">
        <v>0.3427260436326684</v>
      </c>
      <c r="P59" s="76">
        <v>0.3427260436326684</v>
      </c>
      <c r="Q59" s="38"/>
      <c r="R59" s="73"/>
      <c r="S59" s="38"/>
      <c r="T59" s="38"/>
      <c r="U59" s="38"/>
      <c r="V59" s="38"/>
      <c r="W59" s="38"/>
      <c r="X59" s="38"/>
      <c r="Y59" s="38"/>
      <c r="Z59" s="38"/>
      <c r="AA59" s="38"/>
      <c r="AB59" s="38"/>
      <c r="AC59" s="38"/>
      <c r="AD59" s="38"/>
      <c r="AE59" s="38"/>
      <c r="AF59" s="38"/>
      <c r="AG59" s="38"/>
      <c r="AH59" s="38"/>
      <c r="AI59" s="38"/>
      <c r="AJ59" s="38"/>
    </row>
    <row r="60" spans="1:36" ht="17.25" x14ac:dyDescent="0.25">
      <c r="A60" s="38"/>
      <c r="B60" s="40" t="s">
        <v>83</v>
      </c>
      <c r="C60" s="38">
        <v>1</v>
      </c>
      <c r="D60" s="41" t="s">
        <v>175</v>
      </c>
      <c r="E60" s="74">
        <v>0.20296603039059999</v>
      </c>
      <c r="F60" s="75" t="s">
        <v>221</v>
      </c>
      <c r="G60" s="75">
        <v>0.36052518456770655</v>
      </c>
      <c r="H60" s="38"/>
      <c r="I60" s="41" t="s">
        <v>175</v>
      </c>
      <c r="J60" s="74" t="s">
        <v>221</v>
      </c>
      <c r="K60" s="38"/>
      <c r="L60" s="42" t="s">
        <v>221</v>
      </c>
      <c r="M60" s="42" t="s">
        <v>221</v>
      </c>
      <c r="N60" s="42" t="s">
        <v>221</v>
      </c>
      <c r="O60" s="76" t="s">
        <v>221</v>
      </c>
      <c r="P60" s="76" t="s">
        <v>221</v>
      </c>
      <c r="Q60" s="38"/>
      <c r="R60" s="73"/>
      <c r="S60" s="38"/>
      <c r="T60" s="38"/>
      <c r="U60" s="38"/>
      <c r="V60" s="38"/>
      <c r="W60" s="38"/>
      <c r="X60" s="38"/>
      <c r="Y60" s="38"/>
      <c r="Z60" s="38"/>
      <c r="AA60" s="38"/>
      <c r="AB60" s="38"/>
      <c r="AC60" s="38"/>
      <c r="AD60" s="38"/>
      <c r="AE60" s="38"/>
      <c r="AF60" s="38"/>
      <c r="AG60" s="38"/>
      <c r="AH60" s="38"/>
      <c r="AI60" s="38"/>
      <c r="AJ60" s="38"/>
    </row>
    <row r="61" spans="1:36" ht="17.25" x14ac:dyDescent="0.25">
      <c r="A61" s="38"/>
      <c r="B61" s="40" t="s">
        <v>84</v>
      </c>
      <c r="C61" s="38">
        <v>1</v>
      </c>
      <c r="D61" s="41" t="s">
        <v>176</v>
      </c>
      <c r="E61" s="74">
        <v>0.35486462704385763</v>
      </c>
      <c r="F61" s="75">
        <v>0.29754346838694168</v>
      </c>
      <c r="G61" s="75">
        <v>0.36182957905006868</v>
      </c>
      <c r="H61" s="38"/>
      <c r="I61" s="41" t="s">
        <v>176</v>
      </c>
      <c r="J61" s="74" t="s">
        <v>219</v>
      </c>
      <c r="K61" s="38"/>
      <c r="L61" s="42" t="s">
        <v>219</v>
      </c>
      <c r="M61" s="42">
        <v>6</v>
      </c>
      <c r="N61" s="42">
        <v>1</v>
      </c>
      <c r="O61" s="76">
        <v>0.35486462704385763</v>
      </c>
      <c r="P61" s="76">
        <v>0.35486462704385763</v>
      </c>
      <c r="Q61" s="38"/>
      <c r="R61" s="73"/>
      <c r="S61" s="38"/>
      <c r="T61" s="38"/>
      <c r="U61" s="38"/>
      <c r="V61" s="38"/>
      <c r="W61" s="38"/>
      <c r="X61" s="38"/>
      <c r="Y61" s="38"/>
      <c r="Z61" s="38"/>
      <c r="AA61" s="38"/>
      <c r="AB61" s="38"/>
      <c r="AC61" s="38"/>
      <c r="AD61" s="38"/>
      <c r="AE61" s="38"/>
      <c r="AF61" s="38"/>
      <c r="AG61" s="38"/>
      <c r="AH61" s="38"/>
      <c r="AI61" s="38"/>
      <c r="AJ61" s="38"/>
    </row>
    <row r="62" spans="1:36" ht="17.25" x14ac:dyDescent="0.25">
      <c r="A62" s="38"/>
      <c r="B62" s="40" t="s">
        <v>85</v>
      </c>
      <c r="C62" s="38">
        <v>0</v>
      </c>
      <c r="D62" s="41" t="s">
        <v>177</v>
      </c>
      <c r="E62" s="74" t="s">
        <v>221</v>
      </c>
      <c r="F62" s="75" t="s">
        <v>221</v>
      </c>
      <c r="G62" s="75">
        <v>0.40284325948832023</v>
      </c>
      <c r="H62" s="38"/>
      <c r="I62" s="41" t="s">
        <v>177</v>
      </c>
      <c r="J62" s="74" t="s">
        <v>221</v>
      </c>
      <c r="K62" s="38"/>
      <c r="L62" s="42" t="s">
        <v>221</v>
      </c>
      <c r="M62" s="42" t="s">
        <v>221</v>
      </c>
      <c r="N62" s="42" t="s">
        <v>221</v>
      </c>
      <c r="O62" s="76" t="s">
        <v>221</v>
      </c>
      <c r="P62" s="76" t="s">
        <v>221</v>
      </c>
      <c r="Q62" s="38"/>
      <c r="R62" s="73" t="s">
        <v>221</v>
      </c>
      <c r="S62" s="38"/>
      <c r="T62" s="38"/>
      <c r="U62" s="38"/>
      <c r="V62" s="38"/>
      <c r="W62" s="38"/>
      <c r="X62" s="38"/>
      <c r="Y62" s="38"/>
      <c r="Z62" s="38"/>
      <c r="AA62" s="38"/>
      <c r="AB62" s="38"/>
      <c r="AC62" s="38"/>
      <c r="AD62" s="38"/>
      <c r="AE62" s="38"/>
      <c r="AF62" s="38"/>
      <c r="AG62" s="38"/>
      <c r="AH62" s="38"/>
      <c r="AI62" s="38"/>
      <c r="AJ62" s="38"/>
    </row>
    <row r="63" spans="1:36" ht="17.25" x14ac:dyDescent="0.25">
      <c r="A63" s="38"/>
      <c r="B63" s="40" t="s">
        <v>86</v>
      </c>
      <c r="C63" s="38">
        <v>1</v>
      </c>
      <c r="D63" s="41" t="s">
        <v>178</v>
      </c>
      <c r="E63" s="74">
        <v>0.20546763270578675</v>
      </c>
      <c r="F63" s="75" t="s">
        <v>221</v>
      </c>
      <c r="G63" s="75">
        <v>0.20689949200525842</v>
      </c>
      <c r="H63" s="38"/>
      <c r="I63" s="41" t="s">
        <v>178</v>
      </c>
      <c r="J63" s="74" t="s">
        <v>228</v>
      </c>
      <c r="K63" s="38"/>
      <c r="L63" s="42" t="s">
        <v>228</v>
      </c>
      <c r="M63" s="42">
        <v>4</v>
      </c>
      <c r="N63" s="42">
        <v>1</v>
      </c>
      <c r="O63" s="76">
        <v>0.20546763270578675</v>
      </c>
      <c r="P63" s="76">
        <v>0.20546763270578675</v>
      </c>
      <c r="Q63" s="38"/>
      <c r="R63" s="73"/>
      <c r="S63" s="38"/>
      <c r="T63" s="38"/>
      <c r="U63" s="38"/>
      <c r="V63" s="38"/>
      <c r="W63" s="38"/>
      <c r="X63" s="38"/>
      <c r="Y63" s="38"/>
      <c r="Z63" s="38"/>
      <c r="AA63" s="38"/>
      <c r="AB63" s="38"/>
      <c r="AC63" s="38"/>
      <c r="AD63" s="38"/>
      <c r="AE63" s="38"/>
      <c r="AF63" s="38"/>
      <c r="AG63" s="38"/>
      <c r="AH63" s="38"/>
      <c r="AI63" s="38"/>
      <c r="AJ63" s="38"/>
    </row>
    <row r="64" spans="1:36" x14ac:dyDescent="0.2">
      <c r="R64" s="38"/>
      <c r="S64" s="38"/>
      <c r="T64" s="38"/>
      <c r="U64" s="38"/>
      <c r="V64" s="38"/>
      <c r="W64" s="38"/>
      <c r="X64" s="38"/>
      <c r="Y64" s="38"/>
      <c r="Z64" s="38"/>
      <c r="AA64" s="38"/>
      <c r="AB64" s="38"/>
      <c r="AC64" s="38"/>
      <c r="AD64" s="38"/>
      <c r="AE64" s="38"/>
      <c r="AF64" s="38"/>
      <c r="AG64" s="38"/>
      <c r="AH64" s="38"/>
      <c r="AI64" s="38"/>
      <c r="AJ64" s="38"/>
    </row>
    <row r="65" spans="1:36" ht="17.25" x14ac:dyDescent="0.25">
      <c r="A65" s="38"/>
      <c r="B65" s="40" t="s">
        <v>88</v>
      </c>
      <c r="C65" s="38">
        <v>1</v>
      </c>
      <c r="D65" s="41" t="s">
        <v>180</v>
      </c>
      <c r="E65" s="74">
        <v>0.411164237708674</v>
      </c>
      <c r="F65" s="75" t="s">
        <v>221</v>
      </c>
      <c r="G65" s="75">
        <v>0.31776396412498426</v>
      </c>
      <c r="H65" s="38"/>
      <c r="I65" s="41" t="s">
        <v>180</v>
      </c>
      <c r="J65" s="74" t="s">
        <v>243</v>
      </c>
      <c r="K65" s="38"/>
      <c r="L65" s="42" t="s">
        <v>221</v>
      </c>
      <c r="M65" s="42" t="s">
        <v>221</v>
      </c>
      <c r="N65" s="42" t="s">
        <v>221</v>
      </c>
      <c r="O65" s="76" t="s">
        <v>221</v>
      </c>
      <c r="P65" s="76" t="s">
        <v>221</v>
      </c>
      <c r="Q65" s="38"/>
      <c r="R65" s="73"/>
      <c r="S65" s="38"/>
      <c r="T65" s="38"/>
      <c r="U65" s="38"/>
      <c r="V65" s="38"/>
      <c r="W65" s="38"/>
      <c r="X65" s="38"/>
      <c r="Y65" s="38"/>
      <c r="Z65" s="38"/>
      <c r="AA65" s="38"/>
      <c r="AB65" s="38"/>
      <c r="AC65" s="38"/>
      <c r="AD65" s="38"/>
      <c r="AE65" s="38"/>
      <c r="AF65" s="38"/>
      <c r="AG65" s="38"/>
      <c r="AH65" s="38"/>
      <c r="AI65" s="38"/>
      <c r="AJ65" s="38"/>
    </row>
    <row r="66" spans="1:36" ht="17.25" x14ac:dyDescent="0.25">
      <c r="A66" s="38"/>
      <c r="B66" s="40" t="s">
        <v>89</v>
      </c>
      <c r="C66" s="38">
        <v>0</v>
      </c>
      <c r="D66" s="41" t="s">
        <v>181</v>
      </c>
      <c r="E66" s="74" t="s">
        <v>221</v>
      </c>
      <c r="F66" s="75" t="s">
        <v>221</v>
      </c>
      <c r="G66" s="75" t="s">
        <v>221</v>
      </c>
      <c r="H66" s="38"/>
      <c r="I66" s="41" t="s">
        <v>181</v>
      </c>
      <c r="J66" s="74" t="s">
        <v>221</v>
      </c>
      <c r="K66" s="38"/>
      <c r="L66" s="42" t="s">
        <v>221</v>
      </c>
      <c r="M66" s="42" t="s">
        <v>221</v>
      </c>
      <c r="N66" s="42" t="s">
        <v>221</v>
      </c>
      <c r="O66" s="76" t="s">
        <v>221</v>
      </c>
      <c r="P66" s="76" t="s">
        <v>221</v>
      </c>
      <c r="Q66" s="38"/>
      <c r="R66" s="73"/>
      <c r="S66" s="38"/>
      <c r="T66" s="38"/>
      <c r="U66" s="38"/>
      <c r="V66" s="38"/>
      <c r="W66" s="38"/>
      <c r="X66" s="38"/>
      <c r="Y66" s="38"/>
      <c r="Z66" s="38"/>
      <c r="AA66" s="38"/>
      <c r="AB66" s="38"/>
      <c r="AC66" s="38"/>
      <c r="AD66" s="38"/>
      <c r="AE66" s="38"/>
      <c r="AF66" s="38"/>
      <c r="AG66" s="38"/>
      <c r="AH66" s="38"/>
      <c r="AI66" s="38"/>
      <c r="AJ66" s="38"/>
    </row>
    <row r="67" spans="1:36" ht="17.25" x14ac:dyDescent="0.25">
      <c r="A67" s="38"/>
      <c r="B67" s="40" t="s">
        <v>90</v>
      </c>
      <c r="C67" s="38">
        <v>1</v>
      </c>
      <c r="D67" s="41" t="s">
        <v>182</v>
      </c>
      <c r="E67" s="74">
        <v>0.2621176205260321</v>
      </c>
      <c r="F67" s="75">
        <v>0.36728835321693332</v>
      </c>
      <c r="G67" s="75">
        <v>0.23724410725273648</v>
      </c>
      <c r="H67" s="38"/>
      <c r="I67" s="41" t="s">
        <v>182</v>
      </c>
      <c r="J67" s="74" t="s">
        <v>230</v>
      </c>
      <c r="K67" s="38"/>
      <c r="L67" s="42" t="s">
        <v>230</v>
      </c>
      <c r="M67" s="42">
        <v>1</v>
      </c>
      <c r="N67" s="42">
        <v>1</v>
      </c>
      <c r="O67" s="76">
        <v>0.2621176205260321</v>
      </c>
      <c r="P67" s="76">
        <v>0.2621176205260321</v>
      </c>
      <c r="Q67" s="38"/>
      <c r="R67" s="73"/>
      <c r="S67" s="38"/>
      <c r="T67" s="38"/>
      <c r="U67" s="38"/>
      <c r="V67" s="38"/>
      <c r="W67" s="38"/>
      <c r="X67" s="38"/>
      <c r="Y67" s="38"/>
      <c r="Z67" s="38"/>
      <c r="AA67" s="38"/>
      <c r="AB67" s="38"/>
      <c r="AC67" s="38"/>
      <c r="AD67" s="38"/>
      <c r="AE67" s="38"/>
      <c r="AF67" s="38"/>
      <c r="AG67" s="38"/>
      <c r="AH67" s="38"/>
      <c r="AI67" s="38"/>
      <c r="AJ67" s="38"/>
    </row>
    <row r="68" spans="1:36" ht="17.25" x14ac:dyDescent="0.25">
      <c r="A68" s="38"/>
      <c r="B68" s="40" t="s">
        <v>91</v>
      </c>
      <c r="C68" s="38">
        <v>1</v>
      </c>
      <c r="D68" s="41" t="s">
        <v>183</v>
      </c>
      <c r="E68" s="74">
        <v>0.10543745040707075</v>
      </c>
      <c r="F68" s="75">
        <v>0.24053561708992238</v>
      </c>
      <c r="G68" s="75">
        <v>0.10746633104811235</v>
      </c>
      <c r="H68" s="38"/>
      <c r="I68" s="41" t="s">
        <v>183</v>
      </c>
      <c r="J68" s="74" t="s">
        <v>243</v>
      </c>
      <c r="K68" s="38"/>
      <c r="L68" s="42" t="s">
        <v>221</v>
      </c>
      <c r="M68" s="42" t="s">
        <v>221</v>
      </c>
      <c r="N68" s="42" t="s">
        <v>221</v>
      </c>
      <c r="O68" s="76" t="s">
        <v>221</v>
      </c>
      <c r="P68" s="76" t="s">
        <v>221</v>
      </c>
      <c r="Q68" s="38"/>
      <c r="R68" s="73"/>
      <c r="S68" s="38"/>
      <c r="T68" s="38"/>
      <c r="U68" s="38"/>
      <c r="V68" s="38"/>
      <c r="W68" s="38"/>
      <c r="X68" s="38"/>
      <c r="Y68" s="38"/>
      <c r="Z68" s="38"/>
      <c r="AA68" s="38"/>
      <c r="AB68" s="38"/>
      <c r="AC68" s="38"/>
      <c r="AD68" s="38"/>
      <c r="AE68" s="38"/>
      <c r="AF68" s="38"/>
      <c r="AG68" s="38"/>
      <c r="AH68" s="38"/>
      <c r="AI68" s="38"/>
      <c r="AJ68" s="38"/>
    </row>
    <row r="69" spans="1:36" ht="17.25" x14ac:dyDescent="0.25">
      <c r="A69" s="38"/>
      <c r="B69" s="40" t="s">
        <v>92</v>
      </c>
      <c r="C69" s="38">
        <v>1</v>
      </c>
      <c r="D69" s="41" t="s">
        <v>184</v>
      </c>
      <c r="E69" s="74">
        <v>0.53845110385258388</v>
      </c>
      <c r="F69" s="75">
        <v>0.3791452812855336</v>
      </c>
      <c r="G69" s="75">
        <v>0.56603350337707214</v>
      </c>
      <c r="H69" s="38"/>
      <c r="I69" s="41" t="s">
        <v>184</v>
      </c>
      <c r="J69" s="74" t="s">
        <v>226</v>
      </c>
      <c r="K69" s="38"/>
      <c r="L69" s="42" t="s">
        <v>226</v>
      </c>
      <c r="M69" s="42">
        <v>8</v>
      </c>
      <c r="N69" s="42" t="s">
        <v>221</v>
      </c>
      <c r="O69" s="76">
        <v>0.53845110385258388</v>
      </c>
      <c r="P69" s="76" t="s">
        <v>221</v>
      </c>
      <c r="Q69" s="38"/>
      <c r="R69" s="73"/>
      <c r="S69" s="38"/>
      <c r="T69" s="38"/>
      <c r="U69" s="38"/>
      <c r="V69" s="38"/>
      <c r="W69" s="38"/>
      <c r="X69" s="38"/>
      <c r="Y69" s="38"/>
      <c r="Z69" s="38"/>
      <c r="AA69" s="38"/>
      <c r="AB69" s="38"/>
      <c r="AC69" s="38"/>
      <c r="AD69" s="38"/>
      <c r="AE69" s="38"/>
      <c r="AF69" s="38"/>
      <c r="AG69" s="38"/>
      <c r="AH69" s="38"/>
      <c r="AI69" s="38"/>
      <c r="AJ69" s="38"/>
    </row>
    <row r="70" spans="1:36" ht="17.25" x14ac:dyDescent="0.25">
      <c r="A70" s="38"/>
      <c r="B70" s="40" t="s">
        <v>93</v>
      </c>
      <c r="C70" s="38">
        <v>1</v>
      </c>
      <c r="D70" s="41" t="s">
        <v>185</v>
      </c>
      <c r="E70" s="74">
        <v>0.30465766874499955</v>
      </c>
      <c r="F70" s="75">
        <v>0.31578016432839001</v>
      </c>
      <c r="G70" s="75">
        <v>0.31230539342297226</v>
      </c>
      <c r="H70" s="38"/>
      <c r="I70" s="41" t="s">
        <v>185</v>
      </c>
      <c r="J70" s="74" t="s">
        <v>225</v>
      </c>
      <c r="K70" s="38"/>
      <c r="L70" s="42" t="s">
        <v>225</v>
      </c>
      <c r="M70" s="42">
        <v>5</v>
      </c>
      <c r="N70" s="42">
        <v>1</v>
      </c>
      <c r="O70" s="76">
        <v>0.30465766874499955</v>
      </c>
      <c r="P70" s="76">
        <v>0.30465766874499955</v>
      </c>
      <c r="Q70" s="38"/>
      <c r="R70" s="73"/>
      <c r="S70" s="38"/>
      <c r="T70" s="38"/>
      <c r="U70" s="38"/>
      <c r="V70" s="38"/>
      <c r="W70" s="38"/>
      <c r="X70" s="38"/>
      <c r="Y70" s="38"/>
      <c r="Z70" s="38"/>
      <c r="AA70" s="38"/>
      <c r="AB70" s="38"/>
      <c r="AC70" s="38"/>
      <c r="AD70" s="38"/>
      <c r="AE70" s="38"/>
      <c r="AF70" s="38"/>
      <c r="AG70" s="38"/>
      <c r="AH70" s="38"/>
      <c r="AI70" s="38"/>
      <c r="AJ70" s="38"/>
    </row>
    <row r="71" spans="1:36" ht="17.25" x14ac:dyDescent="0.25">
      <c r="A71" s="38"/>
      <c r="B71" s="40" t="s">
        <v>94</v>
      </c>
      <c r="C71" s="38">
        <v>0</v>
      </c>
      <c r="D71" s="41" t="s">
        <v>186</v>
      </c>
      <c r="E71" s="74" t="s">
        <v>221</v>
      </c>
      <c r="F71" s="75" t="s">
        <v>221</v>
      </c>
      <c r="G71" s="75">
        <v>0.17155059060356717</v>
      </c>
      <c r="H71" s="38"/>
      <c r="I71" s="41" t="s">
        <v>186</v>
      </c>
      <c r="J71" s="74" t="s">
        <v>221</v>
      </c>
      <c r="K71" s="38"/>
      <c r="L71" s="42" t="s">
        <v>221</v>
      </c>
      <c r="M71" s="42" t="s">
        <v>221</v>
      </c>
      <c r="N71" s="42" t="s">
        <v>221</v>
      </c>
      <c r="O71" s="76" t="s">
        <v>221</v>
      </c>
      <c r="P71" s="76" t="s">
        <v>221</v>
      </c>
      <c r="Q71" s="38"/>
      <c r="R71" s="73"/>
      <c r="S71" s="38"/>
      <c r="T71" s="38"/>
      <c r="U71" s="38"/>
      <c r="V71" s="38"/>
      <c r="W71" s="38"/>
      <c r="X71" s="38"/>
      <c r="Y71" s="38"/>
      <c r="Z71" s="38"/>
      <c r="AA71" s="38"/>
      <c r="AB71" s="38"/>
      <c r="AC71" s="38"/>
      <c r="AD71" s="38"/>
      <c r="AE71" s="38"/>
      <c r="AF71" s="38"/>
      <c r="AG71" s="38"/>
      <c r="AH71" s="38"/>
      <c r="AI71" s="38"/>
      <c r="AJ71" s="38"/>
    </row>
    <row r="72" spans="1:36" ht="17.25" x14ac:dyDescent="0.25">
      <c r="A72" s="38"/>
      <c r="B72" s="40" t="s">
        <v>95</v>
      </c>
      <c r="C72" s="38">
        <v>1</v>
      </c>
      <c r="D72" s="41" t="s">
        <v>187</v>
      </c>
      <c r="E72" s="74">
        <v>0.46893315532636515</v>
      </c>
      <c r="F72" s="75">
        <v>0.39227373423421402</v>
      </c>
      <c r="G72" s="75">
        <v>0.45678584961326985</v>
      </c>
      <c r="H72" s="38"/>
      <c r="I72" s="41" t="s">
        <v>187</v>
      </c>
      <c r="J72" s="74" t="s">
        <v>226</v>
      </c>
      <c r="K72" s="38"/>
      <c r="L72" s="42" t="s">
        <v>226</v>
      </c>
      <c r="M72" s="42">
        <v>8</v>
      </c>
      <c r="N72" s="42" t="s">
        <v>221</v>
      </c>
      <c r="O72" s="76">
        <v>0.46893315532636515</v>
      </c>
      <c r="P72" s="76" t="s">
        <v>221</v>
      </c>
      <c r="Q72" s="38"/>
      <c r="R72" s="73"/>
      <c r="S72" s="38"/>
      <c r="T72" s="38"/>
      <c r="U72" s="38"/>
      <c r="V72" s="38"/>
      <c r="W72" s="38"/>
      <c r="X72" s="38"/>
      <c r="Y72" s="38"/>
      <c r="Z72" s="38"/>
      <c r="AA72" s="38"/>
      <c r="AB72" s="38"/>
      <c r="AC72" s="38"/>
      <c r="AD72" s="38"/>
      <c r="AE72" s="38"/>
      <c r="AF72" s="38"/>
      <c r="AG72" s="38"/>
      <c r="AH72" s="38"/>
      <c r="AI72" s="38"/>
      <c r="AJ72" s="38"/>
    </row>
    <row r="73" spans="1:36" x14ac:dyDescent="0.2">
      <c r="R73" s="38"/>
      <c r="S73" s="38"/>
      <c r="T73" s="38"/>
      <c r="U73" s="38"/>
      <c r="V73" s="38"/>
      <c r="W73" s="38"/>
      <c r="X73" s="38"/>
      <c r="Y73" s="38"/>
      <c r="Z73" s="38"/>
      <c r="AA73" s="38"/>
      <c r="AB73" s="38"/>
      <c r="AC73" s="38"/>
      <c r="AD73" s="38"/>
      <c r="AE73" s="38"/>
      <c r="AF73" s="38"/>
      <c r="AG73" s="38"/>
      <c r="AH73" s="38"/>
      <c r="AI73" s="38"/>
      <c r="AJ73" s="38"/>
    </row>
    <row r="74" spans="1:36" ht="17.25" x14ac:dyDescent="0.25">
      <c r="A74" s="38"/>
      <c r="B74" s="40" t="s">
        <v>97</v>
      </c>
      <c r="C74" s="38">
        <v>0</v>
      </c>
      <c r="D74" s="41" t="s">
        <v>189</v>
      </c>
      <c r="E74" s="74" t="s">
        <v>221</v>
      </c>
      <c r="F74" s="75" t="s">
        <v>221</v>
      </c>
      <c r="G74" s="75">
        <v>0.51085932624431785</v>
      </c>
      <c r="H74" s="38"/>
      <c r="I74" s="41" t="s">
        <v>189</v>
      </c>
      <c r="J74" s="74" t="s">
        <v>221</v>
      </c>
      <c r="K74" s="38"/>
      <c r="L74" s="42" t="s">
        <v>221</v>
      </c>
      <c r="M74" s="42" t="s">
        <v>221</v>
      </c>
      <c r="N74" s="42" t="s">
        <v>221</v>
      </c>
      <c r="O74" s="76" t="s">
        <v>221</v>
      </c>
      <c r="P74" s="76" t="s">
        <v>221</v>
      </c>
      <c r="Q74" s="38"/>
      <c r="R74" s="73"/>
      <c r="S74" s="38"/>
      <c r="T74" s="38"/>
      <c r="U74" s="38"/>
      <c r="V74" s="38"/>
      <c r="W74" s="38"/>
      <c r="X74" s="38"/>
      <c r="Y74" s="38"/>
      <c r="Z74" s="38"/>
      <c r="AA74" s="38"/>
      <c r="AB74" s="38"/>
      <c r="AC74" s="38"/>
      <c r="AD74" s="38"/>
      <c r="AE74" s="38"/>
      <c r="AF74" s="38"/>
      <c r="AG74" s="38"/>
      <c r="AH74" s="38"/>
      <c r="AI74" s="38"/>
      <c r="AJ74" s="38"/>
    </row>
    <row r="75" spans="1:36" ht="17.25" x14ac:dyDescent="0.25">
      <c r="A75" s="38"/>
      <c r="B75" s="40" t="s">
        <v>98</v>
      </c>
      <c r="C75" s="38">
        <v>0</v>
      </c>
      <c r="D75" s="41" t="s">
        <v>190</v>
      </c>
      <c r="E75" s="74" t="s">
        <v>221</v>
      </c>
      <c r="F75" s="75" t="s">
        <v>221</v>
      </c>
      <c r="G75" s="75" t="s">
        <v>221</v>
      </c>
      <c r="H75" s="38"/>
      <c r="I75" s="41" t="s">
        <v>190</v>
      </c>
      <c r="J75" s="74" t="s">
        <v>221</v>
      </c>
      <c r="K75" s="38"/>
      <c r="L75" s="42" t="s">
        <v>221</v>
      </c>
      <c r="M75" s="42" t="s">
        <v>221</v>
      </c>
      <c r="N75" s="42" t="s">
        <v>221</v>
      </c>
      <c r="O75" s="76" t="s">
        <v>221</v>
      </c>
      <c r="P75" s="76" t="s">
        <v>221</v>
      </c>
      <c r="Q75" s="38"/>
      <c r="R75" s="73"/>
      <c r="S75" s="38"/>
      <c r="T75" s="38"/>
      <c r="U75" s="38"/>
      <c r="V75" s="38"/>
      <c r="W75" s="38"/>
      <c r="X75" s="38"/>
      <c r="Y75" s="38"/>
      <c r="Z75" s="38"/>
      <c r="AA75" s="38"/>
      <c r="AB75" s="38"/>
      <c r="AC75" s="38"/>
      <c r="AD75" s="38"/>
      <c r="AE75" s="38"/>
      <c r="AF75" s="38"/>
      <c r="AG75" s="38"/>
      <c r="AH75" s="38"/>
      <c r="AI75" s="38"/>
      <c r="AJ75" s="38"/>
    </row>
    <row r="76" spans="1:36" ht="17.25" x14ac:dyDescent="0.25">
      <c r="A76" s="38"/>
      <c r="B76" s="40" t="s">
        <v>99</v>
      </c>
      <c r="C76" s="38">
        <v>1</v>
      </c>
      <c r="D76" s="41" t="s">
        <v>191</v>
      </c>
      <c r="E76" s="74">
        <v>0.57715921433468731</v>
      </c>
      <c r="F76" s="75">
        <v>0.66646110879229115</v>
      </c>
      <c r="G76" s="75">
        <v>0.60416078322585687</v>
      </c>
      <c r="H76" s="38"/>
      <c r="I76" s="41" t="s">
        <v>191</v>
      </c>
      <c r="J76" s="74" t="s">
        <v>229</v>
      </c>
      <c r="K76" s="38"/>
      <c r="L76" s="42" t="s">
        <v>229</v>
      </c>
      <c r="M76" s="42">
        <v>10</v>
      </c>
      <c r="N76" s="42" t="s">
        <v>221</v>
      </c>
      <c r="O76" s="76">
        <v>0.57715921433468731</v>
      </c>
      <c r="P76" s="76" t="s">
        <v>221</v>
      </c>
      <c r="Q76" s="38"/>
      <c r="R76" s="73"/>
      <c r="S76" s="38"/>
      <c r="T76" s="38"/>
      <c r="U76" s="38"/>
      <c r="V76" s="38"/>
      <c r="W76" s="38"/>
      <c r="X76" s="38"/>
      <c r="Y76" s="38"/>
      <c r="Z76" s="38"/>
      <c r="AA76" s="38"/>
      <c r="AB76" s="38"/>
      <c r="AC76" s="38"/>
      <c r="AD76" s="38"/>
      <c r="AE76" s="38"/>
      <c r="AF76" s="38"/>
      <c r="AG76" s="38"/>
      <c r="AH76" s="38"/>
      <c r="AI76" s="38"/>
      <c r="AJ76" s="38"/>
    </row>
    <row r="77" spans="1:36" ht="17.25" x14ac:dyDescent="0.25">
      <c r="A77" s="38"/>
      <c r="B77" s="40" t="s">
        <v>100</v>
      </c>
      <c r="C77" s="38">
        <v>1</v>
      </c>
      <c r="D77" s="41" t="s">
        <v>192</v>
      </c>
      <c r="E77" s="74">
        <v>0.37093076001490366</v>
      </c>
      <c r="F77" s="75">
        <v>0.31365534720338273</v>
      </c>
      <c r="G77" s="75">
        <v>0.33289819861920239</v>
      </c>
      <c r="H77" s="38"/>
      <c r="I77" s="41" t="s">
        <v>192</v>
      </c>
      <c r="J77" s="74" t="s">
        <v>225</v>
      </c>
      <c r="K77" s="38"/>
      <c r="L77" s="42" t="s">
        <v>225</v>
      </c>
      <c r="M77" s="42">
        <v>5</v>
      </c>
      <c r="N77" s="42">
        <v>1</v>
      </c>
      <c r="O77" s="76">
        <v>0.37093076001490366</v>
      </c>
      <c r="P77" s="76">
        <v>0.37093076001490366</v>
      </c>
      <c r="Q77" s="38"/>
      <c r="R77" s="73"/>
      <c r="S77" s="38"/>
      <c r="T77" s="38"/>
      <c r="U77" s="38"/>
      <c r="V77" s="38"/>
      <c r="W77" s="38"/>
      <c r="X77" s="38"/>
      <c r="Y77" s="38"/>
      <c r="Z77" s="38"/>
      <c r="AA77" s="38"/>
      <c r="AB77" s="38"/>
      <c r="AC77" s="38"/>
      <c r="AD77" s="38"/>
      <c r="AE77" s="38"/>
      <c r="AF77" s="38"/>
      <c r="AG77" s="38"/>
      <c r="AH77" s="38"/>
      <c r="AI77" s="38"/>
      <c r="AJ77" s="38"/>
    </row>
    <row r="78" spans="1:36" ht="17.25" x14ac:dyDescent="0.25">
      <c r="A78" s="38"/>
      <c r="B78" s="40" t="s">
        <v>101</v>
      </c>
      <c r="C78" s="38">
        <v>1</v>
      </c>
      <c r="D78" s="41" t="s">
        <v>193</v>
      </c>
      <c r="E78" s="74">
        <v>0.26691971050892427</v>
      </c>
      <c r="F78" s="75">
        <v>0.31278885631961162</v>
      </c>
      <c r="G78" s="75">
        <v>0.24117462326664479</v>
      </c>
      <c r="H78" s="38"/>
      <c r="I78" s="41" t="s">
        <v>193</v>
      </c>
      <c r="J78" s="74" t="s">
        <v>220</v>
      </c>
      <c r="K78" s="38"/>
      <c r="L78" s="42" t="s">
        <v>220</v>
      </c>
      <c r="M78" s="42">
        <v>7</v>
      </c>
      <c r="N78" s="42">
        <v>1</v>
      </c>
      <c r="O78" s="76">
        <v>0.26691971050892427</v>
      </c>
      <c r="P78" s="76">
        <v>0.26691971050892427</v>
      </c>
      <c r="Q78" s="38"/>
      <c r="R78" s="73"/>
      <c r="S78" s="38"/>
      <c r="T78" s="38"/>
      <c r="U78" s="38"/>
      <c r="V78" s="38"/>
      <c r="W78" s="38"/>
      <c r="X78" s="38"/>
      <c r="Y78" s="38"/>
      <c r="Z78" s="38"/>
      <c r="AA78" s="38"/>
      <c r="AB78" s="38"/>
      <c r="AC78" s="38"/>
      <c r="AD78" s="38"/>
      <c r="AE78" s="38"/>
      <c r="AF78" s="38"/>
      <c r="AG78" s="38"/>
      <c r="AH78" s="38"/>
      <c r="AI78" s="38"/>
      <c r="AJ78" s="38"/>
    </row>
    <row r="79" spans="1:36" ht="17.25" x14ac:dyDescent="0.25">
      <c r="A79" s="38"/>
      <c r="B79" s="40" t="s">
        <v>102</v>
      </c>
      <c r="C79" s="38">
        <v>0</v>
      </c>
      <c r="D79" s="41" t="s">
        <v>194</v>
      </c>
      <c r="E79" s="74" t="s">
        <v>221</v>
      </c>
      <c r="F79" s="75" t="s">
        <v>221</v>
      </c>
      <c r="G79" s="75">
        <v>6.0489838737914074E-2</v>
      </c>
      <c r="H79" s="38"/>
      <c r="I79" s="41" t="s">
        <v>194</v>
      </c>
      <c r="J79" s="74" t="s">
        <v>221</v>
      </c>
      <c r="K79" s="38"/>
      <c r="L79" s="42" t="s">
        <v>221</v>
      </c>
      <c r="M79" s="42" t="s">
        <v>221</v>
      </c>
      <c r="N79" s="42" t="s">
        <v>221</v>
      </c>
      <c r="O79" s="76" t="s">
        <v>221</v>
      </c>
      <c r="P79" s="76" t="s">
        <v>221</v>
      </c>
      <c r="Q79" s="38"/>
      <c r="R79" s="73"/>
      <c r="S79" s="38"/>
      <c r="T79" s="38"/>
      <c r="U79" s="38"/>
      <c r="V79" s="38"/>
      <c r="W79" s="38"/>
      <c r="X79" s="38"/>
      <c r="Y79" s="38"/>
      <c r="Z79" s="38"/>
      <c r="AA79" s="38"/>
      <c r="AB79" s="38"/>
      <c r="AC79" s="38"/>
      <c r="AD79" s="38"/>
      <c r="AE79" s="38"/>
      <c r="AF79" s="38"/>
      <c r="AG79" s="38"/>
      <c r="AH79" s="38"/>
      <c r="AI79" s="38"/>
      <c r="AJ79" s="38"/>
    </row>
    <row r="80" spans="1:36" ht="17.25" x14ac:dyDescent="0.25">
      <c r="A80" s="38"/>
      <c r="B80" s="40" t="s">
        <v>103</v>
      </c>
      <c r="C80" s="38">
        <v>1</v>
      </c>
      <c r="D80" s="41" t="s">
        <v>195</v>
      </c>
      <c r="E80" s="74">
        <v>0.13142834600385225</v>
      </c>
      <c r="F80" s="75">
        <v>0.10630800144446316</v>
      </c>
      <c r="G80" s="75">
        <v>0.14821707532967049</v>
      </c>
      <c r="H80" s="38"/>
      <c r="I80" s="41" t="s">
        <v>195</v>
      </c>
      <c r="J80" s="74" t="s">
        <v>231</v>
      </c>
      <c r="K80" s="38"/>
      <c r="L80" s="42" t="s">
        <v>231</v>
      </c>
      <c r="M80" s="42">
        <v>2</v>
      </c>
      <c r="N80" s="42">
        <v>1</v>
      </c>
      <c r="O80" s="76">
        <v>0.13142834600385225</v>
      </c>
      <c r="P80" s="76">
        <v>0.13142834600385225</v>
      </c>
      <c r="Q80" s="38"/>
      <c r="R80" s="73"/>
      <c r="S80" s="38"/>
      <c r="T80" s="38"/>
      <c r="U80" s="38"/>
      <c r="V80" s="38"/>
      <c r="W80" s="38"/>
      <c r="X80" s="38"/>
      <c r="Y80" s="38"/>
      <c r="Z80" s="38"/>
      <c r="AA80" s="38"/>
      <c r="AB80" s="38"/>
      <c r="AC80" s="38"/>
      <c r="AD80" s="38"/>
      <c r="AE80" s="38"/>
      <c r="AF80" s="38"/>
      <c r="AG80" s="38"/>
      <c r="AH80" s="38"/>
      <c r="AI80" s="38"/>
      <c r="AJ80" s="38"/>
    </row>
    <row r="81" spans="1:36" ht="17.25" x14ac:dyDescent="0.25">
      <c r="A81" s="38"/>
      <c r="B81" s="40" t="s">
        <v>104</v>
      </c>
      <c r="C81" s="38">
        <v>1</v>
      </c>
      <c r="D81" s="41" t="s">
        <v>196</v>
      </c>
      <c r="E81" s="74">
        <v>9.9039994692164027E-2</v>
      </c>
      <c r="F81" s="75">
        <v>9.4926533177893846E-2</v>
      </c>
      <c r="G81" s="75">
        <v>0.14575560193895401</v>
      </c>
      <c r="H81" s="38"/>
      <c r="I81" s="41" t="s">
        <v>196</v>
      </c>
      <c r="J81" s="74" t="s">
        <v>221</v>
      </c>
      <c r="K81" s="38"/>
      <c r="L81" s="42" t="s">
        <v>221</v>
      </c>
      <c r="M81" s="42" t="s">
        <v>221</v>
      </c>
      <c r="N81" s="42" t="s">
        <v>221</v>
      </c>
      <c r="O81" s="76" t="s">
        <v>221</v>
      </c>
      <c r="P81" s="76" t="s">
        <v>221</v>
      </c>
      <c r="Q81" s="38"/>
      <c r="R81" s="73"/>
      <c r="S81" s="38"/>
      <c r="T81" s="38"/>
      <c r="U81" s="38"/>
      <c r="V81" s="38"/>
      <c r="W81" s="38"/>
      <c r="X81" s="38"/>
      <c r="Y81" s="38"/>
      <c r="Z81" s="38"/>
      <c r="AA81" s="38"/>
      <c r="AB81" s="38"/>
      <c r="AC81" s="38"/>
      <c r="AD81" s="38"/>
      <c r="AE81" s="38"/>
      <c r="AF81" s="38"/>
      <c r="AG81" s="38"/>
      <c r="AH81" s="38"/>
      <c r="AI81" s="38"/>
      <c r="AJ81" s="38"/>
    </row>
    <row r="82" spans="1:36" ht="17.25" x14ac:dyDescent="0.25">
      <c r="A82" s="38"/>
      <c r="B82" s="40" t="s">
        <v>245</v>
      </c>
      <c r="C82" s="38">
        <v>1</v>
      </c>
      <c r="D82" s="41" t="s">
        <v>246</v>
      </c>
      <c r="E82" s="74">
        <v>0.11742843646848862</v>
      </c>
      <c r="F82" s="75">
        <v>0</v>
      </c>
      <c r="G82" s="75">
        <v>0.12414667285915226</v>
      </c>
      <c r="H82" s="38"/>
      <c r="I82" s="41" t="s">
        <v>246</v>
      </c>
      <c r="J82" s="74" t="s">
        <v>243</v>
      </c>
      <c r="K82" s="38"/>
      <c r="L82" s="42" t="s">
        <v>221</v>
      </c>
      <c r="M82" s="42" t="s">
        <v>221</v>
      </c>
      <c r="N82" s="42" t="s">
        <v>221</v>
      </c>
      <c r="O82" s="76" t="s">
        <v>221</v>
      </c>
      <c r="P82" s="76" t="s">
        <v>221</v>
      </c>
      <c r="Q82" s="38"/>
      <c r="R82" s="73"/>
      <c r="S82" s="38"/>
      <c r="T82" s="38"/>
      <c r="U82" s="38"/>
      <c r="V82" s="38"/>
      <c r="W82" s="38"/>
      <c r="X82" s="38"/>
      <c r="Y82" s="38"/>
      <c r="Z82" s="38"/>
      <c r="AA82" s="38"/>
      <c r="AB82" s="38"/>
      <c r="AC82" s="38"/>
      <c r="AD82" s="38"/>
      <c r="AE82" s="38"/>
      <c r="AF82" s="38"/>
      <c r="AG82" s="38"/>
      <c r="AH82" s="38"/>
      <c r="AI82" s="38"/>
      <c r="AJ82" s="38"/>
    </row>
    <row r="83" spans="1:36" ht="17.25" x14ac:dyDescent="0.25">
      <c r="A83" s="38"/>
      <c r="B83" s="40" t="s">
        <v>247</v>
      </c>
      <c r="C83" s="38">
        <v>1</v>
      </c>
      <c r="D83" s="41" t="s">
        <v>248</v>
      </c>
      <c r="E83" s="74">
        <v>0.30894335263338946</v>
      </c>
      <c r="F83" s="75">
        <v>0.29341950810768108</v>
      </c>
      <c r="G83" s="75">
        <v>0.32343641405408102</v>
      </c>
      <c r="H83" s="38"/>
      <c r="I83" s="41" t="s">
        <v>248</v>
      </c>
      <c r="J83" s="74" t="s">
        <v>225</v>
      </c>
      <c r="K83" s="38"/>
      <c r="L83" s="42" t="s">
        <v>225</v>
      </c>
      <c r="M83" s="42">
        <v>5</v>
      </c>
      <c r="N83" s="42">
        <v>1</v>
      </c>
      <c r="O83" s="76">
        <v>0.30894335263338946</v>
      </c>
      <c r="P83" s="76">
        <v>0.30894335263338946</v>
      </c>
      <c r="Q83" s="38"/>
      <c r="R83" s="73"/>
      <c r="S83" s="38"/>
      <c r="T83" s="38"/>
      <c r="U83" s="38"/>
      <c r="V83" s="38"/>
      <c r="W83" s="38"/>
      <c r="X83" s="38"/>
      <c r="Y83" s="38"/>
      <c r="Z83" s="38"/>
      <c r="AA83" s="38"/>
      <c r="AB83" s="38"/>
      <c r="AC83" s="38"/>
      <c r="AD83" s="38"/>
      <c r="AE83" s="38"/>
      <c r="AF83" s="38"/>
      <c r="AG83" s="38"/>
      <c r="AH83" s="38"/>
      <c r="AI83" s="38"/>
      <c r="AJ83" s="38"/>
    </row>
    <row r="84" spans="1:36" ht="17.25" x14ac:dyDescent="0.25">
      <c r="A84" s="38"/>
      <c r="B84" s="40" t="s">
        <v>251</v>
      </c>
      <c r="C84" s="38">
        <v>1</v>
      </c>
      <c r="D84" s="41" t="s">
        <v>252</v>
      </c>
      <c r="E84" s="74">
        <v>4.393698459910915E-2</v>
      </c>
      <c r="F84" s="75">
        <v>0</v>
      </c>
      <c r="G84" s="75">
        <v>6.7755323084195129E-2</v>
      </c>
      <c r="H84" s="38"/>
      <c r="I84" s="41" t="s">
        <v>252</v>
      </c>
      <c r="J84" s="74" t="s">
        <v>243</v>
      </c>
      <c r="K84" s="38"/>
      <c r="L84" s="42" t="s">
        <v>221</v>
      </c>
      <c r="M84" s="42" t="s">
        <v>221</v>
      </c>
      <c r="N84" s="42" t="s">
        <v>221</v>
      </c>
      <c r="O84" s="76" t="s">
        <v>221</v>
      </c>
      <c r="P84" s="76" t="s">
        <v>221</v>
      </c>
      <c r="Q84" s="38"/>
      <c r="R84" s="73"/>
      <c r="S84" s="38"/>
      <c r="T84" s="38"/>
      <c r="U84" s="38"/>
      <c r="V84" s="38"/>
      <c r="W84" s="38"/>
      <c r="X84" s="38"/>
      <c r="Y84" s="38"/>
      <c r="Z84" s="38"/>
      <c r="AA84" s="38"/>
      <c r="AB84" s="38"/>
      <c r="AC84" s="38"/>
      <c r="AD84" s="38"/>
      <c r="AE84" s="38"/>
      <c r="AF84" s="38"/>
      <c r="AG84" s="38"/>
      <c r="AH84" s="38"/>
      <c r="AI84" s="38"/>
      <c r="AJ84" s="38"/>
    </row>
    <row r="85" spans="1:36" ht="17.25" x14ac:dyDescent="0.25">
      <c r="A85" s="38"/>
      <c r="B85" s="40" t="s">
        <v>253</v>
      </c>
      <c r="C85" s="38">
        <v>1</v>
      </c>
      <c r="D85" s="41" t="s">
        <v>254</v>
      </c>
      <c r="E85" s="74">
        <v>0.27256968567485712</v>
      </c>
      <c r="F85" s="75"/>
      <c r="G85" s="75">
        <v>0.24932604165648242</v>
      </c>
      <c r="H85" s="38"/>
      <c r="I85" s="41" t="s">
        <v>254</v>
      </c>
      <c r="J85" s="74" t="s">
        <v>221</v>
      </c>
      <c r="K85" s="38"/>
      <c r="L85" s="42" t="s">
        <v>221</v>
      </c>
      <c r="M85" s="42" t="s">
        <v>221</v>
      </c>
      <c r="N85" s="42" t="s">
        <v>221</v>
      </c>
      <c r="O85" s="76" t="s">
        <v>221</v>
      </c>
      <c r="P85" s="76" t="s">
        <v>221</v>
      </c>
      <c r="Q85" s="38"/>
      <c r="R85" s="73"/>
      <c r="S85" s="38"/>
      <c r="T85" s="38"/>
      <c r="U85" s="38"/>
      <c r="V85" s="38"/>
      <c r="W85" s="38"/>
      <c r="X85" s="38"/>
      <c r="Y85" s="38"/>
      <c r="Z85" s="38"/>
      <c r="AA85" s="38"/>
      <c r="AB85" s="38"/>
      <c r="AC85" s="38"/>
      <c r="AD85" s="38"/>
      <c r="AE85" s="38"/>
      <c r="AF85" s="38"/>
      <c r="AG85" s="38"/>
      <c r="AH85" s="38"/>
      <c r="AI85" s="38"/>
      <c r="AJ85" s="38"/>
    </row>
    <row r="86" spans="1:36" ht="17.25" x14ac:dyDescent="0.25">
      <c r="A86" s="38"/>
      <c r="B86" s="40" t="s">
        <v>257</v>
      </c>
      <c r="C86" s="38">
        <v>1</v>
      </c>
      <c r="D86" s="41" t="s">
        <v>258</v>
      </c>
      <c r="E86" s="74">
        <v>0.13438407631745869</v>
      </c>
      <c r="F86" s="75">
        <v>0.10268548801807673</v>
      </c>
      <c r="G86" s="75">
        <v>0.15618467802394423</v>
      </c>
      <c r="H86" s="38"/>
      <c r="I86" s="41" t="s">
        <v>258</v>
      </c>
      <c r="J86" s="74" t="s">
        <v>221</v>
      </c>
      <c r="K86" s="38"/>
      <c r="L86" s="42" t="s">
        <v>221</v>
      </c>
      <c r="M86" s="42" t="s">
        <v>221</v>
      </c>
      <c r="N86" s="42" t="s">
        <v>221</v>
      </c>
      <c r="O86" s="76" t="s">
        <v>221</v>
      </c>
      <c r="P86" s="76" t="s">
        <v>221</v>
      </c>
      <c r="Q86" s="38"/>
      <c r="R86" s="73"/>
      <c r="S86" s="38"/>
      <c r="T86" s="38"/>
      <c r="U86" s="38"/>
      <c r="V86" s="38"/>
      <c r="W86" s="38"/>
      <c r="X86" s="38"/>
      <c r="Y86" s="38"/>
      <c r="Z86" s="38"/>
      <c r="AA86" s="38"/>
      <c r="AB86" s="38"/>
      <c r="AC86" s="38"/>
      <c r="AD86" s="38"/>
      <c r="AE86" s="38"/>
      <c r="AF86" s="38"/>
      <c r="AG86" s="38"/>
      <c r="AH86" s="38"/>
      <c r="AI86" s="38"/>
      <c r="AJ86" s="38"/>
    </row>
    <row r="87" spans="1:36" x14ac:dyDescent="0.2">
      <c r="A87" s="38"/>
      <c r="B87" s="45">
        <f>COUNTIF(B5:B86,"*")</f>
        <v>78</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row>
    <row r="88" spans="1:36" ht="15" x14ac:dyDescent="0.25">
      <c r="A88" s="38"/>
      <c r="B88" s="38"/>
      <c r="C88" s="38"/>
      <c r="D88" s="38"/>
      <c r="E88" s="38"/>
      <c r="F88" s="38"/>
      <c r="G88" s="38"/>
      <c r="H88" s="38"/>
      <c r="I88" s="38"/>
      <c r="J88" s="38"/>
      <c r="K88" s="38"/>
      <c r="L88" s="119"/>
      <c r="M88" s="120"/>
      <c r="N88" s="120"/>
      <c r="O88" s="120"/>
      <c r="P88" s="120"/>
      <c r="Q88" s="38"/>
      <c r="R88" s="38"/>
      <c r="S88" s="103" t="s">
        <v>265</v>
      </c>
      <c r="T88" s="102"/>
      <c r="U88" s="102"/>
      <c r="V88" s="102"/>
      <c r="W88" s="38"/>
      <c r="X88" s="103" t="s">
        <v>266</v>
      </c>
      <c r="Y88" s="103"/>
      <c r="Z88" s="103"/>
      <c r="AA88" s="38"/>
      <c r="AB88" s="38"/>
      <c r="AC88" s="38"/>
      <c r="AD88" s="38"/>
      <c r="AE88" s="38"/>
      <c r="AF88" s="38"/>
      <c r="AG88" s="38"/>
      <c r="AH88" s="38"/>
      <c r="AI88" s="38"/>
      <c r="AJ88" s="38"/>
    </row>
    <row r="89" spans="1:36" x14ac:dyDescent="0.2">
      <c r="A89" s="38"/>
      <c r="B89" s="38"/>
      <c r="C89" s="38"/>
      <c r="D89" s="38"/>
      <c r="E89" s="38"/>
      <c r="F89" s="38"/>
      <c r="G89" s="38"/>
      <c r="H89" s="38"/>
      <c r="I89" s="38"/>
      <c r="J89" s="38"/>
      <c r="K89" s="38"/>
      <c r="L89" s="120"/>
      <c r="M89" s="120"/>
      <c r="N89" s="120"/>
      <c r="O89" s="120"/>
      <c r="P89" s="120"/>
      <c r="Q89" s="38"/>
      <c r="R89" s="38"/>
      <c r="S89" s="38"/>
      <c r="T89" s="38"/>
      <c r="U89" s="38"/>
      <c r="V89" s="38"/>
      <c r="W89" s="38"/>
      <c r="X89" s="38"/>
      <c r="Y89" s="38"/>
      <c r="Z89" s="38"/>
      <c r="AA89" s="38"/>
      <c r="AB89" s="38"/>
      <c r="AC89" s="38"/>
      <c r="AD89" s="38"/>
      <c r="AE89" s="38"/>
      <c r="AF89" s="38"/>
      <c r="AG89" s="38"/>
      <c r="AH89" s="38"/>
      <c r="AI89" s="38"/>
      <c r="AJ89" s="38"/>
    </row>
    <row r="90" spans="1:36" x14ac:dyDescent="0.2">
      <c r="A90" s="38"/>
      <c r="B90" s="38"/>
      <c r="C90" s="38"/>
      <c r="D90" s="38"/>
      <c r="E90" s="38"/>
      <c r="F90" s="38"/>
      <c r="G90" s="38"/>
      <c r="H90" s="38"/>
      <c r="I90" s="38"/>
      <c r="J90" s="38"/>
      <c r="K90" s="38"/>
      <c r="L90" s="120"/>
      <c r="M90" s="121"/>
      <c r="N90" s="121"/>
      <c r="O90" s="120"/>
      <c r="P90" s="121"/>
      <c r="Q90" s="38"/>
      <c r="R90" s="38"/>
      <c r="S90" s="47" t="s">
        <v>232</v>
      </c>
      <c r="T90" s="48" t="s">
        <v>233</v>
      </c>
      <c r="U90" s="105" t="s">
        <v>262</v>
      </c>
      <c r="V90" s="48" t="s">
        <v>215</v>
      </c>
      <c r="X90" s="115"/>
      <c r="Y90" s="115" t="s">
        <v>200</v>
      </c>
      <c r="Z90" s="115" t="s">
        <v>201</v>
      </c>
      <c r="AA90" s="115"/>
      <c r="AB90" s="38"/>
      <c r="AC90" s="38"/>
      <c r="AD90" s="38"/>
      <c r="AE90" s="38"/>
      <c r="AF90" s="38"/>
      <c r="AG90" s="38"/>
      <c r="AH90" s="38"/>
      <c r="AI90" s="38"/>
      <c r="AJ90" s="38"/>
    </row>
    <row r="91" spans="1:36" x14ac:dyDescent="0.2">
      <c r="A91" s="38"/>
      <c r="B91" s="38"/>
      <c r="C91" s="38"/>
      <c r="D91" s="38"/>
      <c r="E91" s="38"/>
      <c r="F91" s="38"/>
      <c r="G91" s="38"/>
      <c r="H91" s="38"/>
      <c r="I91" s="38"/>
      <c r="J91" s="38"/>
      <c r="K91" s="38"/>
      <c r="L91" s="120"/>
      <c r="M91" s="121"/>
      <c r="N91" s="121"/>
      <c r="O91" s="120"/>
      <c r="P91" s="122"/>
      <c r="Q91" s="38"/>
      <c r="R91" s="38"/>
      <c r="S91" s="38" t="s">
        <v>230</v>
      </c>
      <c r="T91" s="49">
        <f t="shared" ref="T91:T104" si="0">COUNTIF($L$5:$L$86, S91)</f>
        <v>1</v>
      </c>
      <c r="U91" s="38">
        <f>SUM($T$91:T91)</f>
        <v>1</v>
      </c>
      <c r="V91" s="49">
        <v>1</v>
      </c>
      <c r="W91" s="79"/>
      <c r="X91" s="106"/>
      <c r="Y91" s="79"/>
      <c r="Z91" s="116"/>
      <c r="AA91" s="38"/>
      <c r="AB91" s="38"/>
      <c r="AC91" s="38"/>
      <c r="AD91" s="38"/>
      <c r="AE91" s="38"/>
      <c r="AF91" s="38"/>
      <c r="AG91" s="38"/>
      <c r="AH91" s="38"/>
      <c r="AI91" s="38"/>
    </row>
    <row r="92" spans="1:36" x14ac:dyDescent="0.2">
      <c r="A92" s="38"/>
      <c r="B92" s="38"/>
      <c r="C92" s="38"/>
      <c r="D92" s="38"/>
      <c r="E92" s="38"/>
      <c r="F92" s="38"/>
      <c r="G92" s="38"/>
      <c r="H92" s="38"/>
      <c r="I92" s="38"/>
      <c r="J92" s="38"/>
      <c r="K92" s="38"/>
      <c r="L92" s="120"/>
      <c r="M92" s="121"/>
      <c r="N92" s="121"/>
      <c r="O92" s="120"/>
      <c r="P92" s="122"/>
      <c r="Q92" s="38"/>
      <c r="R92" s="38"/>
      <c r="S92" s="38" t="s">
        <v>231</v>
      </c>
      <c r="T92" s="49">
        <f t="shared" si="0"/>
        <v>1</v>
      </c>
      <c r="U92" s="38">
        <f>SUM($T$91:T92)</f>
        <v>2</v>
      </c>
      <c r="V92" s="49">
        <v>2</v>
      </c>
      <c r="W92" s="79"/>
      <c r="X92" s="106"/>
      <c r="Y92" s="79"/>
      <c r="Z92" s="38"/>
      <c r="AA92" s="38"/>
      <c r="AB92" s="38"/>
      <c r="AC92" s="38"/>
      <c r="AD92" s="38"/>
      <c r="AE92" s="38"/>
      <c r="AF92" s="38"/>
      <c r="AG92" s="38"/>
      <c r="AH92" s="38"/>
      <c r="AI92" s="38"/>
    </row>
    <row r="93" spans="1:36" x14ac:dyDescent="0.2">
      <c r="A93" s="38"/>
      <c r="B93" s="38"/>
      <c r="C93" s="38"/>
      <c r="D93" s="38"/>
      <c r="E93" s="38"/>
      <c r="F93" s="38"/>
      <c r="G93" s="38"/>
      <c r="H93" s="38"/>
      <c r="I93" s="38"/>
      <c r="J93" s="38"/>
      <c r="K93" s="38"/>
      <c r="L93" s="120"/>
      <c r="M93" s="120"/>
      <c r="N93" s="120"/>
      <c r="O93" s="120"/>
      <c r="P93" s="122"/>
      <c r="Q93" s="38"/>
      <c r="R93" s="38"/>
      <c r="S93" s="38" t="s">
        <v>227</v>
      </c>
      <c r="T93" s="49">
        <f t="shared" si="0"/>
        <v>3</v>
      </c>
      <c r="U93" s="38">
        <f>SUM($T$91:T93)</f>
        <v>5</v>
      </c>
      <c r="V93" s="38">
        <v>3</v>
      </c>
      <c r="W93" s="79"/>
      <c r="X93" s="106"/>
      <c r="Y93" s="79"/>
      <c r="Z93" s="38"/>
      <c r="AA93" s="38"/>
      <c r="AB93" s="38"/>
      <c r="AC93" s="38"/>
      <c r="AD93" s="38"/>
      <c r="AE93" s="38"/>
      <c r="AF93" s="38"/>
      <c r="AG93" s="38"/>
      <c r="AH93" s="38"/>
      <c r="AI93" s="38"/>
    </row>
    <row r="94" spans="1:36" x14ac:dyDescent="0.2">
      <c r="A94" s="38"/>
      <c r="B94" s="38"/>
      <c r="C94" s="38"/>
      <c r="D94" s="38"/>
      <c r="E94" s="38"/>
      <c r="F94" s="38"/>
      <c r="G94" s="38"/>
      <c r="H94" s="38"/>
      <c r="I94" s="38"/>
      <c r="J94" s="38"/>
      <c r="K94" s="38"/>
      <c r="L94" s="120"/>
      <c r="M94" s="120"/>
      <c r="N94" s="120"/>
      <c r="O94" s="120"/>
      <c r="P94" s="122"/>
      <c r="Q94" s="38"/>
      <c r="R94" s="38"/>
      <c r="S94" s="38" t="s">
        <v>228</v>
      </c>
      <c r="T94" s="49">
        <f t="shared" si="0"/>
        <v>3</v>
      </c>
      <c r="U94" s="38">
        <f>SUM($T$91:T94)</f>
        <v>8</v>
      </c>
      <c r="V94" s="38">
        <v>4</v>
      </c>
      <c r="W94" s="38"/>
      <c r="X94" s="79"/>
      <c r="Y94" s="106"/>
      <c r="Z94" s="79"/>
      <c r="AA94" s="38"/>
      <c r="AB94" s="38"/>
      <c r="AC94" s="38"/>
      <c r="AD94" s="38"/>
      <c r="AE94" s="38"/>
      <c r="AF94" s="38"/>
      <c r="AG94" s="38"/>
      <c r="AH94" s="38"/>
      <c r="AI94" s="38"/>
    </row>
    <row r="95" spans="1:36" x14ac:dyDescent="0.2">
      <c r="A95" s="38"/>
      <c r="B95" s="50"/>
      <c r="C95" s="38"/>
      <c r="D95" s="38"/>
      <c r="E95" s="38"/>
      <c r="F95" s="38"/>
      <c r="G95" s="38"/>
      <c r="H95" s="38"/>
      <c r="I95" s="38"/>
      <c r="J95" s="38"/>
      <c r="K95" s="38"/>
      <c r="L95" s="120"/>
      <c r="M95" s="120"/>
      <c r="N95" s="120"/>
      <c r="O95" s="120"/>
      <c r="P95" s="122"/>
      <c r="Q95" s="38"/>
      <c r="R95" s="38"/>
      <c r="S95" s="107" t="s">
        <v>225</v>
      </c>
      <c r="T95" s="108">
        <f t="shared" si="0"/>
        <v>9</v>
      </c>
      <c r="U95" s="107">
        <f>SUM($T$91:T95)</f>
        <v>17</v>
      </c>
      <c r="V95" s="107">
        <v>5</v>
      </c>
      <c r="W95" s="38"/>
      <c r="X95" s="79"/>
      <c r="Y95" s="133">
        <f>_xlfn.MINIFS($O$5:$O$86, $L$5:$L$86, $S95)</f>
        <v>0.17013040299051763</v>
      </c>
      <c r="Z95" s="109">
        <f>_xlfn.MAXIFS($O$5:$O$86, $L$5:$L$86, $S95)</f>
        <v>0.41857670291534388</v>
      </c>
      <c r="AA95" s="38"/>
      <c r="AB95" s="38"/>
      <c r="AC95" s="38"/>
      <c r="AD95" s="38"/>
      <c r="AE95" s="38"/>
      <c r="AF95" s="38"/>
      <c r="AG95" s="38"/>
      <c r="AH95" s="38"/>
      <c r="AI95" s="38"/>
    </row>
    <row r="96" spans="1:36" x14ac:dyDescent="0.2">
      <c r="A96" s="38"/>
      <c r="B96" s="50"/>
      <c r="C96" s="38"/>
      <c r="D96" s="38"/>
      <c r="E96" s="38"/>
      <c r="F96" s="38"/>
      <c r="G96" s="38"/>
      <c r="H96" s="38"/>
      <c r="I96" s="38"/>
      <c r="J96" s="38"/>
      <c r="K96" s="38"/>
      <c r="L96" s="120"/>
      <c r="M96" s="120"/>
      <c r="N96" s="120"/>
      <c r="O96" s="120"/>
      <c r="P96" s="122"/>
      <c r="Q96" s="38"/>
      <c r="R96" s="38"/>
      <c r="S96" s="107" t="s">
        <v>219</v>
      </c>
      <c r="T96" s="108">
        <f t="shared" si="0"/>
        <v>6</v>
      </c>
      <c r="U96" s="107">
        <f>SUM($T$91:T96)</f>
        <v>23</v>
      </c>
      <c r="V96" s="107">
        <v>6</v>
      </c>
      <c r="W96" s="38"/>
      <c r="X96" s="79"/>
      <c r="Y96" s="133">
        <f>_xlfn.MINIFS($O$5:$O$86, $L$5:$L$86, $S96)</f>
        <v>0.19474247909778195</v>
      </c>
      <c r="Z96" s="109">
        <f>_xlfn.MAXIFS($O$5:$O$86, $L$5:$L$86, $S96)</f>
        <v>0.5495118386376765</v>
      </c>
      <c r="AA96" s="38"/>
      <c r="AB96" s="38"/>
      <c r="AC96" s="38"/>
      <c r="AD96" s="38"/>
      <c r="AE96" s="38"/>
      <c r="AF96" s="38"/>
      <c r="AG96" s="38"/>
      <c r="AH96" s="38"/>
      <c r="AI96" s="38"/>
    </row>
    <row r="97" spans="1:36" x14ac:dyDescent="0.2">
      <c r="A97" s="38"/>
      <c r="B97" s="50"/>
      <c r="C97" s="38"/>
      <c r="D97" s="38"/>
      <c r="E97" s="38"/>
      <c r="F97" s="38"/>
      <c r="G97" s="38"/>
      <c r="H97" s="38"/>
      <c r="I97" s="38"/>
      <c r="J97" s="38"/>
      <c r="K97" s="38"/>
      <c r="L97" s="120"/>
      <c r="M97" s="120"/>
      <c r="N97" s="120"/>
      <c r="O97" s="120"/>
      <c r="P97" s="122"/>
      <c r="Q97" s="38"/>
      <c r="R97" s="38"/>
      <c r="S97" s="47" t="s">
        <v>220</v>
      </c>
      <c r="T97" s="105">
        <f t="shared" si="0"/>
        <v>5</v>
      </c>
      <c r="U97" s="104">
        <f>SUM($T$91:T97)</f>
        <v>28</v>
      </c>
      <c r="V97" s="104">
        <v>7</v>
      </c>
      <c r="W97" s="79"/>
      <c r="X97" s="106"/>
      <c r="Y97" s="79"/>
      <c r="Z97" s="38"/>
      <c r="AA97" s="38"/>
      <c r="AB97" s="38"/>
      <c r="AC97" s="38"/>
      <c r="AD97" s="38"/>
      <c r="AE97" s="38"/>
      <c r="AF97" s="38"/>
      <c r="AG97" s="38"/>
      <c r="AH97" s="38"/>
      <c r="AI97" s="38"/>
    </row>
    <row r="98" spans="1:36" x14ac:dyDescent="0.2">
      <c r="A98" s="38"/>
      <c r="B98" s="50"/>
      <c r="C98" s="38"/>
      <c r="D98" s="38"/>
      <c r="E98" s="38"/>
      <c r="F98" s="38"/>
      <c r="G98" s="38"/>
      <c r="H98" s="38"/>
      <c r="I98" s="38"/>
      <c r="J98" s="38"/>
      <c r="K98" s="38"/>
      <c r="L98" s="120"/>
      <c r="M98" s="120"/>
      <c r="N98" s="120"/>
      <c r="O98" s="120"/>
      <c r="P98" s="122"/>
      <c r="Q98" s="38"/>
      <c r="R98" s="38"/>
      <c r="S98" s="38" t="s">
        <v>226</v>
      </c>
      <c r="T98" s="49">
        <f t="shared" si="0"/>
        <v>5</v>
      </c>
      <c r="U98" s="38">
        <f>SUM($T$91:T98)</f>
        <v>33</v>
      </c>
      <c r="V98" s="38">
        <v>8</v>
      </c>
      <c r="W98" s="101"/>
      <c r="X98" s="106"/>
      <c r="Y98" s="79"/>
      <c r="Z98" s="38"/>
      <c r="AA98" s="38"/>
      <c r="AB98" s="38"/>
      <c r="AC98" s="38"/>
      <c r="AD98" s="38"/>
      <c r="AE98" s="38"/>
      <c r="AF98" s="38"/>
      <c r="AG98" s="38"/>
      <c r="AH98" s="38"/>
      <c r="AI98" s="38"/>
    </row>
    <row r="99" spans="1:36" x14ac:dyDescent="0.2">
      <c r="A99" s="38"/>
      <c r="B99" s="50"/>
      <c r="C99" s="38"/>
      <c r="D99" s="38"/>
      <c r="E99" s="38"/>
      <c r="F99" s="38"/>
      <c r="G99" s="38"/>
      <c r="H99" s="38"/>
      <c r="I99" s="38"/>
      <c r="J99" s="38"/>
      <c r="K99" s="38"/>
      <c r="L99" s="120"/>
      <c r="M99" s="120"/>
      <c r="N99" s="120"/>
      <c r="O99" s="120"/>
      <c r="P99" s="122"/>
      <c r="Q99" s="38"/>
      <c r="R99" s="38"/>
      <c r="S99" s="38" t="s">
        <v>222</v>
      </c>
      <c r="T99" s="49">
        <f t="shared" si="0"/>
        <v>4</v>
      </c>
      <c r="U99" s="38">
        <f>SUM($T$91:T99)</f>
        <v>37</v>
      </c>
      <c r="V99" s="38">
        <v>9</v>
      </c>
      <c r="W99" s="79"/>
      <c r="X99" s="106"/>
      <c r="Y99" s="79"/>
      <c r="Z99" s="38"/>
      <c r="AA99" s="38"/>
      <c r="AB99" s="38"/>
      <c r="AC99" s="38"/>
      <c r="AD99" s="38"/>
      <c r="AE99" s="38"/>
      <c r="AF99" s="38"/>
      <c r="AG99" s="38"/>
      <c r="AH99" s="38"/>
      <c r="AI99" s="38"/>
    </row>
    <row r="100" spans="1:36" x14ac:dyDescent="0.2">
      <c r="A100" s="38"/>
      <c r="B100" s="50"/>
      <c r="C100" s="38"/>
      <c r="D100" s="38"/>
      <c r="E100" s="38"/>
      <c r="F100" s="38"/>
      <c r="G100" s="38"/>
      <c r="H100" s="38"/>
      <c r="I100" s="38"/>
      <c r="J100" s="38"/>
      <c r="K100" s="38"/>
      <c r="L100" s="120"/>
      <c r="M100" s="120"/>
      <c r="N100" s="120"/>
      <c r="O100" s="120"/>
      <c r="P100" s="122"/>
      <c r="Q100" s="38"/>
      <c r="R100" s="38"/>
      <c r="S100" s="38" t="s">
        <v>229</v>
      </c>
      <c r="T100" s="49">
        <f t="shared" si="0"/>
        <v>2</v>
      </c>
      <c r="U100" s="38">
        <f>SUM($T$91:T100)</f>
        <v>39</v>
      </c>
      <c r="V100" s="38">
        <v>10</v>
      </c>
      <c r="W100" s="79"/>
      <c r="X100" s="106"/>
      <c r="Y100" s="79"/>
      <c r="Z100" s="38"/>
      <c r="AA100" s="38"/>
      <c r="AB100" s="38"/>
      <c r="AC100" s="38"/>
      <c r="AD100" s="38"/>
      <c r="AE100" s="38"/>
      <c r="AF100" s="38"/>
      <c r="AG100" s="38"/>
      <c r="AH100" s="38"/>
      <c r="AI100" s="38"/>
    </row>
    <row r="101" spans="1:36" x14ac:dyDescent="0.2">
      <c r="A101" s="38"/>
      <c r="B101" s="45"/>
      <c r="C101" s="38"/>
      <c r="D101" s="38"/>
      <c r="E101" s="38"/>
      <c r="F101" s="38"/>
      <c r="G101" s="38"/>
      <c r="H101" s="38"/>
      <c r="I101" s="38"/>
      <c r="J101" s="38"/>
      <c r="K101" s="38"/>
      <c r="L101" s="120"/>
      <c r="M101" s="120"/>
      <c r="N101" s="120"/>
      <c r="O101" s="120"/>
      <c r="P101" s="122"/>
      <c r="Q101" s="38"/>
      <c r="R101" s="38"/>
      <c r="S101" s="38" t="s">
        <v>224</v>
      </c>
      <c r="T101" s="49">
        <f t="shared" si="0"/>
        <v>1</v>
      </c>
      <c r="U101" s="38">
        <f>SUM($T$91:T101)</f>
        <v>40</v>
      </c>
      <c r="V101" s="38">
        <v>11</v>
      </c>
      <c r="W101" s="79"/>
      <c r="X101" s="106"/>
      <c r="Y101" s="79"/>
      <c r="Z101" s="38"/>
      <c r="AA101" s="38"/>
      <c r="AB101" s="38"/>
      <c r="AC101" s="38"/>
      <c r="AD101" s="38"/>
      <c r="AE101" s="38"/>
      <c r="AF101" s="38"/>
      <c r="AG101" s="38"/>
      <c r="AH101" s="38"/>
      <c r="AI101" s="38"/>
    </row>
    <row r="102" spans="1:36" x14ac:dyDescent="0.2">
      <c r="A102" s="38"/>
      <c r="B102" s="50"/>
      <c r="C102" s="38"/>
      <c r="D102" s="38"/>
      <c r="E102" s="38"/>
      <c r="F102" s="38"/>
      <c r="G102" s="38"/>
      <c r="H102" s="38"/>
      <c r="I102" s="38"/>
      <c r="J102" s="38"/>
      <c r="K102" s="38"/>
      <c r="L102" s="120"/>
      <c r="M102" s="120"/>
      <c r="N102" s="120"/>
      <c r="O102" s="120"/>
      <c r="P102" s="122"/>
      <c r="Q102" s="38"/>
      <c r="R102" s="38"/>
      <c r="S102" s="38" t="s">
        <v>223</v>
      </c>
      <c r="T102" s="49">
        <f t="shared" si="0"/>
        <v>1</v>
      </c>
      <c r="U102" s="38">
        <f>SUM($T$91:T102)</f>
        <v>41</v>
      </c>
      <c r="V102" s="38">
        <v>12</v>
      </c>
      <c r="W102" s="101"/>
      <c r="X102" s="106"/>
      <c r="Y102" s="79"/>
      <c r="Z102" s="38"/>
      <c r="AA102" s="38"/>
      <c r="AB102" s="38"/>
      <c r="AC102" s="38"/>
      <c r="AD102" s="38"/>
      <c r="AE102" s="38"/>
      <c r="AF102" s="38"/>
      <c r="AG102" s="38"/>
      <c r="AH102" s="38"/>
      <c r="AI102" s="38"/>
    </row>
    <row r="103" spans="1:36" x14ac:dyDescent="0.2">
      <c r="A103" s="38"/>
      <c r="B103" s="50"/>
      <c r="C103" s="38"/>
      <c r="D103" s="38"/>
      <c r="E103" s="38"/>
      <c r="F103" s="38"/>
      <c r="G103" s="38"/>
      <c r="H103" s="38"/>
      <c r="I103" s="38"/>
      <c r="J103" s="38"/>
      <c r="K103" s="38"/>
      <c r="L103" s="120"/>
      <c r="M103" s="120"/>
      <c r="N103" s="120"/>
      <c r="O103" s="120"/>
      <c r="P103" s="122"/>
      <c r="Q103" s="38"/>
      <c r="R103" s="38"/>
      <c r="S103" s="38" t="s">
        <v>234</v>
      </c>
      <c r="T103" s="49">
        <f t="shared" si="0"/>
        <v>0</v>
      </c>
      <c r="U103" s="38">
        <f>SUM($T$91:T103)</f>
        <v>41</v>
      </c>
      <c r="V103" s="38">
        <v>13</v>
      </c>
      <c r="W103" s="79"/>
      <c r="X103" s="106"/>
      <c r="Y103" s="79"/>
      <c r="Z103" s="38"/>
      <c r="AA103" s="38"/>
      <c r="AB103" s="38"/>
      <c r="AC103" s="38"/>
      <c r="AD103" s="38"/>
      <c r="AE103" s="38"/>
      <c r="AF103" s="38"/>
      <c r="AG103" s="38"/>
      <c r="AH103" s="38"/>
      <c r="AI103" s="38"/>
    </row>
    <row r="104" spans="1:36" x14ac:dyDescent="0.2">
      <c r="A104" s="38"/>
      <c r="B104" s="50"/>
      <c r="C104" s="38"/>
      <c r="D104" s="38"/>
      <c r="E104" s="38"/>
      <c r="F104" s="38"/>
      <c r="G104" s="38"/>
      <c r="H104" s="38"/>
      <c r="I104" s="38"/>
      <c r="J104" s="38"/>
      <c r="K104" s="38"/>
      <c r="L104" s="120"/>
      <c r="M104" s="120"/>
      <c r="N104" s="120"/>
      <c r="O104" s="120"/>
      <c r="P104" s="122"/>
      <c r="Q104" s="38"/>
      <c r="R104" s="38"/>
      <c r="S104" s="47" t="s">
        <v>235</v>
      </c>
      <c r="T104" s="105">
        <f t="shared" si="0"/>
        <v>0</v>
      </c>
      <c r="U104" s="104">
        <f>SUM($T$91:T104)</f>
        <v>41</v>
      </c>
      <c r="V104" s="47">
        <v>14</v>
      </c>
      <c r="W104" s="110"/>
      <c r="X104" s="111"/>
      <c r="Y104" s="110"/>
      <c r="Z104" s="38"/>
      <c r="AA104" s="38"/>
      <c r="AB104" s="38"/>
      <c r="AC104" s="38"/>
      <c r="AD104" s="38"/>
      <c r="AE104" s="38"/>
      <c r="AF104" s="38"/>
      <c r="AG104" s="38"/>
      <c r="AH104" s="38"/>
      <c r="AI104" s="38"/>
    </row>
    <row r="105" spans="1:36" x14ac:dyDescent="0.2">
      <c r="A105" s="38"/>
      <c r="B105" s="50"/>
      <c r="C105" s="38"/>
      <c r="D105" s="38"/>
      <c r="E105" s="38"/>
      <c r="F105" s="38"/>
      <c r="G105" s="38"/>
      <c r="H105" s="38"/>
      <c r="I105" s="38"/>
      <c r="J105" s="38"/>
      <c r="K105" s="38"/>
      <c r="L105" s="120"/>
      <c r="M105" s="120"/>
      <c r="N105" s="120"/>
      <c r="O105" s="120"/>
      <c r="P105" s="120"/>
      <c r="Q105" s="38"/>
      <c r="R105" s="38"/>
      <c r="S105" s="38"/>
      <c r="T105" s="38"/>
      <c r="U105" s="38">
        <f>SUM(T91:T104)</f>
        <v>41</v>
      </c>
      <c r="V105" s="38"/>
      <c r="W105" s="38"/>
      <c r="X105" s="38"/>
      <c r="Y105" s="38"/>
      <c r="Z105" s="38"/>
      <c r="AA105" s="38"/>
      <c r="AB105" s="38"/>
      <c r="AC105" s="38"/>
      <c r="AD105" s="38"/>
      <c r="AE105" s="38"/>
      <c r="AF105" s="38"/>
      <c r="AG105" s="38"/>
      <c r="AH105" s="38"/>
      <c r="AI105" s="38"/>
      <c r="AJ105" s="38"/>
    </row>
    <row r="106" spans="1:36" ht="15" x14ac:dyDescent="0.25">
      <c r="A106" s="38"/>
      <c r="B106" s="50"/>
      <c r="C106" s="38"/>
      <c r="D106" s="38"/>
      <c r="E106" s="38"/>
      <c r="F106" s="38"/>
      <c r="G106" s="38"/>
      <c r="H106" s="38"/>
      <c r="I106" s="38"/>
      <c r="J106" s="38"/>
      <c r="K106" s="38"/>
      <c r="L106" s="120"/>
      <c r="M106" s="119"/>
      <c r="N106" s="119"/>
      <c r="O106" s="120"/>
      <c r="P106" s="120"/>
      <c r="Q106" s="38"/>
      <c r="R106" s="38"/>
      <c r="S106" s="38"/>
      <c r="T106" s="127" t="s">
        <v>236</v>
      </c>
      <c r="U106" s="46">
        <f>COUNTIF($M$5:$M$86,"&gt;0")-U105</f>
        <v>0</v>
      </c>
      <c r="V106" s="38"/>
      <c r="W106" s="38"/>
      <c r="X106" s="38"/>
      <c r="Y106" s="38"/>
      <c r="Z106" s="38"/>
      <c r="AA106" s="38"/>
      <c r="AB106" s="38"/>
      <c r="AC106" s="38"/>
      <c r="AD106" s="38"/>
      <c r="AE106" s="38"/>
      <c r="AF106" s="38"/>
      <c r="AG106" s="38"/>
      <c r="AH106" s="38"/>
      <c r="AI106" s="38"/>
      <c r="AJ106" s="38"/>
    </row>
    <row r="107" spans="1:36" ht="15" x14ac:dyDescent="0.25">
      <c r="A107" s="38"/>
      <c r="B107" s="45"/>
      <c r="C107" s="38"/>
      <c r="D107" s="38"/>
      <c r="E107" s="38"/>
      <c r="F107" s="38"/>
      <c r="G107" s="38"/>
      <c r="H107" s="38"/>
      <c r="I107" s="38"/>
      <c r="J107" s="38"/>
      <c r="K107" s="38"/>
      <c r="L107" s="120"/>
      <c r="M107" s="119"/>
      <c r="N107" s="123"/>
      <c r="O107" s="124"/>
      <c r="P107" s="120"/>
      <c r="Q107" s="38"/>
      <c r="R107" s="38"/>
      <c r="S107" s="38"/>
      <c r="T107" s="127" t="s">
        <v>269</v>
      </c>
      <c r="U107" s="51">
        <f>SUMPRODUCT(V91:V104,T91:T104)/SUM(T91:T104)</f>
        <v>6.3170731707317076</v>
      </c>
      <c r="V107" s="114" t="s">
        <v>237</v>
      </c>
      <c r="W107" s="38"/>
      <c r="X107" s="38"/>
      <c r="Y107" s="38"/>
      <c r="Z107" s="38"/>
      <c r="AA107" s="38"/>
      <c r="AB107" s="38"/>
      <c r="AC107" s="38"/>
      <c r="AD107" s="38"/>
      <c r="AE107" s="38"/>
      <c r="AF107" s="38"/>
      <c r="AG107" s="38"/>
      <c r="AH107" s="38"/>
      <c r="AI107" s="38"/>
      <c r="AJ107" s="38"/>
    </row>
    <row r="108" spans="1:36" ht="15" x14ac:dyDescent="0.25">
      <c r="A108" s="38"/>
      <c r="B108" s="45"/>
      <c r="C108" s="38"/>
      <c r="D108" s="38"/>
      <c r="E108" s="38"/>
      <c r="F108" s="38"/>
      <c r="G108" s="38"/>
      <c r="H108" s="38"/>
      <c r="I108" s="38"/>
      <c r="J108" s="38"/>
      <c r="K108" s="38"/>
      <c r="L108" s="120"/>
      <c r="M108" s="119"/>
      <c r="N108" s="123"/>
      <c r="O108" s="124"/>
      <c r="P108" s="120"/>
      <c r="Q108" s="38"/>
      <c r="R108" s="38"/>
      <c r="S108" s="38"/>
      <c r="T108" s="127" t="s">
        <v>270</v>
      </c>
      <c r="U108" s="51">
        <f>SUMPRODUCT(V91:V97,T91:T97)/SUM(T91:T97)</f>
        <v>5</v>
      </c>
      <c r="V108" s="113" t="s">
        <v>225</v>
      </c>
      <c r="W108" s="38"/>
      <c r="X108" s="38"/>
      <c r="Y108" s="38"/>
      <c r="Z108" s="38"/>
      <c r="AA108" s="38"/>
      <c r="AB108" s="38"/>
      <c r="AC108" s="38"/>
      <c r="AD108" s="38"/>
      <c r="AE108" s="38"/>
      <c r="AF108" s="38"/>
      <c r="AG108" s="38"/>
      <c r="AH108" s="38"/>
      <c r="AI108" s="38"/>
      <c r="AJ108" s="38"/>
    </row>
    <row r="109" spans="1:36" x14ac:dyDescent="0.2">
      <c r="A109" s="38"/>
      <c r="B109" s="50"/>
      <c r="C109" s="38"/>
      <c r="D109" s="38"/>
      <c r="E109" s="38"/>
      <c r="F109" s="38"/>
      <c r="G109" s="38"/>
      <c r="H109" s="38"/>
      <c r="I109" s="38"/>
      <c r="J109" s="38"/>
      <c r="K109" s="38"/>
      <c r="L109" s="120"/>
      <c r="M109" s="120"/>
      <c r="N109" s="120"/>
      <c r="O109" s="120"/>
      <c r="P109" s="120"/>
      <c r="Q109" s="38"/>
      <c r="R109" s="38"/>
      <c r="S109" s="38"/>
      <c r="T109" s="125"/>
      <c r="U109" s="38"/>
      <c r="V109" s="112"/>
      <c r="W109" s="38"/>
      <c r="X109" s="38"/>
      <c r="Y109" s="38"/>
      <c r="Z109" s="38"/>
      <c r="AA109" s="38"/>
      <c r="AB109" s="38"/>
      <c r="AC109" s="38"/>
      <c r="AD109" s="38"/>
      <c r="AE109" s="38"/>
      <c r="AF109" s="38"/>
      <c r="AG109" s="38"/>
      <c r="AH109" s="38"/>
      <c r="AI109" s="38"/>
      <c r="AJ109" s="38"/>
    </row>
    <row r="110" spans="1:36" ht="15" x14ac:dyDescent="0.25">
      <c r="A110" s="38"/>
      <c r="B110" s="50"/>
      <c r="C110" s="38"/>
      <c r="D110" s="38"/>
      <c r="E110" s="38"/>
      <c r="F110" s="38"/>
      <c r="G110" s="38"/>
      <c r="H110" s="38"/>
      <c r="I110" s="38"/>
      <c r="J110" s="38"/>
      <c r="K110" s="38"/>
      <c r="L110" s="119"/>
      <c r="M110" s="120"/>
      <c r="N110" s="120"/>
      <c r="O110" s="120"/>
      <c r="P110" s="120"/>
      <c r="Q110" s="38"/>
      <c r="R110" s="38"/>
      <c r="S110" s="38"/>
      <c r="T110" s="126" t="s">
        <v>263</v>
      </c>
      <c r="U110" s="145">
        <f>INDEX($T$91:$V$104,(MATCH(((SUM($T$91:$T$104)+1)/2),$U$91:$U$104,1)+1),3)</f>
        <v>6</v>
      </c>
      <c r="V110" s="117" t="s">
        <v>219</v>
      </c>
      <c r="W110" s="38"/>
      <c r="X110" s="38"/>
      <c r="Y110" s="38"/>
      <c r="Z110" s="38"/>
      <c r="AA110" s="38"/>
      <c r="AB110" s="38"/>
      <c r="AC110" s="38"/>
      <c r="AD110" s="38"/>
      <c r="AE110" s="38"/>
      <c r="AF110" s="38"/>
      <c r="AG110" s="38"/>
      <c r="AH110" s="38"/>
      <c r="AI110" s="38"/>
      <c r="AJ110" s="38"/>
    </row>
    <row r="111" spans="1:36" x14ac:dyDescent="0.2">
      <c r="A111" s="38"/>
      <c r="B111" s="45"/>
      <c r="C111" s="38"/>
      <c r="D111" s="38"/>
      <c r="E111" s="38"/>
      <c r="F111" s="38"/>
      <c r="G111" s="38"/>
      <c r="H111" s="38"/>
      <c r="I111" s="38"/>
      <c r="J111" s="38"/>
      <c r="K111" s="38"/>
      <c r="L111" s="120"/>
      <c r="M111" s="120"/>
      <c r="N111" s="120"/>
      <c r="O111" s="120"/>
      <c r="P111" s="120"/>
      <c r="Q111" s="38"/>
      <c r="R111" s="38"/>
      <c r="S111" s="38"/>
      <c r="T111" s="126" t="s">
        <v>264</v>
      </c>
      <c r="U111" s="145">
        <f>INDEX(T91:V97,(MATCH((SUM($T$91:$T$97)+1)/2,U91:U97,1)+1),3)</f>
        <v>5</v>
      </c>
      <c r="V111" s="118" t="s">
        <v>225</v>
      </c>
      <c r="W111" s="38"/>
      <c r="X111" s="38"/>
      <c r="Y111" s="38"/>
      <c r="Z111" s="38"/>
      <c r="AA111" s="38"/>
      <c r="AB111" s="38"/>
      <c r="AC111" s="38"/>
      <c r="AD111" s="38"/>
      <c r="AE111" s="38"/>
      <c r="AF111" s="38"/>
      <c r="AG111" s="38"/>
      <c r="AH111" s="38"/>
      <c r="AI111" s="38"/>
      <c r="AJ111" s="38"/>
    </row>
    <row r="112" spans="1:36" x14ac:dyDescent="0.2">
      <c r="A112" s="38"/>
      <c r="B112" s="45"/>
      <c r="C112" s="38"/>
      <c r="D112" s="38"/>
      <c r="E112" s="38"/>
      <c r="F112" s="38"/>
      <c r="G112" s="38"/>
      <c r="H112" s="38"/>
      <c r="I112" s="38"/>
      <c r="J112" s="38"/>
      <c r="K112" s="38"/>
      <c r="L112" s="120"/>
      <c r="M112" s="121"/>
      <c r="N112" s="121"/>
      <c r="O112" s="120"/>
      <c r="P112" s="120"/>
      <c r="Q112" s="38"/>
      <c r="R112" s="38"/>
      <c r="S112" s="38"/>
      <c r="T112" s="125"/>
      <c r="U112" s="145"/>
      <c r="V112" s="128"/>
      <c r="W112" s="38"/>
      <c r="X112" s="38"/>
      <c r="Y112" s="38"/>
      <c r="Z112" s="38"/>
      <c r="AA112" s="38"/>
      <c r="AB112" s="38"/>
      <c r="AC112" s="38"/>
      <c r="AD112" s="38"/>
      <c r="AE112" s="38"/>
      <c r="AF112" s="38"/>
      <c r="AG112" s="38"/>
      <c r="AH112" s="38"/>
      <c r="AI112" s="38"/>
      <c r="AJ112" s="38"/>
    </row>
    <row r="113" spans="1:36" x14ac:dyDescent="0.2">
      <c r="A113" s="38"/>
      <c r="B113" s="45"/>
      <c r="C113" s="38"/>
      <c r="D113" s="38"/>
      <c r="E113" s="38"/>
      <c r="F113" s="38"/>
      <c r="G113" s="38"/>
      <c r="H113" s="38"/>
      <c r="I113" s="38"/>
      <c r="J113" s="38"/>
      <c r="K113" s="38"/>
      <c r="L113" s="120"/>
      <c r="M113" s="121"/>
      <c r="N113" s="121"/>
      <c r="O113" s="120"/>
      <c r="P113" s="120"/>
      <c r="Q113" s="38"/>
      <c r="R113" s="38"/>
      <c r="S113" s="38"/>
      <c r="T113" s="126" t="s">
        <v>267</v>
      </c>
      <c r="U113" s="146">
        <f>VLOOKUP(MAX(T91:T104),T91:V104,3,FALSE)</f>
        <v>5</v>
      </c>
      <c r="V113" s="129" t="s">
        <v>225</v>
      </c>
      <c r="W113" s="38"/>
      <c r="X113" s="38"/>
      <c r="Y113" s="38"/>
      <c r="Z113" s="38"/>
      <c r="AA113" s="38"/>
      <c r="AB113" s="38"/>
      <c r="AC113" s="38"/>
      <c r="AD113" s="38"/>
      <c r="AE113" s="38"/>
      <c r="AF113" s="38"/>
      <c r="AG113" s="38"/>
      <c r="AH113" s="38"/>
      <c r="AI113" s="38"/>
      <c r="AJ113" s="38"/>
    </row>
    <row r="114" spans="1:36" x14ac:dyDescent="0.2">
      <c r="A114" s="38"/>
      <c r="B114" s="45"/>
      <c r="C114" s="38"/>
      <c r="D114" s="38"/>
      <c r="E114" s="38"/>
      <c r="F114" s="38"/>
      <c r="G114" s="38"/>
      <c r="H114" s="38"/>
      <c r="I114" s="38"/>
      <c r="J114" s="38"/>
      <c r="K114" s="38"/>
      <c r="L114" s="120"/>
      <c r="M114" s="121"/>
      <c r="N114" s="121"/>
      <c r="O114" s="120"/>
      <c r="P114" s="120"/>
      <c r="Q114" s="38"/>
      <c r="R114" s="38"/>
      <c r="T114" s="126" t="s">
        <v>268</v>
      </c>
      <c r="U114" s="147">
        <f>VLOOKUP(MAX(T91:T97),T91:V97,3,FALSE)</f>
        <v>5</v>
      </c>
      <c r="V114" s="130" t="s">
        <v>225</v>
      </c>
      <c r="W114" s="38"/>
      <c r="X114" s="38"/>
      <c r="Y114" s="38"/>
      <c r="Z114" s="38"/>
      <c r="AA114" s="38"/>
      <c r="AB114" s="38"/>
      <c r="AC114" s="38"/>
      <c r="AD114" s="38"/>
      <c r="AE114" s="38"/>
      <c r="AF114" s="38"/>
      <c r="AG114" s="38"/>
      <c r="AH114" s="38"/>
      <c r="AI114" s="38"/>
      <c r="AJ114" s="38"/>
    </row>
    <row r="115" spans="1:36" x14ac:dyDescent="0.2">
      <c r="A115" s="38"/>
      <c r="B115" s="45"/>
      <c r="C115" s="38"/>
      <c r="D115" s="38"/>
      <c r="E115" s="38"/>
      <c r="F115" s="38"/>
      <c r="G115" s="38"/>
      <c r="H115" s="38"/>
      <c r="I115" s="38"/>
      <c r="J115" s="38"/>
      <c r="K115" s="38"/>
      <c r="L115" s="120"/>
      <c r="M115" s="120"/>
      <c r="N115" s="120"/>
      <c r="O115" s="120"/>
      <c r="P115" s="120"/>
      <c r="Q115" s="38"/>
      <c r="R115" s="38"/>
      <c r="S115" s="120"/>
      <c r="T115" s="120"/>
      <c r="U115" s="120"/>
      <c r="V115" s="120"/>
      <c r="W115" s="38"/>
      <c r="X115" s="38"/>
      <c r="Y115" s="38"/>
      <c r="Z115" s="38"/>
      <c r="AA115" s="38"/>
      <c r="AB115" s="38"/>
      <c r="AC115" s="38"/>
      <c r="AD115" s="38"/>
      <c r="AE115" s="38"/>
      <c r="AF115" s="38"/>
      <c r="AG115" s="38"/>
      <c r="AH115" s="38"/>
      <c r="AI115" s="38"/>
      <c r="AJ115" s="38"/>
    </row>
    <row r="116" spans="1:36" x14ac:dyDescent="0.2">
      <c r="A116" s="38"/>
      <c r="B116" s="45"/>
      <c r="C116" s="38"/>
      <c r="D116" s="38"/>
      <c r="E116" s="38"/>
      <c r="F116" s="38"/>
      <c r="G116" s="38"/>
      <c r="H116" s="38"/>
      <c r="I116" s="38"/>
      <c r="J116" s="38"/>
      <c r="K116" s="38"/>
      <c r="L116" s="120"/>
      <c r="M116" s="120"/>
      <c r="N116" s="120"/>
      <c r="O116" s="120"/>
      <c r="P116" s="120"/>
      <c r="Q116" s="38"/>
      <c r="R116" s="38"/>
      <c r="S116" s="120"/>
      <c r="T116" s="120"/>
      <c r="U116" s="120"/>
      <c r="V116" s="120"/>
      <c r="W116" s="38"/>
      <c r="X116" s="38"/>
      <c r="Y116" s="38"/>
      <c r="Z116" s="38"/>
      <c r="AA116" s="38"/>
      <c r="AB116" s="38"/>
      <c r="AC116" s="38"/>
      <c r="AD116" s="38"/>
      <c r="AE116" s="38"/>
      <c r="AF116" s="38"/>
      <c r="AG116" s="38"/>
      <c r="AH116" s="38"/>
      <c r="AI116" s="38"/>
      <c r="AJ116" s="38"/>
    </row>
    <row r="117" spans="1:36" x14ac:dyDescent="0.2">
      <c r="A117" s="38"/>
      <c r="B117" s="45"/>
      <c r="C117" s="38"/>
      <c r="D117" s="38"/>
      <c r="E117" s="38"/>
      <c r="F117" s="38"/>
      <c r="G117" s="38"/>
      <c r="H117" s="38"/>
      <c r="I117" s="38"/>
      <c r="J117" s="38"/>
      <c r="K117" s="38"/>
      <c r="L117" s="120"/>
      <c r="M117" s="120"/>
      <c r="N117" s="120"/>
      <c r="O117" s="120"/>
      <c r="P117" s="120"/>
      <c r="Q117" s="38"/>
      <c r="R117" s="38"/>
      <c r="S117" s="120"/>
      <c r="T117" s="120"/>
      <c r="U117" s="120"/>
      <c r="V117" s="120"/>
      <c r="W117" s="38"/>
      <c r="X117" s="38"/>
      <c r="Y117" s="38"/>
      <c r="Z117" s="38"/>
      <c r="AA117" s="38"/>
      <c r="AB117" s="38"/>
      <c r="AC117" s="38"/>
      <c r="AD117" s="38"/>
      <c r="AE117" s="38"/>
      <c r="AF117" s="38"/>
      <c r="AG117" s="38"/>
      <c r="AH117" s="38"/>
      <c r="AI117" s="38"/>
      <c r="AJ117" s="38"/>
    </row>
    <row r="118" spans="1:36" x14ac:dyDescent="0.2">
      <c r="A118" s="38"/>
      <c r="B118" s="45"/>
      <c r="C118" s="38"/>
      <c r="D118" s="38"/>
      <c r="E118" s="38"/>
      <c r="F118" s="38"/>
      <c r="G118" s="38"/>
      <c r="H118" s="38"/>
      <c r="I118" s="38"/>
      <c r="J118" s="38"/>
      <c r="K118" s="38"/>
      <c r="L118" s="120"/>
      <c r="M118" s="120"/>
      <c r="N118" s="120"/>
      <c r="O118" s="120"/>
      <c r="P118" s="120"/>
      <c r="Q118" s="38"/>
      <c r="R118" s="38"/>
      <c r="S118" s="120"/>
      <c r="T118" s="120"/>
      <c r="U118" s="120"/>
      <c r="V118" s="120"/>
      <c r="W118" s="38"/>
      <c r="X118" s="38"/>
      <c r="Y118" s="38"/>
      <c r="Z118" s="38"/>
      <c r="AA118" s="38"/>
      <c r="AB118" s="38"/>
      <c r="AC118" s="38"/>
      <c r="AD118" s="38"/>
      <c r="AE118" s="38"/>
      <c r="AF118" s="38"/>
      <c r="AG118" s="38"/>
      <c r="AH118" s="38"/>
      <c r="AI118" s="38"/>
      <c r="AJ118" s="38"/>
    </row>
    <row r="119" spans="1:36" x14ac:dyDescent="0.2">
      <c r="A119" s="38"/>
      <c r="B119" s="45"/>
      <c r="C119" s="38"/>
      <c r="D119" s="38"/>
      <c r="E119" s="38"/>
      <c r="F119" s="38"/>
      <c r="G119" s="38"/>
      <c r="H119" s="38"/>
      <c r="I119" s="38"/>
      <c r="J119" s="38"/>
      <c r="K119" s="38"/>
      <c r="L119" s="120"/>
      <c r="M119" s="120"/>
      <c r="N119" s="120"/>
      <c r="O119" s="120"/>
      <c r="P119" s="120"/>
      <c r="Q119" s="38"/>
      <c r="R119" s="38"/>
      <c r="S119" s="120"/>
      <c r="T119" s="120"/>
      <c r="U119" s="120"/>
      <c r="V119" s="120"/>
      <c r="W119" s="38"/>
      <c r="X119" s="38"/>
      <c r="Y119" s="38"/>
      <c r="Z119" s="38"/>
      <c r="AA119" s="38"/>
      <c r="AB119" s="38"/>
      <c r="AC119" s="38"/>
      <c r="AD119" s="38"/>
      <c r="AE119" s="38"/>
      <c r="AF119" s="38"/>
      <c r="AG119" s="38"/>
      <c r="AH119" s="38"/>
      <c r="AI119" s="38"/>
      <c r="AJ119" s="38"/>
    </row>
    <row r="120" spans="1:36" x14ac:dyDescent="0.2">
      <c r="A120" s="38"/>
      <c r="B120" s="45"/>
      <c r="C120" s="38"/>
      <c r="D120" s="38"/>
      <c r="E120" s="38"/>
      <c r="F120" s="38"/>
      <c r="G120" s="38"/>
      <c r="H120" s="38"/>
      <c r="I120" s="38"/>
      <c r="J120" s="38"/>
      <c r="K120" s="38"/>
      <c r="L120" s="120"/>
      <c r="M120" s="120"/>
      <c r="N120" s="120"/>
      <c r="O120" s="120"/>
      <c r="P120" s="120"/>
      <c r="Q120" s="38"/>
      <c r="R120" s="38"/>
      <c r="S120" s="120"/>
      <c r="T120" s="120"/>
      <c r="U120" s="120"/>
      <c r="V120" s="120"/>
      <c r="W120" s="38"/>
      <c r="X120" s="38"/>
      <c r="Y120" s="38"/>
      <c r="Z120" s="38"/>
      <c r="AA120" s="38"/>
      <c r="AB120" s="38"/>
      <c r="AC120" s="38"/>
      <c r="AD120" s="38"/>
      <c r="AE120" s="38"/>
      <c r="AF120" s="38"/>
      <c r="AG120" s="38"/>
      <c r="AH120" s="38"/>
      <c r="AI120" s="38"/>
      <c r="AJ120" s="38"/>
    </row>
    <row r="121" spans="1:36" x14ac:dyDescent="0.2">
      <c r="A121" s="38"/>
      <c r="B121" s="45"/>
      <c r="C121" s="38"/>
      <c r="D121" s="38"/>
      <c r="E121" s="38"/>
      <c r="F121" s="38"/>
      <c r="G121" s="38"/>
      <c r="H121" s="38"/>
      <c r="I121" s="38"/>
      <c r="J121" s="38"/>
      <c r="K121" s="38"/>
      <c r="L121" s="120"/>
      <c r="M121" s="120"/>
      <c r="N121" s="120"/>
      <c r="O121" s="120"/>
      <c r="P121" s="120"/>
      <c r="Q121" s="38"/>
      <c r="R121" s="38"/>
      <c r="S121" s="120"/>
      <c r="T121" s="131"/>
      <c r="U121" s="131"/>
      <c r="V121" s="131"/>
      <c r="W121" s="38"/>
      <c r="X121" s="38"/>
      <c r="Y121" s="38"/>
      <c r="Z121" s="38"/>
      <c r="AA121" s="38"/>
      <c r="AB121" s="38"/>
      <c r="AC121" s="38"/>
      <c r="AD121" s="38"/>
      <c r="AE121" s="38"/>
      <c r="AF121" s="38"/>
      <c r="AG121" s="38"/>
      <c r="AH121" s="38"/>
      <c r="AI121" s="38"/>
      <c r="AJ121" s="38"/>
    </row>
    <row r="122" spans="1:36" x14ac:dyDescent="0.2">
      <c r="A122" s="38"/>
      <c r="B122" s="45"/>
      <c r="C122" s="38"/>
      <c r="D122" s="38"/>
      <c r="E122" s="38"/>
      <c r="F122" s="38"/>
      <c r="G122" s="38"/>
      <c r="H122" s="38"/>
      <c r="I122" s="38"/>
      <c r="J122" s="38"/>
      <c r="K122" s="38"/>
      <c r="L122" s="120"/>
      <c r="M122" s="120"/>
      <c r="N122" s="120"/>
      <c r="O122" s="120"/>
      <c r="P122" s="120"/>
      <c r="Q122" s="38"/>
      <c r="R122" s="38"/>
      <c r="S122" s="132"/>
      <c r="T122" s="120"/>
      <c r="U122" s="120"/>
      <c r="V122" s="120"/>
      <c r="W122" s="38"/>
      <c r="X122" s="38"/>
      <c r="Y122" s="38"/>
      <c r="Z122" s="38"/>
      <c r="AA122" s="38"/>
      <c r="AB122" s="38"/>
      <c r="AC122" s="38"/>
      <c r="AD122" s="38"/>
      <c r="AE122" s="38"/>
      <c r="AF122" s="38"/>
      <c r="AG122" s="38"/>
      <c r="AH122" s="38"/>
      <c r="AI122" s="38"/>
      <c r="AJ122" s="38"/>
    </row>
    <row r="123" spans="1:36" x14ac:dyDescent="0.2">
      <c r="A123" s="38"/>
      <c r="B123" s="45"/>
      <c r="C123" s="38"/>
      <c r="D123" s="38"/>
      <c r="E123" s="38"/>
      <c r="F123" s="38"/>
      <c r="G123" s="38"/>
      <c r="H123" s="38"/>
      <c r="I123" s="38"/>
      <c r="J123" s="38"/>
      <c r="K123" s="38"/>
      <c r="L123" s="120"/>
      <c r="M123" s="120"/>
      <c r="N123" s="120"/>
      <c r="O123" s="120"/>
      <c r="P123" s="120"/>
      <c r="Q123" s="38"/>
      <c r="R123" s="38"/>
      <c r="S123" s="132"/>
      <c r="T123" s="120"/>
      <c r="U123" s="120"/>
      <c r="V123" s="120"/>
      <c r="W123" s="38"/>
      <c r="X123" s="38"/>
      <c r="Y123" s="38"/>
      <c r="Z123" s="38"/>
      <c r="AA123" s="38"/>
      <c r="AB123" s="38"/>
      <c r="AC123" s="38"/>
      <c r="AD123" s="38"/>
      <c r="AE123" s="38"/>
      <c r="AF123" s="38"/>
      <c r="AG123" s="38"/>
      <c r="AH123" s="38"/>
      <c r="AI123" s="38"/>
      <c r="AJ123" s="38"/>
    </row>
    <row r="124" spans="1:36" x14ac:dyDescent="0.2">
      <c r="A124" s="38"/>
      <c r="B124" s="45"/>
      <c r="C124" s="38"/>
      <c r="D124" s="38"/>
      <c r="E124" s="38"/>
      <c r="F124" s="38"/>
      <c r="G124" s="38"/>
      <c r="H124" s="38"/>
      <c r="I124" s="38"/>
      <c r="J124" s="38"/>
      <c r="K124" s="38"/>
      <c r="L124" s="120"/>
      <c r="M124" s="120"/>
      <c r="N124" s="120"/>
      <c r="O124" s="120"/>
      <c r="P124" s="120"/>
      <c r="Q124" s="38"/>
      <c r="R124" s="38"/>
      <c r="S124" s="120"/>
      <c r="T124" s="120"/>
      <c r="U124" s="120"/>
      <c r="V124" s="120"/>
      <c r="W124" s="38"/>
      <c r="X124" s="38"/>
      <c r="Y124" s="38"/>
      <c r="Z124" s="38"/>
      <c r="AA124" s="38"/>
      <c r="AB124" s="38"/>
      <c r="AC124" s="38"/>
      <c r="AD124" s="38"/>
      <c r="AE124" s="38"/>
      <c r="AF124" s="38"/>
      <c r="AG124" s="38"/>
      <c r="AH124" s="38"/>
      <c r="AI124" s="38"/>
      <c r="AJ124" s="38"/>
    </row>
    <row r="125" spans="1:36" x14ac:dyDescent="0.2">
      <c r="A125" s="38"/>
      <c r="B125" s="45"/>
      <c r="C125" s="38"/>
      <c r="D125" s="38"/>
      <c r="E125" s="38"/>
      <c r="F125" s="38"/>
      <c r="G125" s="38"/>
      <c r="H125" s="38"/>
      <c r="I125" s="38"/>
      <c r="J125" s="38"/>
      <c r="K125" s="38"/>
      <c r="L125" s="120"/>
      <c r="M125" s="120"/>
      <c r="N125" s="120"/>
      <c r="O125" s="120"/>
      <c r="P125" s="120"/>
      <c r="Q125" s="38"/>
      <c r="R125" s="38"/>
      <c r="S125" s="120"/>
      <c r="T125" s="120"/>
      <c r="U125" s="120"/>
      <c r="V125" s="120"/>
      <c r="W125" s="38"/>
      <c r="X125" s="38"/>
      <c r="Y125" s="38"/>
      <c r="Z125" s="38"/>
      <c r="AA125" s="38"/>
      <c r="AB125" s="38"/>
      <c r="AC125" s="38"/>
      <c r="AD125" s="38"/>
      <c r="AE125" s="38"/>
      <c r="AF125" s="38"/>
      <c r="AG125" s="38"/>
      <c r="AH125" s="38"/>
      <c r="AI125" s="38"/>
      <c r="AJ125" s="38"/>
    </row>
    <row r="126" spans="1:36" x14ac:dyDescent="0.2">
      <c r="A126" s="38"/>
      <c r="B126" s="45"/>
      <c r="C126" s="38"/>
      <c r="D126" s="38"/>
      <c r="E126" s="38"/>
      <c r="F126" s="38"/>
      <c r="G126" s="38"/>
      <c r="H126" s="38"/>
      <c r="I126" s="38"/>
      <c r="J126" s="38"/>
      <c r="K126" s="38"/>
      <c r="L126" s="120"/>
      <c r="M126" s="120"/>
      <c r="N126" s="120"/>
      <c r="O126" s="120"/>
      <c r="P126" s="120"/>
      <c r="Q126" s="38"/>
      <c r="R126" s="38"/>
      <c r="S126" s="120"/>
      <c r="T126" s="120"/>
      <c r="U126" s="120"/>
      <c r="V126" s="120"/>
      <c r="W126" s="38"/>
      <c r="X126" s="38"/>
      <c r="Y126" s="38"/>
      <c r="Z126" s="38"/>
      <c r="AA126" s="38"/>
      <c r="AB126" s="38"/>
      <c r="AC126" s="38"/>
      <c r="AD126" s="38"/>
      <c r="AE126" s="38"/>
      <c r="AF126" s="38"/>
      <c r="AG126" s="38"/>
      <c r="AH126" s="38"/>
      <c r="AI126" s="38"/>
      <c r="AJ126" s="38"/>
    </row>
    <row r="127" spans="1:36" x14ac:dyDescent="0.2">
      <c r="A127" s="38"/>
      <c r="B127" s="45"/>
      <c r="C127" s="38"/>
      <c r="D127" s="38"/>
      <c r="E127" s="38"/>
      <c r="F127" s="38"/>
      <c r="G127" s="38"/>
      <c r="H127" s="38"/>
      <c r="I127" s="38"/>
      <c r="J127" s="38"/>
      <c r="K127" s="38"/>
      <c r="L127" s="120"/>
      <c r="M127" s="120"/>
      <c r="N127" s="120"/>
      <c r="O127" s="120"/>
      <c r="P127" s="120"/>
      <c r="Q127" s="38"/>
      <c r="R127" s="38"/>
      <c r="S127" s="38"/>
      <c r="T127" s="38"/>
      <c r="U127" s="38"/>
      <c r="V127" s="38"/>
      <c r="W127" s="38"/>
      <c r="X127" s="38"/>
      <c r="Y127" s="38"/>
      <c r="Z127" s="38"/>
      <c r="AA127" s="38"/>
      <c r="AB127" s="38"/>
      <c r="AC127" s="38"/>
      <c r="AD127" s="38"/>
      <c r="AE127" s="38"/>
      <c r="AF127" s="38"/>
      <c r="AG127" s="38"/>
      <c r="AH127" s="38"/>
      <c r="AI127" s="38"/>
      <c r="AJ127" s="38"/>
    </row>
    <row r="128" spans="1:36" ht="15" x14ac:dyDescent="0.25">
      <c r="A128" s="38"/>
      <c r="B128" s="45"/>
      <c r="C128" s="38"/>
      <c r="D128" s="38"/>
      <c r="E128" s="38"/>
      <c r="F128" s="38"/>
      <c r="G128" s="38"/>
      <c r="H128" s="38"/>
      <c r="I128" s="38"/>
      <c r="J128" s="38"/>
      <c r="K128" s="38"/>
      <c r="L128" s="120"/>
      <c r="M128" s="119"/>
      <c r="N128" s="119"/>
      <c r="O128" s="120"/>
      <c r="P128" s="120"/>
      <c r="Q128" s="38"/>
      <c r="R128" s="38"/>
      <c r="S128" s="38"/>
      <c r="T128" s="38"/>
      <c r="U128" s="38"/>
      <c r="V128" s="38"/>
      <c r="W128" s="38"/>
      <c r="X128" s="38"/>
      <c r="Y128" s="38"/>
      <c r="Z128" s="38"/>
      <c r="AA128" s="38"/>
      <c r="AB128" s="38"/>
      <c r="AC128" s="38"/>
      <c r="AD128" s="38"/>
      <c r="AE128" s="38"/>
      <c r="AF128" s="38"/>
      <c r="AG128" s="38"/>
      <c r="AH128" s="38"/>
      <c r="AI128" s="38"/>
      <c r="AJ128" s="38"/>
    </row>
    <row r="129" spans="1:36" ht="15" x14ac:dyDescent="0.25">
      <c r="A129" s="38"/>
      <c r="B129" s="45"/>
      <c r="C129" s="38"/>
      <c r="D129" s="38"/>
      <c r="E129" s="38"/>
      <c r="F129" s="38"/>
      <c r="G129" s="38"/>
      <c r="H129" s="38"/>
      <c r="I129" s="38"/>
      <c r="J129" s="38"/>
      <c r="K129" s="38"/>
      <c r="L129" s="120"/>
      <c r="M129" s="119"/>
      <c r="N129" s="123"/>
      <c r="O129" s="124"/>
      <c r="P129" s="120"/>
      <c r="Q129" s="38"/>
      <c r="R129" s="38"/>
      <c r="S129" s="38"/>
      <c r="T129" s="38"/>
      <c r="U129" s="38"/>
      <c r="V129" s="38"/>
      <c r="W129" s="38"/>
      <c r="X129" s="38"/>
      <c r="Y129" s="38"/>
      <c r="Z129" s="38"/>
      <c r="AA129" s="38"/>
      <c r="AB129" s="38"/>
      <c r="AC129" s="38"/>
      <c r="AD129" s="38"/>
      <c r="AE129" s="38"/>
      <c r="AF129" s="38"/>
      <c r="AG129" s="38"/>
      <c r="AH129" s="38"/>
      <c r="AI129" s="38"/>
      <c r="AJ129" s="38"/>
    </row>
    <row r="130" spans="1:36" ht="15" x14ac:dyDescent="0.25">
      <c r="A130" s="38"/>
      <c r="B130" s="45"/>
      <c r="C130" s="38"/>
      <c r="D130" s="38"/>
      <c r="E130" s="38"/>
      <c r="F130" s="38"/>
      <c r="G130" s="38"/>
      <c r="H130" s="38"/>
      <c r="I130" s="38"/>
      <c r="J130" s="38"/>
      <c r="K130" s="38"/>
      <c r="L130" s="120"/>
      <c r="M130" s="119"/>
      <c r="N130" s="123"/>
      <c r="O130" s="124"/>
      <c r="P130" s="120"/>
      <c r="Q130" s="38"/>
      <c r="R130" s="38"/>
      <c r="S130" s="38"/>
      <c r="T130" s="38"/>
      <c r="U130" s="38"/>
      <c r="V130" s="38"/>
      <c r="W130" s="38"/>
      <c r="X130" s="38"/>
      <c r="Y130" s="38"/>
      <c r="Z130" s="38"/>
      <c r="AA130" s="38"/>
      <c r="AB130" s="38"/>
      <c r="AC130" s="38"/>
      <c r="AD130" s="38"/>
      <c r="AE130" s="38"/>
      <c r="AF130" s="38"/>
      <c r="AG130" s="38"/>
      <c r="AH130" s="38"/>
      <c r="AI130" s="38"/>
      <c r="AJ130" s="38"/>
    </row>
    <row r="131" spans="1:36" x14ac:dyDescent="0.2">
      <c r="A131" s="38"/>
      <c r="B131" s="45"/>
      <c r="C131" s="38"/>
      <c r="D131" s="38"/>
      <c r="E131" s="38"/>
      <c r="F131" s="38"/>
      <c r="G131" s="38"/>
      <c r="H131" s="38"/>
      <c r="I131" s="38"/>
      <c r="J131" s="38"/>
      <c r="K131" s="38"/>
      <c r="L131" s="120"/>
      <c r="M131" s="120"/>
      <c r="N131" s="120"/>
      <c r="O131" s="120"/>
      <c r="P131" s="120"/>
      <c r="Q131" s="38"/>
      <c r="R131" s="38"/>
      <c r="S131" s="38"/>
      <c r="T131" s="38"/>
      <c r="U131" s="38"/>
      <c r="V131" s="38"/>
      <c r="W131" s="38"/>
      <c r="X131" s="38"/>
      <c r="Y131" s="38"/>
      <c r="Z131" s="38"/>
      <c r="AA131" s="38"/>
      <c r="AB131" s="38"/>
      <c r="AC131" s="38"/>
      <c r="AD131" s="38"/>
      <c r="AE131" s="38"/>
      <c r="AF131" s="38"/>
      <c r="AG131" s="38"/>
      <c r="AH131" s="38"/>
      <c r="AI131" s="38"/>
      <c r="AJ131" s="38"/>
    </row>
    <row r="132" spans="1:36" ht="15" x14ac:dyDescent="0.25">
      <c r="A132" s="38"/>
      <c r="B132" s="45"/>
      <c r="C132" s="38"/>
      <c r="D132" s="38"/>
      <c r="E132" s="38"/>
      <c r="F132" s="38"/>
      <c r="G132" s="38"/>
      <c r="H132" s="38"/>
      <c r="I132" s="38"/>
      <c r="J132" s="38"/>
      <c r="K132" s="38"/>
      <c r="L132" s="119"/>
      <c r="M132" s="120"/>
      <c r="N132" s="120"/>
      <c r="O132" s="120"/>
      <c r="P132" s="120"/>
      <c r="Q132" s="38"/>
      <c r="R132" s="38"/>
      <c r="S132" s="38"/>
      <c r="T132" s="38"/>
      <c r="U132" s="38"/>
      <c r="V132" s="38"/>
      <c r="W132" s="38"/>
      <c r="X132" s="38"/>
      <c r="Y132" s="38"/>
      <c r="Z132" s="38"/>
      <c r="AA132" s="38"/>
      <c r="AB132" s="38"/>
      <c r="AC132" s="38"/>
      <c r="AD132" s="38"/>
      <c r="AE132" s="38"/>
      <c r="AF132" s="38"/>
      <c r="AG132" s="38"/>
      <c r="AH132" s="38"/>
      <c r="AI132" s="38"/>
      <c r="AJ132" s="38"/>
    </row>
    <row r="133" spans="1:36" x14ac:dyDescent="0.2">
      <c r="A133" s="38"/>
      <c r="B133" s="45"/>
      <c r="C133" s="38"/>
      <c r="D133" s="38"/>
      <c r="E133" s="38"/>
      <c r="F133" s="38"/>
      <c r="G133" s="38"/>
      <c r="H133" s="38"/>
      <c r="I133" s="38"/>
      <c r="J133" s="38"/>
      <c r="K133" s="38"/>
      <c r="L133" s="120"/>
      <c r="M133" s="120"/>
      <c r="N133" s="120"/>
      <c r="O133" s="120"/>
      <c r="P133" s="120"/>
      <c r="Q133" s="38"/>
      <c r="R133" s="38"/>
      <c r="S133" s="38"/>
      <c r="T133" s="38"/>
      <c r="U133" s="38"/>
      <c r="V133" s="38"/>
      <c r="W133" s="38"/>
      <c r="X133" s="38"/>
      <c r="Y133" s="38"/>
      <c r="Z133" s="38"/>
      <c r="AA133" s="38"/>
      <c r="AB133" s="38"/>
      <c r="AC133" s="38"/>
      <c r="AD133" s="38"/>
      <c r="AE133" s="38"/>
      <c r="AF133" s="38"/>
      <c r="AG133" s="38"/>
      <c r="AH133" s="38"/>
      <c r="AI133" s="38"/>
      <c r="AJ133" s="38"/>
    </row>
    <row r="134" spans="1:36" x14ac:dyDescent="0.2">
      <c r="A134" s="38"/>
      <c r="B134" s="45"/>
      <c r="C134" s="38"/>
      <c r="D134" s="38"/>
      <c r="E134" s="38"/>
      <c r="F134" s="38"/>
      <c r="G134" s="38"/>
      <c r="H134" s="38"/>
      <c r="I134" s="38"/>
      <c r="J134" s="38"/>
      <c r="K134" s="38"/>
      <c r="L134" s="120"/>
      <c r="M134" s="121"/>
      <c r="N134" s="121"/>
      <c r="O134" s="120"/>
      <c r="P134" s="120"/>
      <c r="Q134" s="38"/>
      <c r="R134" s="38"/>
      <c r="S134" s="38"/>
      <c r="T134" s="38"/>
      <c r="U134" s="38"/>
      <c r="V134" s="38"/>
      <c r="W134" s="38"/>
      <c r="X134" s="38"/>
      <c r="Y134" s="38"/>
      <c r="Z134" s="38"/>
      <c r="AA134" s="38"/>
      <c r="AB134" s="38"/>
      <c r="AC134" s="38"/>
      <c r="AD134" s="38"/>
      <c r="AE134" s="38"/>
      <c r="AF134" s="38"/>
      <c r="AG134" s="38"/>
      <c r="AH134" s="38"/>
      <c r="AI134" s="38"/>
      <c r="AJ134" s="38"/>
    </row>
    <row r="135" spans="1:36" x14ac:dyDescent="0.2">
      <c r="A135" s="38"/>
      <c r="B135" s="45"/>
      <c r="C135" s="38"/>
      <c r="D135" s="38"/>
      <c r="E135" s="38"/>
      <c r="F135" s="38"/>
      <c r="G135" s="38"/>
      <c r="H135" s="38"/>
      <c r="I135" s="38"/>
      <c r="J135" s="38"/>
      <c r="K135" s="38"/>
      <c r="L135" s="120"/>
      <c r="M135" s="121"/>
      <c r="N135" s="121"/>
      <c r="O135" s="120"/>
      <c r="P135" s="120"/>
      <c r="Q135" s="38"/>
      <c r="R135" s="38"/>
      <c r="S135" s="38"/>
      <c r="T135" s="38"/>
      <c r="U135" s="38"/>
      <c r="V135" s="38"/>
      <c r="W135" s="38"/>
      <c r="X135" s="38"/>
      <c r="Y135" s="38"/>
      <c r="Z135" s="38"/>
      <c r="AA135" s="38"/>
      <c r="AB135" s="38"/>
      <c r="AC135" s="38"/>
      <c r="AD135" s="38"/>
      <c r="AE135" s="38"/>
      <c r="AF135" s="38"/>
      <c r="AG135" s="38"/>
      <c r="AH135" s="38"/>
      <c r="AI135" s="38"/>
      <c r="AJ135" s="38"/>
    </row>
    <row r="136" spans="1:36" x14ac:dyDescent="0.2">
      <c r="A136" s="38"/>
      <c r="B136" s="45"/>
      <c r="C136" s="38"/>
      <c r="D136" s="38"/>
      <c r="E136" s="38"/>
      <c r="F136" s="38"/>
      <c r="G136" s="38"/>
      <c r="H136" s="38"/>
      <c r="I136" s="38"/>
      <c r="J136" s="38"/>
      <c r="K136" s="38"/>
      <c r="L136" s="120"/>
      <c r="M136" s="121"/>
      <c r="N136" s="121"/>
      <c r="O136" s="120"/>
      <c r="P136" s="120"/>
      <c r="Q136" s="38"/>
      <c r="R136" s="38"/>
      <c r="S136" s="38"/>
      <c r="T136" s="38"/>
      <c r="U136" s="38"/>
      <c r="V136" s="38"/>
      <c r="W136" s="38"/>
      <c r="X136" s="38"/>
      <c r="Y136" s="38"/>
      <c r="Z136" s="38"/>
      <c r="AA136" s="38"/>
      <c r="AB136" s="38"/>
      <c r="AC136" s="38"/>
      <c r="AD136" s="38"/>
      <c r="AE136" s="38"/>
      <c r="AF136" s="38"/>
      <c r="AG136" s="38"/>
      <c r="AH136" s="38"/>
      <c r="AI136" s="38"/>
      <c r="AJ136" s="38"/>
    </row>
    <row r="137" spans="1:36" x14ac:dyDescent="0.2">
      <c r="A137" s="38"/>
      <c r="B137" s="45"/>
      <c r="C137" s="38"/>
      <c r="D137" s="38"/>
      <c r="E137" s="38"/>
      <c r="F137" s="38"/>
      <c r="G137" s="38"/>
      <c r="H137" s="38"/>
      <c r="I137" s="38"/>
      <c r="J137" s="38"/>
      <c r="K137" s="38"/>
      <c r="L137" s="120"/>
      <c r="M137" s="120"/>
      <c r="N137" s="120"/>
      <c r="O137" s="120"/>
      <c r="P137" s="120"/>
      <c r="Q137" s="38"/>
      <c r="R137" s="38"/>
      <c r="S137" s="38"/>
      <c r="T137" s="38"/>
      <c r="U137" s="38"/>
      <c r="V137" s="38"/>
      <c r="W137" s="38"/>
      <c r="X137" s="38"/>
      <c r="Y137" s="38"/>
      <c r="Z137" s="38"/>
      <c r="AA137" s="38"/>
      <c r="AB137" s="38"/>
      <c r="AC137" s="38"/>
      <c r="AD137" s="38"/>
      <c r="AE137" s="38"/>
      <c r="AF137" s="38"/>
      <c r="AG137" s="38"/>
      <c r="AH137" s="38"/>
      <c r="AI137" s="38"/>
      <c r="AJ137" s="38"/>
    </row>
    <row r="138" spans="1:36" x14ac:dyDescent="0.2">
      <c r="A138" s="38"/>
      <c r="B138" s="45"/>
      <c r="C138" s="38"/>
      <c r="D138" s="38"/>
      <c r="E138" s="38"/>
      <c r="F138" s="38"/>
      <c r="G138" s="38"/>
      <c r="H138" s="38"/>
      <c r="I138" s="38"/>
      <c r="J138" s="38"/>
      <c r="K138" s="38"/>
      <c r="L138" s="120"/>
      <c r="M138" s="120"/>
      <c r="N138" s="120"/>
      <c r="O138" s="120"/>
      <c r="P138" s="120"/>
      <c r="Q138" s="38"/>
      <c r="R138" s="38"/>
      <c r="S138" s="38"/>
      <c r="T138" s="38"/>
      <c r="U138" s="38"/>
      <c r="V138" s="38"/>
      <c r="W138" s="38"/>
      <c r="X138" s="38"/>
      <c r="Y138" s="38"/>
      <c r="Z138" s="38"/>
      <c r="AA138" s="38"/>
      <c r="AB138" s="38"/>
      <c r="AC138" s="38"/>
      <c r="AD138" s="38"/>
      <c r="AE138" s="38"/>
      <c r="AF138" s="38"/>
      <c r="AG138" s="38"/>
      <c r="AH138" s="38"/>
      <c r="AI138" s="38"/>
      <c r="AJ138" s="38"/>
    </row>
    <row r="139" spans="1:36" x14ac:dyDescent="0.2">
      <c r="A139" s="38"/>
      <c r="B139" s="45"/>
      <c r="C139" s="38"/>
      <c r="D139" s="38"/>
      <c r="E139" s="38"/>
      <c r="F139" s="38"/>
      <c r="G139" s="38"/>
      <c r="H139" s="38"/>
      <c r="I139" s="38"/>
      <c r="J139" s="38"/>
      <c r="K139" s="38"/>
      <c r="L139" s="120"/>
      <c r="M139" s="120"/>
      <c r="N139" s="120"/>
      <c r="O139" s="120"/>
      <c r="P139" s="120"/>
      <c r="Q139" s="38"/>
      <c r="R139" s="38"/>
      <c r="S139" s="38"/>
      <c r="T139" s="38"/>
      <c r="U139" s="38"/>
      <c r="V139" s="38"/>
      <c r="W139" s="38"/>
      <c r="X139" s="38"/>
      <c r="Y139" s="38"/>
      <c r="Z139" s="38"/>
      <c r="AA139" s="38"/>
      <c r="AB139" s="38"/>
      <c r="AC139" s="38"/>
      <c r="AD139" s="38"/>
      <c r="AE139" s="38"/>
      <c r="AF139" s="38"/>
      <c r="AG139" s="38"/>
      <c r="AH139" s="38"/>
      <c r="AI139" s="38"/>
      <c r="AJ139" s="38"/>
    </row>
    <row r="140" spans="1:36" x14ac:dyDescent="0.2">
      <c r="A140" s="38"/>
      <c r="B140" s="45"/>
      <c r="C140" s="38"/>
      <c r="D140" s="38"/>
      <c r="E140" s="38"/>
      <c r="F140" s="38"/>
      <c r="G140" s="38"/>
      <c r="H140" s="38"/>
      <c r="I140" s="38"/>
      <c r="J140" s="38"/>
      <c r="K140" s="38"/>
      <c r="L140" s="120"/>
      <c r="M140" s="120"/>
      <c r="N140" s="120"/>
      <c r="O140" s="120"/>
      <c r="P140" s="120"/>
      <c r="Q140" s="38"/>
      <c r="R140" s="38"/>
      <c r="S140" s="38"/>
      <c r="T140" s="38"/>
      <c r="U140" s="38"/>
      <c r="V140" s="38"/>
      <c r="W140" s="38"/>
      <c r="X140" s="38"/>
      <c r="Y140" s="38"/>
      <c r="Z140" s="38"/>
      <c r="AA140" s="38"/>
      <c r="AB140" s="38"/>
      <c r="AC140" s="38"/>
      <c r="AD140" s="38"/>
      <c r="AE140" s="38"/>
      <c r="AF140" s="38"/>
      <c r="AG140" s="38"/>
      <c r="AH140" s="38"/>
      <c r="AI140" s="38"/>
      <c r="AJ140" s="38"/>
    </row>
    <row r="141" spans="1:36" x14ac:dyDescent="0.2">
      <c r="A141" s="38"/>
      <c r="B141" s="45"/>
      <c r="C141" s="38"/>
      <c r="D141" s="38"/>
      <c r="E141" s="38"/>
      <c r="F141" s="38"/>
      <c r="G141" s="38"/>
      <c r="H141" s="38"/>
      <c r="I141" s="38"/>
      <c r="J141" s="38"/>
      <c r="K141" s="38"/>
      <c r="L141" s="120"/>
      <c r="M141" s="120"/>
      <c r="N141" s="120"/>
      <c r="O141" s="120"/>
      <c r="P141" s="120"/>
      <c r="Q141" s="38"/>
      <c r="R141" s="38"/>
      <c r="S141" s="38"/>
      <c r="T141" s="38"/>
      <c r="U141" s="38"/>
      <c r="V141" s="38"/>
      <c r="W141" s="38"/>
      <c r="X141" s="38"/>
      <c r="Y141" s="38"/>
      <c r="Z141" s="38"/>
      <c r="AA141" s="38"/>
      <c r="AB141" s="38"/>
      <c r="AC141" s="38"/>
      <c r="AD141" s="38"/>
      <c r="AE141" s="38"/>
      <c r="AF141" s="38"/>
      <c r="AG141" s="38"/>
      <c r="AH141" s="38"/>
      <c r="AI141" s="38"/>
      <c r="AJ141" s="38"/>
    </row>
    <row r="142" spans="1:36" x14ac:dyDescent="0.2">
      <c r="A142" s="38"/>
      <c r="B142" s="45"/>
      <c r="C142" s="38"/>
      <c r="D142" s="38"/>
      <c r="E142" s="38"/>
      <c r="F142" s="38"/>
      <c r="G142" s="38"/>
      <c r="H142" s="38"/>
      <c r="I142" s="38"/>
      <c r="J142" s="38"/>
      <c r="K142" s="38"/>
      <c r="L142" s="120"/>
      <c r="M142" s="120"/>
      <c r="N142" s="120"/>
      <c r="O142" s="120"/>
      <c r="P142" s="120"/>
      <c r="Q142" s="38"/>
      <c r="R142" s="38"/>
      <c r="S142" s="38"/>
      <c r="T142" s="38"/>
      <c r="U142" s="38"/>
      <c r="V142" s="38"/>
      <c r="W142" s="38"/>
      <c r="X142" s="38"/>
      <c r="Y142" s="38"/>
      <c r="Z142" s="38"/>
      <c r="AA142" s="38"/>
      <c r="AB142" s="38"/>
      <c r="AC142" s="38"/>
      <c r="AD142" s="38"/>
      <c r="AE142" s="38"/>
      <c r="AF142" s="38"/>
      <c r="AG142" s="38"/>
      <c r="AH142" s="38"/>
      <c r="AI142" s="38"/>
      <c r="AJ142" s="38"/>
    </row>
    <row r="143" spans="1:36" x14ac:dyDescent="0.2">
      <c r="A143" s="38"/>
      <c r="B143" s="45"/>
      <c r="C143" s="38"/>
      <c r="D143" s="38"/>
      <c r="E143" s="38"/>
      <c r="F143" s="38"/>
      <c r="G143" s="38"/>
      <c r="H143" s="38"/>
      <c r="I143" s="38"/>
      <c r="J143" s="38"/>
      <c r="K143" s="38"/>
      <c r="L143" s="120"/>
      <c r="M143" s="120"/>
      <c r="N143" s="120"/>
      <c r="O143" s="120"/>
      <c r="P143" s="120"/>
      <c r="Q143" s="38"/>
      <c r="R143" s="38"/>
      <c r="S143" s="38"/>
      <c r="T143" s="38"/>
      <c r="U143" s="38"/>
      <c r="V143" s="38"/>
      <c r="W143" s="38"/>
      <c r="X143" s="38"/>
      <c r="Y143" s="38"/>
      <c r="Z143" s="38"/>
      <c r="AA143" s="38"/>
      <c r="AB143" s="38"/>
      <c r="AC143" s="38"/>
      <c r="AD143" s="38"/>
      <c r="AE143" s="38"/>
      <c r="AF143" s="38"/>
      <c r="AG143" s="38"/>
      <c r="AH143" s="38"/>
      <c r="AI143" s="38"/>
      <c r="AJ143" s="38"/>
    </row>
    <row r="144" spans="1:36" x14ac:dyDescent="0.2">
      <c r="A144" s="38"/>
      <c r="B144" s="45"/>
      <c r="C144" s="38"/>
      <c r="D144" s="38"/>
      <c r="E144" s="38"/>
      <c r="F144" s="38"/>
      <c r="G144" s="38"/>
      <c r="H144" s="38"/>
      <c r="I144" s="38"/>
      <c r="J144" s="38"/>
      <c r="K144" s="38"/>
      <c r="L144" s="120"/>
      <c r="M144" s="120"/>
      <c r="N144" s="120"/>
      <c r="O144" s="120"/>
      <c r="P144" s="120"/>
      <c r="Q144" s="38"/>
      <c r="R144" s="38"/>
      <c r="S144" s="38"/>
      <c r="T144" s="38"/>
      <c r="U144" s="38"/>
      <c r="V144" s="38"/>
      <c r="W144" s="38"/>
      <c r="X144" s="38"/>
      <c r="Y144" s="38"/>
      <c r="Z144" s="38"/>
      <c r="AA144" s="38"/>
      <c r="AB144" s="38"/>
      <c r="AC144" s="38"/>
      <c r="AD144" s="38"/>
      <c r="AE144" s="38"/>
      <c r="AF144" s="38"/>
      <c r="AG144" s="38"/>
      <c r="AH144" s="38"/>
      <c r="AI144" s="38"/>
      <c r="AJ144" s="38"/>
    </row>
    <row r="145" spans="1:36" x14ac:dyDescent="0.2">
      <c r="A145" s="38"/>
      <c r="B145" s="45"/>
      <c r="C145" s="38"/>
      <c r="D145" s="38"/>
      <c r="E145" s="38"/>
      <c r="F145" s="38"/>
      <c r="G145" s="38"/>
      <c r="H145" s="38"/>
      <c r="I145" s="38"/>
      <c r="J145" s="38"/>
      <c r="K145" s="38"/>
      <c r="L145" s="120"/>
      <c r="M145" s="120"/>
      <c r="N145" s="120"/>
      <c r="O145" s="120"/>
      <c r="P145" s="120"/>
      <c r="Q145" s="38"/>
      <c r="R145" s="38"/>
      <c r="S145" s="38"/>
      <c r="T145" s="38"/>
      <c r="U145" s="38"/>
      <c r="V145" s="38"/>
      <c r="W145" s="38"/>
      <c r="X145" s="38"/>
      <c r="Y145" s="38"/>
      <c r="Z145" s="38"/>
      <c r="AA145" s="38"/>
      <c r="AB145" s="38"/>
      <c r="AC145" s="38"/>
      <c r="AD145" s="38"/>
      <c r="AE145" s="38"/>
      <c r="AF145" s="38"/>
      <c r="AG145" s="38"/>
      <c r="AH145" s="38"/>
      <c r="AI145" s="38"/>
      <c r="AJ145" s="38"/>
    </row>
    <row r="146" spans="1:36" x14ac:dyDescent="0.2">
      <c r="A146" s="38"/>
      <c r="B146" s="45"/>
      <c r="C146" s="38"/>
      <c r="D146" s="38"/>
      <c r="E146" s="38"/>
      <c r="F146" s="38"/>
      <c r="G146" s="38"/>
      <c r="H146" s="38"/>
      <c r="I146" s="38"/>
      <c r="J146" s="38"/>
      <c r="K146" s="38"/>
      <c r="L146" s="120"/>
      <c r="M146" s="120"/>
      <c r="N146" s="120"/>
      <c r="O146" s="120"/>
      <c r="P146" s="120"/>
      <c r="Q146" s="38"/>
      <c r="R146" s="38"/>
      <c r="S146" s="38"/>
      <c r="T146" s="38"/>
      <c r="U146" s="38"/>
      <c r="V146" s="38"/>
      <c r="W146" s="38"/>
      <c r="X146" s="38"/>
      <c r="Y146" s="38"/>
      <c r="Z146" s="38"/>
      <c r="AA146" s="38"/>
      <c r="AB146" s="38"/>
      <c r="AC146" s="38"/>
      <c r="AD146" s="38"/>
      <c r="AE146" s="38"/>
      <c r="AF146" s="38"/>
      <c r="AG146" s="38"/>
      <c r="AH146" s="38"/>
      <c r="AI146" s="38"/>
      <c r="AJ146" s="38"/>
    </row>
    <row r="147" spans="1:36" x14ac:dyDescent="0.2">
      <c r="A147" s="38"/>
      <c r="B147" s="45"/>
      <c r="C147" s="38"/>
      <c r="D147" s="38"/>
      <c r="E147" s="38"/>
      <c r="F147" s="38"/>
      <c r="G147" s="38"/>
      <c r="H147" s="38"/>
      <c r="I147" s="38"/>
      <c r="J147" s="38"/>
      <c r="K147" s="38"/>
      <c r="L147" s="120"/>
      <c r="M147" s="120"/>
      <c r="N147" s="120"/>
      <c r="O147" s="120"/>
      <c r="P147" s="120"/>
      <c r="Q147" s="38"/>
      <c r="R147" s="38"/>
      <c r="S147" s="38"/>
      <c r="T147" s="38"/>
      <c r="U147" s="38"/>
      <c r="V147" s="38"/>
      <c r="W147" s="38"/>
      <c r="X147" s="38"/>
      <c r="Y147" s="38"/>
      <c r="Z147" s="38"/>
      <c r="AA147" s="38"/>
      <c r="AB147" s="38"/>
      <c r="AC147" s="38"/>
      <c r="AD147" s="38"/>
      <c r="AE147" s="38"/>
      <c r="AF147" s="38"/>
      <c r="AG147" s="38"/>
      <c r="AH147" s="38"/>
      <c r="AI147" s="38"/>
      <c r="AJ147" s="38"/>
    </row>
    <row r="148" spans="1:36" x14ac:dyDescent="0.2">
      <c r="A148" s="38"/>
      <c r="B148" s="45"/>
      <c r="C148" s="38"/>
      <c r="D148" s="38"/>
      <c r="E148" s="38"/>
      <c r="F148" s="38"/>
      <c r="G148" s="38"/>
      <c r="H148" s="38"/>
      <c r="I148" s="38"/>
      <c r="J148" s="38"/>
      <c r="K148" s="38"/>
      <c r="L148" s="120"/>
      <c r="M148" s="120"/>
      <c r="N148" s="120"/>
      <c r="O148" s="120"/>
      <c r="P148" s="120"/>
      <c r="Q148" s="38"/>
      <c r="R148" s="38"/>
      <c r="S148" s="38"/>
      <c r="T148" s="38"/>
      <c r="U148" s="38"/>
      <c r="V148" s="38"/>
      <c r="W148" s="38"/>
      <c r="X148" s="38"/>
      <c r="Y148" s="38"/>
      <c r="Z148" s="38"/>
      <c r="AA148" s="38"/>
      <c r="AB148" s="38"/>
      <c r="AC148" s="38"/>
      <c r="AD148" s="38"/>
      <c r="AE148" s="38"/>
      <c r="AF148" s="38"/>
      <c r="AG148" s="38"/>
      <c r="AH148" s="38"/>
      <c r="AI148" s="38"/>
      <c r="AJ148" s="38"/>
    </row>
    <row r="149" spans="1:36" x14ac:dyDescent="0.2">
      <c r="A149" s="38"/>
      <c r="B149" s="45"/>
      <c r="C149" s="38"/>
      <c r="D149" s="38"/>
      <c r="E149" s="38"/>
      <c r="F149" s="38"/>
      <c r="G149" s="38"/>
      <c r="H149" s="38"/>
      <c r="I149" s="38"/>
      <c r="J149" s="38"/>
      <c r="K149" s="38"/>
      <c r="L149" s="120"/>
      <c r="M149" s="120"/>
      <c r="N149" s="120"/>
      <c r="O149" s="120"/>
      <c r="P149" s="120"/>
      <c r="Q149" s="38"/>
      <c r="R149" s="38"/>
      <c r="S149" s="38"/>
      <c r="T149" s="38"/>
      <c r="U149" s="38"/>
      <c r="V149" s="38"/>
      <c r="W149" s="38"/>
      <c r="X149" s="38"/>
      <c r="Y149" s="38"/>
      <c r="Z149" s="38"/>
      <c r="AA149" s="38"/>
      <c r="AB149" s="38"/>
      <c r="AC149" s="38"/>
      <c r="AD149" s="38"/>
      <c r="AE149" s="38"/>
      <c r="AF149" s="38"/>
      <c r="AG149" s="38"/>
      <c r="AH149" s="38"/>
      <c r="AI149" s="38"/>
      <c r="AJ149" s="38"/>
    </row>
    <row r="150" spans="1:36" ht="15" x14ac:dyDescent="0.25">
      <c r="A150" s="38"/>
      <c r="B150" s="45"/>
      <c r="C150" s="38"/>
      <c r="D150" s="38"/>
      <c r="E150" s="38"/>
      <c r="F150" s="38"/>
      <c r="G150" s="38"/>
      <c r="H150" s="38"/>
      <c r="I150" s="38"/>
      <c r="J150" s="38"/>
      <c r="K150" s="38"/>
      <c r="L150" s="120"/>
      <c r="M150" s="119"/>
      <c r="N150" s="119"/>
      <c r="O150" s="120"/>
      <c r="P150" s="120"/>
      <c r="Q150" s="38"/>
      <c r="R150" s="38"/>
      <c r="S150" s="38"/>
      <c r="T150" s="38"/>
      <c r="U150" s="38"/>
      <c r="V150" s="38"/>
      <c r="W150" s="38"/>
      <c r="X150" s="38"/>
      <c r="Y150" s="38"/>
      <c r="Z150" s="38"/>
      <c r="AA150" s="38"/>
      <c r="AB150" s="38"/>
      <c r="AC150" s="38"/>
      <c r="AD150" s="38"/>
      <c r="AE150" s="38"/>
      <c r="AF150" s="38"/>
      <c r="AG150" s="38"/>
      <c r="AH150" s="38"/>
      <c r="AI150" s="38"/>
      <c r="AJ150" s="38"/>
    </row>
    <row r="151" spans="1:36" ht="15" x14ac:dyDescent="0.25">
      <c r="A151" s="38"/>
      <c r="B151" s="45"/>
      <c r="C151" s="38"/>
      <c r="D151" s="38"/>
      <c r="E151" s="38"/>
      <c r="F151" s="38"/>
      <c r="G151" s="38"/>
      <c r="H151" s="38"/>
      <c r="I151" s="38"/>
      <c r="J151" s="38"/>
      <c r="K151" s="38"/>
      <c r="L151" s="120"/>
      <c r="M151" s="119"/>
      <c r="N151" s="123"/>
      <c r="O151" s="124"/>
      <c r="P151" s="120"/>
      <c r="Q151" s="38"/>
      <c r="R151" s="38"/>
      <c r="S151" s="38"/>
      <c r="T151" s="38"/>
      <c r="U151" s="38"/>
      <c r="V151" s="38"/>
      <c r="W151" s="38"/>
      <c r="X151" s="38"/>
      <c r="Y151" s="38"/>
      <c r="Z151" s="38"/>
      <c r="AA151" s="38"/>
      <c r="AB151" s="38"/>
      <c r="AC151" s="38"/>
      <c r="AD151" s="38"/>
      <c r="AE151" s="38"/>
      <c r="AF151" s="38"/>
      <c r="AG151" s="38"/>
      <c r="AH151" s="38"/>
      <c r="AI151" s="38"/>
      <c r="AJ151" s="38"/>
    </row>
    <row r="152" spans="1:36" ht="15" x14ac:dyDescent="0.25">
      <c r="A152" s="38"/>
      <c r="B152" s="45"/>
      <c r="C152" s="38"/>
      <c r="D152" s="38"/>
      <c r="E152" s="38"/>
      <c r="F152" s="38"/>
      <c r="G152" s="38"/>
      <c r="H152" s="38"/>
      <c r="I152" s="38"/>
      <c r="J152" s="38"/>
      <c r="K152" s="38"/>
      <c r="L152" s="120"/>
      <c r="M152" s="119"/>
      <c r="N152" s="123"/>
      <c r="O152" s="124"/>
      <c r="P152" s="120"/>
      <c r="Q152" s="38"/>
      <c r="R152" s="38"/>
      <c r="S152" s="38"/>
      <c r="T152" s="38"/>
      <c r="U152" s="38"/>
      <c r="V152" s="38"/>
      <c r="W152" s="38"/>
      <c r="X152" s="38"/>
      <c r="Y152" s="38"/>
      <c r="Z152" s="38"/>
      <c r="AA152" s="38"/>
      <c r="AB152" s="38"/>
      <c r="AC152" s="38"/>
      <c r="AD152" s="38"/>
      <c r="AE152" s="38"/>
      <c r="AF152" s="38"/>
      <c r="AG152" s="38"/>
      <c r="AH152" s="38"/>
      <c r="AI152" s="38"/>
      <c r="AJ152" s="38"/>
    </row>
    <row r="153" spans="1:36" x14ac:dyDescent="0.2">
      <c r="A153" s="38"/>
      <c r="B153" s="45"/>
      <c r="C153" s="38"/>
      <c r="D153" s="38"/>
      <c r="E153" s="38"/>
      <c r="F153" s="38"/>
      <c r="G153" s="38"/>
      <c r="H153" s="38"/>
      <c r="I153" s="38"/>
      <c r="J153" s="38"/>
      <c r="K153" s="38"/>
      <c r="L153" s="120"/>
      <c r="M153" s="120"/>
      <c r="N153" s="120"/>
      <c r="O153" s="120"/>
      <c r="P153" s="120"/>
      <c r="Q153" s="38"/>
      <c r="R153" s="38"/>
      <c r="S153" s="38"/>
      <c r="T153" s="38"/>
      <c r="U153" s="38"/>
      <c r="V153" s="38"/>
      <c r="W153" s="38"/>
      <c r="X153" s="38"/>
      <c r="Y153" s="38"/>
      <c r="Z153" s="38"/>
      <c r="AA153" s="38"/>
      <c r="AB153" s="38"/>
      <c r="AC153" s="38"/>
      <c r="AD153" s="38"/>
      <c r="AE153" s="38"/>
      <c r="AF153" s="38"/>
      <c r="AG153" s="38"/>
      <c r="AH153" s="38"/>
      <c r="AI153" s="38"/>
      <c r="AJ153" s="38"/>
    </row>
    <row r="154" spans="1:36" x14ac:dyDescent="0.2">
      <c r="A154" s="38"/>
      <c r="B154" s="45"/>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row>
    <row r="155" spans="1:36" x14ac:dyDescent="0.2">
      <c r="A155" s="38"/>
      <c r="B155" s="45"/>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row>
    <row r="156" spans="1:36" x14ac:dyDescent="0.2">
      <c r="A156" s="38"/>
      <c r="B156" s="45"/>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row>
    <row r="157" spans="1:36" x14ac:dyDescent="0.2">
      <c r="S157" s="38"/>
      <c r="T157" s="100"/>
      <c r="U157" s="100"/>
      <c r="V157" s="100"/>
      <c r="W157" s="100"/>
      <c r="X157" s="100"/>
      <c r="Y157" s="100"/>
      <c r="Z157" s="100"/>
      <c r="AA157" s="100"/>
      <c r="AB157" s="100"/>
      <c r="AC157" s="100"/>
      <c r="AD157" s="100"/>
      <c r="AE157" s="100"/>
      <c r="AF157" s="100"/>
      <c r="AG157" s="100"/>
      <c r="AH157" s="100"/>
      <c r="AI157" s="100"/>
      <c r="AJ157" s="100"/>
    </row>
    <row r="158" spans="1:36" x14ac:dyDescent="0.2">
      <c r="S158" s="10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ComCom refined - Summary</vt:lpstr>
      <vt:lpstr>ComCom refined - 2017 - 19</vt:lpstr>
      <vt:lpstr>ComCom refined - 2014 - 19</vt:lpstr>
      <vt:lpstr>ComCom refined - 2009 - 14</vt:lpstr>
      <vt:lpstr>CEPA Summary sheet</vt:lpstr>
      <vt:lpstr>CEPA Rating&amp;Leverage</vt:lpstr>
      <vt:lpstr>ComCom refined -Rating&amp;Leverage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Watkinson</dc:creator>
  <cp:lastModifiedBy>Katie Sargisson</cp:lastModifiedBy>
  <dcterms:created xsi:type="dcterms:W3CDTF">2019-10-22T03:33:05Z</dcterms:created>
  <dcterms:modified xsi:type="dcterms:W3CDTF">2020-11-12T03:26:22Z</dcterms:modified>
</cp:coreProperties>
</file>