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4920" yWindow="135" windowWidth="24495" windowHeight="11280"/>
  </bookViews>
  <sheets>
    <sheet name="Cover" sheetId="27" r:id="rId1"/>
    <sheet name="Approach" sheetId="28" r:id="rId2"/>
    <sheet name="Inputs &amp; Calcs" sheetId="1" r:id="rId3"/>
    <sheet name="Q_Forecast_All" sheetId="17" state="hidden" r:id="rId4"/>
    <sheet name="Work quantities to SAIDI SAIFI" sheetId="13" r:id="rId5"/>
    <sheet name="Outputs" sheetId="42" r:id="rId6"/>
    <sheet name="Summary Output" sheetId="43" r:id="rId7"/>
  </sheets>
  <externalReferences>
    <externalReference r:id="rId8"/>
    <externalReference r:id="rId9"/>
    <externalReference r:id="rId10"/>
  </externalReferences>
  <definedNames>
    <definedName name="Actual_Age_Limit">'[1]AHI Framework'!$D$41</definedName>
    <definedName name="Cables" localSheetId="5">#REF!</definedName>
    <definedName name="Cables">#REF!</definedName>
    <definedName name="Conductors" localSheetId="5">#REF!</definedName>
    <definedName name="Conductors">#REF!</definedName>
    <definedName name="Distribution_Switchgear" localSheetId="5">#REF!</definedName>
    <definedName name="Distribution_Switchgear">#REF!</definedName>
    <definedName name="Distribution_Transformers" localSheetId="5">#REF!</definedName>
    <definedName name="Distribution_Transformers">#REF!</definedName>
    <definedName name="DTU_RR" localSheetId="5">#REF!</definedName>
    <definedName name="DTU_RR" localSheetId="3">Q_Forecast_All!$B$2</definedName>
    <definedName name="DTU_RR">#REF!</definedName>
    <definedName name="DTU_Type" localSheetId="5">#REF!</definedName>
    <definedName name="DTU_Type" localSheetId="3">Q_Forecast_All!$B$1</definedName>
    <definedName name="DTU_Type">#REF!</definedName>
    <definedName name="H1_Sc">'[1]AHI Framework'!$C$2</definedName>
    <definedName name="H2_Sc">'[1]AHI Framework'!$C$3</definedName>
    <definedName name="H3_Sc">'[1]AHI Framework'!$C$4</definedName>
    <definedName name="H4_Sc">'[1]AHI Framework'!$C$5</definedName>
    <definedName name="H5_Sc">'[1]AHI Framework'!$C$6</definedName>
    <definedName name="int_c">'[1]AHI Framework'!$C$10</definedName>
    <definedName name="LV_Panel_Part_TX_Rate">[2]Inputs!$B$34</definedName>
    <definedName name="LV_Panel_Unit_Rate">[2]Inputs!$B$35</definedName>
    <definedName name="Mrate">'[3]Specific Date'!$D$33</definedName>
    <definedName name="N_M_Lower">'[1]AHI Framework'!$D$15</definedName>
    <definedName name="N_M_Name">'[1]AHI Framework'!$B$15</definedName>
    <definedName name="N_minus1_L_Name">'[1]AHI Framework'!$B$18</definedName>
    <definedName name="N_minus1_M_Lower">'[1]AHI Framework'!$D$17</definedName>
    <definedName name="N_minus1_M_Name">'[1]AHI Framework'!$B$17</definedName>
    <definedName name="N_minus1_M_Upper">'[1]AHI Framework'!$G$17</definedName>
    <definedName name="N_minus1_S_Name">'[1]AHI Framework'!$B$16</definedName>
    <definedName name="N_minus1_S_Upper">'[1]AHI Framework'!$D$16</definedName>
    <definedName name="N_S_Name">'[1]AHI Framework'!$B$14</definedName>
    <definedName name="N_S_Upper">'[1]AHI Framework'!$D$14</definedName>
    <definedName name="Non_Condition_Rate">'[2]Q_Forecast_GND&lt;100'!$B$7</definedName>
    <definedName name="Non_system_Fixed_Assets" localSheetId="5">#REF!</definedName>
    <definedName name="Non_system_Fixed_Assets">#REF!</definedName>
    <definedName name="Nper">'[3]Specific Date'!$D$29</definedName>
    <definedName name="Overhead_structures" localSheetId="5">#REF!</definedName>
    <definedName name="Overhead_structures">#REF!</definedName>
    <definedName name="Portfolio" localSheetId="5">#REF!</definedName>
    <definedName name="Portfolio">#REF!</definedName>
    <definedName name="PP_Output_Cap" localSheetId="5">#REF!</definedName>
    <definedName name="PP_Output_Cap">#REF!</definedName>
    <definedName name="_xlnm.Print_Area" localSheetId="1">Approach!$A$1:$Q$56</definedName>
    <definedName name="_xlnm.Print_Area" localSheetId="0">Cover!$A$1:$X$55</definedName>
    <definedName name="Refurb_Age_limit">'[1]AHI Framework'!$D$42</definedName>
    <definedName name="Retirement_Rate_Type">'[2]Q_Forecast_GND&lt;100'!$B$6</definedName>
    <definedName name="Secondary_Systems" localSheetId="5">#REF!</definedName>
    <definedName name="Secondary_Systems">#REF!</definedName>
    <definedName name="slope_m">'[1]AHI Framework'!$C$9</definedName>
    <definedName name="Third_Party_Rate" localSheetId="5">'Inputs &amp; Calcs'!#REF!</definedName>
    <definedName name="Third_Party_Rate">'Inputs &amp; Calcs'!#REF!</definedName>
    <definedName name="TX_MPL">'[1]AHI Framework'!$C$11</definedName>
    <definedName name="Unit_Cost" localSheetId="5">#REF!</definedName>
    <definedName name="Unit_Cost" localSheetId="3">Q_Forecast_All!$B$3</definedName>
    <definedName name="Unit_Cost">#REF!</definedName>
    <definedName name="Zone_Substations" localSheetId="5">#REF!</definedName>
    <definedName name="Zone_Substations">#REF!</definedName>
  </definedNames>
  <calcPr calcId="145621"/>
</workbook>
</file>

<file path=xl/calcChain.xml><?xml version="1.0" encoding="utf-8"?>
<calcChain xmlns="http://schemas.openxmlformats.org/spreadsheetml/2006/main">
  <c r="S181" i="1" l="1"/>
  <c r="S180" i="1"/>
  <c r="S179" i="1"/>
  <c r="S178" i="1"/>
  <c r="S177" i="1"/>
  <c r="S176" i="1"/>
  <c r="S175" i="1"/>
  <c r="S174" i="1"/>
  <c r="S173" i="1"/>
  <c r="S172" i="1"/>
  <c r="S171" i="1"/>
  <c r="S170" i="1"/>
  <c r="S169" i="1"/>
  <c r="S168" i="1"/>
  <c r="S167" i="1"/>
  <c r="S166" i="1"/>
  <c r="S165" i="1"/>
  <c r="S164" i="1"/>
  <c r="S163" i="1"/>
  <c r="S162" i="1"/>
  <c r="K70" i="13" l="1"/>
  <c r="L70" i="13"/>
  <c r="M70" i="13"/>
  <c r="N70" i="13"/>
  <c r="K33" i="13"/>
  <c r="L33" i="13"/>
  <c r="M33" i="13"/>
  <c r="N33" i="13"/>
  <c r="K34" i="13"/>
  <c r="L34" i="13"/>
  <c r="M34" i="13"/>
  <c r="N34" i="13"/>
  <c r="K35" i="13"/>
  <c r="L35" i="13"/>
  <c r="M35" i="13"/>
  <c r="N35" i="13"/>
  <c r="K36" i="13"/>
  <c r="L36" i="13"/>
  <c r="M36" i="13"/>
  <c r="N36" i="13"/>
  <c r="K37" i="13"/>
  <c r="L37" i="13"/>
  <c r="M37" i="13"/>
  <c r="N37" i="13"/>
  <c r="K38" i="13"/>
  <c r="L38" i="13"/>
  <c r="M38" i="13"/>
  <c r="N38" i="13"/>
  <c r="K39" i="13"/>
  <c r="L39" i="13"/>
  <c r="M39" i="13"/>
  <c r="N39" i="13"/>
  <c r="K40" i="13"/>
  <c r="L40" i="13"/>
  <c r="M40" i="13"/>
  <c r="N40" i="13"/>
  <c r="K41" i="13"/>
  <c r="L41" i="13"/>
  <c r="M41" i="13"/>
  <c r="N41" i="13"/>
  <c r="K42" i="13"/>
  <c r="L42" i="13"/>
  <c r="M42" i="13"/>
  <c r="N42" i="13"/>
  <c r="K43" i="13"/>
  <c r="L43" i="13"/>
  <c r="M43" i="13"/>
  <c r="N43" i="13"/>
  <c r="K44" i="13"/>
  <c r="L44" i="13"/>
  <c r="M44" i="13"/>
  <c r="N44" i="13"/>
  <c r="K45" i="13"/>
  <c r="L45" i="13"/>
  <c r="M45" i="13"/>
  <c r="N45" i="13"/>
  <c r="K46" i="13"/>
  <c r="L46" i="13"/>
  <c r="M46" i="13"/>
  <c r="N46" i="13"/>
  <c r="K47" i="13"/>
  <c r="L47" i="13"/>
  <c r="M47" i="13"/>
  <c r="N47" i="13"/>
  <c r="K48" i="13"/>
  <c r="L48" i="13"/>
  <c r="M48" i="13"/>
  <c r="N48" i="13"/>
  <c r="K49" i="13"/>
  <c r="L49" i="13"/>
  <c r="M49" i="13"/>
  <c r="N49" i="13"/>
  <c r="K50" i="13"/>
  <c r="L50" i="13"/>
  <c r="M50" i="13"/>
  <c r="N50" i="13"/>
  <c r="K51" i="13"/>
  <c r="L51" i="13"/>
  <c r="M51" i="13"/>
  <c r="N51" i="13"/>
  <c r="K52" i="13"/>
  <c r="L52" i="13"/>
  <c r="M52" i="13"/>
  <c r="N52" i="13"/>
  <c r="K10" i="13"/>
  <c r="L10" i="13"/>
  <c r="M10" i="13"/>
  <c r="N10" i="13"/>
  <c r="K11" i="13"/>
  <c r="L11" i="13"/>
  <c r="M11" i="13"/>
  <c r="N11" i="13"/>
  <c r="K12" i="13"/>
  <c r="L12" i="13"/>
  <c r="M12" i="13"/>
  <c r="N12" i="13"/>
  <c r="K13" i="13"/>
  <c r="L13" i="13"/>
  <c r="M13" i="13"/>
  <c r="N13" i="13"/>
  <c r="K14" i="13"/>
  <c r="L14" i="13"/>
  <c r="M14" i="13"/>
  <c r="N14" i="13"/>
  <c r="K15" i="13"/>
  <c r="L15" i="13"/>
  <c r="M15" i="13"/>
  <c r="N15" i="13"/>
  <c r="K16" i="13"/>
  <c r="L16" i="13"/>
  <c r="M16" i="13"/>
  <c r="N16" i="13"/>
  <c r="K17" i="13"/>
  <c r="L17" i="13"/>
  <c r="M17" i="13"/>
  <c r="N17" i="13"/>
  <c r="K18" i="13"/>
  <c r="L18" i="13"/>
  <c r="M18" i="13"/>
  <c r="N18" i="13"/>
  <c r="K19" i="13"/>
  <c r="L19" i="13"/>
  <c r="M19" i="13"/>
  <c r="N19" i="13"/>
  <c r="K20" i="13"/>
  <c r="L20" i="13"/>
  <c r="M20" i="13"/>
  <c r="N20" i="13"/>
  <c r="K21" i="13"/>
  <c r="L21" i="13"/>
  <c r="M21" i="13"/>
  <c r="N21" i="13"/>
  <c r="K22" i="13"/>
  <c r="L22" i="13"/>
  <c r="M22" i="13"/>
  <c r="N22" i="13"/>
  <c r="K23" i="13"/>
  <c r="L23" i="13"/>
  <c r="M23" i="13"/>
  <c r="N23" i="13"/>
  <c r="K24" i="13"/>
  <c r="L24" i="13"/>
  <c r="M24" i="13"/>
  <c r="N24" i="13"/>
  <c r="K25" i="13"/>
  <c r="L25" i="13"/>
  <c r="M25" i="13"/>
  <c r="N25" i="13"/>
  <c r="K26" i="13"/>
  <c r="L26" i="13"/>
  <c r="M26" i="13"/>
  <c r="N26" i="13"/>
  <c r="K27" i="13"/>
  <c r="L27" i="13"/>
  <c r="M27" i="13"/>
  <c r="N27" i="13"/>
  <c r="K28" i="13"/>
  <c r="L28" i="13"/>
  <c r="M28" i="13"/>
  <c r="N28" i="13"/>
  <c r="K29" i="13"/>
  <c r="L29" i="13"/>
  <c r="M29" i="13"/>
  <c r="N29" i="13"/>
  <c r="L275" i="1"/>
  <c r="L277" i="1" s="1"/>
  <c r="V102" i="42" s="1"/>
  <c r="K275" i="1"/>
  <c r="K277" i="1" s="1"/>
  <c r="U102" i="42" s="1"/>
  <c r="J275" i="1"/>
  <c r="J277" i="1" s="1"/>
  <c r="T102" i="42" s="1"/>
  <c r="I275" i="1"/>
  <c r="I277" i="1" s="1"/>
  <c r="S102" i="42" s="1"/>
  <c r="L274" i="1"/>
  <c r="L276" i="1" s="1"/>
  <c r="V88" i="42" s="1"/>
  <c r="K274" i="1"/>
  <c r="K276" i="1" s="1"/>
  <c r="U88" i="42" s="1"/>
  <c r="J274" i="1"/>
  <c r="J276" i="1" s="1"/>
  <c r="T88" i="42" s="1"/>
  <c r="I274" i="1"/>
  <c r="I276" i="1" s="1"/>
  <c r="S88" i="42" s="1"/>
  <c r="L241" i="1"/>
  <c r="M241" i="1"/>
  <c r="N241" i="1"/>
  <c r="O241" i="1"/>
  <c r="L252" i="1"/>
  <c r="M252" i="1"/>
  <c r="N252" i="1"/>
  <c r="O252" i="1"/>
  <c r="L253" i="1"/>
  <c r="M253" i="1"/>
  <c r="N253" i="1"/>
  <c r="O253" i="1"/>
  <c r="L254" i="1"/>
  <c r="M254" i="1"/>
  <c r="N254" i="1"/>
  <c r="O254" i="1"/>
  <c r="L255" i="1"/>
  <c r="M255" i="1"/>
  <c r="N255" i="1"/>
  <c r="O255" i="1"/>
  <c r="L256" i="1"/>
  <c r="M256" i="1"/>
  <c r="N256" i="1"/>
  <c r="O256" i="1"/>
  <c r="L257" i="1"/>
  <c r="M257" i="1"/>
  <c r="N257" i="1"/>
  <c r="O257" i="1"/>
  <c r="L258" i="1"/>
  <c r="M258" i="1"/>
  <c r="N258" i="1"/>
  <c r="O258" i="1"/>
  <c r="L259" i="1"/>
  <c r="M259" i="1"/>
  <c r="N259" i="1"/>
  <c r="O259" i="1"/>
  <c r="L260" i="1"/>
  <c r="M260" i="1"/>
  <c r="N260" i="1"/>
  <c r="O260" i="1"/>
  <c r="L261" i="1"/>
  <c r="M261" i="1"/>
  <c r="N261" i="1"/>
  <c r="O261" i="1"/>
  <c r="B215" i="1"/>
  <c r="B214" i="1"/>
  <c r="B216" i="1" s="1"/>
  <c r="L215" i="1"/>
  <c r="L217" i="1" s="1"/>
  <c r="M228" i="1" s="1"/>
  <c r="K215" i="1"/>
  <c r="K217" i="1" s="1"/>
  <c r="L228" i="1" s="1"/>
  <c r="J215" i="1"/>
  <c r="J217" i="1" s="1"/>
  <c r="K228" i="1" s="1"/>
  <c r="I215" i="1"/>
  <c r="I217" i="1" s="1"/>
  <c r="J228" i="1" s="1"/>
  <c r="L214" i="1"/>
  <c r="L216" i="1" s="1"/>
  <c r="M225" i="1" s="1"/>
  <c r="K214" i="1"/>
  <c r="K216" i="1" s="1"/>
  <c r="L225" i="1" s="1"/>
  <c r="J214" i="1"/>
  <c r="J216" i="1" s="1"/>
  <c r="K225" i="1" s="1"/>
  <c r="I214" i="1"/>
  <c r="I216" i="1" s="1"/>
  <c r="J225" i="1" s="1"/>
  <c r="L201" i="1"/>
  <c r="L203" i="1" s="1"/>
  <c r="M227" i="1" s="1"/>
  <c r="M229" i="1" s="1"/>
  <c r="K201" i="1"/>
  <c r="K203" i="1" s="1"/>
  <c r="L227" i="1" s="1"/>
  <c r="L229" i="1" s="1"/>
  <c r="U101" i="42" s="1"/>
  <c r="J201" i="1"/>
  <c r="J203" i="1" s="1"/>
  <c r="K227" i="1" s="1"/>
  <c r="K229" i="1" s="1"/>
  <c r="I201" i="1"/>
  <c r="I203" i="1" s="1"/>
  <c r="J227" i="1" s="1"/>
  <c r="J229" i="1" s="1"/>
  <c r="S101" i="42" s="1"/>
  <c r="L200" i="1"/>
  <c r="L202" i="1" s="1"/>
  <c r="M224" i="1" s="1"/>
  <c r="M226" i="1" s="1"/>
  <c r="K200" i="1"/>
  <c r="K202" i="1" s="1"/>
  <c r="L224" i="1" s="1"/>
  <c r="L226" i="1" s="1"/>
  <c r="J200" i="1"/>
  <c r="J202" i="1" s="1"/>
  <c r="K224" i="1" s="1"/>
  <c r="K226" i="1" s="1"/>
  <c r="I200" i="1"/>
  <c r="I202" i="1" s="1"/>
  <c r="J224" i="1" s="1"/>
  <c r="J226" i="1" s="1"/>
  <c r="T101" i="42" l="1"/>
  <c r="V101" i="42"/>
  <c r="N62" i="42"/>
  <c r="L62" i="42"/>
  <c r="M62" i="42"/>
  <c r="K62" i="42"/>
  <c r="N37" i="42"/>
  <c r="L37" i="42"/>
  <c r="M37" i="42"/>
  <c r="K37" i="42"/>
  <c r="D239" i="1" l="1"/>
  <c r="M239" i="1" l="1"/>
  <c r="O239" i="1"/>
  <c r="L239" i="1"/>
  <c r="N239" i="1"/>
  <c r="K16" i="42"/>
  <c r="K10" i="42"/>
  <c r="C6" i="42" l="1"/>
  <c r="Q17" i="42" s="1"/>
  <c r="Q18" i="42" s="1"/>
  <c r="R94" i="42" s="1"/>
  <c r="B6" i="42"/>
  <c r="J10" i="42"/>
  <c r="H10" i="43"/>
  <c r="H9" i="43"/>
  <c r="D16" i="42"/>
  <c r="D18" i="42" s="1"/>
  <c r="E94" i="42" s="1"/>
  <c r="E103" i="42" s="1"/>
  <c r="C16" i="42"/>
  <c r="C18" i="42" s="1"/>
  <c r="D94" i="42" s="1"/>
  <c r="D103" i="42" s="1"/>
  <c r="B16" i="42"/>
  <c r="B18" i="42" s="1"/>
  <c r="C94" i="42" s="1"/>
  <c r="C103" i="42" s="1"/>
  <c r="D10" i="42"/>
  <c r="D12" i="42" s="1"/>
  <c r="E80" i="42" s="1"/>
  <c r="E89" i="42" s="1"/>
  <c r="C10" i="42"/>
  <c r="C12" i="42" s="1"/>
  <c r="D80" i="42" s="1"/>
  <c r="D89" i="42" s="1"/>
  <c r="B10" i="42"/>
  <c r="B12" i="42" s="1"/>
  <c r="C80" i="42" s="1"/>
  <c r="C89" i="42" s="1"/>
  <c r="E10" i="42"/>
  <c r="E12" i="42" s="1"/>
  <c r="F80" i="42" s="1"/>
  <c r="F89" i="42" s="1"/>
  <c r="E16" i="42"/>
  <c r="E18" i="42" s="1"/>
  <c r="F94" i="42" s="1"/>
  <c r="F103" i="42" s="1"/>
  <c r="D247" i="1"/>
  <c r="D246" i="1"/>
  <c r="D240" i="1"/>
  <c r="D245" i="1"/>
  <c r="D243" i="1"/>
  <c r="D244" i="1"/>
  <c r="I155" i="1"/>
  <c r="I154" i="1"/>
  <c r="I153" i="1"/>
  <c r="I152" i="1"/>
  <c r="I151" i="1"/>
  <c r="I150" i="1"/>
  <c r="I149" i="1"/>
  <c r="I148" i="1"/>
  <c r="I147" i="1"/>
  <c r="I145" i="1"/>
  <c r="E69" i="13" s="1"/>
  <c r="I144" i="1"/>
  <c r="I143" i="1"/>
  <c r="G67" i="13" s="1"/>
  <c r="I142" i="1"/>
  <c r="I141" i="1"/>
  <c r="E65" i="13" s="1"/>
  <c r="I140" i="1"/>
  <c r="I139" i="1"/>
  <c r="I138" i="1"/>
  <c r="I137" i="1"/>
  <c r="E61" i="13" s="1"/>
  <c r="I136" i="1"/>
  <c r="J52" i="13"/>
  <c r="I52" i="13"/>
  <c r="H52" i="13"/>
  <c r="G52" i="13"/>
  <c r="F52" i="13"/>
  <c r="E52" i="13"/>
  <c r="D52" i="13"/>
  <c r="J51" i="13"/>
  <c r="I51" i="13"/>
  <c r="H51" i="13"/>
  <c r="G51" i="13"/>
  <c r="F51" i="13"/>
  <c r="E51" i="13"/>
  <c r="D51" i="13"/>
  <c r="J50" i="13"/>
  <c r="I50" i="13"/>
  <c r="H50" i="13"/>
  <c r="H69" i="42" s="1"/>
  <c r="G50" i="13"/>
  <c r="F50" i="13"/>
  <c r="E50" i="13"/>
  <c r="D50" i="13"/>
  <c r="D69" i="42" s="1"/>
  <c r="J49" i="13"/>
  <c r="K255" i="1" s="1"/>
  <c r="I49" i="13"/>
  <c r="J255" i="1" s="1"/>
  <c r="H49" i="13"/>
  <c r="I255" i="1" s="1"/>
  <c r="G49" i="13"/>
  <c r="H255" i="1" s="1"/>
  <c r="F49" i="13"/>
  <c r="G255" i="1" s="1"/>
  <c r="E49" i="13"/>
  <c r="D49" i="13"/>
  <c r="J48" i="13"/>
  <c r="I48" i="13"/>
  <c r="H48" i="13"/>
  <c r="G48" i="13"/>
  <c r="F48" i="13"/>
  <c r="E48" i="13"/>
  <c r="D48" i="13"/>
  <c r="J47" i="13"/>
  <c r="I47" i="13"/>
  <c r="H47" i="13"/>
  <c r="G47" i="13"/>
  <c r="H256" i="1" s="1"/>
  <c r="F47" i="13"/>
  <c r="E47" i="13"/>
  <c r="E66" i="42" s="1"/>
  <c r="D47" i="13"/>
  <c r="J46" i="13"/>
  <c r="I46" i="13"/>
  <c r="H46" i="13"/>
  <c r="G46" i="13"/>
  <c r="F46" i="13"/>
  <c r="E46" i="13"/>
  <c r="D46" i="13"/>
  <c r="J45" i="13"/>
  <c r="I45" i="13"/>
  <c r="H45" i="13"/>
  <c r="G45" i="13"/>
  <c r="F45" i="13"/>
  <c r="E45" i="13"/>
  <c r="D45" i="13"/>
  <c r="J44" i="13"/>
  <c r="K253" i="1" s="1"/>
  <c r="I44" i="13"/>
  <c r="J253" i="1" s="1"/>
  <c r="H44" i="13"/>
  <c r="I253" i="1" s="1"/>
  <c r="G44" i="13"/>
  <c r="H253" i="1" s="1"/>
  <c r="F44" i="13"/>
  <c r="G253" i="1" s="1"/>
  <c r="E44" i="13"/>
  <c r="D44" i="13"/>
  <c r="J43" i="13"/>
  <c r="I43" i="13"/>
  <c r="H43" i="13"/>
  <c r="G43" i="13"/>
  <c r="F43" i="13"/>
  <c r="E43" i="13"/>
  <c r="D43" i="13"/>
  <c r="J42" i="13"/>
  <c r="I42" i="13"/>
  <c r="H42" i="13"/>
  <c r="G42" i="13"/>
  <c r="F42" i="13"/>
  <c r="E42" i="13"/>
  <c r="D42" i="13"/>
  <c r="J41" i="13"/>
  <c r="I41" i="13"/>
  <c r="H41" i="13"/>
  <c r="G41" i="13"/>
  <c r="F41" i="13"/>
  <c r="E41" i="13"/>
  <c r="E60" i="42" s="1"/>
  <c r="D41" i="13"/>
  <c r="J40" i="13"/>
  <c r="I40" i="13"/>
  <c r="H40" i="13"/>
  <c r="G40" i="13"/>
  <c r="F40" i="13"/>
  <c r="E40" i="13"/>
  <c r="D40" i="13"/>
  <c r="J39" i="13"/>
  <c r="I39" i="13"/>
  <c r="H39" i="13"/>
  <c r="G39" i="13"/>
  <c r="G58" i="42" s="1"/>
  <c r="F39" i="13"/>
  <c r="E39" i="13"/>
  <c r="D39" i="13"/>
  <c r="J38" i="13"/>
  <c r="K252" i="1" s="1"/>
  <c r="I38" i="13"/>
  <c r="J252" i="1" s="1"/>
  <c r="H38" i="13"/>
  <c r="I252" i="1" s="1"/>
  <c r="G38" i="13"/>
  <c r="H252" i="1" s="1"/>
  <c r="F38" i="13"/>
  <c r="G252" i="1" s="1"/>
  <c r="E38" i="13"/>
  <c r="D38" i="13"/>
  <c r="J37" i="13"/>
  <c r="I37" i="13"/>
  <c r="H37" i="13"/>
  <c r="G37" i="13"/>
  <c r="F37" i="13"/>
  <c r="E37" i="13"/>
  <c r="D37" i="13"/>
  <c r="J36" i="13"/>
  <c r="I36" i="13"/>
  <c r="H36" i="13"/>
  <c r="G36" i="13"/>
  <c r="F36" i="13"/>
  <c r="E36" i="13"/>
  <c r="D36" i="13"/>
  <c r="J35" i="13"/>
  <c r="I35" i="13"/>
  <c r="H35" i="13"/>
  <c r="G35" i="13"/>
  <c r="F35" i="13"/>
  <c r="E35" i="13"/>
  <c r="D35" i="13"/>
  <c r="J34" i="13"/>
  <c r="K254" i="1" s="1"/>
  <c r="I34" i="13"/>
  <c r="J254" i="1" s="1"/>
  <c r="H34" i="13"/>
  <c r="I254" i="1" s="1"/>
  <c r="G34" i="13"/>
  <c r="H254" i="1" s="1"/>
  <c r="F34" i="13"/>
  <c r="G254" i="1" s="1"/>
  <c r="E34" i="13"/>
  <c r="D34" i="13"/>
  <c r="J33" i="13"/>
  <c r="K257" i="1" s="1"/>
  <c r="I33" i="13"/>
  <c r="J257" i="1" s="1"/>
  <c r="H33" i="13"/>
  <c r="I257" i="1" s="1"/>
  <c r="G33" i="13"/>
  <c r="H257" i="1" s="1"/>
  <c r="F33" i="13"/>
  <c r="G257" i="1" s="1"/>
  <c r="E33" i="13"/>
  <c r="D33" i="13"/>
  <c r="G256" i="1"/>
  <c r="I256" i="1"/>
  <c r="K256" i="1"/>
  <c r="J256" i="1"/>
  <c r="D242" i="1"/>
  <c r="J29" i="13"/>
  <c r="J46" i="42" s="1"/>
  <c r="I29" i="13"/>
  <c r="H29" i="13"/>
  <c r="G29" i="13"/>
  <c r="F29" i="13"/>
  <c r="F46" i="42" s="1"/>
  <c r="E29" i="13"/>
  <c r="D29" i="13"/>
  <c r="J28" i="13"/>
  <c r="I28" i="13"/>
  <c r="I45" i="42" s="1"/>
  <c r="H28" i="13"/>
  <c r="G28" i="13"/>
  <c r="F28" i="13"/>
  <c r="E28" i="13"/>
  <c r="E45" i="42" s="1"/>
  <c r="D28" i="13"/>
  <c r="J25" i="13"/>
  <c r="J42" i="42" s="1"/>
  <c r="I25" i="13"/>
  <c r="H25" i="13"/>
  <c r="G25" i="13"/>
  <c r="F25" i="13"/>
  <c r="F42" i="42" s="1"/>
  <c r="E25" i="13"/>
  <c r="D25" i="13"/>
  <c r="J24" i="13"/>
  <c r="K243" i="1" s="1"/>
  <c r="I24" i="13"/>
  <c r="J243" i="1" s="1"/>
  <c r="H24" i="13"/>
  <c r="I243" i="1" s="1"/>
  <c r="G24" i="13"/>
  <c r="H243" i="1" s="1"/>
  <c r="F24" i="13"/>
  <c r="G243" i="1" s="1"/>
  <c r="E24" i="13"/>
  <c r="E41" i="42" s="1"/>
  <c r="D24" i="13"/>
  <c r="J23" i="13"/>
  <c r="I23" i="13"/>
  <c r="H23" i="13"/>
  <c r="H40" i="42" s="1"/>
  <c r="G23" i="13"/>
  <c r="F23" i="13"/>
  <c r="E23" i="13"/>
  <c r="D23" i="13"/>
  <c r="J22" i="13"/>
  <c r="I22" i="13"/>
  <c r="H22" i="13"/>
  <c r="G22" i="13"/>
  <c r="G39" i="42" s="1"/>
  <c r="F22" i="13"/>
  <c r="E22" i="13"/>
  <c r="D22" i="13"/>
  <c r="J21" i="13"/>
  <c r="K240" i="1" s="1"/>
  <c r="I21" i="13"/>
  <c r="J240" i="1" s="1"/>
  <c r="H21" i="13"/>
  <c r="I240" i="1" s="1"/>
  <c r="G21" i="13"/>
  <c r="H240" i="1" s="1"/>
  <c r="F21" i="13"/>
  <c r="G240" i="1" s="1"/>
  <c r="E21" i="13"/>
  <c r="D21" i="13"/>
  <c r="J20" i="13"/>
  <c r="I20" i="13"/>
  <c r="H20" i="13"/>
  <c r="G20" i="13"/>
  <c r="F20" i="13"/>
  <c r="E20" i="13"/>
  <c r="D20" i="13"/>
  <c r="J19" i="13"/>
  <c r="I19" i="13"/>
  <c r="H19" i="13"/>
  <c r="G19" i="13"/>
  <c r="F19" i="13"/>
  <c r="E19" i="13"/>
  <c r="D19" i="13"/>
  <c r="J18" i="13"/>
  <c r="I18" i="13"/>
  <c r="H18" i="13"/>
  <c r="G18" i="13"/>
  <c r="F18" i="13"/>
  <c r="E18" i="13"/>
  <c r="D18" i="13"/>
  <c r="J17" i="13"/>
  <c r="K247" i="1" s="1"/>
  <c r="I17" i="13"/>
  <c r="J247" i="1" s="1"/>
  <c r="H17" i="13"/>
  <c r="I247" i="1" s="1"/>
  <c r="G17" i="13"/>
  <c r="H247" i="1" s="1"/>
  <c r="F17" i="13"/>
  <c r="E17" i="13"/>
  <c r="D17" i="13"/>
  <c r="J16" i="13"/>
  <c r="I16" i="13"/>
  <c r="H16" i="13"/>
  <c r="G16" i="13"/>
  <c r="F16" i="13"/>
  <c r="E16" i="13"/>
  <c r="D16" i="13"/>
  <c r="J15" i="13"/>
  <c r="K239" i="1" s="1"/>
  <c r="I15" i="13"/>
  <c r="J239" i="1" s="1"/>
  <c r="H15" i="13"/>
  <c r="I239" i="1" s="1"/>
  <c r="G15" i="13"/>
  <c r="H239" i="1" s="1"/>
  <c r="F15" i="13"/>
  <c r="G239" i="1" s="1"/>
  <c r="E15" i="13"/>
  <c r="D15" i="13"/>
  <c r="J14" i="13"/>
  <c r="K246" i="1" s="1"/>
  <c r="I14" i="13"/>
  <c r="J246" i="1" s="1"/>
  <c r="H14" i="13"/>
  <c r="I246" i="1" s="1"/>
  <c r="G14" i="13"/>
  <c r="H246" i="1" s="1"/>
  <c r="F14" i="13"/>
  <c r="G246" i="1" s="1"/>
  <c r="E14" i="13"/>
  <c r="E31" i="42" s="1"/>
  <c r="D14" i="13"/>
  <c r="J13" i="13"/>
  <c r="I13" i="13"/>
  <c r="H13" i="13"/>
  <c r="G13" i="13"/>
  <c r="F13" i="13"/>
  <c r="F30" i="42" s="1"/>
  <c r="E13" i="13"/>
  <c r="D13" i="13"/>
  <c r="J12" i="13"/>
  <c r="I12" i="13"/>
  <c r="H12" i="13"/>
  <c r="G12" i="13"/>
  <c r="F12" i="13"/>
  <c r="E12" i="13"/>
  <c r="D12" i="13"/>
  <c r="J11" i="13"/>
  <c r="K241" i="1" s="1"/>
  <c r="I11" i="13"/>
  <c r="J241" i="1" s="1"/>
  <c r="H11" i="13"/>
  <c r="I241" i="1" s="1"/>
  <c r="G11" i="13"/>
  <c r="H241" i="1" s="1"/>
  <c r="F11" i="13"/>
  <c r="G241" i="1" s="1"/>
  <c r="E11" i="13"/>
  <c r="D11" i="13"/>
  <c r="F261" i="1"/>
  <c r="E261" i="1"/>
  <c r="H275" i="1"/>
  <c r="H277" i="1" s="1"/>
  <c r="R102" i="42" s="1"/>
  <c r="G275" i="1"/>
  <c r="G277" i="1" s="1"/>
  <c r="Q102" i="42" s="1"/>
  <c r="F275" i="1"/>
  <c r="F277" i="1" s="1"/>
  <c r="P102" i="42" s="1"/>
  <c r="E275" i="1"/>
  <c r="E277" i="1" s="1"/>
  <c r="O102" i="42" s="1"/>
  <c r="D275" i="1"/>
  <c r="D277" i="1" s="1"/>
  <c r="N102" i="42" s="1"/>
  <c r="C275" i="1"/>
  <c r="C277" i="1" s="1"/>
  <c r="M102" i="42" s="1"/>
  <c r="H274" i="1"/>
  <c r="H276" i="1" s="1"/>
  <c r="R88" i="42" s="1"/>
  <c r="G274" i="1"/>
  <c r="G276" i="1" s="1"/>
  <c r="Q88" i="42" s="1"/>
  <c r="F274" i="1"/>
  <c r="F276" i="1" s="1"/>
  <c r="P88" i="42" s="1"/>
  <c r="E274" i="1"/>
  <c r="E276" i="1" s="1"/>
  <c r="O88" i="42" s="1"/>
  <c r="D274" i="1"/>
  <c r="D276" i="1" s="1"/>
  <c r="N88" i="42" s="1"/>
  <c r="C274" i="1"/>
  <c r="C276" i="1" s="1"/>
  <c r="M88" i="42" s="1"/>
  <c r="B274" i="1"/>
  <c r="B275" i="1"/>
  <c r="B277" i="1" s="1"/>
  <c r="J16" i="42"/>
  <c r="J18" i="42" s="1"/>
  <c r="E70" i="13"/>
  <c r="E62" i="42" s="1"/>
  <c r="G70" i="13"/>
  <c r="I70" i="13"/>
  <c r="I62" i="42" s="1"/>
  <c r="F70" i="13"/>
  <c r="F62" i="42" s="1"/>
  <c r="H70" i="13"/>
  <c r="H37" i="42" s="1"/>
  <c r="J70" i="13"/>
  <c r="J37" i="42" s="1"/>
  <c r="D70" i="13"/>
  <c r="D37" i="42" s="1"/>
  <c r="J62" i="42"/>
  <c r="D62" i="42"/>
  <c r="G65" i="13"/>
  <c r="G32" i="42" s="1"/>
  <c r="F65" i="13"/>
  <c r="J65" i="13"/>
  <c r="E60" i="13"/>
  <c r="G60" i="13"/>
  <c r="I60" i="13"/>
  <c r="F60" i="13"/>
  <c r="H60" i="13"/>
  <c r="J60" i="13"/>
  <c r="D60" i="13"/>
  <c r="D52" i="42" s="1"/>
  <c r="E78" i="13"/>
  <c r="G78" i="13"/>
  <c r="G70" i="42" s="1"/>
  <c r="I78" i="13"/>
  <c r="F78" i="13"/>
  <c r="F45" i="42" s="1"/>
  <c r="H78" i="13"/>
  <c r="J78" i="13"/>
  <c r="J45" i="42" s="1"/>
  <c r="D78" i="13"/>
  <c r="E76" i="13"/>
  <c r="G76" i="13"/>
  <c r="I76" i="13"/>
  <c r="F76" i="13"/>
  <c r="H76" i="13"/>
  <c r="H68" i="42" s="1"/>
  <c r="J76" i="13"/>
  <c r="D76" i="13"/>
  <c r="D68" i="42" s="1"/>
  <c r="E74" i="13"/>
  <c r="G74" i="13"/>
  <c r="G66" i="42" s="1"/>
  <c r="I74" i="13"/>
  <c r="F74" i="13"/>
  <c r="F41" i="42" s="1"/>
  <c r="H74" i="13"/>
  <c r="J74" i="13"/>
  <c r="J41" i="42" s="1"/>
  <c r="D74" i="13"/>
  <c r="E72" i="13"/>
  <c r="E39" i="42" s="1"/>
  <c r="G72" i="13"/>
  <c r="I72" i="13"/>
  <c r="I39" i="42" s="1"/>
  <c r="F72" i="13"/>
  <c r="H72" i="13"/>
  <c r="H39" i="42" s="1"/>
  <c r="J72" i="13"/>
  <c r="D72" i="13"/>
  <c r="D39" i="42" s="1"/>
  <c r="G69" i="13"/>
  <c r="G36" i="42" s="1"/>
  <c r="F69" i="13"/>
  <c r="F36" i="42" s="1"/>
  <c r="J69" i="13"/>
  <c r="J36" i="42" s="1"/>
  <c r="E67" i="13"/>
  <c r="E34" i="42" s="1"/>
  <c r="I67" i="13"/>
  <c r="I34" i="42" s="1"/>
  <c r="H67" i="13"/>
  <c r="H34" i="42" s="1"/>
  <c r="D67" i="13"/>
  <c r="D34" i="42" s="1"/>
  <c r="G61" i="13"/>
  <c r="G28" i="42" s="1"/>
  <c r="F61" i="13"/>
  <c r="F28" i="42" s="1"/>
  <c r="J61" i="13"/>
  <c r="J28" i="42" s="1"/>
  <c r="E79" i="13"/>
  <c r="E46" i="42" s="1"/>
  <c r="G79" i="13"/>
  <c r="I79" i="13"/>
  <c r="I46" i="42" s="1"/>
  <c r="F79" i="13"/>
  <c r="H79" i="13"/>
  <c r="H46" i="42" s="1"/>
  <c r="J79" i="13"/>
  <c r="D79" i="13"/>
  <c r="D46" i="42" s="1"/>
  <c r="E77" i="13"/>
  <c r="G77" i="13"/>
  <c r="I77" i="13"/>
  <c r="F77" i="13"/>
  <c r="H77" i="13"/>
  <c r="J77" i="13"/>
  <c r="D77" i="13"/>
  <c r="E75" i="13"/>
  <c r="E42" i="42" s="1"/>
  <c r="G75" i="13"/>
  <c r="I75" i="13"/>
  <c r="I42" i="42" s="1"/>
  <c r="F75" i="13"/>
  <c r="H75" i="13"/>
  <c r="H42" i="42" s="1"/>
  <c r="J75" i="13"/>
  <c r="D75" i="13"/>
  <c r="D42" i="42" s="1"/>
  <c r="E73" i="13"/>
  <c r="G73" i="13"/>
  <c r="G40" i="42" s="1"/>
  <c r="I73" i="13"/>
  <c r="F73" i="13"/>
  <c r="F40" i="42" s="1"/>
  <c r="H73" i="13"/>
  <c r="J73" i="13"/>
  <c r="J40" i="42" s="1"/>
  <c r="D73" i="13"/>
  <c r="E71" i="13"/>
  <c r="E63" i="42" s="1"/>
  <c r="G71" i="13"/>
  <c r="G38" i="42" s="1"/>
  <c r="I71" i="13"/>
  <c r="I63" i="42" s="1"/>
  <c r="F71" i="13"/>
  <c r="H71" i="13"/>
  <c r="H63" i="42" s="1"/>
  <c r="J71" i="13"/>
  <c r="D71" i="13"/>
  <c r="D63" i="42" s="1"/>
  <c r="E68" i="13"/>
  <c r="G68" i="13"/>
  <c r="G60" i="42" s="1"/>
  <c r="I68" i="13"/>
  <c r="F68" i="13"/>
  <c r="F60" i="42" s="1"/>
  <c r="H68" i="13"/>
  <c r="H35" i="42" s="1"/>
  <c r="J68" i="13"/>
  <c r="J60" i="42" s="1"/>
  <c r="D68" i="13"/>
  <c r="D35" i="42" s="1"/>
  <c r="E66" i="13"/>
  <c r="E33" i="42" s="1"/>
  <c r="G66" i="13"/>
  <c r="I66" i="13"/>
  <c r="I33" i="42" s="1"/>
  <c r="F66" i="13"/>
  <c r="H66" i="13"/>
  <c r="H58" i="42" s="1"/>
  <c r="J66" i="13"/>
  <c r="J33" i="42" s="1"/>
  <c r="D66" i="13"/>
  <c r="E62" i="13"/>
  <c r="G62" i="13"/>
  <c r="G29" i="42" s="1"/>
  <c r="I62" i="13"/>
  <c r="F62" i="13"/>
  <c r="F29" i="42" s="1"/>
  <c r="H62" i="13"/>
  <c r="H54" i="42" s="1"/>
  <c r="J62" i="13"/>
  <c r="J29" i="42" s="1"/>
  <c r="D62" i="13"/>
  <c r="D54" i="42" s="1"/>
  <c r="J54" i="42"/>
  <c r="E71" i="42"/>
  <c r="G53" i="42"/>
  <c r="H59" i="42"/>
  <c r="E59" i="42"/>
  <c r="G61" i="42"/>
  <c r="I64" i="42"/>
  <c r="G41" i="42"/>
  <c r="F70" i="42"/>
  <c r="F32" i="42"/>
  <c r="D29" i="42"/>
  <c r="F33" i="42"/>
  <c r="F63" i="42"/>
  <c r="G63" i="42"/>
  <c r="D40" i="42"/>
  <c r="I40" i="42"/>
  <c r="E40" i="42"/>
  <c r="J67" i="42"/>
  <c r="F67" i="42"/>
  <c r="G67" i="42"/>
  <c r="G42" i="42"/>
  <c r="J71" i="42"/>
  <c r="F71" i="42"/>
  <c r="G46" i="42"/>
  <c r="G71" i="42"/>
  <c r="J64" i="42"/>
  <c r="J39" i="42"/>
  <c r="F64" i="42"/>
  <c r="F39" i="42"/>
  <c r="G64" i="42"/>
  <c r="D41" i="42"/>
  <c r="H41" i="42"/>
  <c r="I41" i="42"/>
  <c r="D70" i="42"/>
  <c r="D45" i="42"/>
  <c r="H70" i="42"/>
  <c r="H45" i="42"/>
  <c r="I70" i="42"/>
  <c r="E70" i="42"/>
  <c r="I10" i="13"/>
  <c r="G10" i="13"/>
  <c r="G27" i="42" s="1"/>
  <c r="E10" i="13"/>
  <c r="D10" i="13"/>
  <c r="J10" i="13"/>
  <c r="J27" i="42" s="1"/>
  <c r="H10" i="13"/>
  <c r="F10" i="13"/>
  <c r="F27" i="42" s="1"/>
  <c r="F58" i="42"/>
  <c r="I58" i="42"/>
  <c r="E58" i="42"/>
  <c r="J52" i="42"/>
  <c r="H52" i="42"/>
  <c r="F52" i="42"/>
  <c r="I52" i="42"/>
  <c r="E52" i="42"/>
  <c r="I69" i="42"/>
  <c r="G69" i="42"/>
  <c r="E69" i="42"/>
  <c r="J69" i="42"/>
  <c r="F69" i="42"/>
  <c r="H66" i="42"/>
  <c r="D66" i="42"/>
  <c r="I66" i="42"/>
  <c r="J27" i="13"/>
  <c r="J44" i="42" s="1"/>
  <c r="H27" i="13"/>
  <c r="H44" i="42" s="1"/>
  <c r="F27" i="13"/>
  <c r="F44" i="42" s="1"/>
  <c r="D27" i="13"/>
  <c r="D44" i="42" s="1"/>
  <c r="I27" i="13"/>
  <c r="I44" i="42" s="1"/>
  <c r="G27" i="13"/>
  <c r="E27" i="13"/>
  <c r="E44" i="42" s="1"/>
  <c r="E64" i="13"/>
  <c r="G64" i="13"/>
  <c r="G31" i="42" s="1"/>
  <c r="I64" i="13"/>
  <c r="F64" i="13"/>
  <c r="F31" i="42" s="1"/>
  <c r="H64" i="13"/>
  <c r="H56" i="42" s="1"/>
  <c r="J64" i="13"/>
  <c r="J31" i="42" s="1"/>
  <c r="D64" i="13"/>
  <c r="D56" i="42" s="1"/>
  <c r="E63" i="13"/>
  <c r="E30" i="42" s="1"/>
  <c r="G63" i="13"/>
  <c r="G55" i="42" s="1"/>
  <c r="I63" i="13"/>
  <c r="I30" i="42" s="1"/>
  <c r="F63" i="13"/>
  <c r="H63" i="13"/>
  <c r="H30" i="42" s="1"/>
  <c r="J63" i="13"/>
  <c r="D63" i="13"/>
  <c r="D30" i="42" s="1"/>
  <c r="G30" i="42"/>
  <c r="H31" i="42"/>
  <c r="I31" i="42"/>
  <c r="I65" i="42"/>
  <c r="E65" i="42"/>
  <c r="H65" i="42"/>
  <c r="D65" i="42"/>
  <c r="I26" i="13"/>
  <c r="J242" i="1" s="1"/>
  <c r="G26" i="13"/>
  <c r="G43" i="42" s="1"/>
  <c r="E26" i="13"/>
  <c r="J26" i="13"/>
  <c r="J43" i="42" s="1"/>
  <c r="H26" i="13"/>
  <c r="F26" i="13"/>
  <c r="F43" i="42" s="1"/>
  <c r="D26" i="13"/>
  <c r="J68" i="42"/>
  <c r="F68" i="42"/>
  <c r="I68" i="42"/>
  <c r="G68" i="42"/>
  <c r="E68" i="42"/>
  <c r="G57" i="42"/>
  <c r="J57" i="42"/>
  <c r="F57" i="42"/>
  <c r="A70" i="1"/>
  <c r="B70" i="1"/>
  <c r="C70" i="1"/>
  <c r="A71" i="1"/>
  <c r="B71" i="1"/>
  <c r="C71" i="1"/>
  <c r="A72" i="1"/>
  <c r="B72" i="1"/>
  <c r="C72" i="1"/>
  <c r="A73" i="1"/>
  <c r="B73" i="1"/>
  <c r="C73" i="1"/>
  <c r="A74" i="1"/>
  <c r="B74" i="1"/>
  <c r="C74" i="1"/>
  <c r="A75" i="1"/>
  <c r="B75" i="1"/>
  <c r="C75" i="1"/>
  <c r="A76" i="1"/>
  <c r="B76" i="1"/>
  <c r="C76" i="1"/>
  <c r="A77" i="1"/>
  <c r="B77" i="1"/>
  <c r="C77" i="1"/>
  <c r="A78" i="1"/>
  <c r="B78" i="1"/>
  <c r="C78" i="1"/>
  <c r="A79" i="1"/>
  <c r="B79" i="1"/>
  <c r="C79" i="1"/>
  <c r="A80" i="1"/>
  <c r="B80" i="1"/>
  <c r="C80" i="1"/>
  <c r="A81" i="1"/>
  <c r="B81" i="1"/>
  <c r="C81" i="1"/>
  <c r="A82" i="1"/>
  <c r="B82" i="1"/>
  <c r="C82" i="1"/>
  <c r="A83" i="1"/>
  <c r="B83" i="1"/>
  <c r="C83" i="1"/>
  <c r="A84" i="1"/>
  <c r="B84" i="1"/>
  <c r="C84" i="1"/>
  <c r="A85" i="1"/>
  <c r="B85" i="1"/>
  <c r="C85" i="1"/>
  <c r="A86" i="1"/>
  <c r="B86" i="1"/>
  <c r="C86" i="1"/>
  <c r="A87" i="1"/>
  <c r="B87" i="1"/>
  <c r="C87" i="1"/>
  <c r="A88" i="1"/>
  <c r="B88" i="1"/>
  <c r="C88" i="1"/>
  <c r="B69" i="1"/>
  <c r="C69" i="1"/>
  <c r="F200" i="1"/>
  <c r="F202" i="1" s="1"/>
  <c r="G224" i="1" s="1"/>
  <c r="B200" i="1"/>
  <c r="B202" i="1" s="1"/>
  <c r="C224" i="1" s="1"/>
  <c r="H200" i="1"/>
  <c r="H202" i="1" s="1"/>
  <c r="I224" i="1" s="1"/>
  <c r="G200" i="1"/>
  <c r="E200" i="1"/>
  <c r="E202" i="1" s="1"/>
  <c r="F224" i="1" s="1"/>
  <c r="D200" i="1"/>
  <c r="D202" i="1" s="1"/>
  <c r="E224" i="1" s="1"/>
  <c r="C200" i="1"/>
  <c r="C202" i="1" s="1"/>
  <c r="D224" i="1" s="1"/>
  <c r="G202" i="1"/>
  <c r="H224" i="1" s="1"/>
  <c r="B276" i="1"/>
  <c r="H214" i="1"/>
  <c r="H216" i="1" s="1"/>
  <c r="I225" i="1" s="1"/>
  <c r="D214" i="1"/>
  <c r="D216" i="1" s="1"/>
  <c r="E225" i="1" s="1"/>
  <c r="G214" i="1"/>
  <c r="G216" i="1" s="1"/>
  <c r="H225" i="1" s="1"/>
  <c r="C214" i="1"/>
  <c r="C216" i="1" s="1"/>
  <c r="D225" i="1" s="1"/>
  <c r="F214" i="1"/>
  <c r="F216" i="1" s="1"/>
  <c r="G225" i="1" s="1"/>
  <c r="C225" i="1"/>
  <c r="E214" i="1"/>
  <c r="E216" i="1" s="1"/>
  <c r="F225" i="1" s="1"/>
  <c r="A99" i="1"/>
  <c r="B99" i="1"/>
  <c r="C99" i="1"/>
  <c r="A100" i="1"/>
  <c r="B100" i="1"/>
  <c r="C100" i="1"/>
  <c r="A101" i="1"/>
  <c r="B101" i="1"/>
  <c r="C101" i="1"/>
  <c r="A102" i="1"/>
  <c r="B102" i="1"/>
  <c r="C102" i="1"/>
  <c r="A103" i="1"/>
  <c r="B103" i="1"/>
  <c r="C103" i="1"/>
  <c r="A104" i="1"/>
  <c r="B104" i="1"/>
  <c r="C104" i="1"/>
  <c r="A105" i="1"/>
  <c r="B105" i="1"/>
  <c r="C105" i="1"/>
  <c r="A106" i="1"/>
  <c r="B106" i="1"/>
  <c r="C106" i="1"/>
  <c r="A107" i="1"/>
  <c r="B107" i="1"/>
  <c r="C107" i="1"/>
  <c r="A108" i="1"/>
  <c r="B108" i="1"/>
  <c r="C108" i="1"/>
  <c r="A109" i="1"/>
  <c r="B109" i="1"/>
  <c r="C109" i="1"/>
  <c r="A110" i="1"/>
  <c r="B110" i="1"/>
  <c r="C110" i="1"/>
  <c r="A111" i="1"/>
  <c r="B111" i="1"/>
  <c r="C111" i="1"/>
  <c r="A112" i="1"/>
  <c r="B112" i="1"/>
  <c r="C112" i="1"/>
  <c r="A113" i="1"/>
  <c r="B113" i="1"/>
  <c r="C113" i="1"/>
  <c r="A114" i="1"/>
  <c r="B114" i="1"/>
  <c r="C114" i="1"/>
  <c r="A115" i="1"/>
  <c r="B115" i="1"/>
  <c r="C115" i="1"/>
  <c r="A116" i="1"/>
  <c r="B116" i="1"/>
  <c r="C116" i="1"/>
  <c r="A117" i="1"/>
  <c r="B117" i="1"/>
  <c r="C117" i="1"/>
  <c r="B98" i="1"/>
  <c r="C98" i="1"/>
  <c r="A53" i="42"/>
  <c r="B53" i="42"/>
  <c r="C53" i="42"/>
  <c r="A54" i="42"/>
  <c r="B54" i="42"/>
  <c r="C54" i="42"/>
  <c r="A55" i="42"/>
  <c r="B55" i="42"/>
  <c r="C55" i="42"/>
  <c r="A56" i="42"/>
  <c r="B56" i="42"/>
  <c r="C56" i="42"/>
  <c r="A57" i="42"/>
  <c r="B57" i="42"/>
  <c r="C57" i="42"/>
  <c r="A58" i="42"/>
  <c r="B58" i="42"/>
  <c r="C58" i="42"/>
  <c r="A59" i="42"/>
  <c r="B59" i="42"/>
  <c r="C59" i="42"/>
  <c r="A60" i="42"/>
  <c r="B60" i="42"/>
  <c r="C60" i="42"/>
  <c r="A61" i="42"/>
  <c r="B61" i="42"/>
  <c r="C61" i="42"/>
  <c r="A62" i="42"/>
  <c r="B62" i="42"/>
  <c r="C62" i="42"/>
  <c r="A63" i="42"/>
  <c r="B63" i="42"/>
  <c r="C63" i="42"/>
  <c r="A64" i="42"/>
  <c r="B64" i="42"/>
  <c r="C64" i="42"/>
  <c r="A65" i="42"/>
  <c r="B65" i="42"/>
  <c r="C65" i="42"/>
  <c r="A66" i="42"/>
  <c r="B66" i="42"/>
  <c r="C66" i="42"/>
  <c r="A67" i="42"/>
  <c r="B67" i="42"/>
  <c r="C67" i="42"/>
  <c r="A68" i="42"/>
  <c r="B68" i="42"/>
  <c r="C68" i="42"/>
  <c r="A69" i="42"/>
  <c r="B69" i="42"/>
  <c r="C69" i="42"/>
  <c r="A70" i="42"/>
  <c r="B70" i="42"/>
  <c r="C70" i="42"/>
  <c r="A71" i="42"/>
  <c r="B71" i="42"/>
  <c r="C71" i="42"/>
  <c r="B52" i="42"/>
  <c r="C52" i="42"/>
  <c r="A28" i="42"/>
  <c r="B28" i="42"/>
  <c r="C28" i="42"/>
  <c r="A29" i="42"/>
  <c r="B29" i="42"/>
  <c r="C29" i="42"/>
  <c r="A30" i="42"/>
  <c r="B30" i="42"/>
  <c r="C30" i="42"/>
  <c r="A31" i="42"/>
  <c r="B31" i="42"/>
  <c r="C31" i="42"/>
  <c r="A32" i="42"/>
  <c r="B32" i="42"/>
  <c r="C32" i="42"/>
  <c r="A33" i="42"/>
  <c r="B33" i="42"/>
  <c r="C33" i="42"/>
  <c r="A34" i="42"/>
  <c r="B34" i="42"/>
  <c r="C34" i="42"/>
  <c r="A35" i="42"/>
  <c r="B35" i="42"/>
  <c r="C35" i="42"/>
  <c r="A36" i="42"/>
  <c r="B36" i="42"/>
  <c r="C36" i="42"/>
  <c r="A37" i="42"/>
  <c r="B37" i="42"/>
  <c r="C37" i="42"/>
  <c r="A38" i="42"/>
  <c r="B38" i="42"/>
  <c r="C38" i="42"/>
  <c r="A39" i="42"/>
  <c r="B39" i="42"/>
  <c r="C39" i="42"/>
  <c r="A40" i="42"/>
  <c r="B40" i="42"/>
  <c r="C40" i="42"/>
  <c r="A41" i="42"/>
  <c r="B41" i="42"/>
  <c r="C41" i="42"/>
  <c r="A42" i="42"/>
  <c r="B42" i="42"/>
  <c r="C42" i="42"/>
  <c r="A43" i="42"/>
  <c r="B43" i="42"/>
  <c r="C43" i="42"/>
  <c r="A44" i="42"/>
  <c r="B44" i="42"/>
  <c r="C44" i="42"/>
  <c r="A45" i="42"/>
  <c r="B45" i="42"/>
  <c r="C45" i="42"/>
  <c r="A46" i="42"/>
  <c r="B46" i="42"/>
  <c r="C46" i="42"/>
  <c r="B27" i="42"/>
  <c r="C27" i="42"/>
  <c r="A61" i="13"/>
  <c r="B61" i="13"/>
  <c r="C61" i="13"/>
  <c r="A62" i="13"/>
  <c r="B62" i="13"/>
  <c r="C62" i="13"/>
  <c r="A63" i="13"/>
  <c r="B63" i="13"/>
  <c r="C63" i="13"/>
  <c r="A64" i="13"/>
  <c r="B64" i="13"/>
  <c r="C64" i="13"/>
  <c r="A65" i="13"/>
  <c r="B65" i="13"/>
  <c r="C65" i="13"/>
  <c r="A66" i="13"/>
  <c r="B66" i="13"/>
  <c r="C66" i="13"/>
  <c r="A67" i="13"/>
  <c r="B67" i="13"/>
  <c r="C67" i="13"/>
  <c r="A68" i="13"/>
  <c r="B68" i="13"/>
  <c r="C68" i="13"/>
  <c r="A69" i="13"/>
  <c r="B69" i="13"/>
  <c r="C69" i="13"/>
  <c r="A70" i="13"/>
  <c r="B70" i="13"/>
  <c r="C70" i="13"/>
  <c r="A71" i="13"/>
  <c r="B71" i="13"/>
  <c r="C71" i="13"/>
  <c r="A72" i="13"/>
  <c r="B72" i="13"/>
  <c r="C72" i="13"/>
  <c r="A73" i="13"/>
  <c r="B73" i="13"/>
  <c r="C73" i="13"/>
  <c r="A74" i="13"/>
  <c r="B74" i="13"/>
  <c r="C74" i="13"/>
  <c r="A75" i="13"/>
  <c r="B75" i="13"/>
  <c r="C75" i="13"/>
  <c r="A76" i="13"/>
  <c r="B76" i="13"/>
  <c r="C76" i="13"/>
  <c r="A77" i="13"/>
  <c r="B77" i="13"/>
  <c r="C77" i="13"/>
  <c r="A78" i="13"/>
  <c r="B78" i="13"/>
  <c r="C78" i="13"/>
  <c r="A79" i="13"/>
  <c r="B79" i="13"/>
  <c r="C79" i="13"/>
  <c r="B60" i="13"/>
  <c r="C60" i="13"/>
  <c r="A34" i="13"/>
  <c r="B34" i="13"/>
  <c r="C34" i="13"/>
  <c r="A35" i="13"/>
  <c r="B35" i="13"/>
  <c r="C35" i="13"/>
  <c r="A36" i="13"/>
  <c r="B36" i="13"/>
  <c r="C36" i="13"/>
  <c r="A37" i="13"/>
  <c r="B37" i="13"/>
  <c r="C37" i="13"/>
  <c r="A38" i="13"/>
  <c r="B38" i="13"/>
  <c r="C38" i="13"/>
  <c r="A39" i="13"/>
  <c r="B39" i="13"/>
  <c r="C39" i="13"/>
  <c r="A40" i="13"/>
  <c r="B40" i="13"/>
  <c r="C40" i="13"/>
  <c r="A41" i="13"/>
  <c r="B41" i="13"/>
  <c r="C41" i="13"/>
  <c r="A42" i="13"/>
  <c r="B42" i="13"/>
  <c r="C42" i="13"/>
  <c r="A43" i="13"/>
  <c r="B43" i="13"/>
  <c r="C43" i="13"/>
  <c r="A44" i="13"/>
  <c r="B44" i="13"/>
  <c r="C44" i="13"/>
  <c r="A45" i="13"/>
  <c r="B45" i="13"/>
  <c r="C45" i="13"/>
  <c r="A46" i="13"/>
  <c r="B46" i="13"/>
  <c r="C46" i="13"/>
  <c r="A47" i="13"/>
  <c r="B47" i="13"/>
  <c r="C47" i="13"/>
  <c r="A48" i="13"/>
  <c r="B48" i="13"/>
  <c r="C48" i="13"/>
  <c r="A49" i="13"/>
  <c r="B49" i="13"/>
  <c r="C49" i="13"/>
  <c r="A50" i="13"/>
  <c r="B50" i="13"/>
  <c r="C50" i="13"/>
  <c r="A51" i="13"/>
  <c r="B51" i="13"/>
  <c r="C51" i="13"/>
  <c r="A52" i="13"/>
  <c r="B52" i="13"/>
  <c r="C52" i="13"/>
  <c r="B33" i="13"/>
  <c r="C33" i="13"/>
  <c r="A163" i="1"/>
  <c r="A11" i="13" s="1"/>
  <c r="B163" i="1"/>
  <c r="B11" i="13" s="1"/>
  <c r="C163" i="1"/>
  <c r="C11" i="13" s="1"/>
  <c r="A164" i="1"/>
  <c r="A12" i="13" s="1"/>
  <c r="B164" i="1"/>
  <c r="B12" i="13" s="1"/>
  <c r="C164" i="1"/>
  <c r="C12" i="13" s="1"/>
  <c r="A165" i="1"/>
  <c r="A13" i="13" s="1"/>
  <c r="B165" i="1"/>
  <c r="B13" i="13" s="1"/>
  <c r="C165" i="1"/>
  <c r="C13" i="13" s="1"/>
  <c r="A166" i="1"/>
  <c r="A14" i="13" s="1"/>
  <c r="B166" i="1"/>
  <c r="B14" i="13" s="1"/>
  <c r="C166" i="1"/>
  <c r="C14" i="13" s="1"/>
  <c r="A167" i="1"/>
  <c r="A15" i="13" s="1"/>
  <c r="B167" i="1"/>
  <c r="B15" i="13" s="1"/>
  <c r="C167" i="1"/>
  <c r="C15" i="13" s="1"/>
  <c r="A168" i="1"/>
  <c r="A16" i="13" s="1"/>
  <c r="B168" i="1"/>
  <c r="B16" i="13" s="1"/>
  <c r="C168" i="1"/>
  <c r="C16" i="13" s="1"/>
  <c r="A169" i="1"/>
  <c r="A17" i="13" s="1"/>
  <c r="B169" i="1"/>
  <c r="B17" i="13" s="1"/>
  <c r="C169" i="1"/>
  <c r="C17" i="13" s="1"/>
  <c r="A170" i="1"/>
  <c r="A18" i="13" s="1"/>
  <c r="B170" i="1"/>
  <c r="B18" i="13" s="1"/>
  <c r="C170" i="1"/>
  <c r="C18" i="13" s="1"/>
  <c r="A171" i="1"/>
  <c r="A19" i="13" s="1"/>
  <c r="B171" i="1"/>
  <c r="B19" i="13" s="1"/>
  <c r="C171" i="1"/>
  <c r="C19" i="13" s="1"/>
  <c r="A172" i="1"/>
  <c r="A20" i="13" s="1"/>
  <c r="B172" i="1"/>
  <c r="B20" i="13" s="1"/>
  <c r="C172" i="1"/>
  <c r="C20" i="13" s="1"/>
  <c r="A173" i="1"/>
  <c r="A21" i="13" s="1"/>
  <c r="B173" i="1"/>
  <c r="B21" i="13" s="1"/>
  <c r="C173" i="1"/>
  <c r="C21" i="13" s="1"/>
  <c r="A174" i="1"/>
  <c r="A22" i="13" s="1"/>
  <c r="B174" i="1"/>
  <c r="B22" i="13" s="1"/>
  <c r="C174" i="1"/>
  <c r="C22" i="13" s="1"/>
  <c r="A175" i="1"/>
  <c r="A23" i="13" s="1"/>
  <c r="B175" i="1"/>
  <c r="B23" i="13" s="1"/>
  <c r="C175" i="1"/>
  <c r="C23" i="13" s="1"/>
  <c r="A176" i="1"/>
  <c r="A24" i="13" s="1"/>
  <c r="B176" i="1"/>
  <c r="B24" i="13" s="1"/>
  <c r="C176" i="1"/>
  <c r="C24" i="13" s="1"/>
  <c r="A177" i="1"/>
  <c r="A25" i="13" s="1"/>
  <c r="B177" i="1"/>
  <c r="B25" i="13" s="1"/>
  <c r="C177" i="1"/>
  <c r="C25" i="13" s="1"/>
  <c r="A178" i="1"/>
  <c r="A26" i="13" s="1"/>
  <c r="B178" i="1"/>
  <c r="B26" i="13" s="1"/>
  <c r="C178" i="1"/>
  <c r="C26" i="13" s="1"/>
  <c r="A179" i="1"/>
  <c r="A27" i="13" s="1"/>
  <c r="B179" i="1"/>
  <c r="B27" i="13" s="1"/>
  <c r="C179" i="1"/>
  <c r="C27" i="13" s="1"/>
  <c r="A180" i="1"/>
  <c r="A28" i="13" s="1"/>
  <c r="B180" i="1"/>
  <c r="B28" i="13" s="1"/>
  <c r="C180" i="1"/>
  <c r="C28" i="13" s="1"/>
  <c r="A181" i="1"/>
  <c r="A29" i="13" s="1"/>
  <c r="B181" i="1"/>
  <c r="B29" i="13" s="1"/>
  <c r="C181" i="1"/>
  <c r="C29" i="13" s="1"/>
  <c r="B162" i="1"/>
  <c r="B10" i="13" s="1"/>
  <c r="C162" i="1"/>
  <c r="C10" i="13" s="1"/>
  <c r="C155" i="1"/>
  <c r="B155" i="1"/>
  <c r="A155" i="1"/>
  <c r="C154" i="1"/>
  <c r="B154" i="1"/>
  <c r="A154" i="1"/>
  <c r="C153" i="1"/>
  <c r="B153" i="1"/>
  <c r="A153" i="1"/>
  <c r="C152" i="1"/>
  <c r="B152" i="1"/>
  <c r="A152" i="1"/>
  <c r="C151" i="1"/>
  <c r="B151" i="1"/>
  <c r="A151" i="1"/>
  <c r="C150" i="1"/>
  <c r="B150" i="1"/>
  <c r="A150" i="1"/>
  <c r="C149" i="1"/>
  <c r="B149" i="1"/>
  <c r="A149" i="1"/>
  <c r="C148" i="1"/>
  <c r="B148" i="1"/>
  <c r="A148" i="1"/>
  <c r="C147" i="1"/>
  <c r="B147" i="1"/>
  <c r="A147" i="1"/>
  <c r="C146" i="1"/>
  <c r="B146" i="1"/>
  <c r="A146" i="1"/>
  <c r="C145" i="1"/>
  <c r="B145" i="1"/>
  <c r="A145" i="1"/>
  <c r="C144" i="1"/>
  <c r="B144" i="1"/>
  <c r="A144" i="1"/>
  <c r="C143" i="1"/>
  <c r="B143" i="1"/>
  <c r="A143" i="1"/>
  <c r="C142" i="1"/>
  <c r="B142" i="1"/>
  <c r="A142" i="1"/>
  <c r="C141" i="1"/>
  <c r="B141" i="1"/>
  <c r="A141" i="1"/>
  <c r="C140" i="1"/>
  <c r="B140" i="1"/>
  <c r="A140" i="1"/>
  <c r="C139" i="1"/>
  <c r="B139" i="1"/>
  <c r="A139" i="1"/>
  <c r="C138" i="1"/>
  <c r="B138" i="1"/>
  <c r="A138" i="1"/>
  <c r="C137" i="1"/>
  <c r="B137" i="1"/>
  <c r="A137" i="1"/>
  <c r="C136" i="1"/>
  <c r="B136" i="1"/>
  <c r="B201" i="1"/>
  <c r="B203" i="1" s="1"/>
  <c r="C227" i="1" s="1"/>
  <c r="G201" i="1"/>
  <c r="G203" i="1" s="1"/>
  <c r="H227" i="1" s="1"/>
  <c r="E201" i="1"/>
  <c r="E203" i="1" s="1"/>
  <c r="F227" i="1" s="1"/>
  <c r="C201" i="1"/>
  <c r="C203" i="1" s="1"/>
  <c r="D227" i="1" s="1"/>
  <c r="H201" i="1"/>
  <c r="H203" i="1" s="1"/>
  <c r="I227" i="1" s="1"/>
  <c r="F201" i="1"/>
  <c r="F203" i="1" s="1"/>
  <c r="G227" i="1" s="1"/>
  <c r="D201" i="1"/>
  <c r="D203" i="1" s="1"/>
  <c r="E227" i="1" s="1"/>
  <c r="F248" i="1"/>
  <c r="E248" i="1"/>
  <c r="A52" i="42"/>
  <c r="A27" i="42"/>
  <c r="A60" i="13"/>
  <c r="A33" i="13"/>
  <c r="A98" i="1"/>
  <c r="A162" i="1"/>
  <c r="A10" i="13" s="1"/>
  <c r="A136" i="1"/>
  <c r="A69" i="1"/>
  <c r="B217" i="1"/>
  <c r="C228" i="1" s="1"/>
  <c r="G215" i="1"/>
  <c r="G217" i="1" s="1"/>
  <c r="H228" i="1" s="1"/>
  <c r="H215" i="1"/>
  <c r="H217" i="1" s="1"/>
  <c r="I228" i="1" s="1"/>
  <c r="F215" i="1"/>
  <c r="F217" i="1" s="1"/>
  <c r="G228" i="1" s="1"/>
  <c r="C215" i="1"/>
  <c r="C217" i="1" s="1"/>
  <c r="D228" i="1" s="1"/>
  <c r="D215" i="1"/>
  <c r="D217" i="1" s="1"/>
  <c r="E228" i="1" s="1"/>
  <c r="E215" i="1"/>
  <c r="E217" i="1" s="1"/>
  <c r="F228" i="1" s="1"/>
  <c r="I16" i="42"/>
  <c r="I18" i="42" s="1"/>
  <c r="J94" i="42" s="1"/>
  <c r="J103" i="42" s="1"/>
  <c r="F19" i="43" s="1"/>
  <c r="H16" i="42"/>
  <c r="H18" i="42" s="1"/>
  <c r="I94" i="42" s="1"/>
  <c r="I103" i="42" s="1"/>
  <c r="E19" i="43" s="1"/>
  <c r="G16" i="42"/>
  <c r="G18" i="42" s="1"/>
  <c r="H94" i="42" s="1"/>
  <c r="H103" i="42" s="1"/>
  <c r="D19" i="43" s="1"/>
  <c r="F16" i="42"/>
  <c r="F18" i="42" s="1"/>
  <c r="G94" i="42" s="1"/>
  <c r="G103" i="42" s="1"/>
  <c r="C19" i="43" s="1"/>
  <c r="I10" i="42"/>
  <c r="I12" i="42" s="1"/>
  <c r="J80" i="42" s="1"/>
  <c r="J89" i="42" s="1"/>
  <c r="F18" i="43" s="1"/>
  <c r="H10" i="42"/>
  <c r="H12" i="42" s="1"/>
  <c r="I80" i="42" s="1"/>
  <c r="I89" i="42" s="1"/>
  <c r="E18" i="43" s="1"/>
  <c r="G10" i="42"/>
  <c r="G12" i="42" s="1"/>
  <c r="H80" i="42" s="1"/>
  <c r="H89" i="42" s="1"/>
  <c r="D18" i="43" s="1"/>
  <c r="F10" i="42"/>
  <c r="F12" i="42" s="1"/>
  <c r="G80" i="42" s="1"/>
  <c r="G89" i="42" s="1"/>
  <c r="C18" i="43" s="1"/>
  <c r="O11" i="42"/>
  <c r="O12" i="42" s="1"/>
  <c r="P80" i="42" s="1"/>
  <c r="K12" i="42"/>
  <c r="L80" i="42" s="1"/>
  <c r="P11" i="42"/>
  <c r="P12" i="42" s="1"/>
  <c r="Q80" i="42" s="1"/>
  <c r="L11" i="42"/>
  <c r="L12" i="42" s="1"/>
  <c r="M80" i="42" s="1"/>
  <c r="K94" i="42"/>
  <c r="K103" i="42" s="1"/>
  <c r="G19" i="43" s="1"/>
  <c r="J12" i="42"/>
  <c r="K80" i="42" s="1"/>
  <c r="K89" i="42" s="1"/>
  <c r="G18" i="43" s="1"/>
  <c r="K18" i="42"/>
  <c r="L94" i="42" s="1"/>
  <c r="B16" i="27"/>
  <c r="C97" i="17"/>
  <c r="C96" i="17"/>
  <c r="C95" i="17"/>
  <c r="C94" i="17"/>
  <c r="C93" i="17"/>
  <c r="C92" i="17"/>
  <c r="C91" i="17"/>
  <c r="C90" i="17"/>
  <c r="C89" i="17"/>
  <c r="C88" i="17"/>
  <c r="C87" i="17"/>
  <c r="C86" i="17"/>
  <c r="C85" i="17"/>
  <c r="C84" i="17"/>
  <c r="C83"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C7" i="17"/>
  <c r="C6" i="17"/>
  <c r="B3" i="17"/>
  <c r="B88" i="17"/>
  <c r="B71" i="17"/>
  <c r="B21" i="17"/>
  <c r="B15" i="17"/>
  <c r="B16" i="17"/>
  <c r="B70" i="17"/>
  <c r="B30" i="17"/>
  <c r="B78" i="17"/>
  <c r="B95" i="17"/>
  <c r="B19" i="17"/>
  <c r="B48" i="17"/>
  <c r="B47" i="17"/>
  <c r="B87" i="17"/>
  <c r="B34" i="17"/>
  <c r="B92" i="17"/>
  <c r="B73" i="17"/>
  <c r="B79" i="17"/>
  <c r="B67" i="17"/>
  <c r="B90" i="17"/>
  <c r="B61" i="17"/>
  <c r="B83" i="17"/>
  <c r="B41" i="17"/>
  <c r="B76" i="17"/>
  <c r="B7" i="17"/>
  <c r="B38" i="17"/>
  <c r="B64" i="17"/>
  <c r="B17" i="17"/>
  <c r="B72" i="17"/>
  <c r="B53" i="17"/>
  <c r="B45" i="17"/>
  <c r="B37" i="17"/>
  <c r="B93" i="17"/>
  <c r="B10" i="17"/>
  <c r="B49" i="17"/>
  <c r="B63" i="17"/>
  <c r="B68" i="17"/>
  <c r="B33" i="17"/>
  <c r="B46" i="17"/>
  <c r="B59" i="17"/>
  <c r="B82" i="17"/>
  <c r="B77" i="17"/>
  <c r="B43" i="17"/>
  <c r="B89" i="17"/>
  <c r="B44" i="17"/>
  <c r="B12" i="17"/>
  <c r="B31" i="17"/>
  <c r="B62" i="17"/>
  <c r="B97" i="17"/>
  <c r="B22" i="17"/>
  <c r="B20" i="17"/>
  <c r="B13" i="17"/>
  <c r="B85" i="17"/>
  <c r="B40" i="17"/>
  <c r="B57" i="17"/>
  <c r="B11" i="17"/>
  <c r="B69" i="17"/>
  <c r="B27" i="17"/>
  <c r="B52" i="17"/>
  <c r="B9" i="17"/>
  <c r="B81" i="17"/>
  <c r="B18" i="17"/>
  <c r="B25" i="17"/>
  <c r="B54" i="17"/>
  <c r="B24" i="17"/>
  <c r="B91" i="17"/>
  <c r="B42" i="17"/>
  <c r="B35" i="17"/>
  <c r="B74" i="17"/>
  <c r="B60" i="17"/>
  <c r="B84" i="17"/>
  <c r="B94" i="17"/>
  <c r="B8" i="17"/>
  <c r="B51" i="17"/>
  <c r="B32" i="17"/>
  <c r="B39" i="17"/>
  <c r="B66" i="17"/>
  <c r="B36" i="17"/>
  <c r="B26" i="17"/>
  <c r="B86" i="17"/>
  <c r="B29" i="17"/>
  <c r="B56" i="17"/>
  <c r="B23" i="17"/>
  <c r="B58" i="17"/>
  <c r="B55" i="17"/>
  <c r="B6" i="17"/>
  <c r="B96" i="17"/>
  <c r="B28" i="17"/>
  <c r="B65" i="17"/>
  <c r="B14" i="17"/>
  <c r="B80" i="17"/>
  <c r="B75" i="17"/>
  <c r="B50" i="17"/>
  <c r="E53" i="42" l="1"/>
  <c r="E28" i="42"/>
  <c r="E32" i="42"/>
  <c r="E57" i="42"/>
  <c r="G59" i="42"/>
  <c r="G34" i="42"/>
  <c r="E61" i="42"/>
  <c r="E36" i="42"/>
  <c r="D43" i="42"/>
  <c r="H43" i="42"/>
  <c r="E43" i="42"/>
  <c r="F65" i="42"/>
  <c r="J65" i="42"/>
  <c r="G65" i="42"/>
  <c r="J55" i="42"/>
  <c r="F55" i="42"/>
  <c r="I56" i="42"/>
  <c r="E56" i="42"/>
  <c r="G44" i="42"/>
  <c r="G52" i="42"/>
  <c r="D27" i="42"/>
  <c r="G45" i="42"/>
  <c r="J70" i="42"/>
  <c r="R100" i="42" s="1"/>
  <c r="E64" i="42"/>
  <c r="D64" i="42"/>
  <c r="J61" i="42"/>
  <c r="I59" i="42"/>
  <c r="D59" i="42"/>
  <c r="F53" i="42"/>
  <c r="H71" i="42"/>
  <c r="P100" i="42" s="1"/>
  <c r="I54" i="42"/>
  <c r="E54" i="42"/>
  <c r="G33" i="42"/>
  <c r="I35" i="42"/>
  <c r="E35" i="42"/>
  <c r="J38" i="42"/>
  <c r="F38" i="42"/>
  <c r="D61" i="13"/>
  <c r="H61" i="13"/>
  <c r="I61" i="13"/>
  <c r="J67" i="13"/>
  <c r="F67" i="13"/>
  <c r="D69" i="13"/>
  <c r="H69" i="13"/>
  <c r="I69" i="13"/>
  <c r="D65" i="13"/>
  <c r="H65" i="13"/>
  <c r="I65" i="13"/>
  <c r="G62" i="42"/>
  <c r="M86" i="42"/>
  <c r="Q86" i="42"/>
  <c r="N86" i="42"/>
  <c r="M97" i="42"/>
  <c r="I29" i="42"/>
  <c r="H62" i="42"/>
  <c r="J63" i="42"/>
  <c r="H60" i="42"/>
  <c r="E29" i="42"/>
  <c r="H29" i="42"/>
  <c r="K242" i="1"/>
  <c r="E67" i="42"/>
  <c r="P17" i="42"/>
  <c r="P18" i="42" s="1"/>
  <c r="Q94" i="42" s="1"/>
  <c r="O17" i="42"/>
  <c r="O18" i="42" s="1"/>
  <c r="P94" i="42" s="1"/>
  <c r="N17" i="42"/>
  <c r="N18" i="42" s="1"/>
  <c r="O94" i="42" s="1"/>
  <c r="M17" i="42"/>
  <c r="M18" i="42" s="1"/>
  <c r="N94" i="42" s="1"/>
  <c r="H242" i="1"/>
  <c r="G242" i="1"/>
  <c r="M82" i="42"/>
  <c r="N82" i="42"/>
  <c r="K61" i="13"/>
  <c r="M61" i="13"/>
  <c r="L61" i="13"/>
  <c r="N61" i="13"/>
  <c r="K63" i="13"/>
  <c r="M63" i="13"/>
  <c r="L63" i="13"/>
  <c r="N63" i="13"/>
  <c r="K65" i="13"/>
  <c r="M65" i="13"/>
  <c r="L65" i="13"/>
  <c r="N65" i="13"/>
  <c r="K67" i="13"/>
  <c r="M67" i="13"/>
  <c r="L67" i="13"/>
  <c r="N67" i="13"/>
  <c r="K69" i="13"/>
  <c r="M69" i="13"/>
  <c r="L69" i="13"/>
  <c r="N69" i="13"/>
  <c r="K72" i="13"/>
  <c r="M72" i="13"/>
  <c r="L72" i="13"/>
  <c r="N72" i="13"/>
  <c r="K74" i="13"/>
  <c r="M74" i="13"/>
  <c r="L74" i="13"/>
  <c r="N74" i="13"/>
  <c r="K76" i="13"/>
  <c r="M76" i="13"/>
  <c r="L76" i="13"/>
  <c r="N76" i="13"/>
  <c r="K78" i="13"/>
  <c r="M78" i="13"/>
  <c r="L78" i="13"/>
  <c r="N78" i="13"/>
  <c r="L244" i="1"/>
  <c r="N244" i="1"/>
  <c r="M244" i="1"/>
  <c r="O244" i="1"/>
  <c r="L245" i="1"/>
  <c r="N245" i="1"/>
  <c r="M245" i="1"/>
  <c r="O245" i="1"/>
  <c r="L246" i="1"/>
  <c r="N246" i="1"/>
  <c r="M246" i="1"/>
  <c r="O246" i="1"/>
  <c r="L17" i="42"/>
  <c r="L18" i="42" s="1"/>
  <c r="M94" i="42" s="1"/>
  <c r="R17" i="42"/>
  <c r="R18" i="42" s="1"/>
  <c r="S94" i="42" s="1"/>
  <c r="T17" i="42"/>
  <c r="T18" i="42" s="1"/>
  <c r="U94" i="42" s="1"/>
  <c r="S17" i="42"/>
  <c r="S18" i="42" s="1"/>
  <c r="T94" i="42" s="1"/>
  <c r="U17" i="42"/>
  <c r="U18" i="42" s="1"/>
  <c r="V94" i="42" s="1"/>
  <c r="H27" i="42"/>
  <c r="L242" i="1"/>
  <c r="N242" i="1"/>
  <c r="M242" i="1"/>
  <c r="O242" i="1"/>
  <c r="K60" i="13"/>
  <c r="M60" i="13"/>
  <c r="L60" i="13"/>
  <c r="N60" i="13"/>
  <c r="K62" i="13"/>
  <c r="M62" i="13"/>
  <c r="L62" i="13"/>
  <c r="N62" i="13"/>
  <c r="K64" i="13"/>
  <c r="M64" i="13"/>
  <c r="L64" i="13"/>
  <c r="N64" i="13"/>
  <c r="K66" i="13"/>
  <c r="M66" i="13"/>
  <c r="L66" i="13"/>
  <c r="N66" i="13"/>
  <c r="K68" i="13"/>
  <c r="M68" i="13"/>
  <c r="L68" i="13"/>
  <c r="N68" i="13"/>
  <c r="K71" i="13"/>
  <c r="M71" i="13"/>
  <c r="L71" i="13"/>
  <c r="N71" i="13"/>
  <c r="K73" i="13"/>
  <c r="M73" i="13"/>
  <c r="L73" i="13"/>
  <c r="N73" i="13"/>
  <c r="K75" i="13"/>
  <c r="M75" i="13"/>
  <c r="L75" i="13"/>
  <c r="N75" i="13"/>
  <c r="K77" i="13"/>
  <c r="M77" i="13"/>
  <c r="L77" i="13"/>
  <c r="N77" i="13"/>
  <c r="K79" i="13"/>
  <c r="M79" i="13"/>
  <c r="L79" i="13"/>
  <c r="N79" i="13"/>
  <c r="L243" i="1"/>
  <c r="N243" i="1"/>
  <c r="M243" i="1"/>
  <c r="O243" i="1"/>
  <c r="M240" i="1"/>
  <c r="O240" i="1"/>
  <c r="L240" i="1"/>
  <c r="N240" i="1"/>
  <c r="L247" i="1"/>
  <c r="N247" i="1"/>
  <c r="M247" i="1"/>
  <c r="O247" i="1"/>
  <c r="R11" i="42"/>
  <c r="R12" i="42" s="1"/>
  <c r="S80" i="42" s="1"/>
  <c r="T11" i="42"/>
  <c r="T12" i="42" s="1"/>
  <c r="U80" i="42" s="1"/>
  <c r="S11" i="42"/>
  <c r="S12" i="42" s="1"/>
  <c r="T80" i="42" s="1"/>
  <c r="U11" i="42"/>
  <c r="U12" i="42" s="1"/>
  <c r="V80" i="42" s="1"/>
  <c r="O85" i="42"/>
  <c r="H64" i="42"/>
  <c r="O86" i="42"/>
  <c r="M99" i="42"/>
  <c r="H67" i="42"/>
  <c r="P99" i="42" s="1"/>
  <c r="F66" i="42"/>
  <c r="J66" i="42"/>
  <c r="R99" i="42" s="1"/>
  <c r="I38" i="42"/>
  <c r="F61" i="42"/>
  <c r="N98" i="42" s="1"/>
  <c r="J58" i="42"/>
  <c r="I60" i="42"/>
  <c r="D60" i="42"/>
  <c r="J30" i="42"/>
  <c r="D31" i="42"/>
  <c r="E27" i="42"/>
  <c r="I27" i="42"/>
  <c r="I43" i="42"/>
  <c r="Q85" i="42" s="1"/>
  <c r="N85" i="42"/>
  <c r="F35" i="42"/>
  <c r="G54" i="42"/>
  <c r="O95" i="42" s="1"/>
  <c r="D38" i="42"/>
  <c r="M83" i="42"/>
  <c r="E37" i="42"/>
  <c r="I37" i="42"/>
  <c r="E55" i="42"/>
  <c r="M96" i="42" s="1"/>
  <c r="P97" i="42"/>
  <c r="J32" i="42"/>
  <c r="G37" i="42"/>
  <c r="O84" i="42" s="1"/>
  <c r="C229" i="1"/>
  <c r="D33" i="42"/>
  <c r="D58" i="42"/>
  <c r="G229" i="1"/>
  <c r="I229" i="1"/>
  <c r="H229" i="1"/>
  <c r="H226" i="1"/>
  <c r="F56" i="42"/>
  <c r="N96" i="42" s="1"/>
  <c r="H55" i="42"/>
  <c r="F54" i="42"/>
  <c r="N95" i="42" s="1"/>
  <c r="J53" i="42"/>
  <c r="R95" i="42" s="1"/>
  <c r="I71" i="42"/>
  <c r="Q100" i="42" s="1"/>
  <c r="D71" i="42"/>
  <c r="I67" i="42"/>
  <c r="Q99" i="42" s="1"/>
  <c r="D67" i="42"/>
  <c r="E38" i="42"/>
  <c r="H38" i="42"/>
  <c r="G35" i="42"/>
  <c r="O83" i="42" s="1"/>
  <c r="J35" i="42"/>
  <c r="H33" i="42"/>
  <c r="P83" i="42" s="1"/>
  <c r="F37" i="42"/>
  <c r="N84" i="42" s="1"/>
  <c r="R81" i="42"/>
  <c r="O98" i="42"/>
  <c r="I242" i="1"/>
  <c r="G56" i="42"/>
  <c r="J56" i="42"/>
  <c r="I55" i="42"/>
  <c r="D55" i="42"/>
  <c r="D58" i="17"/>
  <c r="E59" i="17" s="1"/>
  <c r="D76" i="17"/>
  <c r="E77" i="17" s="1"/>
  <c r="D31" i="17"/>
  <c r="E32" i="17" s="1"/>
  <c r="D54" i="17"/>
  <c r="E55" i="17" s="1"/>
  <c r="D66" i="17"/>
  <c r="E67" i="17" s="1"/>
  <c r="D41" i="17"/>
  <c r="E42" i="17" s="1"/>
  <c r="D12" i="17"/>
  <c r="E13" i="17" s="1"/>
  <c r="D23" i="17"/>
  <c r="E24" i="17" s="1"/>
  <c r="D39" i="17"/>
  <c r="E40" i="17" s="1"/>
  <c r="D83" i="17"/>
  <c r="E84" i="17" s="1"/>
  <c r="D44" i="17"/>
  <c r="E45" i="17" s="1"/>
  <c r="D25" i="17"/>
  <c r="E26" i="17" s="1"/>
  <c r="D50" i="17"/>
  <c r="E51" i="17" s="1"/>
  <c r="D61" i="17"/>
  <c r="E62" i="17" s="1"/>
  <c r="D89" i="17"/>
  <c r="E90" i="17" s="1"/>
  <c r="D56" i="17"/>
  <c r="E57" i="17" s="1"/>
  <c r="D32" i="17"/>
  <c r="E33" i="17" s="1"/>
  <c r="D90" i="17"/>
  <c r="E91" i="17" s="1"/>
  <c r="D43" i="17"/>
  <c r="E44" i="17" s="1"/>
  <c r="D18" i="17"/>
  <c r="E19" i="17" s="1"/>
  <c r="D75" i="17"/>
  <c r="E76" i="17" s="1"/>
  <c r="D67" i="17"/>
  <c r="E68" i="17" s="1"/>
  <c r="D77" i="17"/>
  <c r="E78" i="17" s="1"/>
  <c r="D81" i="17"/>
  <c r="E82" i="17" s="1"/>
  <c r="D51" i="17"/>
  <c r="E52" i="17" s="1"/>
  <c r="D79" i="17"/>
  <c r="E80" i="17" s="1"/>
  <c r="D82" i="17"/>
  <c r="E83" i="17" s="1"/>
  <c r="D29" i="17"/>
  <c r="E30" i="17" s="1"/>
  <c r="D80" i="17"/>
  <c r="E81" i="17" s="1"/>
  <c r="D73" i="17"/>
  <c r="E74" i="17" s="1"/>
  <c r="D59" i="17"/>
  <c r="E60" i="17" s="1"/>
  <c r="D9" i="17"/>
  <c r="E10" i="17" s="1"/>
  <c r="D8" i="17"/>
  <c r="E9" i="17" s="1"/>
  <c r="D92" i="17"/>
  <c r="E93" i="17" s="1"/>
  <c r="D46" i="17"/>
  <c r="E47" i="17" s="1"/>
  <c r="D86" i="17"/>
  <c r="E87" i="17" s="1"/>
  <c r="D14" i="17"/>
  <c r="E15" i="17" s="1"/>
  <c r="D34" i="17"/>
  <c r="E35" i="17" s="1"/>
  <c r="D33" i="17"/>
  <c r="E34" i="17" s="1"/>
  <c r="D52" i="17"/>
  <c r="E53" i="17" s="1"/>
  <c r="D94" i="17"/>
  <c r="E95" i="17" s="1"/>
  <c r="D87" i="17"/>
  <c r="E88" i="17" s="1"/>
  <c r="D68" i="17"/>
  <c r="E69" i="17" s="1"/>
  <c r="D27" i="17"/>
  <c r="E28" i="17" s="1"/>
  <c r="D84" i="17"/>
  <c r="E85" i="17" s="1"/>
  <c r="D47" i="17"/>
  <c r="E48" i="17" s="1"/>
  <c r="D63" i="17"/>
  <c r="E64" i="17" s="1"/>
  <c r="D69" i="17"/>
  <c r="E70" i="17" s="1"/>
  <c r="D65" i="17"/>
  <c r="E66" i="17" s="1"/>
  <c r="D48" i="17"/>
  <c r="E49" i="17" s="1"/>
  <c r="D49" i="17"/>
  <c r="E50" i="17" s="1"/>
  <c r="D26" i="17"/>
  <c r="E27" i="17" s="1"/>
  <c r="D60" i="17"/>
  <c r="E61" i="17" s="1"/>
  <c r="D19" i="17"/>
  <c r="E20" i="17" s="1"/>
  <c r="D10" i="17"/>
  <c r="E11" i="17" s="1"/>
  <c r="D11" i="17"/>
  <c r="E12" i="17" s="1"/>
  <c r="D28" i="17"/>
  <c r="E29" i="17" s="1"/>
  <c r="D95" i="17"/>
  <c r="E96" i="17" s="1"/>
  <c r="D93" i="17"/>
  <c r="E94" i="17" s="1"/>
  <c r="D57" i="17"/>
  <c r="E58" i="17" s="1"/>
  <c r="D74" i="17"/>
  <c r="E75" i="17" s="1"/>
  <c r="D78" i="17"/>
  <c r="E79" i="17" s="1"/>
  <c r="D37" i="17"/>
  <c r="E38" i="17" s="1"/>
  <c r="D40" i="17"/>
  <c r="E41" i="17" s="1"/>
  <c r="D96" i="17"/>
  <c r="E97" i="17" s="1"/>
  <c r="F97" i="17" s="1"/>
  <c r="D30" i="17"/>
  <c r="E31" i="17" s="1"/>
  <c r="D45" i="17"/>
  <c r="E46" i="17" s="1"/>
  <c r="D85" i="17"/>
  <c r="E86" i="17" s="1"/>
  <c r="D35" i="17"/>
  <c r="E36" i="17" s="1"/>
  <c r="D70" i="17"/>
  <c r="E71" i="17" s="1"/>
  <c r="D53" i="17"/>
  <c r="E54" i="17" s="1"/>
  <c r="D13" i="17"/>
  <c r="E14" i="17" s="1"/>
  <c r="D42" i="17"/>
  <c r="E43" i="17" s="1"/>
  <c r="D16" i="17"/>
  <c r="E17" i="17" s="1"/>
  <c r="D72" i="17"/>
  <c r="E73" i="17" s="1"/>
  <c r="D20" i="17"/>
  <c r="E21" i="17" s="1"/>
  <c r="D6" i="17"/>
  <c r="B98" i="17"/>
  <c r="E7" i="17"/>
  <c r="D15" i="17"/>
  <c r="E16" i="17" s="1"/>
  <c r="D17" i="17"/>
  <c r="E18" i="17" s="1"/>
  <c r="D22" i="17"/>
  <c r="E23" i="17" s="1"/>
  <c r="D91" i="17"/>
  <c r="E92" i="17" s="1"/>
  <c r="D21" i="17"/>
  <c r="E22" i="17" s="1"/>
  <c r="D64" i="17"/>
  <c r="E65" i="17" s="1"/>
  <c r="D97" i="17"/>
  <c r="D55" i="17"/>
  <c r="E56" i="17" s="1"/>
  <c r="D71" i="17"/>
  <c r="E72" i="17" s="1"/>
  <c r="D38" i="17"/>
  <c r="E39" i="17" s="1"/>
  <c r="D36" i="17"/>
  <c r="E37" i="17" s="1"/>
  <c r="D24" i="17"/>
  <c r="E25" i="17" s="1"/>
  <c r="D88" i="17"/>
  <c r="E89" i="17" s="1"/>
  <c r="D7" i="17"/>
  <c r="E8" i="17" s="1"/>
  <c r="D62" i="17"/>
  <c r="E63" i="17" s="1"/>
  <c r="E229" i="1"/>
  <c r="D229" i="1"/>
  <c r="M101" i="42" s="1"/>
  <c r="F229" i="1"/>
  <c r="C226" i="1"/>
  <c r="G226" i="1"/>
  <c r="E226" i="1"/>
  <c r="D226" i="1"/>
  <c r="M87" i="42" s="1"/>
  <c r="F226" i="1"/>
  <c r="I226" i="1"/>
  <c r="M98" i="42"/>
  <c r="H259" i="1"/>
  <c r="H258" i="1"/>
  <c r="H260" i="1"/>
  <c r="J259" i="1"/>
  <c r="J258" i="1"/>
  <c r="J260" i="1"/>
  <c r="G247" i="1"/>
  <c r="R98" i="42"/>
  <c r="G259" i="1"/>
  <c r="G258" i="1"/>
  <c r="G260" i="1"/>
  <c r="I259" i="1"/>
  <c r="I258" i="1"/>
  <c r="I260" i="1"/>
  <c r="K259" i="1"/>
  <c r="K258" i="1"/>
  <c r="K260" i="1"/>
  <c r="K244" i="1"/>
  <c r="I244" i="1"/>
  <c r="G244" i="1"/>
  <c r="J244" i="1"/>
  <c r="H244" i="1"/>
  <c r="K245" i="1"/>
  <c r="I245" i="1"/>
  <c r="G245" i="1"/>
  <c r="J245" i="1"/>
  <c r="H245" i="1"/>
  <c r="O96" i="42"/>
  <c r="R96" i="42"/>
  <c r="M95" i="42"/>
  <c r="N100" i="42"/>
  <c r="Q97" i="42"/>
  <c r="M81" i="42"/>
  <c r="O82" i="42"/>
  <c r="R82" i="42"/>
  <c r="O100" i="42"/>
  <c r="R86" i="42"/>
  <c r="R84" i="42"/>
  <c r="P86" i="42"/>
  <c r="M85" i="42"/>
  <c r="N99" i="42"/>
  <c r="O99" i="42"/>
  <c r="M100" i="42"/>
  <c r="O97" i="42"/>
  <c r="O81" i="42"/>
  <c r="N81" i="42"/>
  <c r="P85" i="42"/>
  <c r="R85" i="42"/>
  <c r="Q83" i="42"/>
  <c r="L89" i="42"/>
  <c r="H18" i="43" s="1"/>
  <c r="L103" i="42"/>
  <c r="H19" i="43" s="1"/>
  <c r="Q11" i="42"/>
  <c r="Q12" i="42" s="1"/>
  <c r="R80" i="42" s="1"/>
  <c r="M11" i="42"/>
  <c r="M12" i="42" s="1"/>
  <c r="N80" i="42" s="1"/>
  <c r="N11" i="42"/>
  <c r="N12" i="42" s="1"/>
  <c r="O80" i="42" s="1"/>
  <c r="M84" i="42" l="1"/>
  <c r="H32" i="42"/>
  <c r="P82" i="42" s="1"/>
  <c r="H57" i="42"/>
  <c r="P96" i="42" s="1"/>
  <c r="I61" i="42"/>
  <c r="Q98" i="42" s="1"/>
  <c r="I36" i="42"/>
  <c r="Q84" i="42" s="1"/>
  <c r="D61" i="42"/>
  <c r="D36" i="42"/>
  <c r="J59" i="42"/>
  <c r="R97" i="42" s="1"/>
  <c r="J34" i="42"/>
  <c r="R83" i="42" s="1"/>
  <c r="H53" i="42"/>
  <c r="P95" i="42" s="1"/>
  <c r="H28" i="42"/>
  <c r="P81" i="42" s="1"/>
  <c r="I32" i="42"/>
  <c r="Q82" i="42" s="1"/>
  <c r="I57" i="42"/>
  <c r="Q96" i="42" s="1"/>
  <c r="D32" i="42"/>
  <c r="D57" i="42"/>
  <c r="H61" i="42"/>
  <c r="P98" i="42" s="1"/>
  <c r="H36" i="42"/>
  <c r="P84" i="42" s="1"/>
  <c r="P89" i="42" s="1"/>
  <c r="L18" i="43" s="1"/>
  <c r="F59" i="42"/>
  <c r="N97" i="42" s="1"/>
  <c r="F34" i="42"/>
  <c r="N83" i="42" s="1"/>
  <c r="I53" i="42"/>
  <c r="Q95" i="42" s="1"/>
  <c r="I28" i="42"/>
  <c r="Q81" i="42" s="1"/>
  <c r="Q89" i="42" s="1"/>
  <c r="D53" i="42"/>
  <c r="D28" i="42"/>
  <c r="O248" i="1"/>
  <c r="V87" i="42" s="1"/>
  <c r="N71" i="42"/>
  <c r="N46" i="42"/>
  <c r="M71" i="42"/>
  <c r="M46" i="42"/>
  <c r="N69" i="42"/>
  <c r="N44" i="42"/>
  <c r="M69" i="42"/>
  <c r="M44" i="42"/>
  <c r="N67" i="42"/>
  <c r="N42" i="42"/>
  <c r="M67" i="42"/>
  <c r="M42" i="42"/>
  <c r="N65" i="42"/>
  <c r="N40" i="42"/>
  <c r="M65" i="42"/>
  <c r="M40" i="42"/>
  <c r="N63" i="42"/>
  <c r="N38" i="42"/>
  <c r="M63" i="42"/>
  <c r="M38" i="42"/>
  <c r="N60" i="42"/>
  <c r="N35" i="42"/>
  <c r="M60" i="42"/>
  <c r="M35" i="42"/>
  <c r="N58" i="42"/>
  <c r="N33" i="42"/>
  <c r="M58" i="42"/>
  <c r="M33" i="42"/>
  <c r="N56" i="42"/>
  <c r="N31" i="42"/>
  <c r="M56" i="42"/>
  <c r="M31" i="42"/>
  <c r="N54" i="42"/>
  <c r="N29" i="42"/>
  <c r="M54" i="42"/>
  <c r="M29" i="42"/>
  <c r="N52" i="42"/>
  <c r="N27" i="42"/>
  <c r="M52" i="42"/>
  <c r="M27" i="42"/>
  <c r="N248" i="1"/>
  <c r="U87" i="42" s="1"/>
  <c r="N70" i="42"/>
  <c r="N45" i="42"/>
  <c r="V86" i="42" s="1"/>
  <c r="M70" i="42"/>
  <c r="M45" i="42"/>
  <c r="U86" i="42" s="1"/>
  <c r="N68" i="42"/>
  <c r="N43" i="42"/>
  <c r="M68" i="42"/>
  <c r="M43" i="42"/>
  <c r="N66" i="42"/>
  <c r="N41" i="42"/>
  <c r="M66" i="42"/>
  <c r="M41" i="42"/>
  <c r="N64" i="42"/>
  <c r="N39" i="42"/>
  <c r="M64" i="42"/>
  <c r="M39" i="42"/>
  <c r="N61" i="42"/>
  <c r="N36" i="42"/>
  <c r="V84" i="42" s="1"/>
  <c r="M61" i="42"/>
  <c r="M36" i="42"/>
  <c r="U84" i="42" s="1"/>
  <c r="N59" i="42"/>
  <c r="N34" i="42"/>
  <c r="M59" i="42"/>
  <c r="M34" i="42"/>
  <c r="N57" i="42"/>
  <c r="N32" i="42"/>
  <c r="M57" i="42"/>
  <c r="M32" i="42"/>
  <c r="N55" i="42"/>
  <c r="N30" i="42"/>
  <c r="V82" i="42" s="1"/>
  <c r="M55" i="42"/>
  <c r="M30" i="42"/>
  <c r="U82" i="42" s="1"/>
  <c r="N53" i="42"/>
  <c r="N28" i="42"/>
  <c r="M53" i="42"/>
  <c r="M28" i="42"/>
  <c r="L248" i="1"/>
  <c r="S87" i="42" s="1"/>
  <c r="M248" i="1"/>
  <c r="T87" i="42" s="1"/>
  <c r="L71" i="42"/>
  <c r="L46" i="42"/>
  <c r="K71" i="42"/>
  <c r="K46" i="42"/>
  <c r="L69" i="42"/>
  <c r="L44" i="42"/>
  <c r="K69" i="42"/>
  <c r="K44" i="42"/>
  <c r="L67" i="42"/>
  <c r="L42" i="42"/>
  <c r="K67" i="42"/>
  <c r="K42" i="42"/>
  <c r="L65" i="42"/>
  <c r="L40" i="42"/>
  <c r="K65" i="42"/>
  <c r="K40" i="42"/>
  <c r="L63" i="42"/>
  <c r="L38" i="42"/>
  <c r="K63" i="42"/>
  <c r="K38" i="42"/>
  <c r="L60" i="42"/>
  <c r="L35" i="42"/>
  <c r="K60" i="42"/>
  <c r="K35" i="42"/>
  <c r="L58" i="42"/>
  <c r="L33" i="42"/>
  <c r="K58" i="42"/>
  <c r="K33" i="42"/>
  <c r="L56" i="42"/>
  <c r="L31" i="42"/>
  <c r="K56" i="42"/>
  <c r="K31" i="42"/>
  <c r="L54" i="42"/>
  <c r="L29" i="42"/>
  <c r="K54" i="42"/>
  <c r="K29" i="42"/>
  <c r="L52" i="42"/>
  <c r="L27" i="42"/>
  <c r="K52" i="42"/>
  <c r="K27" i="42"/>
  <c r="L70" i="42"/>
  <c r="L45" i="42"/>
  <c r="T86" i="42" s="1"/>
  <c r="K70" i="42"/>
  <c r="K45" i="42"/>
  <c r="S86" i="42" s="1"/>
  <c r="L68" i="42"/>
  <c r="L43" i="42"/>
  <c r="K68" i="42"/>
  <c r="K43" i="42"/>
  <c r="L66" i="42"/>
  <c r="L41" i="42"/>
  <c r="K66" i="42"/>
  <c r="K41" i="42"/>
  <c r="L64" i="42"/>
  <c r="L39" i="42"/>
  <c r="K64" i="42"/>
  <c r="K39" i="42"/>
  <c r="L61" i="42"/>
  <c r="T98" i="42" s="1"/>
  <c r="L36" i="42"/>
  <c r="T84" i="42" s="1"/>
  <c r="K61" i="42"/>
  <c r="S98" i="42" s="1"/>
  <c r="K36" i="42"/>
  <c r="S84" i="42" s="1"/>
  <c r="L59" i="42"/>
  <c r="L34" i="42"/>
  <c r="K59" i="42"/>
  <c r="K34" i="42"/>
  <c r="L57" i="42"/>
  <c r="L32" i="42"/>
  <c r="K57" i="42"/>
  <c r="K32" i="42"/>
  <c r="L55" i="42"/>
  <c r="T96" i="42" s="1"/>
  <c r="L30" i="42"/>
  <c r="T82" i="42" s="1"/>
  <c r="K55" i="42"/>
  <c r="S96" i="42" s="1"/>
  <c r="K30" i="42"/>
  <c r="S82" i="42" s="1"/>
  <c r="L53" i="42"/>
  <c r="L28" i="42"/>
  <c r="K53" i="42"/>
  <c r="K28" i="42"/>
  <c r="M89" i="42"/>
  <c r="M90" i="42" s="1"/>
  <c r="I9" i="43" s="1"/>
  <c r="M103" i="42"/>
  <c r="M104" i="42" s="1"/>
  <c r="I10" i="43" s="1"/>
  <c r="J248" i="1"/>
  <c r="Q87" i="42" s="1"/>
  <c r="I248" i="1"/>
  <c r="P87" i="42" s="1"/>
  <c r="I261" i="1"/>
  <c r="P101" i="42" s="1"/>
  <c r="P103" i="42" s="1"/>
  <c r="L19" i="43" s="1"/>
  <c r="J261" i="1"/>
  <c r="Q101" i="42" s="1"/>
  <c r="Q103" i="42" s="1"/>
  <c r="F72" i="17"/>
  <c r="G73" i="17" s="1"/>
  <c r="F22" i="17"/>
  <c r="G23" i="17" s="1"/>
  <c r="F36" i="17"/>
  <c r="G37" i="17" s="1"/>
  <c r="F31" i="17"/>
  <c r="G32" i="17" s="1"/>
  <c r="F18" i="17"/>
  <c r="G19" i="17" s="1"/>
  <c r="F73" i="17"/>
  <c r="G74" i="17" s="1"/>
  <c r="F71" i="17"/>
  <c r="G72" i="17" s="1"/>
  <c r="F46" i="17"/>
  <c r="G47" i="17" s="1"/>
  <c r="F79" i="17"/>
  <c r="G80" i="17" s="1"/>
  <c r="F58" i="17"/>
  <c r="G59" i="17" s="1"/>
  <c r="F29" i="17"/>
  <c r="G30" i="17" s="1"/>
  <c r="F11" i="17"/>
  <c r="G12" i="17" s="1"/>
  <c r="F50" i="17"/>
  <c r="G51" i="17" s="1"/>
  <c r="F66" i="17"/>
  <c r="G67" i="17" s="1"/>
  <c r="F64" i="17"/>
  <c r="G65" i="17" s="1"/>
  <c r="F69" i="17"/>
  <c r="G70" i="17" s="1"/>
  <c r="F34" i="17"/>
  <c r="G35" i="17" s="1"/>
  <c r="F15" i="17"/>
  <c r="G16" i="17" s="1"/>
  <c r="F60" i="17"/>
  <c r="G61" i="17" s="1"/>
  <c r="F80" i="17"/>
  <c r="G81" i="17" s="1"/>
  <c r="F76" i="17"/>
  <c r="G77" i="17" s="1"/>
  <c r="F33" i="17"/>
  <c r="G34" i="17" s="1"/>
  <c r="F26" i="17"/>
  <c r="G27" i="17" s="1"/>
  <c r="F40" i="17"/>
  <c r="G41" i="17" s="1"/>
  <c r="F67" i="17"/>
  <c r="G68" i="17" s="1"/>
  <c r="F54" i="17"/>
  <c r="G55" i="17" s="1"/>
  <c r="F41" i="17"/>
  <c r="G42" i="17" s="1"/>
  <c r="F75" i="17"/>
  <c r="G76" i="17" s="1"/>
  <c r="F96" i="17"/>
  <c r="G97" i="17" s="1"/>
  <c r="H97" i="17" s="1"/>
  <c r="F12" i="17"/>
  <c r="G13" i="17" s="1"/>
  <c r="F20" i="17"/>
  <c r="G21" i="17" s="1"/>
  <c r="F49" i="17"/>
  <c r="G50" i="17" s="1"/>
  <c r="F70" i="17"/>
  <c r="G71" i="17" s="1"/>
  <c r="F48" i="17"/>
  <c r="G49" i="17" s="1"/>
  <c r="F95" i="17"/>
  <c r="G96" i="17" s="1"/>
  <c r="F35" i="17"/>
  <c r="G36" i="17" s="1"/>
  <c r="F47" i="17"/>
  <c r="G48" i="17" s="1"/>
  <c r="F30" i="17"/>
  <c r="G31" i="17" s="1"/>
  <c r="F82" i="17"/>
  <c r="G83" i="17" s="1"/>
  <c r="F19" i="17"/>
  <c r="G20" i="17" s="1"/>
  <c r="F57" i="17"/>
  <c r="G58" i="17" s="1"/>
  <c r="F45" i="17"/>
  <c r="G46" i="17" s="1"/>
  <c r="F24" i="17"/>
  <c r="G25" i="17" s="1"/>
  <c r="F32" i="17"/>
  <c r="G33" i="17" s="1"/>
  <c r="I18" i="43"/>
  <c r="H248" i="1"/>
  <c r="G248" i="1"/>
  <c r="N87" i="42" s="1"/>
  <c r="K248" i="1"/>
  <c r="R87" i="42" s="1"/>
  <c r="K261" i="1"/>
  <c r="R101" i="42" s="1"/>
  <c r="R103" i="42" s="1"/>
  <c r="N19" i="43" s="1"/>
  <c r="G261" i="1"/>
  <c r="N101" i="42" s="1"/>
  <c r="N103" i="42" s="1"/>
  <c r="J19" i="43" s="1"/>
  <c r="H261" i="1"/>
  <c r="O101" i="42" s="1"/>
  <c r="O103" i="42" s="1"/>
  <c r="O87" i="42"/>
  <c r="O89" i="42" s="1"/>
  <c r="N89" i="42"/>
  <c r="N90" i="42" s="1"/>
  <c r="J9" i="43" s="1"/>
  <c r="F63" i="17"/>
  <c r="G64" i="17" s="1"/>
  <c r="F8" i="17"/>
  <c r="G9" i="17" s="1"/>
  <c r="F89" i="17"/>
  <c r="G90" i="17" s="1"/>
  <c r="F25" i="17"/>
  <c r="G26" i="17" s="1"/>
  <c r="F37" i="17"/>
  <c r="G38" i="17" s="1"/>
  <c r="F39" i="17"/>
  <c r="G40" i="17" s="1"/>
  <c r="F56" i="17"/>
  <c r="G57" i="17" s="1"/>
  <c r="F65" i="17"/>
  <c r="G66" i="17" s="1"/>
  <c r="F92" i="17"/>
  <c r="G93" i="17" s="1"/>
  <c r="F23" i="17"/>
  <c r="G24" i="17" s="1"/>
  <c r="F16" i="17"/>
  <c r="G17" i="17" s="1"/>
  <c r="F7" i="17"/>
  <c r="G8" i="17" s="1"/>
  <c r="E6" i="17"/>
  <c r="D98" i="17"/>
  <c r="B102" i="17" s="1"/>
  <c r="B103" i="17" s="1"/>
  <c r="F21" i="17"/>
  <c r="G22" i="17" s="1"/>
  <c r="F17" i="17"/>
  <c r="G18" i="17" s="1"/>
  <c r="F43" i="17"/>
  <c r="G44" i="17" s="1"/>
  <c r="F14" i="17"/>
  <c r="G15" i="17" s="1"/>
  <c r="F86" i="17"/>
  <c r="G87" i="17" s="1"/>
  <c r="F38" i="17"/>
  <c r="G39" i="17" s="1"/>
  <c r="F94" i="17"/>
  <c r="G95" i="17" s="1"/>
  <c r="F61" i="17"/>
  <c r="G62" i="17" s="1"/>
  <c r="F27" i="17"/>
  <c r="G28" i="17" s="1"/>
  <c r="F85" i="17"/>
  <c r="G86" i="17" s="1"/>
  <c r="F28" i="17"/>
  <c r="G29" i="17" s="1"/>
  <c r="F88" i="17"/>
  <c r="G89" i="17" s="1"/>
  <c r="F53" i="17"/>
  <c r="G54" i="17" s="1"/>
  <c r="F87" i="17"/>
  <c r="G88" i="17" s="1"/>
  <c r="F93" i="17"/>
  <c r="G94" i="17" s="1"/>
  <c r="F9" i="17"/>
  <c r="G10" i="17" s="1"/>
  <c r="F10" i="17"/>
  <c r="G11" i="17" s="1"/>
  <c r="F74" i="17"/>
  <c r="G75" i="17" s="1"/>
  <c r="F81" i="17"/>
  <c r="G82" i="17" s="1"/>
  <c r="F83" i="17"/>
  <c r="G84" i="17" s="1"/>
  <c r="F52" i="17"/>
  <c r="G53" i="17" s="1"/>
  <c r="F78" i="17"/>
  <c r="G79" i="17" s="1"/>
  <c r="F68" i="17"/>
  <c r="G69" i="17" s="1"/>
  <c r="F44" i="17"/>
  <c r="G45" i="17" s="1"/>
  <c r="F91" i="17"/>
  <c r="G92" i="17" s="1"/>
  <c r="F90" i="17"/>
  <c r="G91" i="17" s="1"/>
  <c r="F62" i="17"/>
  <c r="G63" i="17" s="1"/>
  <c r="F51" i="17"/>
  <c r="G52" i="17" s="1"/>
  <c r="F84" i="17"/>
  <c r="G85" i="17" s="1"/>
  <c r="F13" i="17"/>
  <c r="G14" i="17" s="1"/>
  <c r="F42" i="17"/>
  <c r="G43" i="17" s="1"/>
  <c r="F55" i="17"/>
  <c r="G56" i="17" s="1"/>
  <c r="F77" i="17"/>
  <c r="G78" i="17" s="1"/>
  <c r="F59" i="17"/>
  <c r="G60" i="17" s="1"/>
  <c r="J18" i="43"/>
  <c r="Q90" i="42" l="1"/>
  <c r="M9" i="43" s="1"/>
  <c r="M18" i="43"/>
  <c r="R89" i="42"/>
  <c r="U96" i="42"/>
  <c r="V96" i="42"/>
  <c r="U98" i="42"/>
  <c r="V98" i="42"/>
  <c r="S81" i="42"/>
  <c r="T81" i="42"/>
  <c r="S83" i="42"/>
  <c r="T83" i="42"/>
  <c r="S85" i="42"/>
  <c r="T85" i="42"/>
  <c r="U95" i="42"/>
  <c r="V95" i="42"/>
  <c r="U97" i="42"/>
  <c r="V97" i="42"/>
  <c r="U99" i="42"/>
  <c r="V99" i="42"/>
  <c r="U100" i="42"/>
  <c r="V100" i="42"/>
  <c r="S95" i="42"/>
  <c r="T95" i="42"/>
  <c r="S97" i="42"/>
  <c r="T97" i="42"/>
  <c r="S99" i="42"/>
  <c r="T99" i="42"/>
  <c r="S100" i="42"/>
  <c r="T100" i="42"/>
  <c r="U81" i="42"/>
  <c r="V81" i="42"/>
  <c r="U83" i="42"/>
  <c r="V83" i="42"/>
  <c r="U85" i="42"/>
  <c r="V85" i="42"/>
  <c r="P104" i="42"/>
  <c r="L10" i="43" s="1"/>
  <c r="P90" i="42"/>
  <c r="L9" i="43" s="1"/>
  <c r="I19" i="43"/>
  <c r="Q104" i="42"/>
  <c r="M10" i="43" s="1"/>
  <c r="M19" i="43"/>
  <c r="N104" i="42"/>
  <c r="J10" i="43" s="1"/>
  <c r="O90" i="42"/>
  <c r="K9" i="43" s="1"/>
  <c r="K18" i="43"/>
  <c r="R104" i="42"/>
  <c r="N10" i="43" s="1"/>
  <c r="H60" i="17"/>
  <c r="I61" i="17" s="1"/>
  <c r="H14" i="17"/>
  <c r="I15" i="17" s="1"/>
  <c r="H91" i="17"/>
  <c r="I92" i="17" s="1"/>
  <c r="H69" i="17"/>
  <c r="I70" i="17" s="1"/>
  <c r="H53" i="17"/>
  <c r="I54" i="17" s="1"/>
  <c r="H11" i="17"/>
  <c r="I12" i="17" s="1"/>
  <c r="H94" i="17"/>
  <c r="I95" i="17" s="1"/>
  <c r="H29" i="17"/>
  <c r="I30" i="17" s="1"/>
  <c r="H28" i="17"/>
  <c r="I29" i="17" s="1"/>
  <c r="H95" i="17"/>
  <c r="I96" i="17" s="1"/>
  <c r="H44" i="17"/>
  <c r="I45" i="17" s="1"/>
  <c r="H22" i="17"/>
  <c r="I23" i="17" s="1"/>
  <c r="H66" i="17"/>
  <c r="I67" i="17" s="1"/>
  <c r="H9" i="17"/>
  <c r="I10" i="17" s="1"/>
  <c r="H78" i="17"/>
  <c r="I79" i="17" s="1"/>
  <c r="H43" i="17"/>
  <c r="I44" i="17" s="1"/>
  <c r="H85" i="17"/>
  <c r="I86" i="17" s="1"/>
  <c r="H63" i="17"/>
  <c r="I64" i="17" s="1"/>
  <c r="H45" i="17"/>
  <c r="I46" i="17" s="1"/>
  <c r="H79" i="17"/>
  <c r="I80" i="17" s="1"/>
  <c r="H84" i="17"/>
  <c r="I85" i="17" s="1"/>
  <c r="H75" i="17"/>
  <c r="I76" i="17" s="1"/>
  <c r="H10" i="17"/>
  <c r="I11" i="17" s="1"/>
  <c r="H88" i="17"/>
  <c r="I89" i="17" s="1"/>
  <c r="H89" i="17"/>
  <c r="I90" i="17" s="1"/>
  <c r="H86" i="17"/>
  <c r="I87" i="17" s="1"/>
  <c r="H62" i="17"/>
  <c r="I63" i="17" s="1"/>
  <c r="H39" i="17"/>
  <c r="I40" i="17" s="1"/>
  <c r="H15" i="17"/>
  <c r="I16" i="17" s="1"/>
  <c r="H18" i="17"/>
  <c r="I19" i="17" s="1"/>
  <c r="H8" i="17"/>
  <c r="I9" i="17" s="1"/>
  <c r="H93" i="17"/>
  <c r="I94" i="17" s="1"/>
  <c r="H57" i="17"/>
  <c r="I58" i="17" s="1"/>
  <c r="H90" i="17"/>
  <c r="I91" i="17" s="1"/>
  <c r="H64" i="17"/>
  <c r="I65" i="17" s="1"/>
  <c r="H33" i="17"/>
  <c r="I34" i="17" s="1"/>
  <c r="H46" i="17"/>
  <c r="I47" i="17" s="1"/>
  <c r="H20" i="17"/>
  <c r="I21" i="17" s="1"/>
  <c r="H31" i="17"/>
  <c r="I32" i="17" s="1"/>
  <c r="H36" i="17"/>
  <c r="I37" i="17" s="1"/>
  <c r="H49" i="17"/>
  <c r="I50" i="17" s="1"/>
  <c r="H21" i="17"/>
  <c r="I22" i="17" s="1"/>
  <c r="H76" i="17"/>
  <c r="I77" i="17" s="1"/>
  <c r="H55" i="17"/>
  <c r="I56" i="17" s="1"/>
  <c r="H41" i="17"/>
  <c r="I42" i="17" s="1"/>
  <c r="H77" i="17"/>
  <c r="I78" i="17" s="1"/>
  <c r="H61" i="17"/>
  <c r="I62" i="17" s="1"/>
  <c r="H35" i="17"/>
  <c r="I36" i="17" s="1"/>
  <c r="H67" i="17"/>
  <c r="I68" i="17" s="1"/>
  <c r="H30" i="17"/>
  <c r="I31" i="17" s="1"/>
  <c r="H80" i="17"/>
  <c r="I81" i="17" s="1"/>
  <c r="H74" i="17"/>
  <c r="I75" i="17" s="1"/>
  <c r="H56" i="17"/>
  <c r="I57" i="17" s="1"/>
  <c r="H52" i="17"/>
  <c r="I53" i="17" s="1"/>
  <c r="H82" i="17"/>
  <c r="I83" i="17" s="1"/>
  <c r="H54" i="17"/>
  <c r="I55" i="17" s="1"/>
  <c r="H87" i="17"/>
  <c r="I88" i="17" s="1"/>
  <c r="H24" i="17"/>
  <c r="I25" i="17" s="1"/>
  <c r="H26" i="17"/>
  <c r="I27" i="17" s="1"/>
  <c r="N18" i="43"/>
  <c r="R90" i="42"/>
  <c r="N9" i="43" s="1"/>
  <c r="O104" i="42"/>
  <c r="K10" i="43" s="1"/>
  <c r="K19" i="43"/>
  <c r="H25" i="17"/>
  <c r="I26" i="17" s="1"/>
  <c r="H58" i="17"/>
  <c r="I59" i="17" s="1"/>
  <c r="H83" i="17"/>
  <c r="I84" i="17" s="1"/>
  <c r="H48" i="17"/>
  <c r="I49" i="17" s="1"/>
  <c r="H96" i="17"/>
  <c r="I97" i="17" s="1"/>
  <c r="J97" i="17" s="1"/>
  <c r="H71" i="17"/>
  <c r="I72" i="17" s="1"/>
  <c r="H13" i="17"/>
  <c r="I14" i="17" s="1"/>
  <c r="H42" i="17"/>
  <c r="I43" i="17" s="1"/>
  <c r="H68" i="17"/>
  <c r="I69" i="17" s="1"/>
  <c r="H27" i="17"/>
  <c r="I28" i="17" s="1"/>
  <c r="H81" i="17"/>
  <c r="I82" i="17" s="1"/>
  <c r="H16" i="17"/>
  <c r="I17" i="17" s="1"/>
  <c r="H65" i="17"/>
  <c r="I66" i="17" s="1"/>
  <c r="H12" i="17"/>
  <c r="I13" i="17" s="1"/>
  <c r="H59" i="17"/>
  <c r="I60" i="17" s="1"/>
  <c r="H47" i="17"/>
  <c r="I48" i="17" s="1"/>
  <c r="H19" i="17"/>
  <c r="I20" i="17" s="1"/>
  <c r="H92" i="17"/>
  <c r="I93" i="17" s="1"/>
  <c r="H17" i="17"/>
  <c r="I18" i="17" s="1"/>
  <c r="H38" i="17"/>
  <c r="I39" i="17" s="1"/>
  <c r="F6" i="17"/>
  <c r="E98" i="17"/>
  <c r="G7" i="17"/>
  <c r="H40" i="17"/>
  <c r="I41" i="17" s="1"/>
  <c r="H50" i="17"/>
  <c r="I51" i="17" s="1"/>
  <c r="H34" i="17"/>
  <c r="I35" i="17" s="1"/>
  <c r="H70" i="17"/>
  <c r="I71" i="17" s="1"/>
  <c r="H51" i="17"/>
  <c r="I52" i="17" s="1"/>
  <c r="H72" i="17"/>
  <c r="I73" i="17" s="1"/>
  <c r="H32" i="17"/>
  <c r="I33" i="17" s="1"/>
  <c r="H37" i="17"/>
  <c r="I38" i="17" s="1"/>
  <c r="H23" i="17"/>
  <c r="I24" i="17" s="1"/>
  <c r="H73" i="17"/>
  <c r="I74" i="17" s="1"/>
  <c r="V89" i="42" l="1"/>
  <c r="T103" i="42"/>
  <c r="V103" i="42"/>
  <c r="T89" i="42"/>
  <c r="U89" i="42"/>
  <c r="S103" i="42"/>
  <c r="U103" i="42"/>
  <c r="S89" i="42"/>
  <c r="J18" i="17"/>
  <c r="K19" i="17" s="1"/>
  <c r="J48" i="17"/>
  <c r="K49" i="17" s="1"/>
  <c r="J17" i="17"/>
  <c r="K18" i="17" s="1"/>
  <c r="J69" i="17"/>
  <c r="K70" i="17" s="1"/>
  <c r="J72" i="17"/>
  <c r="K73" i="17" s="1"/>
  <c r="J59" i="17"/>
  <c r="K60" i="17" s="1"/>
  <c r="J27" i="17"/>
  <c r="K28" i="17" s="1"/>
  <c r="J83" i="17"/>
  <c r="K84" i="17" s="1"/>
  <c r="J31" i="17"/>
  <c r="K32" i="17" s="1"/>
  <c r="J62" i="17"/>
  <c r="K63" i="17" s="1"/>
  <c r="J77" i="17"/>
  <c r="K78" i="17" s="1"/>
  <c r="J50" i="17"/>
  <c r="K51" i="17" s="1"/>
  <c r="J39" i="17"/>
  <c r="K40" i="17" s="1"/>
  <c r="J20" i="17"/>
  <c r="K21" i="17" s="1"/>
  <c r="J60" i="17"/>
  <c r="K61" i="17" s="1"/>
  <c r="J66" i="17"/>
  <c r="K67" i="17" s="1"/>
  <c r="J28" i="17"/>
  <c r="K29" i="17" s="1"/>
  <c r="J43" i="17"/>
  <c r="K44" i="17" s="1"/>
  <c r="J49" i="17"/>
  <c r="K50" i="17" s="1"/>
  <c r="J26" i="17"/>
  <c r="K27" i="17" s="1"/>
  <c r="J25" i="17"/>
  <c r="K26" i="17" s="1"/>
  <c r="J57" i="17"/>
  <c r="K58" i="17" s="1"/>
  <c r="J81" i="17"/>
  <c r="K82" i="17" s="1"/>
  <c r="J68" i="17"/>
  <c r="K69" i="17" s="1"/>
  <c r="J78" i="17"/>
  <c r="K79" i="17" s="1"/>
  <c r="J56" i="17"/>
  <c r="K57" i="17" s="1"/>
  <c r="J22" i="17"/>
  <c r="K23" i="17" s="1"/>
  <c r="J32" i="17"/>
  <c r="K33" i="17" s="1"/>
  <c r="J47" i="17"/>
  <c r="K48" i="17" s="1"/>
  <c r="J58" i="17"/>
  <c r="K59" i="17" s="1"/>
  <c r="J9" i="17"/>
  <c r="K10" i="17" s="1"/>
  <c r="J90" i="17"/>
  <c r="K91" i="17" s="1"/>
  <c r="J85" i="17"/>
  <c r="K86" i="17" s="1"/>
  <c r="J67" i="17"/>
  <c r="K68" i="17" s="1"/>
  <c r="J12" i="17"/>
  <c r="K13" i="17" s="1"/>
  <c r="J70" i="17"/>
  <c r="K71" i="17" s="1"/>
  <c r="J15" i="17"/>
  <c r="K16" i="17" s="1"/>
  <c r="J13" i="17"/>
  <c r="K14" i="17" s="1"/>
  <c r="J75" i="17"/>
  <c r="K76" i="17" s="1"/>
  <c r="J42" i="17"/>
  <c r="K43" i="17" s="1"/>
  <c r="J21" i="17"/>
  <c r="K22" i="17" s="1"/>
  <c r="J91" i="17"/>
  <c r="K92" i="17" s="1"/>
  <c r="J94" i="17"/>
  <c r="K95" i="17" s="1"/>
  <c r="J63" i="17"/>
  <c r="K64" i="17" s="1"/>
  <c r="J76" i="17"/>
  <c r="K77" i="17" s="1"/>
  <c r="J10" i="17"/>
  <c r="K11" i="17" s="1"/>
  <c r="J96" i="17"/>
  <c r="K97" i="17" s="1"/>
  <c r="L97" i="17" s="1"/>
  <c r="J54" i="17"/>
  <c r="K55" i="17" s="1"/>
  <c r="J92" i="17"/>
  <c r="K93" i="17" s="1"/>
  <c r="J61" i="17"/>
  <c r="K62" i="17" s="1"/>
  <c r="J74" i="17"/>
  <c r="K75" i="17" s="1"/>
  <c r="J24" i="17"/>
  <c r="K25" i="17" s="1"/>
  <c r="J38" i="17"/>
  <c r="K39" i="17" s="1"/>
  <c r="J33" i="17"/>
  <c r="K34" i="17" s="1"/>
  <c r="J73" i="17"/>
  <c r="K74" i="17" s="1"/>
  <c r="J52" i="17"/>
  <c r="K53" i="17" s="1"/>
  <c r="J71" i="17"/>
  <c r="K72" i="17" s="1"/>
  <c r="J35" i="17"/>
  <c r="K36" i="17" s="1"/>
  <c r="J51" i="17"/>
  <c r="K52" i="17" s="1"/>
  <c r="J41" i="17"/>
  <c r="K42" i="17" s="1"/>
  <c r="H7" i="17"/>
  <c r="I8" i="17" s="1"/>
  <c r="G6" i="17"/>
  <c r="F98" i="17"/>
  <c r="C102" i="17" s="1"/>
  <c r="C103" i="17" s="1"/>
  <c r="J93" i="17"/>
  <c r="K94" i="17" s="1"/>
  <c r="J82" i="17"/>
  <c r="K83" i="17" s="1"/>
  <c r="J14" i="17"/>
  <c r="K15" i="17" s="1"/>
  <c r="J84" i="17"/>
  <c r="K85" i="17" s="1"/>
  <c r="J88" i="17"/>
  <c r="K89" i="17" s="1"/>
  <c r="J55" i="17"/>
  <c r="K56" i="17" s="1"/>
  <c r="J53" i="17"/>
  <c r="K54" i="17" s="1"/>
  <c r="J36" i="17"/>
  <c r="K37" i="17" s="1"/>
  <c r="J37" i="17"/>
  <c r="K38" i="17" s="1"/>
  <c r="J34" i="17"/>
  <c r="K35" i="17" s="1"/>
  <c r="J65" i="17"/>
  <c r="K66" i="17" s="1"/>
  <c r="J19" i="17"/>
  <c r="K20" i="17" s="1"/>
  <c r="J16" i="17"/>
  <c r="K17" i="17" s="1"/>
  <c r="J40" i="17"/>
  <c r="K41" i="17" s="1"/>
  <c r="J87" i="17"/>
  <c r="K88" i="17" s="1"/>
  <c r="J89" i="17"/>
  <c r="K90" i="17" s="1"/>
  <c r="J11" i="17"/>
  <c r="K12" i="17" s="1"/>
  <c r="J80" i="17"/>
  <c r="K81" i="17" s="1"/>
  <c r="J46" i="17"/>
  <c r="K47" i="17" s="1"/>
  <c r="J64" i="17"/>
  <c r="K65" i="17" s="1"/>
  <c r="J86" i="17"/>
  <c r="K87" i="17" s="1"/>
  <c r="J44" i="17"/>
  <c r="K45" i="17" s="1"/>
  <c r="J79" i="17"/>
  <c r="K80" i="17" s="1"/>
  <c r="J23" i="17"/>
  <c r="K24" i="17" s="1"/>
  <c r="J45" i="17"/>
  <c r="K46" i="17" s="1"/>
  <c r="J29" i="17"/>
  <c r="K30" i="17" s="1"/>
  <c r="J30" i="17"/>
  <c r="K31" i="17" s="1"/>
  <c r="J95" i="17"/>
  <c r="K96" i="17" s="1"/>
  <c r="S104" i="42" l="1"/>
  <c r="O10" i="43" s="1"/>
  <c r="O19" i="43"/>
  <c r="T104" i="42"/>
  <c r="P10" i="43" s="1"/>
  <c r="P19" i="43"/>
  <c r="U104" i="42"/>
  <c r="Q10" i="43" s="1"/>
  <c r="Q19" i="43"/>
  <c r="V104" i="42"/>
  <c r="R10" i="43" s="1"/>
  <c r="R19" i="43"/>
  <c r="S90" i="42"/>
  <c r="O9" i="43" s="1"/>
  <c r="O18" i="43"/>
  <c r="T90" i="42"/>
  <c r="P9" i="43" s="1"/>
  <c r="P18" i="43"/>
  <c r="U90" i="42"/>
  <c r="Q9" i="43" s="1"/>
  <c r="Q18" i="43"/>
  <c r="V90" i="42"/>
  <c r="R9" i="43" s="1"/>
  <c r="R18" i="43"/>
  <c r="L31" i="17"/>
  <c r="M32" i="17" s="1"/>
  <c r="L80" i="17"/>
  <c r="M81" i="17" s="1"/>
  <c r="L47" i="17"/>
  <c r="M48" i="17" s="1"/>
  <c r="L85" i="17"/>
  <c r="M86" i="17" s="1"/>
  <c r="L94" i="17"/>
  <c r="M95" i="17" s="1"/>
  <c r="L36" i="17"/>
  <c r="M37" i="17" s="1"/>
  <c r="L74" i="17"/>
  <c r="M75" i="17" s="1"/>
  <c r="L55" i="17"/>
  <c r="M56" i="17" s="1"/>
  <c r="L64" i="17"/>
  <c r="M65" i="17" s="1"/>
  <c r="L76" i="17"/>
  <c r="M77" i="17" s="1"/>
  <c r="L96" i="17"/>
  <c r="M97" i="17" s="1"/>
  <c r="N97" i="17" s="1"/>
  <c r="L46" i="17"/>
  <c r="M47" i="17" s="1"/>
  <c r="L65" i="17"/>
  <c r="M66" i="17" s="1"/>
  <c r="L81" i="17"/>
  <c r="M82" i="17" s="1"/>
  <c r="L56" i="17"/>
  <c r="M57" i="17" s="1"/>
  <c r="L15" i="17"/>
  <c r="M16" i="17" s="1"/>
  <c r="J8" i="17"/>
  <c r="K9" i="17" s="1"/>
  <c r="L53" i="17"/>
  <c r="M54" i="17" s="1"/>
  <c r="L34" i="17"/>
  <c r="M35" i="17" s="1"/>
  <c r="L62" i="17"/>
  <c r="M63" i="17" s="1"/>
  <c r="L11" i="17"/>
  <c r="M12" i="17" s="1"/>
  <c r="L92" i="17"/>
  <c r="M93" i="17" s="1"/>
  <c r="L43" i="17"/>
  <c r="M44" i="17" s="1"/>
  <c r="L14" i="17"/>
  <c r="M15" i="17" s="1"/>
  <c r="L13" i="17"/>
  <c r="M14" i="17" s="1"/>
  <c r="L91" i="17"/>
  <c r="M92" i="17" s="1"/>
  <c r="L59" i="17"/>
  <c r="M60" i="17" s="1"/>
  <c r="L23" i="17"/>
  <c r="M24" i="17" s="1"/>
  <c r="L79" i="17"/>
  <c r="M80" i="17" s="1"/>
  <c r="L82" i="17"/>
  <c r="M83" i="17" s="1"/>
  <c r="L26" i="17"/>
  <c r="M27" i="17" s="1"/>
  <c r="L50" i="17"/>
  <c r="M51" i="17" s="1"/>
  <c r="L29" i="17"/>
  <c r="M30" i="17" s="1"/>
  <c r="L21" i="17"/>
  <c r="M22" i="17" s="1"/>
  <c r="L51" i="17"/>
  <c r="M52" i="17" s="1"/>
  <c r="L63" i="17"/>
  <c r="M64" i="17" s="1"/>
  <c r="L84" i="17"/>
  <c r="M85" i="17" s="1"/>
  <c r="L70" i="17"/>
  <c r="M71" i="17" s="1"/>
  <c r="L49" i="17"/>
  <c r="M50" i="17" s="1"/>
  <c r="L88" i="17"/>
  <c r="M89" i="17" s="1"/>
  <c r="M26" i="17"/>
  <c r="L25" i="17"/>
  <c r="L22" i="17"/>
  <c r="M23" i="17" s="1"/>
  <c r="L16" i="17"/>
  <c r="M17" i="17" s="1"/>
  <c r="L68" i="17"/>
  <c r="M69" i="17" s="1"/>
  <c r="L10" i="17"/>
  <c r="M11" i="17" s="1"/>
  <c r="L33" i="17"/>
  <c r="M34" i="17" s="1"/>
  <c r="L57" i="17"/>
  <c r="M58" i="17" s="1"/>
  <c r="L69" i="17"/>
  <c r="M70" i="17" s="1"/>
  <c r="L58" i="17"/>
  <c r="M59" i="17" s="1"/>
  <c r="L27" i="17"/>
  <c r="M28" i="17" s="1"/>
  <c r="L44" i="17"/>
  <c r="M45" i="17" s="1"/>
  <c r="L67" i="17"/>
  <c r="M68" i="17" s="1"/>
  <c r="L40" i="17"/>
  <c r="M41" i="17" s="1"/>
  <c r="L78" i="17"/>
  <c r="M79" i="17" s="1"/>
  <c r="L32" i="17"/>
  <c r="M33" i="17" s="1"/>
  <c r="L60" i="17"/>
  <c r="M61" i="17" s="1"/>
  <c r="L18" i="17"/>
  <c r="M19" i="17" s="1"/>
  <c r="L19" i="17"/>
  <c r="M20" i="17" s="1"/>
  <c r="L30" i="17"/>
  <c r="M31" i="17" s="1"/>
  <c r="L24" i="17"/>
  <c r="M25" i="17" s="1"/>
  <c r="L45" i="17"/>
  <c r="M46" i="17" s="1"/>
  <c r="L87" i="17"/>
  <c r="M88" i="17" s="1"/>
  <c r="L12" i="17"/>
  <c r="M13" i="17" s="1"/>
  <c r="M42" i="17"/>
  <c r="L41" i="17"/>
  <c r="L20" i="17"/>
  <c r="M21" i="17" s="1"/>
  <c r="L66" i="17"/>
  <c r="M67" i="17" s="1"/>
  <c r="M39" i="17"/>
  <c r="L38" i="17"/>
  <c r="L37" i="17"/>
  <c r="M38" i="17" s="1"/>
  <c r="L52" i="17"/>
  <c r="M53" i="17" s="1"/>
  <c r="L90" i="17"/>
  <c r="M91" i="17" s="1"/>
  <c r="L17" i="17"/>
  <c r="M18" i="17" s="1"/>
  <c r="L35" i="17"/>
  <c r="M36" i="17" s="1"/>
  <c r="L54" i="17"/>
  <c r="M55" i="17" s="1"/>
  <c r="L89" i="17"/>
  <c r="M90" i="17" s="1"/>
  <c r="L83" i="17"/>
  <c r="M84" i="17" s="1"/>
  <c r="I7" i="17"/>
  <c r="H6" i="17"/>
  <c r="G98" i="17"/>
  <c r="L42" i="17"/>
  <c r="M43" i="17"/>
  <c r="L72" i="17"/>
  <c r="M73" i="17"/>
  <c r="L39" i="17"/>
  <c r="M40" i="17"/>
  <c r="L75" i="17"/>
  <c r="M76" i="17"/>
  <c r="L93" i="17"/>
  <c r="M94" i="17"/>
  <c r="L77" i="17"/>
  <c r="M78" i="17"/>
  <c r="L95" i="17"/>
  <c r="M96" i="17"/>
  <c r="L71" i="17"/>
  <c r="M72" i="17"/>
  <c r="L86" i="17"/>
  <c r="M87" i="17" s="1"/>
  <c r="L48" i="17"/>
  <c r="M49" i="17" s="1"/>
  <c r="L61" i="17"/>
  <c r="M62" i="17" s="1"/>
  <c r="L28" i="17"/>
  <c r="M29" i="17" s="1"/>
  <c r="L73" i="17"/>
  <c r="M74" i="17"/>
  <c r="N90" i="17" l="1"/>
  <c r="O91" i="17" s="1"/>
  <c r="N36" i="17"/>
  <c r="O37" i="17" s="1"/>
  <c r="N38" i="17"/>
  <c r="O39" i="17" s="1"/>
  <c r="N21" i="17"/>
  <c r="O22" i="17" s="1"/>
  <c r="N88" i="17"/>
  <c r="O89" i="17" s="1"/>
  <c r="N25" i="17"/>
  <c r="O26" i="17" s="1"/>
  <c r="N61" i="17"/>
  <c r="O62" i="17" s="1"/>
  <c r="N79" i="17"/>
  <c r="O80" i="17" s="1"/>
  <c r="N68" i="17"/>
  <c r="O69" i="17" s="1"/>
  <c r="N70" i="17"/>
  <c r="O71" i="17" s="1"/>
  <c r="N34" i="17"/>
  <c r="O35" i="17" s="1"/>
  <c r="N50" i="17"/>
  <c r="O51" i="17" s="1"/>
  <c r="N87" i="17"/>
  <c r="O88" i="17" s="1"/>
  <c r="N84" i="17"/>
  <c r="O85" i="17" s="1"/>
  <c r="N55" i="17"/>
  <c r="O56" i="17" s="1"/>
  <c r="N18" i="17"/>
  <c r="O19" i="17" s="1"/>
  <c r="N53" i="17"/>
  <c r="O54" i="17" s="1"/>
  <c r="N67" i="17"/>
  <c r="O68" i="17" s="1"/>
  <c r="N13" i="17"/>
  <c r="O14" i="17" s="1"/>
  <c r="N46" i="17"/>
  <c r="O47" i="17" s="1"/>
  <c r="N31" i="17"/>
  <c r="O32" i="17" s="1"/>
  <c r="N19" i="17"/>
  <c r="O20" i="17" s="1"/>
  <c r="N33" i="17"/>
  <c r="O34" i="17" s="1"/>
  <c r="N41" i="17"/>
  <c r="O42" i="17" s="1"/>
  <c r="N45" i="17"/>
  <c r="O46" i="17" s="1"/>
  <c r="N59" i="17"/>
  <c r="O60" i="17" s="1"/>
  <c r="N58" i="17"/>
  <c r="O59" i="17" s="1"/>
  <c r="N11" i="17"/>
  <c r="O12" i="17" s="1"/>
  <c r="N17" i="17"/>
  <c r="O18" i="17" s="1"/>
  <c r="N89" i="17"/>
  <c r="O90" i="17" s="1"/>
  <c r="N71" i="17"/>
  <c r="O72" i="17" s="1"/>
  <c r="N64" i="17"/>
  <c r="O65" i="17" s="1"/>
  <c r="N22" i="17"/>
  <c r="O23" i="17" s="1"/>
  <c r="N51" i="17"/>
  <c r="O52" i="17" s="1"/>
  <c r="N83" i="17"/>
  <c r="O84" i="17" s="1"/>
  <c r="N60" i="17"/>
  <c r="O61" i="17" s="1"/>
  <c r="N14" i="17"/>
  <c r="O15" i="17" s="1"/>
  <c r="N44" i="17"/>
  <c r="O45" i="17" s="1"/>
  <c r="N12" i="17"/>
  <c r="O13" i="17" s="1"/>
  <c r="N35" i="17"/>
  <c r="O36" i="17" s="1"/>
  <c r="L9" i="17"/>
  <c r="M10" i="17" s="1"/>
  <c r="N57" i="17"/>
  <c r="O58" i="17" s="1"/>
  <c r="N66" i="17"/>
  <c r="O67" i="17" s="1"/>
  <c r="N77" i="17"/>
  <c r="O78" i="17" s="1"/>
  <c r="N56" i="17"/>
  <c r="O57" i="17" s="1"/>
  <c r="N37" i="17"/>
  <c r="O38" i="17" s="1"/>
  <c r="N86" i="17"/>
  <c r="O87" i="17" s="1"/>
  <c r="N81" i="17"/>
  <c r="O82" i="17" s="1"/>
  <c r="N29" i="17"/>
  <c r="O30" i="17" s="1"/>
  <c r="N91" i="17"/>
  <c r="O92" i="17" s="1"/>
  <c r="N20" i="17"/>
  <c r="O21" i="17" s="1"/>
  <c r="N28" i="17"/>
  <c r="O29" i="17" s="1"/>
  <c r="N69" i="17"/>
  <c r="O70" i="17" s="1"/>
  <c r="N23" i="17"/>
  <c r="O24" i="17" s="1"/>
  <c r="N85" i="17"/>
  <c r="O86" i="17" s="1"/>
  <c r="N52" i="17"/>
  <c r="O53" i="17" s="1"/>
  <c r="N30" i="17"/>
  <c r="O31" i="17" s="1"/>
  <c r="N27" i="17"/>
  <c r="O28" i="17" s="1"/>
  <c r="N24" i="17"/>
  <c r="O25" i="17" s="1"/>
  <c r="N92" i="17"/>
  <c r="O93" i="17" s="1"/>
  <c r="N15" i="17"/>
  <c r="O16" i="17" s="1"/>
  <c r="N93" i="17"/>
  <c r="O94" i="17" s="1"/>
  <c r="N63" i="17"/>
  <c r="O64" i="17" s="1"/>
  <c r="N54" i="17"/>
  <c r="O55" i="17" s="1"/>
  <c r="N16" i="17"/>
  <c r="O17" i="17" s="1"/>
  <c r="N82" i="17"/>
  <c r="O83" i="17" s="1"/>
  <c r="N65" i="17"/>
  <c r="O66" i="17" s="1"/>
  <c r="N75" i="17"/>
  <c r="O76" i="17" s="1"/>
  <c r="N95" i="17"/>
  <c r="O96" i="17" s="1"/>
  <c r="N48" i="17"/>
  <c r="O49" i="17" s="1"/>
  <c r="N32" i="17"/>
  <c r="O33" i="17" s="1"/>
  <c r="N74" i="17"/>
  <c r="O75" i="17" s="1"/>
  <c r="N62" i="17"/>
  <c r="O63" i="17" s="1"/>
  <c r="N96" i="17"/>
  <c r="O97" i="17" s="1"/>
  <c r="P97" i="17" s="1"/>
  <c r="N94" i="17"/>
  <c r="O95" i="17" s="1"/>
  <c r="N26" i="17"/>
  <c r="O27" i="17" s="1"/>
  <c r="H98" i="17"/>
  <c r="D102" i="17" s="1"/>
  <c r="D103" i="17" s="1"/>
  <c r="I6" i="17"/>
  <c r="N49" i="17"/>
  <c r="O50" i="17" s="1"/>
  <c r="N72" i="17"/>
  <c r="O73" i="17" s="1"/>
  <c r="N78" i="17"/>
  <c r="O79" i="17" s="1"/>
  <c r="N76" i="17"/>
  <c r="O77" i="17" s="1"/>
  <c r="N40" i="17"/>
  <c r="O41" i="17" s="1"/>
  <c r="N73" i="17"/>
  <c r="O74" i="17" s="1"/>
  <c r="N43" i="17"/>
  <c r="O44" i="17" s="1"/>
  <c r="J7" i="17"/>
  <c r="K8" i="17" s="1"/>
  <c r="N39" i="17"/>
  <c r="O40" i="17" s="1"/>
  <c r="N42" i="17"/>
  <c r="O43" i="17" s="1"/>
  <c r="N80" i="17"/>
  <c r="O81" i="17" s="1"/>
  <c r="N47" i="17"/>
  <c r="O48" i="17" s="1"/>
  <c r="P43" i="17" l="1"/>
  <c r="Q44" i="17" s="1"/>
  <c r="P50" i="17"/>
  <c r="Q51" i="17" s="1"/>
  <c r="P16" i="17"/>
  <c r="Q17" i="17" s="1"/>
  <c r="P30" i="17"/>
  <c r="Q31" i="17" s="1"/>
  <c r="P78" i="17"/>
  <c r="Q79" i="17" s="1"/>
  <c r="P61" i="17"/>
  <c r="Q62" i="17" s="1"/>
  <c r="P12" i="17"/>
  <c r="Q13" i="17" s="1"/>
  <c r="P73" i="17"/>
  <c r="Q74" i="17" s="1"/>
  <c r="P95" i="17"/>
  <c r="Q96" i="17" s="1"/>
  <c r="P33" i="17"/>
  <c r="Q34" i="17" s="1"/>
  <c r="P28" i="17"/>
  <c r="Q29" i="17" s="1"/>
  <c r="P82" i="17"/>
  <c r="Q83" i="17" s="1"/>
  <c r="P67" i="17"/>
  <c r="Q68" i="17" s="1"/>
  <c r="P52" i="17"/>
  <c r="Q53" i="17" s="1"/>
  <c r="P46" i="17"/>
  <c r="Q47" i="17" s="1"/>
  <c r="P85" i="17"/>
  <c r="Q86" i="17" s="1"/>
  <c r="P48" i="17"/>
  <c r="Q49" i="17" s="1"/>
  <c r="P81" i="17"/>
  <c r="Q82" i="17" s="1"/>
  <c r="P40" i="17"/>
  <c r="Q41" i="17" s="1"/>
  <c r="L8" i="17"/>
  <c r="M9" i="17" s="1"/>
  <c r="P44" i="17"/>
  <c r="Q45" i="17" s="1"/>
  <c r="P74" i="17"/>
  <c r="Q75" i="17" s="1"/>
  <c r="P41" i="17"/>
  <c r="Q42" i="17" s="1"/>
  <c r="P77" i="17"/>
  <c r="Q78" i="17" s="1"/>
  <c r="P79" i="17"/>
  <c r="Q80" i="17" s="1"/>
  <c r="P27" i="17"/>
  <c r="Q28" i="17" s="1"/>
  <c r="P63" i="17"/>
  <c r="Q64" i="17" s="1"/>
  <c r="P75" i="17"/>
  <c r="Q76" i="17" s="1"/>
  <c r="P49" i="17"/>
  <c r="Q50" i="17" s="1"/>
  <c r="P96" i="17"/>
  <c r="Q97" i="17" s="1"/>
  <c r="R97" i="17" s="1"/>
  <c r="P76" i="17"/>
  <c r="Q77" i="17" s="1"/>
  <c r="P66" i="17"/>
  <c r="Q67" i="17" s="1"/>
  <c r="P83" i="17"/>
  <c r="Q84" i="17" s="1"/>
  <c r="P17" i="17"/>
  <c r="Q18" i="17" s="1"/>
  <c r="P55" i="17"/>
  <c r="Q56" i="17" s="1"/>
  <c r="P64" i="17"/>
  <c r="Q65" i="17" s="1"/>
  <c r="P94" i="17"/>
  <c r="Q95" i="17" s="1"/>
  <c r="P93" i="17"/>
  <c r="Q94" i="17" s="1"/>
  <c r="P25" i="17"/>
  <c r="Q26" i="17" s="1"/>
  <c r="P31" i="17"/>
  <c r="Q32" i="17" s="1"/>
  <c r="P53" i="17"/>
  <c r="Q54" i="17" s="1"/>
  <c r="P86" i="17"/>
  <c r="Q87" i="17" s="1"/>
  <c r="P24" i="17"/>
  <c r="Q25" i="17" s="1"/>
  <c r="P70" i="17"/>
  <c r="Q71" i="17" s="1"/>
  <c r="J6" i="17"/>
  <c r="K7" i="17" s="1"/>
  <c r="I98" i="17"/>
  <c r="P29" i="17"/>
  <c r="Q30" i="17" s="1"/>
  <c r="P21" i="17"/>
  <c r="Q22" i="17" s="1"/>
  <c r="P92" i="17"/>
  <c r="Q93" i="17" s="1"/>
  <c r="P87" i="17"/>
  <c r="Q88" i="17" s="1"/>
  <c r="P38" i="17"/>
  <c r="Q39" i="17" s="1"/>
  <c r="P57" i="17"/>
  <c r="Q58" i="17" s="1"/>
  <c r="P58" i="17"/>
  <c r="Q59" i="17" s="1"/>
  <c r="N10" i="17"/>
  <c r="O11" i="17" s="1"/>
  <c r="P36" i="17"/>
  <c r="Q37" i="17" s="1"/>
  <c r="P13" i="17"/>
  <c r="Q14" i="17" s="1"/>
  <c r="P45" i="17"/>
  <c r="Q46" i="17" s="1"/>
  <c r="P15" i="17"/>
  <c r="Q16" i="17" s="1"/>
  <c r="P84" i="17"/>
  <c r="Q85" i="17" s="1"/>
  <c r="P23" i="17"/>
  <c r="Q24" i="17" s="1"/>
  <c r="P65" i="17"/>
  <c r="Q66" i="17" s="1"/>
  <c r="P72" i="17"/>
  <c r="Q73" i="17" s="1"/>
  <c r="P90" i="17"/>
  <c r="Q91" i="17" s="1"/>
  <c r="P18" i="17"/>
  <c r="Q19" i="17" s="1"/>
  <c r="P59" i="17"/>
  <c r="Q60" i="17" s="1"/>
  <c r="P60" i="17"/>
  <c r="Q61" i="17" s="1"/>
  <c r="P42" i="17"/>
  <c r="Q43" i="17" s="1"/>
  <c r="P34" i="17"/>
  <c r="Q35" i="17" s="1"/>
  <c r="P20" i="17"/>
  <c r="Q21" i="17" s="1"/>
  <c r="P32" i="17"/>
  <c r="Q33" i="17" s="1"/>
  <c r="P47" i="17"/>
  <c r="Q48" i="17" s="1"/>
  <c r="P14" i="17"/>
  <c r="Q15" i="17" s="1"/>
  <c r="P68" i="17"/>
  <c r="Q69" i="17" s="1"/>
  <c r="P54" i="17"/>
  <c r="Q55" i="17" s="1"/>
  <c r="P19" i="17"/>
  <c r="Q20" i="17" s="1"/>
  <c r="P56" i="17"/>
  <c r="Q57" i="17" s="1"/>
  <c r="P88" i="17"/>
  <c r="Q89" i="17" s="1"/>
  <c r="P51" i="17"/>
  <c r="Q52" i="17" s="1"/>
  <c r="P35" i="17"/>
  <c r="Q36" i="17" s="1"/>
  <c r="P71" i="17"/>
  <c r="Q72" i="17" s="1"/>
  <c r="P69" i="17"/>
  <c r="Q70" i="17" s="1"/>
  <c r="P80" i="17"/>
  <c r="Q81" i="17" s="1"/>
  <c r="P62" i="17"/>
  <c r="Q63" i="17" s="1"/>
  <c r="P26" i="17"/>
  <c r="Q27" i="17" s="1"/>
  <c r="P89" i="17"/>
  <c r="Q90" i="17" s="1"/>
  <c r="P22" i="17"/>
  <c r="Q23" i="17" s="1"/>
  <c r="P39" i="17"/>
  <c r="Q40" i="17" s="1"/>
  <c r="P37" i="17"/>
  <c r="Q38" i="17" s="1"/>
  <c r="P91" i="17"/>
  <c r="Q92" i="17" s="1"/>
  <c r="R38" i="17" l="1"/>
  <c r="S39" i="17" s="1"/>
  <c r="R63" i="17"/>
  <c r="S64" i="17" s="1"/>
  <c r="R43" i="17"/>
  <c r="S44" i="17" s="1"/>
  <c r="R46" i="17"/>
  <c r="S47" i="17" s="1"/>
  <c r="R58" i="17"/>
  <c r="S59" i="17" s="1"/>
  <c r="R26" i="17"/>
  <c r="S27" i="17" s="1"/>
  <c r="R95" i="17"/>
  <c r="S96" i="17" s="1"/>
  <c r="R67" i="17"/>
  <c r="S68" i="17" s="1"/>
  <c r="R27" i="17"/>
  <c r="S28" i="17" s="1"/>
  <c r="R36" i="17"/>
  <c r="S37" i="17" s="1"/>
  <c r="R69" i="17"/>
  <c r="S70" i="17" s="1"/>
  <c r="R91" i="17"/>
  <c r="S92" i="17" s="1"/>
  <c r="P11" i="17"/>
  <c r="Q12" i="17" s="1"/>
  <c r="R88" i="17"/>
  <c r="S89" i="17" s="1"/>
  <c r="R25" i="17"/>
  <c r="S26" i="17" s="1"/>
  <c r="R32" i="17"/>
  <c r="S33" i="17" s="1"/>
  <c r="R94" i="17"/>
  <c r="S95" i="17" s="1"/>
  <c r="R65" i="17"/>
  <c r="S66" i="17" s="1"/>
  <c r="R18" i="17"/>
  <c r="S19" i="17" s="1"/>
  <c r="R77" i="17"/>
  <c r="S78" i="17" s="1"/>
  <c r="R50" i="17"/>
  <c r="S51" i="17" s="1"/>
  <c r="R78" i="17"/>
  <c r="S79" i="17" s="1"/>
  <c r="R75" i="17"/>
  <c r="S76" i="17" s="1"/>
  <c r="N9" i="17"/>
  <c r="O10" i="17" s="1"/>
  <c r="R47" i="17"/>
  <c r="S48" i="17" s="1"/>
  <c r="R83" i="17"/>
  <c r="S84" i="17" s="1"/>
  <c r="R34" i="17"/>
  <c r="S35" i="17" s="1"/>
  <c r="R74" i="17"/>
  <c r="S75" i="17" s="1"/>
  <c r="R62" i="17"/>
  <c r="S63" i="17" s="1"/>
  <c r="R31" i="17"/>
  <c r="S32" i="17" s="1"/>
  <c r="R51" i="17"/>
  <c r="S52" i="17" s="1"/>
  <c r="R89" i="17"/>
  <c r="S90" i="17" s="1"/>
  <c r="R54" i="17"/>
  <c r="S55" i="17" s="1"/>
  <c r="R56" i="17"/>
  <c r="S57" i="17" s="1"/>
  <c r="R76" i="17"/>
  <c r="S77" i="17" s="1"/>
  <c r="R42" i="17"/>
  <c r="S43" i="17" s="1"/>
  <c r="R45" i="17"/>
  <c r="S46" i="17" s="1"/>
  <c r="R86" i="17"/>
  <c r="S87" i="17" s="1"/>
  <c r="R53" i="17"/>
  <c r="S54" i="17" s="1"/>
  <c r="R29" i="17"/>
  <c r="S30" i="17" s="1"/>
  <c r="R96" i="17"/>
  <c r="S97" i="17" s="1"/>
  <c r="T97" i="17" s="1"/>
  <c r="R13" i="17"/>
  <c r="S14" i="17" s="1"/>
  <c r="R79" i="17"/>
  <c r="S80" i="17" s="1"/>
  <c r="R17" i="17"/>
  <c r="S18" i="17" s="1"/>
  <c r="R44" i="17"/>
  <c r="S45" i="17" s="1"/>
  <c r="R23" i="17"/>
  <c r="S24" i="17" s="1"/>
  <c r="R90" i="17"/>
  <c r="S91" i="17" s="1"/>
  <c r="R70" i="17"/>
  <c r="S71" i="17" s="1"/>
  <c r="R72" i="17"/>
  <c r="S73" i="17" s="1"/>
  <c r="R52" i="17"/>
  <c r="S53" i="17" s="1"/>
  <c r="R20" i="17"/>
  <c r="S21" i="17" s="1"/>
  <c r="R55" i="17"/>
  <c r="S56" i="17" s="1"/>
  <c r="R15" i="17"/>
  <c r="S16" i="17" s="1"/>
  <c r="R48" i="17"/>
  <c r="S49" i="17" s="1"/>
  <c r="R21" i="17"/>
  <c r="S22" i="17" s="1"/>
  <c r="R35" i="17"/>
  <c r="S36" i="17" s="1"/>
  <c r="R61" i="17"/>
  <c r="S62" i="17" s="1"/>
  <c r="R19" i="17"/>
  <c r="S20" i="17" s="1"/>
  <c r="R66" i="17"/>
  <c r="S67" i="17" s="1"/>
  <c r="R85" i="17"/>
  <c r="S86" i="17" s="1"/>
  <c r="R16" i="17"/>
  <c r="S17" i="17" s="1"/>
  <c r="R14" i="17"/>
  <c r="S15" i="17" s="1"/>
  <c r="R37" i="17"/>
  <c r="S38" i="17" s="1"/>
  <c r="J98" i="17"/>
  <c r="E102" i="17" s="1"/>
  <c r="E103" i="17" s="1"/>
  <c r="K6" i="17"/>
  <c r="R92" i="17"/>
  <c r="S93" i="17" s="1"/>
  <c r="R40" i="17"/>
  <c r="S41" i="17" s="1"/>
  <c r="R81" i="17"/>
  <c r="S82" i="17" s="1"/>
  <c r="R57" i="17"/>
  <c r="S58" i="17" s="1"/>
  <c r="R33" i="17"/>
  <c r="S34" i="17" s="1"/>
  <c r="R60" i="17"/>
  <c r="S61" i="17" s="1"/>
  <c r="R73" i="17"/>
  <c r="S74" i="17" s="1"/>
  <c r="R24" i="17"/>
  <c r="S25" i="17" s="1"/>
  <c r="R59" i="17"/>
  <c r="S60" i="17" s="1"/>
  <c r="R39" i="17"/>
  <c r="S40" i="17" s="1"/>
  <c r="R93" i="17"/>
  <c r="S94" i="17" s="1"/>
  <c r="R22" i="17"/>
  <c r="S23" i="17" s="1"/>
  <c r="R30" i="17"/>
  <c r="S31" i="17" s="1"/>
  <c r="L7" i="17"/>
  <c r="M8" i="17" s="1"/>
  <c r="R71" i="17"/>
  <c r="S72" i="17" s="1"/>
  <c r="R87" i="17"/>
  <c r="S88" i="17" s="1"/>
  <c r="R84" i="17"/>
  <c r="S85" i="17" s="1"/>
  <c r="R64" i="17"/>
  <c r="S65" i="17" s="1"/>
  <c r="R28" i="17"/>
  <c r="S29" i="17" s="1"/>
  <c r="R80" i="17"/>
  <c r="S81" i="17" s="1"/>
  <c r="R41" i="17"/>
  <c r="S42" i="17" s="1"/>
  <c r="R82" i="17"/>
  <c r="S83" i="17" s="1"/>
  <c r="R49" i="17"/>
  <c r="S50" i="17" s="1"/>
  <c r="R68" i="17"/>
  <c r="S69" i="17" s="1"/>
  <c r="T83" i="17" l="1"/>
  <c r="U84" i="17" s="1"/>
  <c r="T88" i="17"/>
  <c r="U89" i="17" s="1"/>
  <c r="N8" i="17"/>
  <c r="O9" i="17" s="1"/>
  <c r="T94" i="17"/>
  <c r="U95" i="17" s="1"/>
  <c r="T74" i="17"/>
  <c r="U75" i="17" s="1"/>
  <c r="T86" i="17"/>
  <c r="U87" i="17" s="1"/>
  <c r="T91" i="17"/>
  <c r="U92" i="17" s="1"/>
  <c r="T32" i="17"/>
  <c r="U33" i="17" s="1"/>
  <c r="T51" i="17"/>
  <c r="U52" i="17" s="1"/>
  <c r="T69" i="17"/>
  <c r="U70" i="17" s="1"/>
  <c r="T42" i="17"/>
  <c r="U43" i="17" s="1"/>
  <c r="T72" i="17"/>
  <c r="U73" i="17" s="1"/>
  <c r="T31" i="17"/>
  <c r="U32" i="17" s="1"/>
  <c r="T25" i="17"/>
  <c r="U26" i="17" s="1"/>
  <c r="T34" i="17"/>
  <c r="U35" i="17" s="1"/>
  <c r="T62" i="17"/>
  <c r="U63" i="17" s="1"/>
  <c r="T90" i="17"/>
  <c r="U91" i="17" s="1"/>
  <c r="T76" i="17"/>
  <c r="U77" i="17" s="1"/>
  <c r="T19" i="17"/>
  <c r="U20" i="17" s="1"/>
  <c r="T70" i="17"/>
  <c r="U71" i="17" s="1"/>
  <c r="T28" i="17"/>
  <c r="U29" i="17" s="1"/>
  <c r="T64" i="17"/>
  <c r="U65" i="17" s="1"/>
  <c r="T57" i="17"/>
  <c r="U58" i="17" s="1"/>
  <c r="T92" i="17"/>
  <c r="U93" i="17" s="1"/>
  <c r="T37" i="17"/>
  <c r="U38" i="17" s="1"/>
  <c r="T44" i="17"/>
  <c r="U45" i="17" s="1"/>
  <c r="T39" i="17"/>
  <c r="U40" i="17" s="1"/>
  <c r="T29" i="17"/>
  <c r="U30" i="17" s="1"/>
  <c r="T85" i="17"/>
  <c r="U86" i="17" s="1"/>
  <c r="T60" i="17"/>
  <c r="U61" i="17" s="1"/>
  <c r="T61" i="17"/>
  <c r="U62" i="17" s="1"/>
  <c r="T38" i="17"/>
  <c r="U39" i="17" s="1"/>
  <c r="T17" i="17"/>
  <c r="U18" i="17" s="1"/>
  <c r="T20" i="17"/>
  <c r="U21" i="17" s="1"/>
  <c r="T22" i="17"/>
  <c r="U23" i="17" s="1"/>
  <c r="T49" i="17"/>
  <c r="U50" i="17" s="1"/>
  <c r="T21" i="17"/>
  <c r="U22" i="17" s="1"/>
  <c r="K98" i="17"/>
  <c r="L6" i="17"/>
  <c r="M7" i="17" s="1"/>
  <c r="T50" i="17"/>
  <c r="U51" i="17" s="1"/>
  <c r="T81" i="17"/>
  <c r="U82" i="17" s="1"/>
  <c r="T65" i="17"/>
  <c r="U66" i="17" s="1"/>
  <c r="T23" i="17"/>
  <c r="U24" i="17" s="1"/>
  <c r="T40" i="17"/>
  <c r="U41" i="17" s="1"/>
  <c r="T58" i="17"/>
  <c r="U59" i="17" s="1"/>
  <c r="T82" i="17"/>
  <c r="U83" i="17" s="1"/>
  <c r="T41" i="17"/>
  <c r="U42" i="17" s="1"/>
  <c r="T93" i="17"/>
  <c r="U94" i="17" s="1"/>
  <c r="T15" i="17"/>
  <c r="U16" i="17" s="1"/>
  <c r="T67" i="17"/>
  <c r="U68" i="17" s="1"/>
  <c r="T36" i="17"/>
  <c r="U37" i="17" s="1"/>
  <c r="T16" i="17"/>
  <c r="U17" i="17" s="1"/>
  <c r="T56" i="17"/>
  <c r="U57" i="17" s="1"/>
  <c r="T53" i="17"/>
  <c r="U54" i="17" s="1"/>
  <c r="T73" i="17"/>
  <c r="U74" i="17" s="1"/>
  <c r="T71" i="17"/>
  <c r="U72" i="17" s="1"/>
  <c r="T24" i="17"/>
  <c r="U25" i="17" s="1"/>
  <c r="T45" i="17"/>
  <c r="U46" i="17" s="1"/>
  <c r="T18" i="17"/>
  <c r="U19" i="17" s="1"/>
  <c r="T80" i="17"/>
  <c r="U81" i="17" s="1"/>
  <c r="T14" i="17"/>
  <c r="U15" i="17" s="1"/>
  <c r="T30" i="17"/>
  <c r="U31" i="17" s="1"/>
  <c r="T54" i="17"/>
  <c r="U55" i="17" s="1"/>
  <c r="T87" i="17"/>
  <c r="U88" i="17" s="1"/>
  <c r="T46" i="17"/>
  <c r="U47" i="17" s="1"/>
  <c r="T43" i="17"/>
  <c r="U44" i="17" s="1"/>
  <c r="T77" i="17"/>
  <c r="U78" i="17" s="1"/>
  <c r="T55" i="17"/>
  <c r="U56" i="17" s="1"/>
  <c r="T52" i="17"/>
  <c r="U53" i="17" s="1"/>
  <c r="T63" i="17"/>
  <c r="U64" i="17" s="1"/>
  <c r="T75" i="17"/>
  <c r="U76" i="17" s="1"/>
  <c r="T35" i="17"/>
  <c r="U36" i="17" s="1"/>
  <c r="T84" i="17"/>
  <c r="U85" i="17" s="1"/>
  <c r="T48" i="17"/>
  <c r="U49" i="17" s="1"/>
  <c r="P10" i="17"/>
  <c r="Q11" i="17" s="1"/>
  <c r="T79" i="17"/>
  <c r="U80" i="17" s="1"/>
  <c r="T78" i="17"/>
  <c r="U79" i="17" s="1"/>
  <c r="T66" i="17"/>
  <c r="U67" i="17" s="1"/>
  <c r="T95" i="17"/>
  <c r="U96" i="17" s="1"/>
  <c r="T33" i="17"/>
  <c r="U34" i="17" s="1"/>
  <c r="T26" i="17"/>
  <c r="U27" i="17" s="1"/>
  <c r="T89" i="17"/>
  <c r="U90" i="17" s="1"/>
  <c r="R12" i="17"/>
  <c r="S13" i="17" s="1"/>
  <c r="T68" i="17"/>
  <c r="U69" i="17" s="1"/>
  <c r="T96" i="17"/>
  <c r="U97" i="17" s="1"/>
  <c r="V97" i="17" s="1"/>
  <c r="T27" i="17"/>
  <c r="U28" i="17" s="1"/>
  <c r="T59" i="17"/>
  <c r="U60" i="17" s="1"/>
  <c r="T47" i="17"/>
  <c r="U48" i="17" s="1"/>
  <c r="V34" i="17" l="1"/>
  <c r="W35" i="17" s="1"/>
  <c r="V79" i="17"/>
  <c r="W80" i="17" s="1"/>
  <c r="V49" i="17"/>
  <c r="W50" i="17" s="1"/>
  <c r="V64" i="17"/>
  <c r="W65" i="17" s="1"/>
  <c r="V78" i="17"/>
  <c r="W79" i="17" s="1"/>
  <c r="V19" i="17"/>
  <c r="W20" i="17" s="1"/>
  <c r="V74" i="17"/>
  <c r="W75" i="17" s="1"/>
  <c r="V37" i="17"/>
  <c r="W38" i="17" s="1"/>
  <c r="V83" i="17"/>
  <c r="W84" i="17" s="1"/>
  <c r="V24" i="17"/>
  <c r="W25" i="17" s="1"/>
  <c r="V48" i="17"/>
  <c r="W49" i="17" s="1"/>
  <c r="T13" i="17"/>
  <c r="U14" i="17" s="1"/>
  <c r="V27" i="17"/>
  <c r="W28" i="17" s="1"/>
  <c r="V67" i="17"/>
  <c r="W68" i="17" s="1"/>
  <c r="V80" i="17"/>
  <c r="W81" i="17" s="1"/>
  <c r="V85" i="17"/>
  <c r="W86" i="17" s="1"/>
  <c r="V76" i="17"/>
  <c r="W77" i="17" s="1"/>
  <c r="V56" i="17"/>
  <c r="W57" i="17" s="1"/>
  <c r="V44" i="17"/>
  <c r="W45" i="17" s="1"/>
  <c r="V81" i="17"/>
  <c r="W82" i="17" s="1"/>
  <c r="V25" i="17"/>
  <c r="W26" i="17" s="1"/>
  <c r="V54" i="17"/>
  <c r="W55" i="17" s="1"/>
  <c r="V17" i="17"/>
  <c r="W18" i="17" s="1"/>
  <c r="V68" i="17"/>
  <c r="W69" i="17" s="1"/>
  <c r="V94" i="17"/>
  <c r="W95" i="17" s="1"/>
  <c r="V41" i="17"/>
  <c r="W42" i="17" s="1"/>
  <c r="V66" i="17"/>
  <c r="W67" i="17" s="1"/>
  <c r="N7" i="17"/>
  <c r="O8" i="17" s="1"/>
  <c r="V61" i="17"/>
  <c r="W62" i="17" s="1"/>
  <c r="V58" i="17"/>
  <c r="W59" i="17" s="1"/>
  <c r="V20" i="17"/>
  <c r="W21" i="17" s="1"/>
  <c r="V91" i="17"/>
  <c r="W92" i="17" s="1"/>
  <c r="V73" i="17"/>
  <c r="W74" i="17" s="1"/>
  <c r="V70" i="17"/>
  <c r="W71" i="17" s="1"/>
  <c r="P9" i="17"/>
  <c r="Q10" i="17" s="1"/>
  <c r="V90" i="17"/>
  <c r="W91" i="17" s="1"/>
  <c r="V36" i="17"/>
  <c r="W37" i="17" s="1"/>
  <c r="V15" i="17"/>
  <c r="W16" i="17" s="1"/>
  <c r="V57" i="17"/>
  <c r="W58" i="17" s="1"/>
  <c r="V16" i="17"/>
  <c r="W17" i="17" s="1"/>
  <c r="V51" i="17"/>
  <c r="W52" i="17" s="1"/>
  <c r="V86" i="17"/>
  <c r="W87" i="17" s="1"/>
  <c r="V65" i="17"/>
  <c r="W66" i="17" s="1"/>
  <c r="V77" i="17"/>
  <c r="W78" i="17" s="1"/>
  <c r="V35" i="17"/>
  <c r="W36" i="17" s="1"/>
  <c r="V43" i="17"/>
  <c r="W44" i="17" s="1"/>
  <c r="V87" i="17"/>
  <c r="W88" i="17" s="1"/>
  <c r="V89" i="17"/>
  <c r="W90" i="17" s="1"/>
  <c r="V60" i="17"/>
  <c r="W61" i="17" s="1"/>
  <c r="V69" i="17"/>
  <c r="W70" i="17" s="1"/>
  <c r="V96" i="17"/>
  <c r="W97" i="17" s="1"/>
  <c r="R11" i="17"/>
  <c r="S12" i="17" s="1"/>
  <c r="V53" i="17"/>
  <c r="W54" i="17" s="1"/>
  <c r="V47" i="17"/>
  <c r="W48" i="17" s="1"/>
  <c r="V55" i="17"/>
  <c r="W56" i="17" s="1"/>
  <c r="V31" i="17"/>
  <c r="W32" i="17" s="1"/>
  <c r="V46" i="17"/>
  <c r="W47" i="17" s="1"/>
  <c r="V72" i="17"/>
  <c r="W73" i="17" s="1"/>
  <c r="V59" i="17"/>
  <c r="W60" i="17" s="1"/>
  <c r="V28" i="17"/>
  <c r="W29" i="17" s="1"/>
  <c r="V88" i="17"/>
  <c r="W89" i="17" s="1"/>
  <c r="V42" i="17"/>
  <c r="W43" i="17" s="1"/>
  <c r="V82" i="17"/>
  <c r="W83" i="17" s="1"/>
  <c r="L98" i="17"/>
  <c r="F102" i="17" s="1"/>
  <c r="F103" i="17" s="1"/>
  <c r="M6" i="17"/>
  <c r="V22" i="17"/>
  <c r="W23" i="17" s="1"/>
  <c r="V50" i="17"/>
  <c r="W51" i="17" s="1"/>
  <c r="V23" i="17"/>
  <c r="W24" i="17" s="1"/>
  <c r="V21" i="17"/>
  <c r="W22" i="17" s="1"/>
  <c r="V18" i="17"/>
  <c r="W19" i="17" s="1"/>
  <c r="V39" i="17"/>
  <c r="W40" i="17" s="1"/>
  <c r="V62" i="17"/>
  <c r="W63" i="17" s="1"/>
  <c r="V30" i="17"/>
  <c r="W31" i="17" s="1"/>
  <c r="V40" i="17"/>
  <c r="W41" i="17" s="1"/>
  <c r="V45" i="17"/>
  <c r="W46" i="17" s="1"/>
  <c r="V38" i="17"/>
  <c r="W39" i="17" s="1"/>
  <c r="V93" i="17"/>
  <c r="W94" i="17" s="1"/>
  <c r="V29" i="17"/>
  <c r="W30" i="17" s="1"/>
  <c r="V71" i="17"/>
  <c r="W72" i="17" s="1"/>
  <c r="V63" i="17"/>
  <c r="W64" i="17" s="1"/>
  <c r="V26" i="17"/>
  <c r="W27" i="17" s="1"/>
  <c r="V32" i="17"/>
  <c r="W33" i="17" s="1"/>
  <c r="V52" i="17"/>
  <c r="W53" i="17" s="1"/>
  <c r="V33" i="17"/>
  <c r="W34" i="17" s="1"/>
  <c r="V92" i="17"/>
  <c r="W93" i="17" s="1"/>
  <c r="V75" i="17"/>
  <c r="W76" i="17" s="1"/>
  <c r="V95" i="17"/>
  <c r="W96" i="17" s="1"/>
  <c r="V84" i="17"/>
  <c r="W85" i="17" s="1"/>
  <c r="N6" i="17" l="1"/>
  <c r="O7" i="17" s="1"/>
  <c r="M98" i="17"/>
  <c r="T12" i="17"/>
  <c r="U13" i="17" s="1"/>
  <c r="R10" i="17"/>
  <c r="S11" i="17" s="1"/>
  <c r="P8" i="17"/>
  <c r="Q9" i="17" s="1"/>
  <c r="V14" i="17"/>
  <c r="W15" i="17" s="1"/>
  <c r="T11" i="17" l="1"/>
  <c r="U12" i="17" s="1"/>
  <c r="R9" i="17"/>
  <c r="S10" i="17" s="1"/>
  <c r="V13" i="17"/>
  <c r="W14" i="17" s="1"/>
  <c r="P7" i="17"/>
  <c r="Q8" i="17" s="1"/>
  <c r="O6" i="17"/>
  <c r="N98" i="17"/>
  <c r="G102" i="17" s="1"/>
  <c r="G103" i="17" s="1"/>
  <c r="R8" i="17" l="1"/>
  <c r="S9" i="17" s="1"/>
  <c r="T10" i="17"/>
  <c r="U11" i="17" s="1"/>
  <c r="P6" i="17"/>
  <c r="O98" i="17"/>
  <c r="V12" i="17"/>
  <c r="W13" i="17" s="1"/>
  <c r="V11" i="17" l="1"/>
  <c r="W12" i="17" s="1"/>
  <c r="T9" i="17"/>
  <c r="U10" i="17" s="1"/>
  <c r="P98" i="17"/>
  <c r="H102" i="17" s="1"/>
  <c r="H103" i="17" s="1"/>
  <c r="Q6" i="17"/>
  <c r="Q7" i="17"/>
  <c r="V10" i="17" l="1"/>
  <c r="W11" i="17" s="1"/>
  <c r="R6" i="17"/>
  <c r="S7" i="17" s="1"/>
  <c r="Q98" i="17"/>
  <c r="R7" i="17"/>
  <c r="S8" i="17" s="1"/>
  <c r="T8" i="17" l="1"/>
  <c r="U9" i="17" s="1"/>
  <c r="T7" i="17"/>
  <c r="U8" i="17" s="1"/>
  <c r="R98" i="17"/>
  <c r="I102" i="17" s="1"/>
  <c r="I103" i="17" s="1"/>
  <c r="S6" i="17"/>
  <c r="V9" i="17" l="1"/>
  <c r="W10" i="17" s="1"/>
  <c r="T6" i="17"/>
  <c r="S98" i="17"/>
  <c r="U7" i="17"/>
  <c r="V8" i="17"/>
  <c r="W9" i="17" s="1"/>
  <c r="V7" i="17" l="1"/>
  <c r="W8" i="17" s="1"/>
  <c r="T98" i="17"/>
  <c r="J102" i="17" s="1"/>
  <c r="J103" i="17" s="1"/>
  <c r="U6" i="17"/>
  <c r="V6" i="17" l="1"/>
  <c r="W7" i="17" s="1"/>
  <c r="U98" i="17"/>
  <c r="W6" i="17" l="1"/>
  <c r="W98" i="17" s="1"/>
  <c r="V98" i="17"/>
  <c r="K102" i="17" s="1"/>
  <c r="K103" i="17" s="1"/>
</calcChain>
</file>

<file path=xl/comments1.xml><?xml version="1.0" encoding="utf-8"?>
<comments xmlns="http://schemas.openxmlformats.org/spreadsheetml/2006/main">
  <authors>
    <author>Author</author>
  </authors>
  <commentList>
    <comment ref="D37" authorId="0">
      <text>
        <r>
          <rPr>
            <b/>
            <sz val="9"/>
            <color indexed="81"/>
            <rFont val="Tahoma"/>
            <family val="2"/>
          </rPr>
          <t>Author:</t>
        </r>
        <r>
          <rPr>
            <sz val="9"/>
            <color indexed="81"/>
            <rFont val="Tahoma"/>
            <family val="2"/>
          </rPr>
          <t xml:space="preserve">
Associated with large-scale planned works and BLITZ type jobs</t>
        </r>
      </text>
    </comment>
    <comment ref="F37" authorId="0">
      <text>
        <r>
          <rPr>
            <b/>
            <sz val="9"/>
            <color indexed="81"/>
            <rFont val="Tahoma"/>
            <family val="2"/>
          </rPr>
          <t>Author:</t>
        </r>
        <r>
          <rPr>
            <sz val="9"/>
            <color indexed="81"/>
            <rFont val="Tahoma"/>
            <family val="2"/>
          </rPr>
          <t xml:space="preserve">
Associated with small scale works, reactive defect replacement etc.</t>
        </r>
      </text>
    </comment>
    <comment ref="D239" authorId="0">
      <text>
        <r>
          <rPr>
            <b/>
            <sz val="9"/>
            <color indexed="81"/>
            <rFont val="Tahoma"/>
            <family val="2"/>
          </rPr>
          <t>Author:</t>
        </r>
        <r>
          <rPr>
            <sz val="9"/>
            <color indexed="81"/>
            <rFont val="Tahoma"/>
            <family val="2"/>
          </rPr>
          <t xml:space="preserve">
1053 insulators over 5 years, 3 insulators per arm, ~30% Subtransmisison is N-security. Ref Subtransmission xarm replacement</t>
        </r>
      </text>
    </comment>
    <comment ref="D240" authorId="0">
      <text>
        <r>
          <rPr>
            <b/>
            <sz val="9"/>
            <color indexed="81"/>
            <rFont val="Tahoma"/>
            <family val="2"/>
          </rPr>
          <t>Author:</t>
        </r>
        <r>
          <rPr>
            <sz val="9"/>
            <color indexed="81"/>
            <rFont val="Tahoma"/>
            <family val="2"/>
          </rPr>
          <t xml:space="preserve">
449 sites over 5 years, assume 50% require shut. Ref Dist GM Transformer replacement</t>
        </r>
      </text>
    </comment>
    <comment ref="D241" authorId="0">
      <text>
        <r>
          <rPr>
            <b/>
            <sz val="9"/>
            <color indexed="81"/>
            <rFont val="Tahoma"/>
            <family val="2"/>
          </rPr>
          <t>Author:</t>
        </r>
        <r>
          <rPr>
            <sz val="9"/>
            <color indexed="81"/>
            <rFont val="Tahoma"/>
            <family val="2"/>
          </rPr>
          <t xml:space="preserve">
1x feeder length per year over 5 years, average 50 poles. Ref Dist Poles replacement</t>
        </r>
      </text>
    </comment>
    <comment ref="D242" authorId="0">
      <text>
        <r>
          <rPr>
            <b/>
            <sz val="9"/>
            <color indexed="81"/>
            <rFont val="Tahoma"/>
            <family val="2"/>
          </rPr>
          <t>Author:</t>
        </r>
        <r>
          <rPr>
            <sz val="9"/>
            <color indexed="81"/>
            <rFont val="Tahoma"/>
            <family val="2"/>
          </rPr>
          <t xml:space="preserve">
34 over 5 years. Ref CB/Recloser/Sectionaliser replacement</t>
        </r>
      </text>
    </comment>
    <comment ref="D243" authorId="0">
      <text>
        <r>
          <rPr>
            <b/>
            <sz val="9"/>
            <color indexed="81"/>
            <rFont val="Tahoma"/>
            <family val="2"/>
          </rPr>
          <t>Author:</t>
        </r>
        <r>
          <rPr>
            <sz val="9"/>
            <color indexed="81"/>
            <rFont val="Tahoma"/>
            <family val="2"/>
          </rPr>
          <t xml:space="preserve">
100 per year. Ref HV Fuse replacement</t>
        </r>
      </text>
    </comment>
    <comment ref="D244" authorId="0">
      <text>
        <r>
          <rPr>
            <b/>
            <sz val="9"/>
            <color indexed="81"/>
            <rFont val="Tahoma"/>
            <family val="2"/>
          </rPr>
          <t>Author:</t>
        </r>
        <r>
          <rPr>
            <sz val="9"/>
            <color indexed="81"/>
            <rFont val="Tahoma"/>
            <family val="2"/>
          </rPr>
          <t xml:space="preserve">
20 per year, equivalent to 100m each. Ref Dist Conductor replacement</t>
        </r>
      </text>
    </comment>
    <comment ref="D245" authorId="0">
      <text>
        <r>
          <rPr>
            <b/>
            <sz val="9"/>
            <color indexed="81"/>
            <rFont val="Tahoma"/>
            <family val="2"/>
          </rPr>
          <t>Author:</t>
        </r>
        <r>
          <rPr>
            <sz val="9"/>
            <color indexed="81"/>
            <rFont val="Tahoma"/>
            <family val="2"/>
          </rPr>
          <t xml:space="preserve">
50/year, assume 5m each. Ref Dist Conductor replacement</t>
        </r>
      </text>
    </comment>
    <comment ref="D246" authorId="0">
      <text>
        <r>
          <rPr>
            <b/>
            <sz val="9"/>
            <color indexed="81"/>
            <rFont val="Tahoma"/>
            <family val="2"/>
          </rPr>
          <t>Author:</t>
        </r>
        <r>
          <rPr>
            <sz val="9"/>
            <color indexed="81"/>
            <rFont val="Tahoma"/>
            <family val="2"/>
          </rPr>
          <t xml:space="preserve">
200/year, 3 insulators per arm. Ref Dist Crossarm replacement</t>
        </r>
      </text>
    </comment>
    <comment ref="D247" authorId="0">
      <text>
        <r>
          <rPr>
            <b/>
            <sz val="9"/>
            <color indexed="81"/>
            <rFont val="Tahoma"/>
            <family val="2"/>
          </rPr>
          <t>Author:</t>
        </r>
        <r>
          <rPr>
            <sz val="9"/>
            <color indexed="81"/>
            <rFont val="Tahoma"/>
            <family val="2"/>
          </rPr>
          <t xml:space="preserve">
10 per year, assume 100m each. Ref Dist Conductor Replacement</t>
        </r>
      </text>
    </comment>
    <comment ref="D252" authorId="0">
      <text>
        <r>
          <rPr>
            <b/>
            <sz val="9"/>
            <color indexed="81"/>
            <rFont val="Tahoma"/>
            <family val="2"/>
          </rPr>
          <t>Author:</t>
        </r>
        <r>
          <rPr>
            <sz val="9"/>
            <color indexed="81"/>
            <rFont val="Tahoma"/>
            <family val="2"/>
          </rPr>
          <t xml:space="preserve">
1053 insulators over 5 years, 3 insulators per arm, ~30% Subtransmisison is N-security. Ref Subtransmission xarm replacement</t>
        </r>
      </text>
    </comment>
    <comment ref="D253" authorId="0">
      <text>
        <r>
          <rPr>
            <b/>
            <sz val="9"/>
            <color indexed="81"/>
            <rFont val="Tahoma"/>
            <family val="2"/>
          </rPr>
          <t>Author:</t>
        </r>
        <r>
          <rPr>
            <sz val="9"/>
            <color indexed="81"/>
            <rFont val="Tahoma"/>
            <family val="2"/>
          </rPr>
          <t xml:space="preserve">
449 sites over 5 years, assume 50% require shut. Ref Dist GM Transformer replacement</t>
        </r>
      </text>
    </comment>
    <comment ref="D254" authorId="0">
      <text>
        <r>
          <rPr>
            <b/>
            <sz val="9"/>
            <color indexed="81"/>
            <rFont val="Tahoma"/>
            <family val="2"/>
          </rPr>
          <t>Author:</t>
        </r>
        <r>
          <rPr>
            <sz val="9"/>
            <color indexed="81"/>
            <rFont val="Tahoma"/>
            <family val="2"/>
          </rPr>
          <t xml:space="preserve">
1x feeder length per year over 5 years, average 50 poles. Ref Dist Poles replacement</t>
        </r>
      </text>
    </comment>
    <comment ref="D255" authorId="0">
      <text>
        <r>
          <rPr>
            <b/>
            <sz val="9"/>
            <color indexed="81"/>
            <rFont val="Tahoma"/>
            <family val="2"/>
          </rPr>
          <t>Author:</t>
        </r>
        <r>
          <rPr>
            <sz val="9"/>
            <color indexed="81"/>
            <rFont val="Tahoma"/>
            <family val="2"/>
          </rPr>
          <t xml:space="preserve">
34 over 5 years. Ref CB/Recloser/Sectionaliser replacement</t>
        </r>
      </text>
    </comment>
    <comment ref="D256" authorId="0">
      <text>
        <r>
          <rPr>
            <b/>
            <sz val="9"/>
            <color indexed="81"/>
            <rFont val="Tahoma"/>
            <family val="2"/>
          </rPr>
          <t>Author:</t>
        </r>
        <r>
          <rPr>
            <sz val="9"/>
            <color indexed="81"/>
            <rFont val="Tahoma"/>
            <family val="2"/>
          </rPr>
          <t xml:space="preserve">
100 per year. Ref HV Fuse replacement</t>
        </r>
      </text>
    </comment>
    <comment ref="D257" authorId="0">
      <text>
        <r>
          <rPr>
            <b/>
            <sz val="9"/>
            <color indexed="81"/>
            <rFont val="Tahoma"/>
            <family val="2"/>
          </rPr>
          <t>Author:</t>
        </r>
        <r>
          <rPr>
            <sz val="9"/>
            <color indexed="81"/>
            <rFont val="Tahoma"/>
            <family val="2"/>
          </rPr>
          <t xml:space="preserve">
20 per year, equivalent to 100m each. Ref Dist Conductor replacement</t>
        </r>
      </text>
    </comment>
    <comment ref="D258" authorId="0">
      <text>
        <r>
          <rPr>
            <b/>
            <sz val="9"/>
            <color indexed="81"/>
            <rFont val="Tahoma"/>
            <family val="2"/>
          </rPr>
          <t>Author:</t>
        </r>
        <r>
          <rPr>
            <sz val="9"/>
            <color indexed="81"/>
            <rFont val="Tahoma"/>
            <family val="2"/>
          </rPr>
          <t xml:space="preserve">
50/year, assume 5m each. Ref Dist Conductor replacement</t>
        </r>
      </text>
    </comment>
    <comment ref="D259" authorId="0">
      <text>
        <r>
          <rPr>
            <b/>
            <sz val="9"/>
            <color indexed="81"/>
            <rFont val="Tahoma"/>
            <family val="2"/>
          </rPr>
          <t>Author:</t>
        </r>
        <r>
          <rPr>
            <sz val="9"/>
            <color indexed="81"/>
            <rFont val="Tahoma"/>
            <family val="2"/>
          </rPr>
          <t xml:space="preserve">
200/year, 3 insulators per arm. Ref Dist Crossarm replacement</t>
        </r>
      </text>
    </comment>
    <comment ref="D260" authorId="0">
      <text>
        <r>
          <rPr>
            <b/>
            <sz val="9"/>
            <color indexed="81"/>
            <rFont val="Tahoma"/>
            <family val="2"/>
          </rPr>
          <t>Author:</t>
        </r>
        <r>
          <rPr>
            <sz val="9"/>
            <color indexed="81"/>
            <rFont val="Tahoma"/>
            <family val="2"/>
          </rPr>
          <t xml:space="preserve">
10 per year, assume 100m each. Ref Dist Conductor Replacement</t>
        </r>
      </text>
    </comment>
  </commentList>
</comments>
</file>

<file path=xl/sharedStrings.xml><?xml version="1.0" encoding="utf-8"?>
<sst xmlns="http://schemas.openxmlformats.org/spreadsheetml/2006/main" count="686" uniqueCount="302">
  <si>
    <t>Grand Total</t>
  </si>
  <si>
    <t>Age</t>
  </si>
  <si>
    <t>No of Assets</t>
  </si>
  <si>
    <t>Select DTU Type</t>
  </si>
  <si>
    <t>Select DTU RR</t>
  </si>
  <si>
    <t>Retirement Rate</t>
  </si>
  <si>
    <t>Renew 14/15</t>
  </si>
  <si>
    <t>Surv 14/15</t>
  </si>
  <si>
    <t>Renew 15/16</t>
  </si>
  <si>
    <t>Surv 15/16</t>
  </si>
  <si>
    <t>Renew 16/17</t>
  </si>
  <si>
    <t>Surv 16/17</t>
  </si>
  <si>
    <t>Renew 17/18</t>
  </si>
  <si>
    <t>Surv 17/18</t>
  </si>
  <si>
    <t>Renew 18/19</t>
  </si>
  <si>
    <t>Surv 18/19</t>
  </si>
  <si>
    <t>Renew 19/20</t>
  </si>
  <si>
    <t>Surv 19/20</t>
  </si>
  <si>
    <t>Renew 20/21</t>
  </si>
  <si>
    <t>Surv 20/21</t>
  </si>
  <si>
    <t>Renew 21/22</t>
  </si>
  <si>
    <t>Surv 21/22</t>
  </si>
  <si>
    <t>Renew 22/23</t>
  </si>
  <si>
    <t>Surv 22/23</t>
  </si>
  <si>
    <t>Renew 23/24</t>
  </si>
  <si>
    <t>Surv 22/232</t>
  </si>
  <si>
    <t>14/15</t>
  </si>
  <si>
    <t>15/16</t>
  </si>
  <si>
    <t>16/17</t>
  </si>
  <si>
    <t>17/18</t>
  </si>
  <si>
    <t>18/19</t>
  </si>
  <si>
    <t>19/20</t>
  </si>
  <si>
    <t>20/21</t>
  </si>
  <si>
    <t>21/22</t>
  </si>
  <si>
    <t>22/23</t>
  </si>
  <si>
    <t>23/24</t>
  </si>
  <si>
    <t>Renewals</t>
  </si>
  <si>
    <t>Total Cost</t>
  </si>
  <si>
    <t>Graph Data Export</t>
  </si>
  <si>
    <t>FYE</t>
  </si>
  <si>
    <t>TOTALS</t>
  </si>
  <si>
    <t>All Condition Driven RR Detail</t>
  </si>
  <si>
    <t>Unit Cost</t>
  </si>
  <si>
    <t>Document information</t>
  </si>
  <si>
    <t>Author:</t>
  </si>
  <si>
    <t>Created:</t>
  </si>
  <si>
    <t>Last updated:</t>
  </si>
  <si>
    <t>Status:</t>
  </si>
  <si>
    <t>Draft</t>
  </si>
  <si>
    <t>Purpose</t>
  </si>
  <si>
    <t>Structure</t>
  </si>
  <si>
    <t>Workbook colour coding</t>
  </si>
  <si>
    <t xml:space="preserve">Input worksheets are </t>
  </si>
  <si>
    <t xml:space="preserve">Calculation worksheets are </t>
  </si>
  <si>
    <t xml:space="preserve">Output worksheets are </t>
  </si>
  <si>
    <t>Grouping/guidance worksheets are</t>
  </si>
  <si>
    <t>Worksheet structure</t>
  </si>
  <si>
    <t>Direct input cells are:</t>
  </si>
  <si>
    <t>Inputs from other model outputs</t>
  </si>
  <si>
    <t>Worksheet Type</t>
  </si>
  <si>
    <t>Worksheets</t>
  </si>
  <si>
    <t>Description</t>
  </si>
  <si>
    <t>Input</t>
  </si>
  <si>
    <t>Inputs</t>
  </si>
  <si>
    <t>Calcs</t>
  </si>
  <si>
    <t>Output</t>
  </si>
  <si>
    <t>End</t>
  </si>
  <si>
    <t>Outputs</t>
  </si>
  <si>
    <t>Conductor</t>
  </si>
  <si>
    <t>Distribution Cables</t>
  </si>
  <si>
    <t>Portfolio</t>
  </si>
  <si>
    <t>Author</t>
  </si>
  <si>
    <t>Status</t>
  </si>
  <si>
    <t>Last modified</t>
  </si>
  <si>
    <t>Forecasting Approach</t>
  </si>
  <si>
    <t>Asset Data last refreshed</t>
  </si>
  <si>
    <t>Overhead Structures</t>
  </si>
  <si>
    <t>Distribution Transformers</t>
  </si>
  <si>
    <t>Kewen Kueh</t>
  </si>
  <si>
    <t>Primary inputs are as below:</t>
  </si>
  <si>
    <t>Automation</t>
  </si>
  <si>
    <t>Base SAIDI</t>
  </si>
  <si>
    <t>This is a copy of the the forecast Renewal quantities by year and type</t>
  </si>
  <si>
    <t>Quality of Supply</t>
  </si>
  <si>
    <t>Base SAIDI/SAIFI</t>
  </si>
  <si>
    <t>Actual Data Points (Historic)</t>
  </si>
  <si>
    <t xml:space="preserve">Base Planned SAIDI rolled forward </t>
  </si>
  <si>
    <t>SAIDI/SAIFI Buildup</t>
  </si>
  <si>
    <t>SAIDI</t>
  </si>
  <si>
    <t>SAIFI</t>
  </si>
  <si>
    <t>SAIDI/asset figure</t>
  </si>
  <si>
    <t>Reliability measure</t>
  </si>
  <si>
    <t>Total Base SAIDI</t>
  </si>
  <si>
    <t>Measure</t>
  </si>
  <si>
    <t>Quantity</t>
  </si>
  <si>
    <t>Large Scale Construction</t>
  </si>
  <si>
    <t>Small Scale Construction</t>
  </si>
  <si>
    <t>Avg SAIDI per asset</t>
  </si>
  <si>
    <t>Avg SAIFI per asset</t>
  </si>
  <si>
    <t>Poles</t>
  </si>
  <si>
    <t>Crossarms</t>
  </si>
  <si>
    <t>Activity Uplift and associated SAIDI impact</t>
  </si>
  <si>
    <t>Forecast Quantities</t>
  </si>
  <si>
    <t>Incrememental SAIDI/SAIFI Based on Planned works</t>
  </si>
  <si>
    <t>Low Voltage</t>
  </si>
  <si>
    <t>Distribution</t>
  </si>
  <si>
    <t>Subtransmission</t>
  </si>
  <si>
    <t>Average</t>
  </si>
  <si>
    <t>Pole Mounted Transformers</t>
  </si>
  <si>
    <t>Ground Mounted Transformers</t>
  </si>
  <si>
    <t>Distribution Other</t>
  </si>
  <si>
    <t>Total SAIDI/SAIFI</t>
  </si>
  <si>
    <t>Transformers and other</t>
  </si>
  <si>
    <t>Total SAIDI</t>
  </si>
  <si>
    <t>Total SAIFI</t>
  </si>
  <si>
    <t>Incremental assest replacement increases SAIFI</t>
  </si>
  <si>
    <t>Incremental assest replacement increases SAIDI</t>
  </si>
  <si>
    <t>Historic Thresholds</t>
  </si>
  <si>
    <t>Baseline quantities (historical)</t>
  </si>
  <si>
    <t>Fleet</t>
  </si>
  <si>
    <t>Overhead Conductor</t>
  </si>
  <si>
    <t>Sub-fleet</t>
  </si>
  <si>
    <t>Live line/Deadline allowances</t>
  </si>
  <si>
    <t>There is expected to be increases in the work carried out dead. These inputs determine the allowance of SAIDI increase due to the increased amount of work being performed dead</t>
  </si>
  <si>
    <t>Percentage of work currently performed live</t>
  </si>
  <si>
    <t>Percentage increase in deadline work during CPP</t>
  </si>
  <si>
    <t xml:space="preserve">Maintenance task </t>
  </si>
  <si>
    <t>Insulator replacements - sub transmission</t>
  </si>
  <si>
    <t xml:space="preserve">Dist transformer &amp; kiosk repairs/overhauls/painting mtce </t>
  </si>
  <si>
    <t>Storm hardening network feeders</t>
  </si>
  <si>
    <t>Vacuum circuit breaker interrupter replacements</t>
  </si>
  <si>
    <t>HV fuse element replacement due to fire hazard</t>
  </si>
  <si>
    <t>Service line maintenance (which we took on  3 or 4 years ago)</t>
  </si>
  <si>
    <t>Legal obligation re height over road</t>
  </si>
  <si>
    <t>Defective insulator replacements - distribution 11KV</t>
  </si>
  <si>
    <t>SAIDI Assessement</t>
  </si>
  <si>
    <t>Decommisioning old redundant network lines</t>
  </si>
  <si>
    <t>Opex Deltas</t>
  </si>
  <si>
    <t>Planned SAIDI Weighting</t>
  </si>
  <si>
    <t>Planned SAIDI</t>
  </si>
  <si>
    <t>Total</t>
  </si>
  <si>
    <t>Planned SAIFI</t>
  </si>
  <si>
    <t>Small Scale vs. Large Scale ratios</t>
  </si>
  <si>
    <t>Historic</t>
  </si>
  <si>
    <t>FY11</t>
  </si>
  <si>
    <t>FY12</t>
  </si>
  <si>
    <t>FY13</t>
  </si>
  <si>
    <t>FY14</t>
  </si>
  <si>
    <t>FY15</t>
  </si>
  <si>
    <t>FY16</t>
  </si>
  <si>
    <t>FY17</t>
  </si>
  <si>
    <t>FY18</t>
  </si>
  <si>
    <t>FY19</t>
  </si>
  <si>
    <t>FY20</t>
  </si>
  <si>
    <t>FY21</t>
  </si>
  <si>
    <t>FY22</t>
  </si>
  <si>
    <t>FY23</t>
  </si>
  <si>
    <t>Distribution Switchgear</t>
  </si>
  <si>
    <t>Pole Mounted Switches</t>
  </si>
  <si>
    <t>Air Break</t>
  </si>
  <si>
    <t>Circuit Breakers/Reclosers/Sectionalisers</t>
  </si>
  <si>
    <t>Ground Mounted Switchgear</t>
  </si>
  <si>
    <t>Cables</t>
  </si>
  <si>
    <t>Subtransmission Cables</t>
  </si>
  <si>
    <t>RMU</t>
  </si>
  <si>
    <t>Low Voltage Cables</t>
  </si>
  <si>
    <t>Incorporates Small scale/large scale ratio and efficiency allowance</t>
  </si>
  <si>
    <t>a) trending historical SAIDI FY11-FY15 as a base-line of work tasks which are expected to continue without significant change during the forecast period</t>
  </si>
  <si>
    <t>This model builds up a complete profile for the Planned SAIDI Forecast 2017-2027 through a combination of historical trending and planned deltas during the forecast period</t>
  </si>
  <si>
    <t>Forecast figures are based on determineing the expected uplift (work deltas) across Powerco's planned Capex (e.g. asset renewals, automation installs) and Opex (e.g. insulator replacements, vegetation works) works.</t>
  </si>
  <si>
    <t>See AMP16 Section 7: Network Targets Table 7.9 DPP reliability targets</t>
  </si>
  <si>
    <t>Planned SAIDI Weightings</t>
  </si>
  <si>
    <t>b) forecasting required uplift in future SAIDI based on expected increases (or decreases) in future planned Capex and Opex works</t>
  </si>
  <si>
    <t xml:space="preserve">Outside of key CPP areas where analysis has shown uplift is required, it is expected that the base-line of network Capex and Opex work tasks, and their mix, will continue as they have historically according to existing asset management practices. </t>
  </si>
  <si>
    <t>As such, this model forms this base SAIDI based on This is a record of historic SAIDI (disclosed), rolled-forward to act as a baseline of future SAIDI FY17-FY27 of historic SAIDI.</t>
  </si>
  <si>
    <t xml:space="preserve">These are new Opex activities with expected SAIDI impact which will not be accounted for in historical SAIDI counts. </t>
  </si>
  <si>
    <t>OPEX Deltas (New Tasks)</t>
  </si>
  <si>
    <t xml:space="preserve">These are Opex activities which are currently scheduled, but have an expected uplift during FY17-FY27 and thus will require SAIDI allowance above what is available in historical SAIDI counts. </t>
  </si>
  <si>
    <t>Increased work on Amber Defects</t>
  </si>
  <si>
    <t>Increased work on Vegetation</t>
  </si>
  <si>
    <t>Percentage small scale (vs. large scale) construction works - used to combine small scale vs. large scale values.</t>
  </si>
  <si>
    <t>LV Fusing</t>
  </si>
  <si>
    <t>Per annum quantity</t>
  </si>
  <si>
    <t>HV Fuses</t>
  </si>
  <si>
    <t>Prorated SAIDI Minutes</t>
  </si>
  <si>
    <t>Forecast Growth Expenditure</t>
  </si>
  <si>
    <t>Category</t>
  </si>
  <si>
    <t>Network Opex</t>
  </si>
  <si>
    <t>Historic SAIDI/SAIFI Figures</t>
  </si>
  <si>
    <t>Network Development</t>
  </si>
  <si>
    <t xml:space="preserve">QUALITY PATH </t>
  </si>
  <si>
    <t>Planned SAIDI/SAIFI MODEL</t>
  </si>
  <si>
    <t>FY16 S-VEG SAIDI</t>
  </si>
  <si>
    <t>FY16 S-VEG SAIFI</t>
  </si>
  <si>
    <t>Prorated SAIFI</t>
  </si>
  <si>
    <t>Marginal Increase SAIDI</t>
  </si>
  <si>
    <t>Marginal Increase SAIFI</t>
  </si>
  <si>
    <t>Percentage of work currently performed Live</t>
  </si>
  <si>
    <t>Baseline SAIDI modification</t>
  </si>
  <si>
    <t>Changes in Worksafe means there is a possible future change in the amount of allowable live works to take place. Asset replaced live-line have no (or greatly reduced) SAIDI impact, so the effect of this input is to allow (1) decrease future renewal quantities by the "Percentage of work currently performed live" (assumes amount of live line works will remain consistent with today's levels), and then (2) apply a modification to add back in asset quantities  that now have SAIDI impact (decrease in live line quantities)</t>
  </si>
  <si>
    <t>These are figures for average SAIDI/SAIFI impact per installed asset unit, derived from analysis of historic planned outages (FY04-FY14) and NAPA data (FY15)</t>
  </si>
  <si>
    <t>Current percentage splits come out of OutDef analysis looking at curve fit result of historical planned SAIDI/asset figures representing small scale/large scale and totalling associated quantities</t>
  </si>
  <si>
    <t>Prorated SAIFI Minutes</t>
  </si>
  <si>
    <t>Notes</t>
  </si>
  <si>
    <t>Derived from analysis of historic planned outages Outdef (FY04-FY14), NAPA (FY15-FY16) linked to work orders data</t>
  </si>
  <si>
    <t>Direct Network Opex allocation</t>
  </si>
  <si>
    <t>Renewals allocation</t>
  </si>
  <si>
    <t>Network Development allocation</t>
  </si>
  <si>
    <t>Forecast renewal quantities from renewals forecast expenditure models</t>
  </si>
  <si>
    <t>FY16 S-GRO + R-GRO + S-QOS SAIFI</t>
  </si>
  <si>
    <t>Exact Growth related quantities are complex to obtain given the relatively small minutes allocated to this area, so allocation is performed top down via expenditure. Majority of works performed at Subtransmission level will have mitigations applied to decrease SAIDI impact, which lowers the overall impact of Growth &amp; Security works on the Planned SAIDI SAIFI KPI</t>
  </si>
  <si>
    <t>Growth &amp; Security + Automation</t>
  </si>
  <si>
    <t>CPP</t>
  </si>
  <si>
    <t>Incremental asset replacement increases</t>
  </si>
  <si>
    <t>1, Yes  2, this may require the shutting down of transformers to effect the repairs</t>
  </si>
  <si>
    <t>1, Yes 2, there is a small possibilty that SAIDI maybe required for this work</t>
  </si>
  <si>
    <t>1, yes 2, if the work involves HV roadcrossing it is likely to incur SAIDI</t>
  </si>
  <si>
    <t>1, Yes, 2, likely that some of this work will need to be done de-energised</t>
  </si>
  <si>
    <t>1, yes 2, possibly the need to have outages to do this work</t>
  </si>
  <si>
    <t xml:space="preserve">Forecast changes in Opex - new work (quantities x rate) and prorated allocation by expenditure </t>
  </si>
  <si>
    <t>Uses FY16 Growth &amp; Security Capex base rate, and prorates additional SAIDI/SAIFI requirements Capex based on forecast Growth &amp; Security &amp; Automation Uplift</t>
  </si>
  <si>
    <t>Forecast Increase (CPP)</t>
  </si>
  <si>
    <t>Asset Renewals</t>
  </si>
  <si>
    <t xml:space="preserve">Base Planned SAIFI rolled forward </t>
  </si>
  <si>
    <t>Network Opex allowances</t>
  </si>
  <si>
    <t>The approach is to baseline FY16 KPI and associated expenditure, and prorate SAIDI and SAIFI allocation by future expenditure uplift</t>
  </si>
  <si>
    <t>Vegetation Planned SAIDI and SAIFI FY16 Base</t>
  </si>
  <si>
    <t>Vegetation Planned SAIDI and SAIFI Forecast allocation</t>
  </si>
  <si>
    <t>Forecast S-VEG Expenditure ($000)</t>
  </si>
  <si>
    <t>Nework Opex (Volume changes)</t>
  </si>
  <si>
    <t>Defect Planned SAIDI and SAIFI Forecast allocation</t>
  </si>
  <si>
    <t>Summary Network Opex volume change allocations</t>
  </si>
  <si>
    <t>KPI</t>
  </si>
  <si>
    <t>Forecast allocations are carried out using a Quantity x Unit rate approach. Quantities sourced from bottom up Opex delta forecasts, rates used are SAIDI/Asset SAIFI/Asset from Outdef/NAPA analysis</t>
  </si>
  <si>
    <t>The SAIDI/SAIFI baseline will contain our historic quantity of live works, at an accumulated level. Changes to the amount of work carried out live line affects the SAIDI/SAIFI impact within our baseline of works</t>
  </si>
  <si>
    <t>1, Yes 2, this work may involve replacing insulators for whicha safety notice prevents being done energised, or may be in area where live line work is not possible on N Security circuits</t>
  </si>
  <si>
    <t>1, Yes 2, likely this work will require shutdowns due to terrain, conductor size and condition</t>
  </si>
  <si>
    <t>1, yes 2, isolation of 11kV fuses incur SAIDI (assuming customers de-energised)</t>
  </si>
  <si>
    <t>1, yes  2, generally terrain and economics will mean this work needs to b e done de-energised</t>
  </si>
  <si>
    <t>SAIDI &amp; SAIFI per Asset Figures</t>
  </si>
  <si>
    <t>Baselined last three years (FY14/15/16) corresponding with ramping up of renewal expenditure. Figures from Fleet asset renewals models</t>
  </si>
  <si>
    <t>SAIDI &amp; SAIFI Unit rates and modifiers</t>
  </si>
  <si>
    <t>Asset Renewals historic and forecast Quantities</t>
  </si>
  <si>
    <t>FY16 S-VEG Expenditure ($000)</t>
  </si>
  <si>
    <t>FY16 Growth &amp; Security + Reliability Expenditure ($M)</t>
  </si>
  <si>
    <t>Network Development allowance</t>
  </si>
  <si>
    <t>SAIDI SAIFI allocation restricted to Network work of Growth &amp; Security and Reliability (Automation) SAIDI allowance and expenditure, as these are by majority associated with network reconfigurations specificially.</t>
  </si>
  <si>
    <t>FY16 S-GRO + R-GRO + S-QOS SAIDI</t>
  </si>
  <si>
    <t>Increased Amber defect expenditure</t>
  </si>
  <si>
    <t>FY16 SD Defects R-ARR-O SAIDI</t>
  </si>
  <si>
    <t>FY16 SD Defects R-ARR-O SAIFI</t>
  </si>
  <si>
    <t>FY16 RMI-O ARR-O Expenditure ($000)</t>
  </si>
  <si>
    <t>Forecast RMI-O ARR-O Expenditure</t>
  </si>
  <si>
    <t>Source: SAIDI per asset workbook</t>
  </si>
  <si>
    <t>Source</t>
  </si>
  <si>
    <t>Source: Operational experience</t>
  </si>
  <si>
    <t>FY10</t>
  </si>
  <si>
    <t>FY09</t>
  </si>
  <si>
    <t>FY08</t>
  </si>
  <si>
    <t>2.1 - Subtransmission Conductor expenditure forecast model</t>
  </si>
  <si>
    <t>2.2 Distribution Conductor expenditure forecast model</t>
  </si>
  <si>
    <t>2.3 LV Conductor expenditure forecast model</t>
  </si>
  <si>
    <t>Inputs &amp; Calcs</t>
  </si>
  <si>
    <t>Modelling inputs and initial calculations</t>
  </si>
  <si>
    <t>Work quantities to SAIDI SAIFI</t>
  </si>
  <si>
    <t>Calculation of asset renewals quantity uplift and blended SAIDI/SAIFI per asset rates</t>
  </si>
  <si>
    <t>Summary Output</t>
  </si>
  <si>
    <t>Calculation of SAIDI SAIFI baseline and CPP programme driven uplift</t>
  </si>
  <si>
    <t>Forecast</t>
  </si>
  <si>
    <t>Total Forecasts</t>
  </si>
  <si>
    <t>Actual</t>
  </si>
  <si>
    <t>Summary Planned SAIDI/SAIFI Uplift</t>
  </si>
  <si>
    <t xml:space="preserve">Total Planned SAIDI SAIFI </t>
  </si>
  <si>
    <t>Forecast Uplift</t>
  </si>
  <si>
    <t xml:space="preserve">Source: </t>
  </si>
  <si>
    <t>Source: Network opex - VM</t>
  </si>
  <si>
    <t>Source: Network opex - maintenance step changes</t>
  </si>
  <si>
    <t>Summarised output SAIDI SAIFI forecast</t>
  </si>
  <si>
    <t>6.1 Distribution Switchgear - Fuses - expenditure forecast model</t>
  </si>
  <si>
    <t>6.4 Distribution Switchgear - Ground Mount Switchgear - forecast model</t>
  </si>
  <si>
    <t>6.3 Distribution Switchgear - CBs, Recl and Sect - expenditure forecast model</t>
  </si>
  <si>
    <t>3.1 Subtrans Cable Fleet - expenditure forecast model</t>
  </si>
  <si>
    <t>3.3 Distribution Cable Fleet - expenditure forecast model</t>
  </si>
  <si>
    <t>3.3 LV Cable Fleet - expenditure forecast model</t>
  </si>
  <si>
    <t>6.2 Distribution Switchgear - Pole Mount Switchgear - expenditure forecast model</t>
  </si>
  <si>
    <t>5.2 Distribution Transformers - Ground Mounted - expenditure forecast model</t>
  </si>
  <si>
    <t>5.1 Distribution Transformers - Pole Mounted - expenditure forecast model</t>
  </si>
  <si>
    <t>5.3 Distribution Transformers - Other - expenditure forecast model</t>
  </si>
  <si>
    <t>1.1 Poles Expenditure Forecast Model</t>
  </si>
  <si>
    <t>1.2 Crossarm expenditure forecast model, corrected LV/Dist/Subtrans quantity splits</t>
  </si>
  <si>
    <t>1.2 Crossarm expenditure forecast model</t>
  </si>
  <si>
    <t>Avg. SAIDI FY12-FY16 (to roll forward as Planned SAIDI/SAIFI baseline)</t>
  </si>
  <si>
    <t>FY24</t>
  </si>
  <si>
    <t>FY25</t>
  </si>
  <si>
    <t>FY26</t>
  </si>
  <si>
    <t>FY27</t>
  </si>
  <si>
    <t>This allows Planned SAIDI overall totals to be weighting between Planned/Unplanned SAIDI. Current DPP (years FY17-FY19) weights Planned SAIDI at 50% of Unplanned SAIDI. Forecast uses weighting of 100%</t>
  </si>
  <si>
    <t>Source: FY16 base SAIDI SAIFI VM ND and defects.xlsx</t>
  </si>
  <si>
    <t xml:space="preserve"> FY12-FY16 is used to set the baseline forecast SAIDI/SAIFI, which includes both storm weather years and benign weather years, as well as renewals ramp ups in the recent years</t>
  </si>
  <si>
    <t>Source: CPP quality path - calc and output.xlsx (consistent with previously disclosed information)</t>
  </si>
  <si>
    <t>Final</t>
  </si>
  <si>
    <t>Powerco</t>
  </si>
</sst>
</file>

<file path=xl/styles.xml><?xml version="1.0" encoding="utf-8"?>
<styleSheet xmlns="http://schemas.openxmlformats.org/spreadsheetml/2006/main" xmlns:mc="http://schemas.openxmlformats.org/markup-compatibility/2006" xmlns:x14ac="http://schemas.microsoft.com/office/spreadsheetml/2009/9/ac" mc:Ignorable="x14ac">
  <numFmts count="191">
    <numFmt numFmtId="5" formatCode="&quot;$&quot;#,##0;\-&quot;$&quot;#,##0"/>
    <numFmt numFmtId="6" formatCode="&quot;$&quot;#,##0;[Red]\-&quot;$&quot;#,##0"/>
    <numFmt numFmtId="41" formatCode="_-* #,##0_-;\-* #,##0_-;_-* &quot;-&quot;_-;_-@_-"/>
    <numFmt numFmtId="44" formatCode="_-&quot;$&quot;* #,##0.00_-;\-&quot;$&quot;* #,##0.00_-;_-&quot;$&quot;* &quot;-&quot;??_-;_-@_-"/>
    <numFmt numFmtId="43" formatCode="_-* #,##0.00_-;\-* #,##0.00_-;_-* &quot;-&quot;??_-;_-@_-"/>
    <numFmt numFmtId="164" formatCode="d\ mmmm\ yyyy"/>
    <numFmt numFmtId="165" formatCode="_-* #,##0.0000_-;\-* #,##0.0000_-;_-* &quot;-&quot;??_-;_-@_-"/>
    <numFmt numFmtId="166" formatCode="_(* #,##0_);_(* \(#,##0\);_(* &quot;–&quot;???_);_(* @_)"/>
    <numFmt numFmtId="167" formatCode="_(* #,##0.0_);_(* \(#,##0.0\);_(* &quot;–&quot;???_);_(* @_)"/>
    <numFmt numFmtId="168" formatCode="_(* #,##0.00_);_(* \(#,##0.00\);_(* &quot;–&quot;???_);_(* @_)"/>
    <numFmt numFmtId="169" formatCode="_(* #,##0.0000_);_(* \(#,##0.0000\);_(* &quot;–&quot;??_);_(* @_)"/>
    <numFmt numFmtId="170" formatCode="_([$-1409]d\ mmmm\ yyyy;_(@"/>
    <numFmt numFmtId="171" formatCode="[$-1409]d\ mmm\ yy;@"/>
    <numFmt numFmtId="172" formatCode="_(* [$-1409]d\ mmm\ yyyy\ h\ AM/PM_);_(* @"/>
    <numFmt numFmtId="173" formatCode="d\ mmm\ yyyy"/>
    <numFmt numFmtId="174" formatCode="0.0"/>
    <numFmt numFmtId="175" formatCode="_(* #,##0_);_(* \(#,##0\);_(* &quot;–&quot;??_);\(@_)"/>
    <numFmt numFmtId="176" formatCode="_(* #,##0%_);_(* \(#,##0%\);_(* &quot;–&quot;???_);_(* @_)"/>
    <numFmt numFmtId="177" formatCode="mmm"/>
    <numFmt numFmtId="178" formatCode="_(* #,##0.0%_);_(* \(#,##0.0%\);_(* &quot;–&quot;???_);_(* @_)"/>
    <numFmt numFmtId="179" formatCode="_(* #,##0.0%_);_(* \(#,##0.0%\);_(* &quot;–&quot;??_);_(* @_)"/>
    <numFmt numFmtId="180" formatCode="_(* #,##0.00%_);_(* \(#,##0.00%\);_(* &quot;–&quot;???_);_(* @_)"/>
    <numFmt numFmtId="181" formatCode="_(* #,##0_);_(* \(#,##0\);_(* &quot;-&quot;_);_(@_)"/>
    <numFmt numFmtId="182" formatCode="_(@_)"/>
    <numFmt numFmtId="183" formatCode="_(* @_)"/>
    <numFmt numFmtId="184" formatCode="_([$-1409]h:mm\ AM/PM;@"/>
    <numFmt numFmtId="185" formatCode="_(* 0000_);_(* \(0000\);_(* &quot;–&quot;??_);_(@_)"/>
    <numFmt numFmtId="186" formatCode="_(* 0_);_(* \(0\);_(* &quot;–&quot;??_);_(@_)"/>
    <numFmt numFmtId="187" formatCode="#,##0;[Red]\-#,##0;&quot;-&quot;"/>
    <numFmt numFmtId="188" formatCode="#,##0;\(#,##0\)"/>
    <numFmt numFmtId="189" formatCode="_-* #,##0_-;\-* #,##0_-;_-* &quot;-&quot;??_-;_-@_-"/>
    <numFmt numFmtId="190" formatCode="_-&quot;$&quot;* #,##0_-;\-&quot;$&quot;* #,##0_-;_-&quot;$&quot;* &quot;-&quot;??_-;_-@_-"/>
    <numFmt numFmtId="191" formatCode="#,##0.00;\(#,##0.00\);\-"/>
    <numFmt numFmtId="192" formatCode="#,##0_ ;\(#,##0\)_-;&quot;-&quot;"/>
    <numFmt numFmtId="193" formatCode="0.0%"/>
    <numFmt numFmtId="194" formatCode="#,##0.0"/>
    <numFmt numFmtId="195" formatCode="0.000"/>
    <numFmt numFmtId="196" formatCode="#,##0.00_ ;\-#,##0.00\ "/>
    <numFmt numFmtId="197" formatCode="#,##0_ ;\-#,##0\ "/>
    <numFmt numFmtId="198" formatCode="0.0000"/>
    <numFmt numFmtId="199" formatCode="0.000000"/>
    <numFmt numFmtId="200" formatCode="_-* #,##0.000_-;\-* #,##0.000_-;_-* &quot;-&quot;??_-;_-@_-"/>
    <numFmt numFmtId="201" formatCode="_ * #,##0_ ;_ * \-#,##0_ ;_ * &quot;-&quot;_ ;_ @_ "/>
    <numFmt numFmtId="202" formatCode="_(&quot;$&quot;* #,##0_);_(&quot;$&quot;* \(#,##0\);_(&quot;$&quot;* &quot;-&quot;??_);_(@_)"/>
    <numFmt numFmtId="203" formatCode="_(&quot;$&quot;* #,##0,\ &quot;k&quot;_);_(&quot;$&quot;* \(#,##0,\ &quot;k&quot;\);_(&quot;$&quot;* &quot;-&quot;??_);_(@_)"/>
    <numFmt numFmtId="204" formatCode="_(&quot;$&quot;* #,##0,,\ &quot;M&quot;_);_(&quot;$&quot;* \(#,##0,,\ &quot;M&quot;\);_(&quot;$&quot;* &quot;-&quot;??_);_(@_)"/>
    <numFmt numFmtId="205" formatCode="0.0%;\(0.0\)%"/>
    <numFmt numFmtId="206" formatCode="0%;[Red]\(0%\)"/>
    <numFmt numFmtId="207" formatCode="#,##0.0_);\(#,##0.0\)"/>
    <numFmt numFmtId="208" formatCode="0.0_)\%;\(0.0\)\%;0.0_)\%;@_)_%"/>
    <numFmt numFmtId="209" formatCode="#,##0.0_)_%;\(#,##0.0\)_%;0.0_)_%;@_)_%"/>
    <numFmt numFmtId="210" formatCode="#,##0.0_);\(#,##0.0\);\-\-"/>
    <numFmt numFmtId="211" formatCode="#,##0.0_);\(#,##0.0\);#,##0.0_);@_)"/>
    <numFmt numFmtId="212" formatCode="&quot;$&quot;_(#,##0.00_);&quot;$&quot;\(#,##0.00\);&quot;$&quot;_(0.00_);@_)"/>
    <numFmt numFmtId="213" formatCode="&quot;£&quot;_(#,##0.00_);&quot;£&quot;\(#,##0.00\);&quot;£&quot;_(0.00_);@_)"/>
    <numFmt numFmtId="214" formatCode="#,##0.00_);\(#,##0.00\);0.00_);@_)"/>
    <numFmt numFmtId="215" formatCode="\€_(#,##0.00_);\€\(#,##0.00\);\€_(0.00_);@_)"/>
    <numFmt numFmtId="216" formatCode="#,##0_)\x;\(#,##0\)\x;0_)\x;@_)_x"/>
    <numFmt numFmtId="217" formatCode="#,##0_)_x;\(#,##0\)_x;0_)_x;@_)_x"/>
    <numFmt numFmtId="218" formatCode="0.0_)\%;\(0.0\)\%"/>
    <numFmt numFmtId="219" formatCode="_-* #,##0.00_-;[Red]\(#,##0.00\)_-;_-* &quot;-&quot;??_-;_-@_-"/>
    <numFmt numFmtId="220" formatCode="&quot;£&quot;\ #,##0_);[Red]\(&quot;£&quot;\ #,##0\)"/>
    <numFmt numFmtId="221" formatCode="&quot;\&quot;\ #,##0_);[Red]\(&quot;\&quot;\ #,##0\)"/>
    <numFmt numFmtId="222" formatCode="0.0%;\-0.0%"/>
    <numFmt numFmtId="223" formatCode="0_)"/>
    <numFmt numFmtId="224" formatCode="0;[Red]\(0\);\-"/>
    <numFmt numFmtId="225" formatCode="\(0\)"/>
    <numFmt numFmtId="226" formatCode="0.0;\-0.0;&quot;-&quot;"/>
    <numFmt numFmtId="227" formatCode="00"/>
    <numFmt numFmtId="228" formatCode="\(00\)"/>
    <numFmt numFmtId="229" formatCode="0.00%;[Red]\(0.00%\)"/>
    <numFmt numFmtId="230" formatCode="0.00;\-0.00;&quot;-&quot;"/>
    <numFmt numFmtId="231" formatCode="000"/>
    <numFmt numFmtId="232" formatCode="\(000\)"/>
    <numFmt numFmtId="233" formatCode="0.000;\-0.000;&quot;-&quot;"/>
    <numFmt numFmtId="234" formatCode="_(\ #,##0_);\(\ #,##0\);_-* &quot;-&quot;??_-;_-@_-"/>
    <numFmt numFmtId="235" formatCode="_(#,##0.0%_);_)\(#,##0.0%\);_(0.0%_);@_)"/>
    <numFmt numFmtId="236" formatCode="#,##0&quot; F&quot;_);\(#,##0&quot; F&quot;\)"/>
    <numFmt numFmtId="237" formatCode="#,##0_);[Red]\(#,##0\);&quot;-  &quot;"/>
    <numFmt numFmtId="238" formatCode="#,##0.00_);\(#,##0.00\);\-\-"/>
    <numFmt numFmtId="239" formatCode="#,##0_);\(#,##0\);\-"/>
    <numFmt numFmtId="240" formatCode="_(&quot;$&quot;#,##0.0_);\(&quot;$&quot;#,##0.0\);_(&quot;$&quot;#,##0.0_)"/>
    <numFmt numFmtId="241" formatCode="d/mm/yy"/>
    <numFmt numFmtId="242" formatCode="_(#,##0.0\x_);\(#,##0.0\x\);_(#,##0.0\x_)"/>
    <numFmt numFmtId="243" formatCode="_(#,##0.0_);\(#,##0.0\);_(#,##0.0_)"/>
    <numFmt numFmtId="244" formatCode="_(#,##0.0%_);\(#,##0.0%\);_(#,##0.0%_)"/>
    <numFmt numFmtId="245" formatCode="_(###0_);\(###0\);_(###0_)"/>
    <numFmt numFmtId="246" formatCode="_)d/mm/yy_)"/>
    <numFmt numFmtId="247" formatCode="_(* #,##0.0_);_(* \(#,##0.0\);_(* &quot;-&quot;_);_(@_)"/>
    <numFmt numFmtId="248" formatCode="General_)"/>
    <numFmt numFmtId="249" formatCode="#,##0_);\(#,##0\);&quot;- &quot;"/>
    <numFmt numFmtId="250" formatCode="#,###,_);\(#,###,\);\-_);@\ "/>
    <numFmt numFmtId="251" formatCode="#,##0.0\%_);\(#,##0.0\%\);#,##0.0\%_);@_)"/>
    <numFmt numFmtId="252" formatCode="&quot;$&quot;#,##0.0000000_);[Red]\(&quot;$&quot;#,##0.0000000\)"/>
    <numFmt numFmtId="253" formatCode="&quot;£&quot;#,##0.00;[Red]\-&quot;£&quot;#,##0.00"/>
    <numFmt numFmtId="254" formatCode="&quot;•&quot;\ \ @"/>
    <numFmt numFmtId="255" formatCode="&quot;$&quot;#,##0.00"/>
    <numFmt numFmtId="256" formatCode="#,##0.0_);[Red]\(#,##0.0\)"/>
    <numFmt numFmtId="257" formatCode="_-&quot;AUD&quot;* #,##0_-;\-&quot;AUD&quot;* #,##0_-;_-&quot;AUD&quot;* &quot;-&quot;_-;_-@_-"/>
    <numFmt numFmtId="258" formatCode="0.0%_);\(0.0%\);0.0%_);@_%_)"/>
    <numFmt numFmtId="259" formatCode="#,##0_);\(#,##0\);0_);* @_)"/>
    <numFmt numFmtId="260" formatCode="#,##0,_);\(#,##0,\);0_);* @_)"/>
    <numFmt numFmtId="261" formatCode="#,##0,,_);\(#,##0,,\);0_);* @_)"/>
    <numFmt numFmtId="262" formatCode="#,##0.0_);\(#,##0.0\);0.0_);* @_)"/>
    <numFmt numFmtId="263" formatCode="#,##0.0,_);\(#,##0.0,\);0.0_);* @_)"/>
    <numFmt numFmtId="264" formatCode="#,##0.00_);\(#,##0.00\);0.00_);* @_)"/>
    <numFmt numFmtId="265" formatCode="#,##0.00,_);\(#,##0.00,\);0.00_);* @_)"/>
    <numFmt numFmtId="266" formatCode="#,##0.000_);\(#,##0.000\);0.000_);* @_)"/>
    <numFmt numFmtId="267" formatCode="#,##0.000,_);\(#,##0.000,\);0.000_);* @_)"/>
    <numFmt numFmtId="268" formatCode="#,##0.0000_);\(#,##0.0000\);0.0000_);* @_)"/>
    <numFmt numFmtId="269" formatCode="#,##0.0000,_);\(#,##0.0000,\);0.0000_);* @_)"/>
    <numFmt numFmtId="270" formatCode="#,##0.00000_);\(#,##0.00000\);0.00000_);* @_)"/>
    <numFmt numFmtId="271" formatCode="#,##0.000000_);\(#,##0.000000\);0.000000_);* @_)"/>
    <numFmt numFmtId="272" formatCode="#,##0.0000000_);\(#,##0.0000000\);0.0000000_);* @_)"/>
    <numFmt numFmtId="273" formatCode="#,##0.00000000_);\(#,##0.00000000\);0.00000000_);* @_)"/>
    <numFmt numFmtId="274" formatCode="#,##0.000000000_);\(#,##0.000000000\);0.000000000_);* @_)"/>
    <numFmt numFmtId="275" formatCode="d\-mmm;[Red]&quot;Not date&quot;;&quot;-&quot;;[Red]* &quot;Not date&quot;"/>
    <numFmt numFmtId="276" formatCode="d\-mmm\-yyyy;[Red]&quot;Not date&quot;;&quot;-&quot;;[Red]* &quot;Not date&quot;"/>
    <numFmt numFmtId="277" formatCode="&quot;$&quot;#,##0"/>
    <numFmt numFmtId="278" formatCode="d/mm/yyyy;[Red]* &quot;Not date&quot;;&quot;-&quot;;[Red]* &quot;Not date&quot;"/>
    <numFmt numFmtId="279" formatCode="mm/dd/yyyy;[Red]* &quot;Not date&quot;;&quot;-&quot;;[Red]* &quot;Not date&quot;"/>
    <numFmt numFmtId="280" formatCode="mmm\-yy;[Red]* &quot;Not date&quot;;&quot;-&quot;;[Red]* &quot;Not date&quot;"/>
    <numFmt numFmtId="281" formatCode="0;\-0;0;* @"/>
    <numFmt numFmtId="282" formatCode="#,##0.000"/>
    <numFmt numFmtId="283" formatCode="#,##0.00_);[Red]\(#,##0.00\);\ \-_)"/>
    <numFmt numFmtId="284" formatCode="&quot;$&quot;#,##0.00_);\(&quot;$&quot;#,##0.00\)"/>
    <numFmt numFmtId="285" formatCode="[h]:mm;[Red]* &quot;Not time&quot;;[h]:mm;[Red]* &quot;Not time&quot;"/>
    <numFmt numFmtId="286" formatCode="0\ \ ;\(0\)\ \ \ "/>
    <numFmt numFmtId="287" formatCode="#,##0.00;[Red]\(#,##0.00\)"/>
    <numFmt numFmtId="288" formatCode="#,##0;[Red]\(#,##0\)"/>
    <numFmt numFmtId="289" formatCode="_(* #,##0_);_(* \(#,##0\);_(* &quot;–&quot;??_);_(* @_)"/>
    <numFmt numFmtId="290" formatCode="_(* #,##0.000_);_(* \(#,##0.000\);_(* &quot;–&quot;??_);_(* @_)"/>
    <numFmt numFmtId="291" formatCode="#,##0_%_);\(#,##0\)_%;#,##0_%_);@_%_)"/>
    <numFmt numFmtId="292" formatCode="#,##0_%_);\(#,##0\)_%;**;@_%_)"/>
    <numFmt numFmtId="293" formatCode="_(* #,##0.00_);_(* \(#,##0.00\);_(* &quot;-&quot;??_);_(@_)"/>
    <numFmt numFmtId="294" formatCode="_ * #,##0.00_ ;_ * \-#,##0.00_ ;_ * &quot;-&quot;??_ ;_ @_ "/>
    <numFmt numFmtId="295" formatCode="\(#,##0\);\(#,##0\);\-"/>
    <numFmt numFmtId="296" formatCode="0%;\(0\)%;0%;* @_%"/>
    <numFmt numFmtId="297" formatCode="0%;\-0%;0%;* @_%"/>
    <numFmt numFmtId="298" formatCode="0.0%;\-0.0%;0.0%;* @_%"/>
    <numFmt numFmtId="299" formatCode="0.00%;\-0.00%;0.00%;* @_%"/>
    <numFmt numFmtId="300" formatCode="0.000%;\-0.000%;0.000%;* @_%"/>
    <numFmt numFmtId="301" formatCode="&quot;$&quot;* #,##0_);&quot;$&quot;* \(#,##0\);&quot;$&quot;* 0_);* @_)"/>
    <numFmt numFmtId="302" formatCode="\$* #,##0,_);\$* \(#,##0,\);\$* 0_);* @_)"/>
    <numFmt numFmtId="303" formatCode="\$* #,##0,,_);\$* \(#,##0,,\);\$* 0_);* @_)"/>
    <numFmt numFmtId="304" formatCode="&quot;$&quot;* #,##0.0_);&quot;$&quot;* \(#,##0.0\);&quot;$&quot;* 0.0_);* @_)"/>
    <numFmt numFmtId="305" formatCode="&quot;$&quot;* #,##0.00_);&quot;$&quot;* \(#,##0.00\);&quot;$&quot;* 0.00_);* @_)"/>
    <numFmt numFmtId="306" formatCode="&quot;$&quot;* #,##0.000_);&quot;$&quot;* \(#,##0.000\);&quot;$&quot;* 0.000_);* @_)"/>
    <numFmt numFmtId="307" formatCode="&quot;$&quot;* #,##0.0000_);&quot;$&quot;* \(#,##0.0000\);&quot;$&quot;* 0.0000_);* @_)"/>
    <numFmt numFmtId="308" formatCode="&quot;$&quot;#,##0.0;\(&quot;$&quot;#,##0.0\);&quot;$&quot;#,##0.0"/>
    <numFmt numFmtId="309" formatCode="&quot;$&quot;\ #,##0.00;\-&quot;$&quot;\ #,##0.00;&quot;$&quot;\ 0.00;@"/>
    <numFmt numFmtId="310" formatCode="&quot;$&quot;#,##0.00;\(&quot;$&quot;#,##0.00\)"/>
    <numFmt numFmtId="311" formatCode="&quot;$&quot;#,##0_%_);\(&quot;$&quot;#,##0\)_%;&quot;$&quot;#,##0_%_);@_%_)"/>
    <numFmt numFmtId="312" formatCode="_-* #,##0.0000_-;\-* #,##0.0000_-;_-* &quot;-&quot;????_-;_-@_-"/>
    <numFmt numFmtId="313" formatCode="_(&quot;$&quot;* #,##0.00_);_(&quot;$&quot;* \(#,##0.00\);_(&quot;$&quot;* &quot;-&quot;??_);_(@_)"/>
    <numFmt numFmtId="314" formatCode="&quot;€&quot;_-0.00"/>
    <numFmt numFmtId="315" formatCode="&quot;£&quot;_-0.00"/>
    <numFmt numFmtId="316" formatCode="#,##0.00000;[Red]\-#,##0.00000"/>
    <numFmt numFmtId="317" formatCode=";;;&quot;Units: $'000&quot;"/>
    <numFmt numFmtId="318" formatCode="\ \ _•&quot;–&quot;\ \ \ \ @"/>
    <numFmt numFmtId="319" formatCode="d\ mmm\ yy"/>
    <numFmt numFmtId="320" formatCode="dd\ mmm\ yyyy"/>
    <numFmt numFmtId="321" formatCode="mmm\ yy"/>
    <numFmt numFmtId="322" formatCode="m/d/yy_%_)"/>
    <numFmt numFmtId="323" formatCode="dd\ mmm\ yyyy_);;_(* &quot;-&quot;??_)"/>
    <numFmt numFmtId="324" formatCode="dd\ mmm\ yy_);;_(* &quot;-&quot;??_)"/>
    <numFmt numFmtId="325" formatCode="mmm\ yy_);;_(* &quot;-&quot;??_)"/>
    <numFmt numFmtId="326" formatCode="#,##0;\-#,##0;\-"/>
    <numFmt numFmtId="327" formatCode="#,##0;\-#,##0;0"/>
    <numFmt numFmtId="328" formatCode="#,##0.00;\-#,##0.00;0.00"/>
    <numFmt numFmtId="329" formatCode="#,##0.0000;\-#,##0.0000;0.0000"/>
    <numFmt numFmtId="330" formatCode="&quot;DM&quot;\ #,##0.00;[Red]&quot;DM&quot;\ \-#,##0.00"/>
    <numFmt numFmtId="331" formatCode="&quot;$&quot;#,##0_);\(&quot;$&quot;#,##0\)"/>
    <numFmt numFmtId="332" formatCode="_(* #,##0.00%_);_(* \(#,##0.00%\);_(* #,##0.00%_);_(@_)"/>
    <numFmt numFmtId="333" formatCode="#,##0_);_)\(#,##0\);\-_);@_)"/>
    <numFmt numFmtId="334" formatCode="0_%_);\(0\)_%;0_%_);@_%_)"/>
    <numFmt numFmtId="335" formatCode="&quot;$&quot;#,##0.00_);[Red]\(&quot;$&quot;#,##0.00\)"/>
    <numFmt numFmtId="336" formatCode="#,##0_);\(#,##0\);&quot; - &quot;_);@_)"/>
    <numFmt numFmtId="337" formatCode="#,##0;\(#,##0\);&quot;-&quot;"/>
    <numFmt numFmtId="338" formatCode="_-* #,##0_-;\(#,##0\);_-* &quot;-&quot;_-"/>
    <numFmt numFmtId="339" formatCode="#,###;\-#,###;&quot;-&quot;"/>
    <numFmt numFmtId="340" formatCode="_(* #,##0_);_(* \(#,##0\);_(* &quot;-&quot;??_);_(@_)"/>
    <numFmt numFmtId="341" formatCode="0.0\%_);\(0.0\%\);0.0\%_);@_%_)"/>
    <numFmt numFmtId="342" formatCode="0."/>
    <numFmt numFmtId="343" formatCode="0_ ;[Red]\-0\ "/>
    <numFmt numFmtId="344" formatCode="0.00_ ;[Red]\-0.00\ "/>
    <numFmt numFmtId="345" formatCode="0.000_ ;[Red]\-0.000\ "/>
    <numFmt numFmtId="346" formatCode="0.0_ ;[Red]\-0.0\ "/>
    <numFmt numFmtId="347" formatCode="#,##0.0;[Red]\-#,##0.0;&quot;-&quot;"/>
    <numFmt numFmtId="348" formatCode="#,##0.00;[Red]\-#,##0.00;&quot;-&quot;"/>
    <numFmt numFmtId="349" formatCode="#,##0.000;[Red]\-#,##0.000;&quot;-&quot;"/>
  </numFmts>
  <fonts count="192">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b/>
      <sz val="11"/>
      <color rgb="FF3F3F3F"/>
      <name val="Calibri"/>
      <family val="2"/>
      <scheme val="minor"/>
    </font>
    <font>
      <sz val="11"/>
      <color theme="1"/>
      <name val="Arial"/>
      <family val="2"/>
    </font>
    <font>
      <b/>
      <sz val="18"/>
      <color rgb="FF7030A0"/>
      <name val="Arial"/>
      <family val="2"/>
    </font>
    <font>
      <b/>
      <sz val="20"/>
      <color theme="0"/>
      <name val="Arial"/>
      <family val="2"/>
    </font>
    <font>
      <sz val="16"/>
      <color rgb="FF7030A0"/>
      <name val="Arial"/>
      <family val="2"/>
    </font>
    <font>
      <b/>
      <sz val="42"/>
      <color rgb="FF7030A0"/>
      <name val="Arial"/>
      <family val="2"/>
    </font>
    <font>
      <b/>
      <sz val="28"/>
      <color rgb="FF7030A0"/>
      <name val="Arial"/>
      <family val="2"/>
    </font>
    <font>
      <sz val="11"/>
      <color rgb="FF7030A0"/>
      <name val="Arial"/>
      <family val="2"/>
    </font>
    <font>
      <b/>
      <sz val="10"/>
      <color rgb="FF7030A0"/>
      <name val="Arial"/>
      <family val="2"/>
    </font>
    <font>
      <b/>
      <sz val="10"/>
      <color theme="1"/>
      <name val="Arial"/>
      <family val="2"/>
    </font>
    <font>
      <sz val="10"/>
      <name val="Arial"/>
      <family val="2"/>
    </font>
    <font>
      <b/>
      <sz val="14"/>
      <color theme="0"/>
      <name val="Arial"/>
      <family val="2"/>
    </font>
    <font>
      <sz val="11"/>
      <color theme="0"/>
      <name val="Arial"/>
      <family val="2"/>
    </font>
    <font>
      <b/>
      <sz val="11"/>
      <color rgb="FF7030A0"/>
      <name val="Arial"/>
      <family val="2"/>
    </font>
    <font>
      <u/>
      <sz val="11"/>
      <color theme="10"/>
      <name val="Calibri"/>
      <family val="2"/>
      <scheme val="minor"/>
    </font>
    <font>
      <sz val="11"/>
      <color theme="0" tint="-0.14999847407452621"/>
      <name val="Arial"/>
      <family val="2"/>
    </font>
    <font>
      <u/>
      <sz val="11"/>
      <color theme="10"/>
      <name val="Arial"/>
      <family val="2"/>
    </font>
    <font>
      <sz val="11"/>
      <name val="Calibri"/>
      <family val="2"/>
      <scheme val="minor"/>
    </font>
    <font>
      <sz val="11"/>
      <name val="Calibri"/>
      <family val="2"/>
    </font>
    <font>
      <sz val="10"/>
      <color indexed="30"/>
      <name val="Arial"/>
      <family val="2"/>
    </font>
    <font>
      <sz val="10"/>
      <name val="Palatino"/>
    </font>
    <font>
      <sz val="10"/>
      <color rgb="FF0070C0"/>
      <name val="Calibri"/>
      <family val="2"/>
      <scheme val="minor"/>
    </font>
    <font>
      <b/>
      <sz val="10"/>
      <name val="Arial"/>
      <family val="2"/>
    </font>
    <font>
      <sz val="10"/>
      <name val="Times New Roman"/>
      <family val="1"/>
    </font>
    <font>
      <sz val="9"/>
      <name val="Tms Rmn"/>
    </font>
    <font>
      <b/>
      <sz val="13"/>
      <color indexed="12"/>
      <name val="Arial"/>
      <family val="2"/>
    </font>
    <font>
      <i/>
      <sz val="10"/>
      <name val="Calibri"/>
      <family val="4"/>
      <scheme val="minor"/>
    </font>
    <font>
      <b/>
      <sz val="18"/>
      <name val="Calibri"/>
      <family val="2"/>
      <scheme val="minor"/>
    </font>
    <font>
      <b/>
      <sz val="12"/>
      <name val="Arial"/>
      <family val="2"/>
    </font>
    <font>
      <b/>
      <sz val="16"/>
      <name val="Calibri"/>
      <family val="2"/>
      <scheme val="minor"/>
    </font>
    <font>
      <sz val="10"/>
      <name val="Calibri"/>
      <family val="2"/>
    </font>
    <font>
      <sz val="11"/>
      <color theme="2"/>
      <name val="Calibri"/>
      <family val="2"/>
      <scheme val="minor"/>
    </font>
    <font>
      <b/>
      <sz val="10"/>
      <name val="Calibri"/>
      <family val="4"/>
      <scheme val="minor"/>
    </font>
    <font>
      <b/>
      <sz val="13"/>
      <name val="Arial"/>
      <family val="2"/>
    </font>
    <font>
      <sz val="11"/>
      <color theme="9"/>
      <name val="Calibri"/>
      <family val="2"/>
      <scheme val="minor"/>
    </font>
    <font>
      <sz val="10"/>
      <name val="MS Sans Serif"/>
      <family val="2"/>
    </font>
    <font>
      <sz val="8"/>
      <name val="Arial"/>
      <family val="2"/>
    </font>
    <font>
      <b/>
      <sz val="20"/>
      <color theme="2"/>
      <name val="Calibri"/>
      <family val="2"/>
      <scheme val="minor"/>
    </font>
    <font>
      <sz val="14"/>
      <color theme="0"/>
      <name val="Arial"/>
      <family val="2"/>
    </font>
    <font>
      <b/>
      <sz val="11"/>
      <color theme="1"/>
      <name val="Arial"/>
      <family val="2"/>
    </font>
    <font>
      <sz val="11"/>
      <name val="Arial"/>
      <family val="2"/>
    </font>
    <font>
      <b/>
      <sz val="11"/>
      <name val="Arial"/>
      <family val="2"/>
    </font>
    <font>
      <b/>
      <sz val="14"/>
      <color rgb="FF7030A0"/>
      <name val="Arial"/>
      <family val="2"/>
    </font>
    <font>
      <sz val="12"/>
      <name val="Arial"/>
      <family val="2"/>
    </font>
    <font>
      <sz val="14"/>
      <color theme="1"/>
      <name val="Arial"/>
      <family val="2"/>
    </font>
    <font>
      <b/>
      <sz val="11"/>
      <color theme="3"/>
      <name val="Calibri"/>
      <family val="2"/>
      <scheme val="minor"/>
    </font>
    <font>
      <b/>
      <sz val="11"/>
      <color rgb="FFFA7D00"/>
      <name val="Calibri"/>
      <family val="2"/>
      <scheme val="minor"/>
    </font>
    <font>
      <sz val="10"/>
      <color theme="1"/>
      <name val="Arial"/>
      <family val="2"/>
    </font>
    <font>
      <sz val="8"/>
      <color theme="1"/>
      <name val="Calibri"/>
      <family val="2"/>
      <scheme val="minor"/>
    </font>
    <font>
      <sz val="11"/>
      <color rgb="FF000000"/>
      <name val="Calibri"/>
      <family val="2"/>
      <scheme val="minor"/>
    </font>
    <font>
      <sz val="10"/>
      <color indexed="8"/>
      <name val="Arial"/>
      <family val="2"/>
    </font>
    <font>
      <sz val="10"/>
      <color theme="1"/>
      <name val="Calibri"/>
      <family val="2"/>
      <scheme val="minor"/>
    </font>
    <font>
      <sz val="11"/>
      <color indexed="8"/>
      <name val="Calibri"/>
      <family val="2"/>
      <charset val="1"/>
    </font>
    <font>
      <sz val="10"/>
      <color theme="1"/>
      <name val="Arial Narrow"/>
      <family val="2"/>
    </font>
    <font>
      <sz val="9"/>
      <color indexed="81"/>
      <name val="Tahoma"/>
      <family val="2"/>
    </font>
    <font>
      <sz val="10"/>
      <color indexed="8"/>
      <name val="Arial Mäori"/>
      <family val="2"/>
    </font>
    <font>
      <sz val="10"/>
      <color indexed="9"/>
      <name val="Arial Mäori"/>
      <family val="2"/>
    </font>
    <font>
      <sz val="10"/>
      <color indexed="20"/>
      <name val="Arial Mäori"/>
      <family val="2"/>
    </font>
    <font>
      <b/>
      <sz val="10"/>
      <color indexed="9"/>
      <name val="Arial Mäori"/>
      <family val="2"/>
    </font>
    <font>
      <i/>
      <sz val="10"/>
      <name val="Calibri"/>
      <family val="2"/>
      <scheme val="minor"/>
    </font>
    <font>
      <b/>
      <sz val="13"/>
      <color theme="4"/>
      <name val="Calibri"/>
      <family val="2"/>
      <scheme val="minor"/>
    </font>
    <font>
      <sz val="7"/>
      <name val="Palatino"/>
      <family val="1"/>
    </font>
    <font>
      <sz val="10"/>
      <color indexed="17"/>
      <name val="Arial Mäori"/>
      <family val="2"/>
    </font>
    <font>
      <b/>
      <sz val="16"/>
      <name val="Calibri"/>
      <family val="4"/>
      <scheme val="minor"/>
    </font>
    <font>
      <i/>
      <sz val="12"/>
      <name val="Calibri"/>
      <family val="4"/>
      <scheme val="minor"/>
    </font>
    <font>
      <sz val="10"/>
      <color indexed="8"/>
      <name val="Calibri"/>
      <family val="2"/>
    </font>
    <font>
      <sz val="10"/>
      <name val="Calibri"/>
      <family val="4"/>
      <scheme val="minor"/>
    </font>
    <font>
      <b/>
      <sz val="10"/>
      <color indexed="8"/>
      <name val="Arial"/>
      <family val="2"/>
    </font>
    <font>
      <b/>
      <sz val="10"/>
      <name val="Calibri"/>
      <family val="2"/>
      <scheme val="minor"/>
    </font>
    <font>
      <sz val="10"/>
      <color indexed="10"/>
      <name val="Arial Mäori"/>
      <family val="2"/>
    </font>
    <font>
      <sz val="10"/>
      <color indexed="19"/>
      <name val="Arial Mäori"/>
      <family val="2"/>
    </font>
    <font>
      <b/>
      <sz val="8"/>
      <color theme="0"/>
      <name val="Arial"/>
      <family val="2"/>
    </font>
    <font>
      <sz val="8"/>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Tahoma"/>
      <family val="2"/>
    </font>
    <font>
      <b/>
      <sz val="11"/>
      <color rgb="FF7030A0"/>
      <name val="Calibri"/>
      <family val="2"/>
      <scheme val="minor"/>
    </font>
    <font>
      <b/>
      <sz val="8"/>
      <color rgb="FFFF0000"/>
      <name val="Calibri"/>
      <family val="2"/>
      <scheme val="minor"/>
    </font>
    <font>
      <b/>
      <sz val="9"/>
      <color rgb="FFFF0000"/>
      <name val="Calibri"/>
      <family val="2"/>
      <scheme val="minor"/>
    </font>
    <font>
      <b/>
      <sz val="10"/>
      <color rgb="FFFF0000"/>
      <name val="Calibri"/>
      <family val="2"/>
      <scheme val="minor"/>
    </font>
    <font>
      <sz val="8"/>
      <color rgb="FFFF0000"/>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sz val="8"/>
      <name val="Calibri"/>
      <family val="2"/>
      <scheme val="minor"/>
    </font>
    <font>
      <b/>
      <u/>
      <sz val="8"/>
      <color rgb="FFFF0000"/>
      <name val="Calibri"/>
      <family val="2"/>
      <scheme val="minor"/>
    </font>
    <font>
      <b/>
      <sz val="12"/>
      <color rgb="FFFF0000"/>
      <name val="Calibri"/>
      <family val="2"/>
      <scheme val="minor"/>
    </font>
    <font>
      <b/>
      <u/>
      <sz val="9"/>
      <color theme="1"/>
      <name val="Calibri"/>
      <family val="2"/>
      <scheme val="minor"/>
    </font>
    <font>
      <u/>
      <sz val="9"/>
      <color theme="1"/>
      <name val="Calibri"/>
      <family val="2"/>
      <scheme val="minor"/>
    </font>
    <font>
      <b/>
      <sz val="9"/>
      <color rgb="FF0070C0"/>
      <name val="Calibri"/>
      <family val="2"/>
      <scheme val="minor"/>
    </font>
    <font>
      <sz val="10"/>
      <name val="CG Times (E1)"/>
    </font>
    <font>
      <sz val="6"/>
      <name val="CG Times (E1)"/>
    </font>
    <font>
      <sz val="10"/>
      <name val="Helv"/>
    </font>
    <font>
      <sz val="9"/>
      <name val="Calibri"/>
      <family val="2"/>
      <scheme val="minor"/>
    </font>
    <font>
      <sz val="12"/>
      <color theme="1"/>
      <name val="Calibri"/>
      <family val="2"/>
      <scheme val="minor"/>
    </font>
    <font>
      <b/>
      <sz val="9"/>
      <name val="Calibri"/>
      <family val="2"/>
      <scheme val="minor"/>
    </font>
    <font>
      <b/>
      <sz val="9"/>
      <color rgb="FF532476"/>
      <name val="Calibri"/>
      <family val="2"/>
      <scheme val="minor"/>
    </font>
    <font>
      <sz val="9"/>
      <color theme="1"/>
      <name val="Wingdings"/>
      <charset val="2"/>
    </font>
    <font>
      <b/>
      <sz val="11"/>
      <color rgb="FFFF0000"/>
      <name val="Calibri"/>
      <family val="2"/>
      <scheme val="minor"/>
    </font>
    <font>
      <b/>
      <sz val="10"/>
      <color theme="1"/>
      <name val="Calibri"/>
      <family val="2"/>
      <scheme val="minor"/>
    </font>
    <font>
      <sz val="10"/>
      <color rgb="FFFF0000"/>
      <name val="Calibri"/>
      <family val="2"/>
      <scheme val="minor"/>
    </font>
    <font>
      <b/>
      <sz val="10"/>
      <color rgb="FF000000"/>
      <name val="Calibri"/>
      <family val="2"/>
      <scheme val="minor"/>
    </font>
    <font>
      <sz val="9"/>
      <color rgb="FF7030A0"/>
      <name val="Calibri"/>
      <family val="2"/>
      <scheme val="minor"/>
    </font>
    <font>
      <i/>
      <sz val="11"/>
      <color theme="1"/>
      <name val="Calibri"/>
      <family val="2"/>
      <scheme val="minor"/>
    </font>
    <font>
      <sz val="9"/>
      <name val="Arial"/>
      <family val="2"/>
    </font>
    <font>
      <b/>
      <sz val="14"/>
      <color rgb="FFFF0000"/>
      <name val="Calibri"/>
      <family val="2"/>
      <scheme val="minor"/>
    </font>
    <font>
      <vertAlign val="subscript"/>
      <sz val="9"/>
      <name val="Arial"/>
      <family val="2"/>
    </font>
    <font>
      <sz val="9"/>
      <color rgb="FF000000"/>
      <name val="Calibri"/>
      <family val="2"/>
      <scheme val="minor"/>
    </font>
    <font>
      <b/>
      <sz val="9"/>
      <color rgb="FF1853B4"/>
      <name val="Calibri"/>
      <family val="2"/>
      <scheme val="minor"/>
    </font>
    <font>
      <b/>
      <sz val="16"/>
      <color rgb="FFFF0000"/>
      <name val="Calibri"/>
      <family val="2"/>
      <scheme val="minor"/>
    </font>
    <font>
      <sz val="9"/>
      <color theme="1"/>
      <name val="Calibri"/>
      <family val="2"/>
    </font>
    <font>
      <sz val="10"/>
      <color rgb="FF000000"/>
      <name val="Arial"/>
      <family val="2"/>
    </font>
    <font>
      <b/>
      <u/>
      <sz val="9"/>
      <color rgb="FFFF0000"/>
      <name val="Calibri"/>
      <family val="2"/>
      <scheme val="minor"/>
    </font>
    <font>
      <b/>
      <sz val="11"/>
      <color indexed="12"/>
      <name val="Arial"/>
      <family val="2"/>
    </font>
    <font>
      <sz val="20"/>
      <color theme="1"/>
      <name val="Calibri"/>
      <family val="2"/>
      <scheme val="minor"/>
    </font>
    <font>
      <b/>
      <sz val="12"/>
      <color rgb="FF7030A0"/>
      <name val="Calibri"/>
      <family val="2"/>
      <scheme val="minor"/>
    </font>
    <font>
      <b/>
      <sz val="12"/>
      <color rgb="FF7030A0"/>
      <name val="Calibri"/>
      <family val="2"/>
    </font>
    <font>
      <sz val="7"/>
      <color theme="1"/>
      <name val="Calibri"/>
      <family val="2"/>
      <scheme val="minor"/>
    </font>
    <font>
      <sz val="6"/>
      <color theme="1"/>
      <name val="Calibri"/>
      <family val="2"/>
      <scheme val="minor"/>
    </font>
    <font>
      <i/>
      <sz val="9"/>
      <color theme="1"/>
      <name val="Calibri"/>
      <family val="2"/>
      <scheme val="minor"/>
    </font>
    <font>
      <b/>
      <sz val="9"/>
      <color theme="1"/>
      <name val="Arial"/>
      <family val="2"/>
    </font>
    <font>
      <b/>
      <sz val="9"/>
      <color indexed="12"/>
      <name val="Arial"/>
      <family val="2"/>
    </font>
    <font>
      <sz val="9"/>
      <color indexed="12"/>
      <name val="Calibri"/>
      <family val="2"/>
      <scheme val="minor"/>
    </font>
    <font>
      <u/>
      <sz val="11"/>
      <color theme="11"/>
      <name val="Calibri"/>
      <family val="2"/>
      <scheme val="minor"/>
    </font>
    <font>
      <sz val="12"/>
      <name val="Times New Roman"/>
      <family val="1"/>
    </font>
    <font>
      <sz val="9"/>
      <name val="Frutiger 45 Light"/>
      <family val="2"/>
    </font>
    <font>
      <sz val="10"/>
      <name val="Geneva"/>
    </font>
    <font>
      <sz val="10"/>
      <name val="Geneva"/>
      <family val="2"/>
    </font>
    <font>
      <b/>
      <sz val="22"/>
      <color indexed="18"/>
      <name val="Arial"/>
      <family val="2"/>
    </font>
    <font>
      <b/>
      <sz val="14"/>
      <color indexed="18"/>
      <name val="Arial"/>
      <family val="2"/>
    </font>
    <font>
      <b/>
      <u val="singleAccounting"/>
      <sz val="10"/>
      <color indexed="18"/>
      <name val="Arial"/>
      <family val="2"/>
    </font>
    <font>
      <sz val="12"/>
      <name val="Weiss"/>
    </font>
    <font>
      <sz val="11"/>
      <color indexed="8"/>
      <name val="Arial"/>
      <family val="2"/>
    </font>
    <font>
      <sz val="11"/>
      <color indexed="8"/>
      <name val="Calibri"/>
      <family val="2"/>
    </font>
    <font>
      <sz val="11"/>
      <color indexed="8"/>
      <name val="Arial Mäori"/>
      <family val="2"/>
    </font>
    <font>
      <sz val="8"/>
      <color indexed="8"/>
      <name val="Arial"/>
      <family val="2"/>
    </font>
    <font>
      <sz val="11"/>
      <color indexed="9"/>
      <name val="Arial"/>
      <family val="2"/>
    </font>
    <font>
      <sz val="11"/>
      <color indexed="9"/>
      <name val="Calibri"/>
      <family val="2"/>
    </font>
    <font>
      <sz val="10"/>
      <color indexed="9"/>
      <name val="Arial"/>
      <family val="2"/>
    </font>
    <font>
      <sz val="11"/>
      <color indexed="9"/>
      <name val="Arial Mäori"/>
      <family val="2"/>
    </font>
    <font>
      <sz val="8"/>
      <color indexed="9"/>
      <name val="Arial"/>
      <family val="2"/>
    </font>
    <font>
      <b/>
      <sz val="10"/>
      <color indexed="55"/>
      <name val="Arial"/>
      <family val="2"/>
    </font>
    <font>
      <b/>
      <sz val="10"/>
      <color indexed="9"/>
      <name val="Arial"/>
      <family val="2"/>
    </font>
    <font>
      <b/>
      <sz val="12"/>
      <color indexed="9"/>
      <name val="Arial"/>
      <family val="2"/>
    </font>
    <font>
      <sz val="10"/>
      <color indexed="8"/>
      <name val="Book Antiqua"/>
      <family val="1"/>
    </font>
    <font>
      <b/>
      <sz val="13"/>
      <color indexed="30"/>
      <name val="Calibri"/>
      <family val="2"/>
    </font>
    <font>
      <sz val="9"/>
      <color indexed="12"/>
      <name val="Frutiger 45 Light"/>
      <family val="2"/>
    </font>
    <font>
      <b/>
      <sz val="10"/>
      <name val="MS Sans Serif"/>
      <family val="2"/>
    </font>
    <font>
      <b/>
      <sz val="14"/>
      <name val="Arial"/>
      <family val="2"/>
    </font>
    <font>
      <sz val="9"/>
      <color indexed="18"/>
      <name val="Arial"/>
      <family val="2"/>
    </font>
    <font>
      <sz val="10"/>
      <color indexed="18"/>
      <name val="Arial"/>
      <family val="2"/>
    </font>
    <font>
      <sz val="8"/>
      <color indexed="18"/>
      <name val="Arial"/>
      <family val="2"/>
    </font>
    <font>
      <b/>
      <sz val="11"/>
      <color indexed="52"/>
      <name val="Arial"/>
      <family val="2"/>
    </font>
    <font>
      <sz val="8"/>
      <name val="Palatino"/>
      <family val="1"/>
    </font>
    <font>
      <b/>
      <sz val="8"/>
      <name val="Arial"/>
      <family val="2"/>
    </font>
    <font>
      <b/>
      <sz val="11"/>
      <color indexed="9"/>
      <name val="Arial"/>
      <family val="2"/>
    </font>
    <font>
      <sz val="10"/>
      <color indexed="8"/>
      <name val="Calibri"/>
      <family val="1"/>
    </font>
    <font>
      <sz val="10"/>
      <color indexed="8"/>
      <name val="Cambria"/>
      <family val="1"/>
    </font>
    <font>
      <sz val="10"/>
      <color indexed="8"/>
      <name val="Calibri"/>
      <family val="4"/>
    </font>
    <font>
      <sz val="10"/>
      <color indexed="24"/>
      <name val="Arial"/>
      <family val="2"/>
    </font>
    <font>
      <b/>
      <sz val="13"/>
      <color indexed="62"/>
      <name val="Calibri"/>
      <family val="2"/>
    </font>
    <font>
      <sz val="10"/>
      <color indexed="12"/>
      <name val="Arial"/>
      <family val="2"/>
    </font>
    <font>
      <sz val="10"/>
      <color indexed="8"/>
      <name val="Arial Narrow"/>
      <family val="2"/>
    </font>
    <font>
      <sz val="10"/>
      <name val="Helvetica"/>
      <family val="2"/>
    </font>
    <font>
      <sz val="9"/>
      <color indexed="9"/>
      <name val="Frutiger 45 Light"/>
      <family val="2"/>
    </font>
    <font>
      <sz val="10"/>
      <name val="Gill Sans"/>
      <family val="2"/>
    </font>
    <font>
      <sz val="10"/>
      <name val="Arial Narrow"/>
      <family val="2"/>
    </font>
    <font>
      <b/>
      <sz val="12"/>
      <color indexed="60"/>
      <name val="Arial Narrow"/>
      <family val="2"/>
    </font>
    <font>
      <sz val="8"/>
      <color indexed="17"/>
      <name val="Arial"/>
      <family val="2"/>
    </font>
    <font>
      <i/>
      <sz val="8"/>
      <name val="Arial"/>
      <family val="2"/>
    </font>
    <font>
      <i/>
      <sz val="8"/>
      <color indexed="8"/>
      <name val="Calibri"/>
      <family val="4"/>
    </font>
    <font>
      <sz val="8"/>
      <color indexed="10"/>
      <name val="Arial"/>
      <family val="2"/>
    </font>
    <font>
      <b/>
      <sz val="18"/>
      <color indexed="62"/>
      <name val="Arial"/>
      <family val="2"/>
    </font>
    <font>
      <b/>
      <sz val="16"/>
      <name val="Arial"/>
      <family val="2"/>
    </font>
    <font>
      <b/>
      <sz val="12"/>
      <color indexed="62"/>
      <name val="Arial"/>
      <family val="2"/>
    </font>
    <font>
      <b/>
      <sz val="11"/>
      <color theme="6" tint="-0.499984740745262"/>
      <name val="Arial"/>
      <family val="2"/>
    </font>
    <font>
      <b/>
      <sz val="9"/>
      <color indexed="81"/>
      <name val="Tahoma"/>
      <family val="2"/>
    </font>
    <font>
      <sz val="10"/>
      <color theme="1"/>
      <name val="Calibri"/>
      <family val="4"/>
      <scheme val="minor"/>
    </font>
    <font>
      <sz val="9"/>
      <name val="Calibri"/>
      <family val="4"/>
    </font>
    <font>
      <u/>
      <sz val="10"/>
      <color theme="10"/>
      <name val="Calibri"/>
      <family val="4"/>
      <scheme val="minor"/>
    </font>
    <font>
      <b/>
      <sz val="16"/>
      <color theme="1"/>
      <name val="Calibri"/>
      <family val="2"/>
      <scheme val="minor"/>
    </font>
  </fonts>
  <fills count="77">
    <fill>
      <patternFill patternType="none"/>
    </fill>
    <fill>
      <patternFill patternType="gray125"/>
    </fill>
    <fill>
      <patternFill patternType="solid">
        <fgColor rgb="FFFFCC99"/>
      </patternFill>
    </fill>
    <fill>
      <patternFill patternType="solid">
        <fgColor rgb="FFFFFFCC"/>
      </patternFill>
    </fill>
    <fill>
      <patternFill patternType="solid">
        <fgColor rgb="FFF2F2F2"/>
      </patternFill>
    </fill>
    <fill>
      <patternFill patternType="solid">
        <fgColor rgb="FF7030A0"/>
        <bgColor indexed="64"/>
      </patternFill>
    </fill>
    <fill>
      <patternFill patternType="solid">
        <fgColor rgb="FFFEF6EC"/>
        <bgColor indexed="64"/>
      </patternFill>
    </fill>
    <fill>
      <patternFill patternType="solid">
        <fgColor theme="7" tint="0.59999389629810485"/>
        <bgColor indexed="64"/>
      </patternFill>
    </fill>
    <fill>
      <patternFill patternType="solid">
        <fgColor rgb="FFFFD400"/>
        <bgColor indexed="64"/>
      </patternFill>
    </fill>
    <fill>
      <patternFill patternType="solid">
        <fgColor theme="9"/>
        <bgColor indexed="64"/>
      </patternFill>
    </fill>
    <fill>
      <patternFill patternType="solid">
        <fgColor rgb="FF5D2684"/>
        <bgColor indexed="64"/>
      </patternFill>
    </fill>
    <fill>
      <patternFill patternType="solid">
        <fgColor theme="6"/>
        <bgColor indexed="64"/>
      </patternFill>
    </fill>
    <fill>
      <patternFill patternType="solid">
        <fgColor theme="0" tint="-0.34998626667073579"/>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4"/>
        <bgColor indexed="64"/>
      </patternFill>
    </fill>
    <fill>
      <patternFill patternType="solid">
        <fgColor theme="3"/>
        <bgColor indexed="64"/>
      </patternFill>
    </fill>
    <fill>
      <patternFill patternType="solid">
        <fgColor theme="7" tint="0.79998168889431442"/>
        <bgColor indexed="64"/>
      </patternFill>
    </fill>
    <fill>
      <patternFill patternType="solid">
        <fgColor theme="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55"/>
      </patternFill>
    </fill>
    <fill>
      <patternFill patternType="solid">
        <fgColor rgb="FFCCFFCC"/>
        <bgColor indexed="64"/>
      </patternFill>
    </fill>
    <fill>
      <patternFill patternType="solid">
        <fgColor indexed="22"/>
        <bgColor indexed="64"/>
      </patternFill>
    </fill>
    <fill>
      <patternFill patternType="solid">
        <fgColor indexed="31"/>
      </patternFill>
    </fill>
    <fill>
      <patternFill patternType="solid">
        <fgColor indexed="42"/>
      </patternFill>
    </fill>
    <fill>
      <patternFill patternType="solid">
        <fgColor indexed="2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18"/>
        <bgColor indexed="64"/>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12"/>
        <bgColor indexed="64"/>
      </patternFill>
    </fill>
    <fill>
      <patternFill patternType="solid">
        <fgColor indexed="48"/>
        <bgColor indexed="64"/>
      </patternFill>
    </fill>
    <fill>
      <patternFill patternType="solid">
        <fgColor indexed="53"/>
        <bgColor indexed="64"/>
      </patternFill>
    </fill>
    <fill>
      <patternFill patternType="solid">
        <fgColor indexed="8"/>
        <bgColor indexed="64"/>
      </patternFill>
    </fill>
    <fill>
      <patternFill patternType="solid">
        <fgColor indexed="57"/>
        <bgColor indexed="64"/>
      </patternFill>
    </fill>
    <fill>
      <patternFill patternType="solid">
        <fgColor indexed="62"/>
      </patternFill>
    </fill>
    <fill>
      <patternFill patternType="solid">
        <fgColor indexed="57"/>
      </patternFill>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gray0625">
        <fgColor indexed="26"/>
        <bgColor indexed="26"/>
      </patternFill>
    </fill>
    <fill>
      <patternFill patternType="solid">
        <fgColor indexed="27"/>
        <bgColor indexed="64"/>
      </patternFill>
    </fill>
    <fill>
      <patternFill patternType="solid">
        <fgColor indexed="56"/>
        <bgColor indexed="64"/>
      </patternFill>
    </fill>
    <fill>
      <patternFill patternType="solid">
        <fgColor indexed="50"/>
        <bgColor indexed="64"/>
      </patternFill>
    </fill>
    <fill>
      <patternFill patternType="solid">
        <fgColor indexed="26"/>
        <bgColor indexed="64"/>
      </patternFill>
    </fill>
    <fill>
      <patternFill patternType="solid">
        <fgColor indexed="60"/>
        <bgColor indexed="64"/>
      </patternFill>
    </fill>
    <fill>
      <patternFill patternType="solid">
        <fgColor indexed="30"/>
        <bgColor indexed="64"/>
      </patternFill>
    </fill>
    <fill>
      <patternFill patternType="solid">
        <fgColor indexed="13"/>
        <bgColor indexed="64"/>
      </patternFill>
    </fill>
    <fill>
      <patternFill patternType="lightGray">
        <bgColor indexed="9"/>
      </patternFill>
    </fill>
    <fill>
      <patternFill patternType="lightUp">
        <fgColor indexed="14"/>
        <bgColor indexed="45"/>
      </patternFill>
    </fill>
    <fill>
      <patternFill patternType="solid">
        <fgColor indexed="48"/>
      </patternFill>
    </fill>
    <fill>
      <patternFill patternType="lightDown">
        <fgColor indexed="23"/>
      </patternFill>
    </fill>
    <fill>
      <patternFill patternType="solid">
        <fgColor indexed="63"/>
        <bgColor indexed="64"/>
      </patternFill>
    </fill>
    <fill>
      <patternFill patternType="solid">
        <fgColor indexed="23"/>
        <bgColor indexed="64"/>
      </patternFill>
    </fill>
    <fill>
      <patternFill patternType="gray0625">
        <bgColor indexed="22"/>
      </patternFill>
    </fill>
    <fill>
      <patternFill patternType="solid">
        <fgColor indexed="54"/>
        <bgColor indexed="64"/>
      </patternFill>
    </fill>
    <fill>
      <patternFill patternType="solid">
        <fgColor theme="9" tint="0.79998168889431442"/>
        <bgColor indexed="64"/>
      </patternFill>
    </fill>
    <fill>
      <patternFill patternType="solid">
        <fgColor rgb="FFFFFFFF"/>
        <bgColor indexed="64"/>
      </patternFill>
    </fill>
  </fills>
  <borders count="78">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medium">
        <color auto="1"/>
      </top>
      <bottom/>
      <diagonal/>
    </border>
    <border>
      <left style="hair">
        <color rgb="FF7030A0"/>
      </left>
      <right/>
      <top style="hair">
        <color rgb="FF7030A0"/>
      </top>
      <bottom style="hair">
        <color rgb="FF7030A0"/>
      </bottom>
      <diagonal/>
    </border>
    <border>
      <left/>
      <right style="hair">
        <color rgb="FF7030A0"/>
      </right>
      <top style="hair">
        <color rgb="FF7030A0"/>
      </top>
      <bottom style="hair">
        <color rgb="FF7030A0"/>
      </bottom>
      <diagonal/>
    </border>
    <border>
      <left/>
      <right/>
      <top/>
      <bottom style="thin">
        <color indexed="64"/>
      </bottom>
      <diagonal/>
    </border>
    <border>
      <left style="hair">
        <color rgb="FF7030A0"/>
      </left>
      <right style="hair">
        <color rgb="FF7030A0"/>
      </right>
      <top style="hair">
        <color rgb="FF7030A0"/>
      </top>
      <bottom style="hair">
        <color rgb="FF7030A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theme="7"/>
      </top>
      <bottom style="thin">
        <color theme="7"/>
      </bottom>
      <diagonal/>
    </border>
    <border>
      <left/>
      <right style="thin">
        <color indexed="64"/>
      </right>
      <top/>
      <bottom style="thin">
        <color indexed="64"/>
      </bottom>
      <diagonal/>
    </border>
    <border>
      <left/>
      <right style="thin">
        <color theme="7"/>
      </right>
      <top style="thin">
        <color theme="7"/>
      </top>
      <bottom style="thin">
        <color theme="7"/>
      </bottom>
      <diagonal/>
    </border>
    <border>
      <left style="thin">
        <color indexed="64"/>
      </left>
      <right style="thin">
        <color indexed="64"/>
      </right>
      <top style="medium">
        <color indexed="64"/>
      </top>
      <bottom style="medium">
        <color indexed="64"/>
      </bottom>
      <diagonal/>
    </border>
    <border>
      <left/>
      <right/>
      <top style="thin">
        <color theme="7" tint="0.59996337778862885"/>
      </top>
      <bottom/>
      <diagonal/>
    </border>
    <border>
      <left/>
      <right/>
      <top style="thin">
        <color auto="1"/>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hair">
        <color rgb="FF7030A0"/>
      </top>
      <bottom style="hair">
        <color rgb="FF7030A0"/>
      </bottom>
      <diagonal/>
    </border>
    <border>
      <left style="thin">
        <color theme="7" tint="0.59996337778862885"/>
      </left>
      <right style="thin">
        <color theme="7" tint="0.59996337778862885"/>
      </right>
      <top/>
      <bottom/>
      <diagonal/>
    </border>
    <border>
      <left style="thin">
        <color theme="7" tint="0.59996337778862885"/>
      </left>
      <right/>
      <top/>
      <bottom/>
      <diagonal/>
    </border>
    <border>
      <left/>
      <right/>
      <top/>
      <bottom style="medium">
        <color theme="4" tint="0.3999755851924192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top style="thin">
        <color indexed="64"/>
      </top>
      <bottom style="double">
        <color indexed="64"/>
      </bottom>
      <diagonal/>
    </border>
    <border>
      <left style="medium">
        <color indexed="64"/>
      </left>
      <right/>
      <top/>
      <bottom/>
      <diagonal/>
    </border>
    <border>
      <left/>
      <right/>
      <top style="double">
        <color indexed="64"/>
      </top>
      <bottom/>
      <diagonal/>
    </border>
    <border>
      <left/>
      <right/>
      <top style="hair">
        <color indexed="8"/>
      </top>
      <bottom style="hair">
        <color indexed="8"/>
      </bottom>
      <diagonal/>
    </border>
    <border>
      <left/>
      <right/>
      <top/>
      <bottom style="medium">
        <color indexed="18"/>
      </bottom>
      <diagonal/>
    </border>
    <border>
      <left/>
      <right/>
      <top/>
      <bottom style="medium">
        <color indexed="64"/>
      </bottom>
      <diagonal/>
    </border>
    <border>
      <left/>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thick">
        <color indexed="37"/>
      </bottom>
      <diagonal/>
    </border>
    <border>
      <left/>
      <right style="medium">
        <color indexed="64"/>
      </right>
      <top/>
      <bottom/>
      <diagonal/>
    </border>
    <border>
      <left/>
      <right/>
      <top style="thin">
        <color indexed="64"/>
      </top>
      <bottom style="medium">
        <color indexed="64"/>
      </bottom>
      <diagonal/>
    </border>
    <border>
      <left style="double">
        <color indexed="64"/>
      </left>
      <right/>
      <top/>
      <bottom style="hair">
        <color indexed="64"/>
      </bottom>
      <diagonal/>
    </border>
    <border>
      <left style="thin">
        <color indexed="18"/>
      </left>
      <right style="thin">
        <color indexed="18"/>
      </right>
      <top style="thin">
        <color indexed="18"/>
      </top>
      <bottom style="thin">
        <color indexed="18"/>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n">
        <color indexed="44"/>
      </bottom>
      <diagonal/>
    </border>
    <border>
      <left style="thin">
        <color indexed="41"/>
      </left>
      <right style="thin">
        <color indexed="9"/>
      </right>
      <top style="thin">
        <color indexed="41"/>
      </top>
      <bottom style="thin">
        <color indexed="8"/>
      </bottom>
      <diagonal/>
    </border>
    <border>
      <left/>
      <right/>
      <top/>
      <bottom style="medium">
        <color indexed="24"/>
      </bottom>
      <diagonal/>
    </border>
    <border>
      <left style="thin">
        <color indexed="8"/>
      </left>
      <right style="thin">
        <color indexed="8"/>
      </right>
      <top style="thin">
        <color indexed="8"/>
      </top>
      <bottom style="thin">
        <color indexed="8"/>
      </bottom>
      <diagonal/>
    </border>
    <border>
      <left/>
      <right style="thick">
        <color indexed="9"/>
      </right>
      <top/>
      <bottom style="thin">
        <color indexed="8"/>
      </bottom>
      <diagonal/>
    </border>
    <border>
      <left/>
      <right/>
      <top style="medium">
        <color indexed="64"/>
      </top>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right/>
      <top/>
      <bottom style="thin">
        <color indexed="8"/>
      </bottom>
      <diagonal/>
    </border>
    <border>
      <left style="thin">
        <color indexed="10"/>
      </left>
      <right style="thin">
        <color indexed="10"/>
      </right>
      <top style="thin">
        <color indexed="10"/>
      </top>
      <bottom style="thin">
        <color indexed="10"/>
      </bottom>
      <diagonal/>
    </border>
    <border>
      <left style="thin">
        <color indexed="12"/>
      </left>
      <right style="thin">
        <color indexed="12"/>
      </right>
      <top style="thin">
        <color indexed="12"/>
      </top>
      <bottom style="thin">
        <color indexed="12"/>
      </bottom>
      <diagonal/>
    </border>
    <border>
      <left style="medium">
        <color indexed="29"/>
      </left>
      <right style="medium">
        <color indexed="29"/>
      </right>
      <top style="medium">
        <color indexed="29"/>
      </top>
      <bottom style="medium">
        <color indexed="29"/>
      </bottom>
      <diagonal/>
    </border>
    <border>
      <left style="medium">
        <color indexed="10"/>
      </left>
      <right style="medium">
        <color indexed="10"/>
      </right>
      <top style="medium">
        <color indexed="10"/>
      </top>
      <bottom style="medium">
        <color indexed="10"/>
      </bottom>
      <diagonal/>
    </border>
    <border>
      <left/>
      <right/>
      <top/>
      <bottom style="dotted">
        <color indexed="64"/>
      </bottom>
      <diagonal/>
    </border>
    <border>
      <left style="thin">
        <color indexed="36"/>
      </left>
      <right style="thin">
        <color indexed="36"/>
      </right>
      <top style="thin">
        <color indexed="36"/>
      </top>
      <bottom style="thin">
        <color indexed="36"/>
      </bottom>
      <diagonal/>
    </border>
    <border>
      <left/>
      <right/>
      <top style="thin">
        <color indexed="32"/>
      </top>
      <bottom style="thin">
        <color indexed="32"/>
      </bottom>
      <diagonal/>
    </border>
    <border>
      <left/>
      <right/>
      <top/>
      <bottom style="medium">
        <color indexed="8"/>
      </bottom>
      <diagonal/>
    </border>
    <border>
      <left style="medium">
        <color indexed="64"/>
      </left>
      <right/>
      <top style="medium">
        <color indexed="64"/>
      </top>
      <bottom/>
      <diagonal/>
    </border>
    <border>
      <left/>
      <right/>
      <top style="medium">
        <color indexed="64"/>
      </top>
      <bottom style="medium">
        <color indexed="64"/>
      </bottom>
      <diagonal/>
    </border>
    <border>
      <left/>
      <right/>
      <top/>
      <bottom style="thick">
        <color indexed="62"/>
      </bottom>
      <diagonal/>
    </border>
    <border>
      <left style="thin">
        <color theme="7" tint="0.59996337778862885"/>
      </left>
      <right/>
      <top style="thin">
        <color theme="7" tint="0.59996337778862885"/>
      </top>
      <bottom style="thin">
        <color theme="7" tint="0.59996337778862885"/>
      </bottom>
      <diagonal/>
    </border>
    <border>
      <left/>
      <right/>
      <top style="thin">
        <color theme="0" tint="-0.14996795556505021"/>
      </top>
      <bottom style="thin">
        <color theme="0" tint="-0.14996795556505021"/>
      </bottom>
      <diagonal/>
    </border>
    <border>
      <left/>
      <right/>
      <top/>
      <bottom style="thick">
        <color theme="4"/>
      </bottom>
      <diagonal/>
    </border>
    <border>
      <left/>
      <right/>
      <top/>
      <bottom style="thick">
        <color theme="4" tint="0.499984740745262"/>
      </bottom>
      <diagonal/>
    </border>
    <border>
      <left/>
      <right/>
      <top style="thin">
        <color theme="7" tint="0.59996337778862885"/>
      </top>
      <bottom style="thin">
        <color theme="7" tint="0.59996337778862885"/>
      </bottom>
      <diagonal/>
    </border>
    <border>
      <left style="thin">
        <color theme="7" tint="0.59996337778862885"/>
      </left>
      <right/>
      <top style="thin">
        <color theme="7" tint="0.59996337778862885"/>
      </top>
      <bottom/>
      <diagonal/>
    </border>
    <border>
      <left/>
      <right style="thin">
        <color theme="7" tint="0.59996337778862885"/>
      </right>
      <top style="thin">
        <color theme="7" tint="0.59996337778862885"/>
      </top>
      <bottom/>
      <diagonal/>
    </border>
    <border>
      <left/>
      <right style="thin">
        <color theme="7" tint="0.59996337778862885"/>
      </right>
      <top/>
      <bottom/>
      <diagonal/>
    </border>
    <border>
      <left style="hair">
        <color rgb="FF7030A0"/>
      </left>
      <right style="hair">
        <color rgb="FF7030A0"/>
      </right>
      <top style="hair">
        <color rgb="FF7030A0"/>
      </top>
      <bottom/>
      <diagonal/>
    </border>
    <border>
      <left style="hair">
        <color rgb="FF7030A0"/>
      </left>
      <right style="hair">
        <color rgb="FF7030A0"/>
      </right>
      <top/>
      <bottom style="hair">
        <color rgb="FF7030A0"/>
      </bottom>
      <diagonal/>
    </border>
  </borders>
  <cellStyleXfs count="4821">
    <xf numFmtId="0" fontId="0" fillId="0" borderId="0"/>
    <xf numFmtId="0" fontId="2" fillId="2" borderId="1" applyNumberFormat="0" applyAlignment="0" applyProtection="0"/>
    <xf numFmtId="0" fontId="1" fillId="3" borderId="2" applyNumberFormat="0" applyFont="0" applyAlignment="0" applyProtection="0"/>
    <xf numFmtId="0" fontId="4" fillId="4" borderId="3" applyNumberFormat="0" applyAlignment="0" applyProtection="0"/>
    <xf numFmtId="44"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166" fontId="21" fillId="0" borderId="0" applyFont="0" applyFill="0" applyBorder="0" applyAlignment="0" applyProtection="0"/>
    <xf numFmtId="167" fontId="14" fillId="0" borderId="9" applyFont="0" applyFill="0" applyBorder="0" applyAlignment="0" applyProtection="0">
      <alignment horizontal="left"/>
      <protection locked="0"/>
    </xf>
    <xf numFmtId="167" fontId="22" fillId="0" borderId="0" applyFont="0" applyFill="0" applyBorder="0" applyAlignment="0" applyProtection="0">
      <protection locked="0"/>
    </xf>
    <xf numFmtId="168" fontId="23" fillId="0" borderId="9">
      <alignment horizontal="left"/>
      <protection locked="0"/>
    </xf>
    <xf numFmtId="168" fontId="22" fillId="0" borderId="0" applyFont="0" applyFill="0" applyBorder="0" applyAlignment="0" applyProtection="0">
      <protection locked="0"/>
    </xf>
    <xf numFmtId="169" fontId="14" fillId="13" borderId="9" applyFont="0" applyFill="0" applyBorder="0" applyAlignment="0">
      <alignment horizontal="left"/>
    </xf>
    <xf numFmtId="169" fontId="22" fillId="0" borderId="0" applyFont="0" applyFill="0" applyBorder="0" applyAlignment="0" applyProtection="0"/>
    <xf numFmtId="43" fontId="14" fillId="0" borderId="0" applyFont="0" applyFill="0" applyBorder="0" applyAlignment="0" applyProtection="0"/>
    <xf numFmtId="43" fontId="24" fillId="0" borderId="0" applyFont="0" applyFill="0" applyBorder="0" applyAlignment="0" applyProtection="0"/>
    <xf numFmtId="49" fontId="23" fillId="0" borderId="9">
      <alignment horizontal="left" vertical="top" wrapText="1"/>
      <protection locked="0"/>
    </xf>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25" fillId="0" borderId="9">
      <protection locked="0"/>
    </xf>
    <xf numFmtId="0" fontId="14" fillId="13" borderId="0"/>
    <xf numFmtId="170" fontId="14" fillId="0" borderId="9" applyFont="0" applyFill="0" applyBorder="0" applyAlignment="0" applyProtection="0">
      <alignment horizontal="left"/>
      <protection locked="0"/>
    </xf>
    <xf numFmtId="171" fontId="26" fillId="13" borderId="0" applyFont="0" applyFill="0" applyBorder="0" applyAlignment="0" applyProtection="0">
      <alignment horizontal="center" wrapText="1"/>
    </xf>
    <xf numFmtId="171" fontId="22" fillId="0" borderId="0" applyFont="0" applyFill="0" applyBorder="0" applyAlignment="0" applyProtection="0">
      <alignment wrapText="1"/>
    </xf>
    <xf numFmtId="172" fontId="23" fillId="0" borderId="9" applyFont="0" applyFill="0" applyBorder="0" applyAlignment="0">
      <alignment horizontal="left"/>
      <protection locked="0"/>
    </xf>
    <xf numFmtId="173" fontId="27" fillId="0" borderId="0">
      <alignment horizontal="left"/>
    </xf>
    <xf numFmtId="174" fontId="28" fillId="0" borderId="0"/>
    <xf numFmtId="0" fontId="29" fillId="14" borderId="9" applyFill="0">
      <alignment horizontal="center"/>
    </xf>
    <xf numFmtId="170" fontId="29" fillId="14" borderId="9" applyFill="0">
      <alignment horizontal="center" vertical="center"/>
    </xf>
    <xf numFmtId="49" fontId="30" fillId="0" borderId="0" applyFill="0" applyProtection="0">
      <alignment horizontal="left" indent="1"/>
    </xf>
    <xf numFmtId="49" fontId="31" fillId="0" borderId="0" applyFill="0" applyAlignment="0"/>
    <xf numFmtId="0" fontId="32" fillId="14" borderId="0" applyNumberFormat="0" applyFill="0" applyAlignment="0"/>
    <xf numFmtId="49" fontId="33" fillId="0" borderId="0" applyFill="0" applyAlignment="0"/>
    <xf numFmtId="175" fontId="14" fillId="13" borderId="10" applyNumberFormat="0">
      <alignment horizontal="left"/>
    </xf>
    <xf numFmtId="0" fontId="34" fillId="15" borderId="10" applyNumberFormat="0" applyFont="0" applyAlignment="0"/>
    <xf numFmtId="0" fontId="35" fillId="16" borderId="11" applyNumberFormat="0" applyFill="0" applyAlignment="0">
      <protection locked="0"/>
    </xf>
    <xf numFmtId="0" fontId="36" fillId="11" borderId="11" applyNumberFormat="0" applyFill="0">
      <alignment horizontal="centerContinuous" wrapText="1"/>
    </xf>
    <xf numFmtId="49" fontId="37" fillId="14" borderId="0" applyFill="0" applyBorder="0">
      <alignment horizontal="right" indent="1"/>
    </xf>
    <xf numFmtId="49" fontId="26" fillId="13" borderId="0" applyFill="0" applyBorder="0">
      <alignment horizontal="center" wrapText="1"/>
    </xf>
    <xf numFmtId="0" fontId="26" fillId="13" borderId="0" applyFill="0" applyBorder="0">
      <alignment horizontal="centerContinuous" wrapText="1"/>
    </xf>
    <xf numFmtId="0" fontId="26" fillId="13" borderId="0" applyFill="0" applyBorder="0">
      <alignment horizontal="center" wrapText="1"/>
    </xf>
    <xf numFmtId="49" fontId="14" fillId="13" borderId="0" applyFill="0" applyBorder="0">
      <alignment horizontal="left" indent="1"/>
    </xf>
    <xf numFmtId="49" fontId="14" fillId="13" borderId="0" applyFill="0" applyBorder="0">
      <alignment horizontal="left" wrapText="1" indent="2"/>
    </xf>
    <xf numFmtId="175" fontId="14" fillId="13" borderId="9" applyNumberFormat="0">
      <alignment horizontal="left"/>
    </xf>
    <xf numFmtId="176" fontId="38" fillId="16" borderId="11" applyNumberFormat="0" applyFill="0" applyAlignment="0"/>
    <xf numFmtId="177" fontId="39" fillId="0" borderId="0"/>
    <xf numFmtId="0" fontId="14" fillId="0" borderId="0">
      <alignment vertical="center"/>
    </xf>
    <xf numFmtId="0" fontId="14" fillId="0" borderId="0"/>
    <xf numFmtId="0" fontId="14" fillId="0" borderId="0"/>
    <xf numFmtId="0" fontId="24" fillId="0" borderId="0"/>
    <xf numFmtId="0" fontId="5" fillId="0" borderId="0"/>
    <xf numFmtId="0" fontId="14" fillId="0" borderId="0"/>
    <xf numFmtId="0" fontId="1" fillId="17" borderId="11" applyNumberFormat="0" applyFill="0" applyAlignment="0"/>
    <xf numFmtId="49" fontId="40" fillId="13" borderId="12">
      <alignment horizontal="right" indent="2"/>
    </xf>
    <xf numFmtId="176" fontId="23" fillId="0" borderId="9" applyFont="0" applyFill="0" applyBorder="0" applyAlignment="0" applyProtection="0">
      <alignment horizontal="left"/>
      <protection locked="0"/>
    </xf>
    <xf numFmtId="178" fontId="23" fillId="0" borderId="9" applyFont="0" applyFill="0" applyBorder="0" applyAlignment="0" applyProtection="0">
      <alignment horizontal="left"/>
      <protection locked="0"/>
    </xf>
    <xf numFmtId="179" fontId="21" fillId="0" borderId="0" applyFont="0" applyFill="0" applyBorder="0" applyAlignment="0" applyProtection="0">
      <alignment horizontal="center" vertical="top" wrapText="1"/>
    </xf>
    <xf numFmtId="180" fontId="23" fillId="0" borderId="9" applyFont="0" applyFill="0" applyBorder="0" applyAlignment="0" applyProtection="0">
      <alignment horizontal="left"/>
      <protection locked="0"/>
    </xf>
    <xf numFmtId="9" fontId="14" fillId="0" borderId="0" applyFont="0" applyFill="0" applyBorder="0" applyAlignment="0" applyProtection="0"/>
    <xf numFmtId="9" fontId="24" fillId="0" borderId="0" applyFont="0" applyFill="0" applyBorder="0" applyAlignment="0" applyProtection="0"/>
    <xf numFmtId="181" fontId="1" fillId="17" borderId="13" applyNumberFormat="0" applyFont="0" applyFill="0" applyAlignment="0" applyProtection="0"/>
    <xf numFmtId="0" fontId="14" fillId="13" borderId="14" applyNumberFormat="0">
      <alignment horizontal="left"/>
    </xf>
    <xf numFmtId="182" fontId="23" fillId="0" borderId="9" applyFont="0" applyFill="0" applyBorder="0" applyAlignment="0" applyProtection="0">
      <alignment horizontal="left"/>
      <protection locked="0"/>
    </xf>
    <xf numFmtId="183" fontId="23" fillId="0" borderId="9">
      <alignment horizontal="left"/>
      <protection locked="0"/>
    </xf>
    <xf numFmtId="184" fontId="14" fillId="0" borderId="9" applyFont="0" applyFill="0" applyBorder="0" applyAlignment="0" applyProtection="0">
      <alignment horizontal="left"/>
      <protection locked="0"/>
    </xf>
    <xf numFmtId="49" fontId="41" fillId="0" borderId="0" applyFill="0" applyAlignment="0"/>
    <xf numFmtId="0" fontId="14" fillId="14" borderId="0"/>
    <xf numFmtId="185" fontId="23" fillId="0" borderId="9" applyFont="0" applyFill="0" applyBorder="0" applyAlignment="0" applyProtection="0">
      <alignment horizontal="left"/>
      <protection locked="0"/>
    </xf>
    <xf numFmtId="186" fontId="22" fillId="0" borderId="0" applyFont="0" applyFill="0" applyBorder="0" applyAlignment="0" applyProtection="0">
      <alignment horizontal="left"/>
      <protection locked="0"/>
    </xf>
    <xf numFmtId="0" fontId="23" fillId="0" borderId="9" applyNumberFormat="0">
      <alignment horizontal="left"/>
      <protection locked="0"/>
    </xf>
    <xf numFmtId="0" fontId="1" fillId="0" borderId="0"/>
    <xf numFmtId="0" fontId="1" fillId="0" borderId="0"/>
    <xf numFmtId="0" fontId="52" fillId="0" borderId="0"/>
    <xf numFmtId="0" fontId="53" fillId="0" borderId="0"/>
    <xf numFmtId="0" fontId="1" fillId="0" borderId="0"/>
    <xf numFmtId="9" fontId="53" fillId="0" borderId="0" applyFont="0" applyFill="0" applyBorder="0" applyAlignment="0" applyProtection="0"/>
    <xf numFmtId="44" fontId="1" fillId="0" borderId="0" applyFont="0" applyFill="0" applyBorder="0" applyAlignment="0" applyProtection="0"/>
    <xf numFmtId="44" fontId="52" fillId="0" borderId="0" applyFont="0" applyFill="0" applyBorder="0" applyAlignment="0" applyProtection="0"/>
    <xf numFmtId="43" fontId="55"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54" fillId="0" borderId="0"/>
    <xf numFmtId="0" fontId="14" fillId="0" borderId="0"/>
    <xf numFmtId="0" fontId="14" fillId="0" borderId="0"/>
    <xf numFmtId="0" fontId="14" fillId="0" borderId="0"/>
    <xf numFmtId="0" fontId="54" fillId="0" borderId="0"/>
    <xf numFmtId="0" fontId="55" fillId="0" borderId="0"/>
    <xf numFmtId="0" fontId="14" fillId="0" borderId="0"/>
    <xf numFmtId="0" fontId="14" fillId="0" borderId="0"/>
    <xf numFmtId="0" fontId="14" fillId="0" borderId="0"/>
    <xf numFmtId="9" fontId="54" fillId="0" borderId="0" applyFont="0" applyFill="0" applyBorder="0" applyAlignment="0" applyProtection="0"/>
    <xf numFmtId="9" fontId="55" fillId="0" borderId="0" applyFont="0" applyFill="0" applyBorder="0" applyAlignment="0" applyProtection="0"/>
    <xf numFmtId="0" fontId="49" fillId="0" borderId="26" applyNumberFormat="0" applyFill="0" applyAlignment="0" applyProtection="0"/>
    <xf numFmtId="0" fontId="2" fillId="2" borderId="1" applyNumberFormat="0" applyAlignment="0" applyProtection="0"/>
    <xf numFmtId="0" fontId="51" fillId="0" borderId="0"/>
    <xf numFmtId="0" fontId="1" fillId="0" borderId="0"/>
    <xf numFmtId="44" fontId="1" fillId="0" borderId="0" applyFont="0" applyFill="0" applyBorder="0" applyAlignment="0" applyProtection="0"/>
    <xf numFmtId="0" fontId="4" fillId="4" borderId="3" applyNumberFormat="0" applyAlignment="0" applyProtection="0"/>
    <xf numFmtId="0" fontId="49" fillId="0" borderId="0" applyNumberFormat="0" applyFill="0" applyBorder="0" applyAlignment="0" applyProtection="0"/>
    <xf numFmtId="0" fontId="50" fillId="4" borderId="1" applyNumberFormat="0" applyAlignment="0" applyProtection="0"/>
    <xf numFmtId="0" fontId="3" fillId="0" borderId="27" applyNumberFormat="0" applyFill="0" applyAlignment="0" applyProtection="0"/>
    <xf numFmtId="0" fontId="56" fillId="0" borderId="0"/>
    <xf numFmtId="9" fontId="14" fillId="0" borderId="0" applyFill="0" applyBorder="0" applyAlignment="0" applyProtection="0"/>
    <xf numFmtId="0" fontId="57" fillId="0" borderId="0"/>
    <xf numFmtId="44" fontId="57" fillId="0" borderId="0" applyFont="0" applyFill="0" applyBorder="0" applyAlignment="0" applyProtection="0"/>
    <xf numFmtId="0" fontId="59" fillId="20" borderId="0" applyNumberFormat="0" applyBorder="0" applyAlignment="0" applyProtection="0"/>
    <xf numFmtId="0" fontId="59" fillId="21"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59" fillId="22" borderId="0" applyNumberFormat="0" applyBorder="0" applyAlignment="0" applyProtection="0"/>
    <xf numFmtId="0" fontId="59" fillId="24" borderId="0" applyNumberFormat="0" applyBorder="0" applyAlignment="0" applyProtection="0"/>
    <xf numFmtId="0" fontId="59" fillId="21" borderId="0" applyNumberFormat="0" applyBorder="0" applyAlignment="0" applyProtection="0"/>
    <xf numFmtId="0" fontId="59" fillId="25" borderId="0" applyNumberFormat="0" applyBorder="0" applyAlignment="0" applyProtection="0"/>
    <xf numFmtId="0" fontId="59" fillId="26" borderId="0" applyNumberFormat="0" applyBorder="0" applyAlignment="0" applyProtection="0"/>
    <xf numFmtId="0" fontId="59" fillId="24" borderId="0" applyNumberFormat="0" applyBorder="0" applyAlignment="0" applyProtection="0"/>
    <xf numFmtId="0" fontId="59" fillId="22" borderId="0" applyNumberFormat="0" applyBorder="0" applyAlignment="0" applyProtection="0"/>
    <xf numFmtId="0" fontId="60" fillId="24"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0" fillId="26" borderId="0" applyNumberFormat="0" applyBorder="0" applyAlignment="0" applyProtection="0"/>
    <xf numFmtId="0" fontId="60" fillId="24" borderId="0" applyNumberFormat="0" applyBorder="0" applyAlignment="0" applyProtection="0"/>
    <xf numFmtId="0" fontId="60" fillId="21" borderId="0" applyNumberFormat="0" applyBorder="0" applyAlignment="0" applyProtection="0"/>
    <xf numFmtId="0" fontId="60" fillId="29"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60" fillId="32" borderId="0" applyNumberFormat="0" applyBorder="0" applyAlignment="0" applyProtection="0"/>
    <xf numFmtId="0" fontId="61" fillId="33" borderId="0" applyNumberFormat="0" applyBorder="0" applyAlignment="0" applyProtection="0"/>
    <xf numFmtId="0" fontId="62" fillId="34" borderId="28" applyNumberFormat="0" applyAlignment="0" applyProtection="0"/>
    <xf numFmtId="191" fontId="34" fillId="15" borderId="0" applyFont="0" applyBorder="0" applyProtection="0">
      <alignment horizontal="right"/>
    </xf>
    <xf numFmtId="0" fontId="63" fillId="15" borderId="0" applyBorder="0"/>
    <xf numFmtId="0" fontId="64" fillId="35" borderId="9">
      <alignment horizontal="center"/>
    </xf>
    <xf numFmtId="0" fontId="64" fillId="35" borderId="9">
      <alignment horizontal="center"/>
    </xf>
    <xf numFmtId="164" fontId="64" fillId="35" borderId="9">
      <alignment horizontal="center" vertical="center"/>
    </xf>
    <xf numFmtId="164" fontId="64" fillId="35" borderId="9">
      <alignment horizontal="center" vertical="center"/>
    </xf>
    <xf numFmtId="0" fontId="65" fillId="0" borderId="0" applyFill="0" applyBorder="0" applyProtection="0">
      <alignment horizontal="left"/>
    </xf>
    <xf numFmtId="0" fontId="66" fillId="24" borderId="0" applyNumberFormat="0" applyBorder="0" applyAlignment="0" applyProtection="0"/>
    <xf numFmtId="0" fontId="67" fillId="35" borderId="21" applyBorder="0"/>
    <xf numFmtId="0" fontId="68" fillId="35" borderId="0" applyNumberFormat="0" applyBorder="0">
      <alignment horizontal="right"/>
    </xf>
    <xf numFmtId="0" fontId="69" fillId="35" borderId="0" applyFont="0" applyAlignment="0"/>
    <xf numFmtId="0" fontId="70" fillId="35" borderId="0" applyBorder="0">
      <alignment vertical="top" wrapText="1"/>
    </xf>
    <xf numFmtId="0" fontId="63" fillId="35" borderId="0" applyAlignment="0">
      <alignment horizontal="center"/>
    </xf>
    <xf numFmtId="192" fontId="54" fillId="0" borderId="0">
      <alignment horizontal="left"/>
    </xf>
    <xf numFmtId="0" fontId="71" fillId="0" borderId="0"/>
    <xf numFmtId="0" fontId="72" fillId="15" borderId="0" applyBorder="0">
      <alignment horizontal="left"/>
    </xf>
    <xf numFmtId="0" fontId="72" fillId="15" borderId="0" applyBorder="0">
      <alignment horizontal="center" wrapText="1"/>
    </xf>
    <xf numFmtId="0" fontId="73" fillId="0" borderId="29" applyNumberFormat="0" applyFill="0" applyAlignment="0" applyProtection="0"/>
    <xf numFmtId="0" fontId="74" fillId="25" borderId="0" applyNumberFormat="0" applyBorder="0" applyAlignment="0" applyProtection="0"/>
    <xf numFmtId="0" fontId="14" fillId="22" borderId="30" applyNumberFormat="0" applyFont="0" applyAlignment="0" applyProtection="0"/>
    <xf numFmtId="0" fontId="14" fillId="22" borderId="30" applyNumberFormat="0" applyFont="0" applyAlignment="0" applyProtection="0"/>
    <xf numFmtId="0" fontId="63" fillId="15" borderId="0" applyNumberFormat="0" applyBorder="0" applyProtection="0">
      <alignment horizontal="right"/>
    </xf>
    <xf numFmtId="0" fontId="63" fillId="15" borderId="22">
      <alignment horizontal="right"/>
    </xf>
    <xf numFmtId="0" fontId="73" fillId="0" borderId="0" applyNumberFormat="0" applyFill="0" applyBorder="0" applyAlignment="0" applyProtection="0"/>
    <xf numFmtId="0" fontId="63" fillId="15" borderId="0" applyBorder="0">
      <alignment horizontal="center" wrapText="1"/>
    </xf>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26" fillId="0" borderId="0"/>
    <xf numFmtId="0" fontId="101" fillId="0" borderId="0"/>
    <xf numFmtId="0" fontId="102" fillId="0" borderId="0"/>
    <xf numFmtId="0" fontId="1"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03" fillId="0" borderId="32"/>
    <xf numFmtId="188" fontId="14" fillId="0" borderId="17" applyFill="0"/>
    <xf numFmtId="181" fontId="13" fillId="0" borderId="0"/>
    <xf numFmtId="181" fontId="13" fillId="0" borderId="0" applyFont="0" applyFill="0" applyBorder="0" applyAlignment="0" applyProtection="0"/>
    <xf numFmtId="181" fontId="13" fillId="0" borderId="0" applyFont="0" applyFill="0" applyBorder="0" applyAlignment="0" applyProtection="0"/>
    <xf numFmtId="181" fontId="13" fillId="0" borderId="0"/>
    <xf numFmtId="181" fontId="13" fillId="0" borderId="0"/>
    <xf numFmtId="201" fontId="14" fillId="0" borderId="0" applyFont="0" applyFill="0" applyProtection="0"/>
    <xf numFmtId="181" fontId="13" fillId="0" borderId="0"/>
    <xf numFmtId="181" fontId="13" fillId="0" borderId="0" applyFont="0" applyFill="0" applyBorder="0" applyAlignment="0" applyProtection="0"/>
    <xf numFmtId="181" fontId="13" fillId="0" borderId="0"/>
    <xf numFmtId="181" fontId="13" fillId="0" borderId="0" applyFont="0" applyFill="0" applyBorder="0" applyAlignment="0" applyProtection="0"/>
    <xf numFmtId="181" fontId="13" fillId="0" borderId="0"/>
    <xf numFmtId="0" fontId="122" fillId="0" borderId="0"/>
    <xf numFmtId="0" fontId="124" fillId="0" borderId="0">
      <alignment horizontal="left" vertical="center" indent="1"/>
    </xf>
    <xf numFmtId="181" fontId="13" fillId="0" borderId="0"/>
    <xf numFmtId="181" fontId="13" fillId="0" borderId="0" applyFont="0" applyFill="0" applyBorder="0" applyAlignment="0" applyProtection="0"/>
    <xf numFmtId="181" fontId="13" fillId="0" borderId="0" applyFont="0" applyFill="0" applyBorder="0" applyAlignment="0" applyProtection="0"/>
    <xf numFmtId="181" fontId="13" fillId="0" borderId="0"/>
    <xf numFmtId="181" fontId="13" fillId="0" borderId="0" applyFont="0" applyFill="0" applyBorder="0" applyAlignment="0" applyProtection="0"/>
    <xf numFmtId="181" fontId="13" fillId="0" borderId="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201" fontId="14" fillId="0" borderId="0" applyFont="0" applyFill="0" applyBorder="0" applyAlignment="0" applyProtection="0"/>
    <xf numFmtId="194" fontId="14" fillId="0" borderId="0" applyNumberFormat="0" applyFont="0" applyBorder="0" applyAlignment="0" applyProtection="0"/>
    <xf numFmtId="194" fontId="14" fillId="0" borderId="0" applyNumberFormat="0" applyFont="0" applyBorder="0" applyAlignment="0" applyProtection="0"/>
    <xf numFmtId="181" fontId="13" fillId="0" borderId="0"/>
    <xf numFmtId="3" fontId="14" fillId="0" borderId="0" applyFont="0" applyFill="0" applyBorder="0" applyAlignment="0" applyProtection="0"/>
    <xf numFmtId="202" fontId="14" fillId="0" borderId="0" applyFont="0" applyFill="0" applyBorder="0" applyAlignment="0" applyProtection="0"/>
    <xf numFmtId="202" fontId="14" fillId="0" borderId="0" applyFont="0" applyFill="0" applyBorder="0" applyAlignment="0" applyProtection="0"/>
    <xf numFmtId="38" fontId="14" fillId="0" borderId="0"/>
    <xf numFmtId="38" fontId="14" fillId="0" borderId="0"/>
    <xf numFmtId="203" fontId="14" fillId="0" borderId="33" applyFont="0" applyFill="0" applyBorder="0" applyAlignment="0" applyProtection="0"/>
    <xf numFmtId="203" fontId="14" fillId="0" borderId="33" applyFont="0" applyFill="0" applyBorder="0" applyAlignment="0" applyProtection="0"/>
    <xf numFmtId="204" fontId="14" fillId="0" borderId="33" applyFont="0" applyFill="0" applyBorder="0" applyAlignment="0" applyProtection="0"/>
    <xf numFmtId="204" fontId="14" fillId="0" borderId="33" applyFont="0" applyFill="0" applyBorder="0" applyAlignment="0" applyProtection="0"/>
    <xf numFmtId="181" fontId="13" fillId="0" borderId="0"/>
    <xf numFmtId="181" fontId="13" fillId="0" borderId="0"/>
    <xf numFmtId="205" fontId="14" fillId="0" borderId="0" applyProtection="0"/>
    <xf numFmtId="9" fontId="14" fillId="0" borderId="0"/>
    <xf numFmtId="9" fontId="14" fillId="0" borderId="0"/>
    <xf numFmtId="206" fontId="14" fillId="0" borderId="0" applyBorder="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applyNumberFormat="0" applyFont="0" applyFill="0" applyBorder="0" applyAlignment="0" applyProtection="0"/>
    <xf numFmtId="188" fontId="135" fillId="0" borderId="7" applyFont="0" applyFill="0" applyBorder="0" applyAlignment="0" applyProtection="0"/>
    <xf numFmtId="207" fontId="27" fillId="0" borderId="0" applyFont="0" applyFill="0" applyBorder="0" applyAlignment="0" applyProtection="0"/>
    <xf numFmtId="188" fontId="14" fillId="0" borderId="17" applyFill="0"/>
    <xf numFmtId="181" fontId="13" fillId="0" borderId="0"/>
    <xf numFmtId="181" fontId="13" fillId="0" borderId="0"/>
    <xf numFmtId="181" fontId="13" fillId="0" borderId="0"/>
    <xf numFmtId="208" fontId="14" fillId="0" borderId="0" applyFont="0" applyFill="0" applyBorder="0" applyAlignment="0" applyProtection="0"/>
    <xf numFmtId="209" fontId="14" fillId="0" borderId="0" applyFont="0" applyFill="0" applyBorder="0" applyAlignment="0" applyProtection="0"/>
    <xf numFmtId="181" fontId="13" fillId="0" borderId="0" applyFill="0" applyBorder="0" applyAlignment="0" applyProtection="0"/>
    <xf numFmtId="181" fontId="13" fillId="0" borderId="0" applyFill="0" applyBorder="0" applyAlignment="0" applyProtection="0"/>
    <xf numFmtId="181" fontId="13" fillId="0" borderId="0"/>
    <xf numFmtId="181" fontId="13" fillId="0" borderId="0"/>
    <xf numFmtId="181" fontId="13" fillId="0" borderId="0">
      <alignment vertical="top"/>
    </xf>
    <xf numFmtId="181" fontId="13" fillId="0" borderId="0">
      <alignment vertical="top"/>
    </xf>
    <xf numFmtId="181" fontId="13" fillId="0" borderId="0">
      <alignment vertical="top"/>
    </xf>
    <xf numFmtId="181" fontId="13" fillId="0" borderId="0">
      <alignment vertical="top"/>
    </xf>
    <xf numFmtId="181" fontId="13" fillId="0" borderId="0"/>
    <xf numFmtId="181" fontId="13" fillId="0" borderId="0"/>
    <xf numFmtId="181" fontId="13" fillId="0" borderId="0"/>
    <xf numFmtId="181" fontId="13" fillId="0" borderId="0"/>
    <xf numFmtId="181" fontId="13" fillId="0" borderId="0" applyFont="0" applyFill="0" applyBorder="0" applyAlignment="0" applyProtection="0"/>
    <xf numFmtId="181" fontId="13" fillId="0" borderId="0" applyFont="0" applyFill="0" applyBorder="0" applyAlignment="0" applyProtection="0"/>
    <xf numFmtId="181" fontId="13" fillId="0" borderId="0"/>
    <xf numFmtId="181" fontId="13" fillId="0" borderId="0"/>
    <xf numFmtId="181" fontId="13" fillId="0" borderId="0"/>
    <xf numFmtId="181" fontId="13" fillId="0" borderId="0"/>
    <xf numFmtId="37" fontId="14" fillId="0" borderId="0" applyFont="0" applyFill="0" applyBorder="0" applyAlignment="0" applyProtection="0"/>
    <xf numFmtId="37" fontId="14" fillId="0" borderId="0" applyFont="0" applyFill="0" applyBorder="0" applyAlignment="0" applyProtection="0"/>
    <xf numFmtId="37" fontId="14"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ill="0" applyBorder="0" applyAlignment="0" applyProtection="0"/>
    <xf numFmtId="181" fontId="13" fillId="0" borderId="0" applyFill="0" applyBorder="0" applyAlignment="0" applyProtection="0"/>
    <xf numFmtId="181" fontId="13" fillId="0" borderId="0" applyFill="0" applyAlignment="0">
      <protection locked="0"/>
    </xf>
    <xf numFmtId="181" fontId="13" fillId="0" borderId="0" applyFill="0" applyAlignment="0">
      <protection locked="0"/>
    </xf>
    <xf numFmtId="181" fontId="13" fillId="0" borderId="0" applyFill="0" applyAlignment="0">
      <protection locked="0"/>
    </xf>
    <xf numFmtId="181" fontId="13" fillId="0" borderId="0" applyFill="0" applyAlignment="0">
      <protection locked="0"/>
    </xf>
    <xf numFmtId="181" fontId="19" fillId="0" borderId="0" applyFill="0" applyBorder="0"/>
    <xf numFmtId="181" fontId="19" fillId="0" borderId="0" applyFill="0" applyBorder="0"/>
    <xf numFmtId="181" fontId="19" fillId="0" borderId="0" applyFill="0" applyBorder="0"/>
    <xf numFmtId="181" fontId="19" fillId="0" borderId="0" applyFill="0" applyBorder="0"/>
    <xf numFmtId="181" fontId="19" fillId="0" borderId="0" applyFill="0" applyBorder="0"/>
    <xf numFmtId="181" fontId="19" fillId="0" borderId="0" applyFill="0" applyBorder="0"/>
    <xf numFmtId="181" fontId="19" fillId="0" borderId="0" applyFill="0" applyBorder="0"/>
    <xf numFmtId="181" fontId="19" fillId="0" borderId="0" applyFill="0" applyBorder="0"/>
    <xf numFmtId="210" fontId="136" fillId="0" borderId="0"/>
    <xf numFmtId="210" fontId="14" fillId="0" borderId="0"/>
    <xf numFmtId="210" fontId="136" fillId="0" borderId="0"/>
    <xf numFmtId="210" fontId="136" fillId="0" borderId="0"/>
    <xf numFmtId="210" fontId="136" fillId="0" borderId="0"/>
    <xf numFmtId="210" fontId="136" fillId="0" borderId="0"/>
    <xf numFmtId="210" fontId="136" fillId="0" borderId="0"/>
    <xf numFmtId="210" fontId="136" fillId="0" borderId="0"/>
    <xf numFmtId="210" fontId="136" fillId="0" borderId="0"/>
    <xf numFmtId="210" fontId="136" fillId="0" borderId="0"/>
    <xf numFmtId="210" fontId="136" fillId="0" borderId="0"/>
    <xf numFmtId="210" fontId="136" fillId="0" borderId="0"/>
    <xf numFmtId="210" fontId="14" fillId="0" borderId="0"/>
    <xf numFmtId="210" fontId="14" fillId="0" borderId="0"/>
    <xf numFmtId="181" fontId="13" fillId="0" borderId="0" applyFill="0" applyAlignment="0">
      <protection locked="0"/>
    </xf>
    <xf numFmtId="181" fontId="13" fillId="0" borderId="0" applyFill="0" applyAlignment="0">
      <protection locked="0"/>
    </xf>
    <xf numFmtId="181" fontId="13" fillId="0" borderId="0" applyFont="0" applyFill="0" applyBorder="0" applyAlignment="0" applyProtection="0"/>
    <xf numFmtId="181" fontId="13" fillId="0" borderId="0" applyFont="0" applyFill="0" applyBorder="0" applyAlignment="0" applyProtection="0"/>
    <xf numFmtId="211" fontId="14" fillId="0" borderId="0" applyFont="0" applyFill="0" applyBorder="0" applyAlignment="0" applyProtection="0"/>
    <xf numFmtId="207" fontId="14" fillId="0" borderId="0" applyFont="0" applyFill="0" applyBorder="0" applyAlignment="0" applyProtection="0"/>
    <xf numFmtId="211" fontId="14" fillId="0" borderId="0" applyFont="0" applyFill="0" applyBorder="0" applyAlignment="0" applyProtection="0"/>
    <xf numFmtId="207" fontId="14"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xf numFmtId="181" fontId="13" fillId="0" borderId="0"/>
    <xf numFmtId="181" fontId="13" fillId="0" borderId="0"/>
    <xf numFmtId="181" fontId="13" fillId="0" borderId="0"/>
    <xf numFmtId="181" fontId="13" fillId="0" borderId="0" applyFill="0" applyAlignment="0">
      <protection locked="0"/>
    </xf>
    <xf numFmtId="181" fontId="13" fillId="0" borderId="0" applyFill="0" applyAlignment="0">
      <protection locked="0"/>
    </xf>
    <xf numFmtId="181" fontId="75" fillId="0" borderId="0"/>
    <xf numFmtId="181" fontId="76" fillId="0" borderId="0"/>
    <xf numFmtId="181" fontId="76" fillId="0" borderId="0"/>
    <xf numFmtId="181" fontId="13" fillId="0" borderId="0"/>
    <xf numFmtId="181" fontId="13"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75" fillId="0" borderId="0"/>
    <xf numFmtId="181" fontId="13" fillId="0" borderId="0"/>
    <xf numFmtId="181" fontId="13" fillId="0" borderId="0"/>
    <xf numFmtId="181" fontId="13" fillId="0" borderId="0"/>
    <xf numFmtId="181" fontId="13" fillId="0" borderId="0"/>
    <xf numFmtId="212" fontId="14" fillId="0" borderId="0" applyFont="0" applyFill="0" applyBorder="0" applyAlignment="0" applyProtection="0"/>
    <xf numFmtId="212" fontId="14"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212" fontId="14" fillId="0" borderId="0" applyFont="0" applyFill="0" applyBorder="0" applyAlignment="0" applyProtection="0"/>
    <xf numFmtId="213" fontId="14" fillId="0" borderId="0" applyFont="0" applyFill="0" applyBorder="0" applyAlignment="0" applyProtection="0"/>
    <xf numFmtId="212" fontId="14"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214" fontId="14" fillId="0" borderId="0" applyFont="0" applyFill="0" applyBorder="0" applyAlignment="0" applyProtection="0"/>
    <xf numFmtId="214" fontId="14" fillId="0" borderId="0" applyFont="0" applyFill="0" applyBorder="0" applyAlignment="0" applyProtection="0"/>
    <xf numFmtId="39" fontId="14" fillId="0" borderId="0" applyFont="0" applyFill="0" applyBorder="0" applyAlignment="0" applyProtection="0"/>
    <xf numFmtId="214" fontId="14" fillId="0" borderId="0" applyFont="0" applyFill="0" applyBorder="0" applyAlignment="0" applyProtection="0"/>
    <xf numFmtId="39" fontId="14" fillId="0" borderId="0" applyFont="0" applyFill="0" applyBorder="0" applyAlignment="0" applyProtection="0"/>
    <xf numFmtId="1" fontId="14" fillId="36" borderId="0" applyFont="0" applyBorder="0" applyAlignment="0" applyProtection="0"/>
    <xf numFmtId="188" fontId="14" fillId="0" borderId="31" applyFill="0"/>
    <xf numFmtId="181" fontId="13" fillId="0" borderId="0">
      <alignment horizontal="centerContinuous"/>
    </xf>
    <xf numFmtId="181" fontId="13" fillId="0" borderId="0">
      <alignment horizontal="centerContinuous"/>
    </xf>
    <xf numFmtId="188" fontId="14" fillId="0" borderId="17" applyFill="0"/>
    <xf numFmtId="181" fontId="13" fillId="0" borderId="0"/>
    <xf numFmtId="181" fontId="13" fillId="0" borderId="0"/>
    <xf numFmtId="181" fontId="13" fillId="0" borderId="7" applyNumberFormat="0" applyFill="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NumberFormat="0"/>
    <xf numFmtId="181" fontId="13" fillId="0" borderId="0"/>
    <xf numFmtId="181" fontId="13" fillId="0" borderId="0"/>
    <xf numFmtId="181" fontId="13" fillId="0" borderId="34" applyNumberFormat="0" applyFont="0" applyFill="0" applyAlignment="0" applyProtection="0"/>
    <xf numFmtId="3" fontId="14" fillId="0" borderId="31"/>
    <xf numFmtId="181" fontId="13" fillId="0" borderId="0">
      <alignment vertical="top"/>
    </xf>
    <xf numFmtId="181" fontId="13" fillId="0" borderId="0">
      <alignment vertical="top"/>
    </xf>
    <xf numFmtId="181" fontId="13" fillId="0" borderId="0" applyFont="0" applyFill="0" applyBorder="0" applyAlignment="0" applyProtection="0"/>
    <xf numFmtId="181" fontId="13" fillId="0" borderId="0" applyFont="0" applyFill="0" applyBorder="0" applyAlignment="0" applyProtection="0"/>
    <xf numFmtId="215" fontId="14" fillId="0" borderId="0" applyFont="0" applyFill="0" applyBorder="0" applyAlignment="0" applyProtection="0"/>
    <xf numFmtId="181" fontId="13" fillId="0" borderId="0"/>
    <xf numFmtId="181" fontId="13" fillId="0" borderId="0"/>
    <xf numFmtId="181" fontId="19" fillId="0" borderId="0" applyFill="0" applyBorder="0"/>
    <xf numFmtId="181" fontId="19" fillId="0" borderId="0" applyFill="0" applyBorder="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applyNumberFormat="0" applyFill="0" applyBorder="0" applyAlignment="0" applyProtection="0"/>
    <xf numFmtId="181" fontId="77" fillId="0" borderId="0" applyNumberFormat="0" applyFill="0" applyBorder="0" applyAlignment="0" applyProtection="0"/>
    <xf numFmtId="181" fontId="13" fillId="0" borderId="0" applyNumberFormat="0" applyFill="0" applyBorder="0" applyAlignment="0" applyProtection="0"/>
    <xf numFmtId="181" fontId="77" fillId="0" borderId="0" applyNumberFormat="0" applyFill="0" applyBorder="0" applyAlignment="0" applyProtection="0"/>
    <xf numFmtId="181" fontId="77" fillId="0" borderId="0" applyNumberFormat="0" applyFill="0" applyBorder="0" applyAlignment="0" applyProtection="0"/>
    <xf numFmtId="181" fontId="77" fillId="0" borderId="0" applyNumberFormat="0" applyFill="0" applyBorder="0" applyAlignment="0" applyProtection="0"/>
    <xf numFmtId="181" fontId="77" fillId="0" borderId="0" applyNumberFormat="0" applyFill="0" applyBorder="0" applyAlignment="0" applyProtection="0"/>
    <xf numFmtId="181" fontId="77" fillId="0" borderId="0" applyNumberFormat="0" applyFill="0" applyBorder="0" applyAlignment="0" applyProtection="0"/>
    <xf numFmtId="181" fontId="77" fillId="0" borderId="0" applyNumberFormat="0" applyFill="0" applyBorder="0" applyAlignment="0" applyProtection="0"/>
    <xf numFmtId="181" fontId="77" fillId="0" borderId="0" applyNumberFormat="0" applyFill="0" applyBorder="0" applyAlignment="0" applyProtection="0"/>
    <xf numFmtId="181" fontId="77" fillId="0" borderId="0" applyNumberFormat="0" applyFill="0" applyBorder="0" applyAlignment="0" applyProtection="0"/>
    <xf numFmtId="181" fontId="77" fillId="0" borderId="0" applyNumberFormat="0" applyFill="0" applyBorder="0" applyAlignment="0" applyProtection="0"/>
    <xf numFmtId="181" fontId="77" fillId="0" borderId="0" applyNumberFormat="0" applyFill="0" applyBorder="0" applyAlignment="0" applyProtection="0"/>
    <xf numFmtId="181" fontId="13" fillId="0" borderId="0" applyNumberFormat="0" applyFill="0" applyBorder="0" applyAlignment="0" applyProtection="0"/>
    <xf numFmtId="181" fontId="13" fillId="0" borderId="0" applyNumberFormat="0" applyFill="0" applyBorder="0" applyAlignment="0" applyProtection="0"/>
    <xf numFmtId="181" fontId="13" fillId="25" borderId="0" applyNumberFormat="0" applyFont="0" applyAlignment="0" applyProtection="0"/>
    <xf numFmtId="181" fontId="19" fillId="0" borderId="0" applyFill="0" applyBorder="0"/>
    <xf numFmtId="181" fontId="19" fillId="0" borderId="0" applyFill="0" applyBorder="0"/>
    <xf numFmtId="181" fontId="13" fillId="0" borderId="0" applyFont="0" applyFill="0" applyBorder="0" applyAlignment="0" applyProtection="0"/>
    <xf numFmtId="181" fontId="13" fillId="0" borderId="0" applyFont="0" applyFill="0" applyBorder="0" applyAlignment="0" applyProtection="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applyFill="0" applyAlignment="0">
      <protection locked="0"/>
    </xf>
    <xf numFmtId="181" fontId="13" fillId="0" borderId="0" applyFill="0" applyAlignment="0">
      <protection locked="0"/>
    </xf>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ill="0" applyBorder="0" applyAlignment="0" applyProtection="0"/>
    <xf numFmtId="181" fontId="13" fillId="0" borderId="0" applyFill="0" applyBorder="0" applyAlignment="0" applyProtection="0"/>
    <xf numFmtId="216" fontId="14" fillId="0" borderId="0" applyFont="0" applyFill="0" applyBorder="0" applyAlignment="0" applyProtection="0"/>
    <xf numFmtId="216" fontId="14"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216" fontId="14"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217" fontId="14" fillId="0" borderId="0" applyFont="0" applyFill="0" applyBorder="0" applyProtection="0">
      <alignment horizontal="right"/>
    </xf>
    <xf numFmtId="217" fontId="14" fillId="0" borderId="0" applyFont="0" applyFill="0" applyBorder="0" applyProtection="0">
      <alignment horizontal="right"/>
    </xf>
    <xf numFmtId="181" fontId="13" fillId="0" borderId="0" applyFont="0" applyFill="0" applyBorder="0" applyAlignment="0" applyProtection="0"/>
    <xf numFmtId="181" fontId="13" fillId="0" borderId="0" applyFont="0" applyFill="0" applyBorder="0" applyAlignment="0" applyProtection="0"/>
    <xf numFmtId="217" fontId="14" fillId="0" borderId="0" applyFont="0" applyFill="0" applyBorder="0" applyProtection="0">
      <alignment horizontal="right"/>
    </xf>
    <xf numFmtId="181" fontId="13" fillId="0" borderId="0" applyFont="0" applyFill="0" applyBorder="0" applyAlignment="0" applyProtection="0"/>
    <xf numFmtId="181" fontId="13" fillId="0" borderId="0" applyFont="0" applyFill="0" applyBorder="0" applyAlignment="0" applyProtection="0"/>
    <xf numFmtId="181" fontId="13" fillId="0" borderId="0">
      <alignment vertical="top"/>
    </xf>
    <xf numFmtId="181" fontId="13" fillId="0" borderId="0">
      <alignment vertical="top"/>
    </xf>
    <xf numFmtId="181" fontId="13" fillId="0" borderId="0"/>
    <xf numFmtId="181" fontId="13" fillId="0" borderId="0"/>
    <xf numFmtId="181" fontId="13" fillId="0" borderId="0"/>
    <xf numFmtId="181" fontId="13" fillId="0" borderId="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208" fontId="14" fillId="0" borderId="0" applyFont="0" applyFill="0" applyBorder="0" applyProtection="0">
      <alignment horizontal="right"/>
    </xf>
    <xf numFmtId="208" fontId="14" fillId="0" borderId="0" applyFont="0" applyFill="0" applyBorder="0" applyProtection="0">
      <alignment horizontal="right"/>
    </xf>
    <xf numFmtId="208" fontId="14" fillId="0" borderId="0" applyFont="0" applyFill="0" applyBorder="0" applyProtection="0">
      <alignment horizontal="right"/>
    </xf>
    <xf numFmtId="218" fontId="14"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219" fontId="14" fillId="0" borderId="0"/>
    <xf numFmtId="219" fontId="14" fillId="0" borderId="0"/>
    <xf numFmtId="219" fontId="14" fillId="0" borderId="0"/>
    <xf numFmtId="219" fontId="14" fillId="0" borderId="0"/>
    <xf numFmtId="219" fontId="14" fillId="0" borderId="0"/>
    <xf numFmtId="219" fontId="14" fillId="0" borderId="0"/>
    <xf numFmtId="219" fontId="14" fillId="0" borderId="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xf numFmtId="181" fontId="13" fillId="0" borderId="0"/>
    <xf numFmtId="181" fontId="13" fillId="0" borderId="0" applyFont="0" applyFill="0" applyBorder="0" applyAlignment="0" applyProtection="0"/>
    <xf numFmtId="181" fontId="13" fillId="0" borderId="0" applyFont="0" applyFill="0" applyBorder="0" applyAlignment="0" applyProtection="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alignment vertical="top"/>
    </xf>
    <xf numFmtId="181" fontId="13" fillId="0" borderId="0">
      <alignment vertical="top"/>
    </xf>
    <xf numFmtId="181" fontId="13" fillId="0" borderId="0" applyNumberFormat="0" applyFill="0" applyBorder="0" applyAlignment="0" applyProtection="0"/>
    <xf numFmtId="181" fontId="13" fillId="0" borderId="0" applyNumberFormat="0" applyFill="0" applyBorder="0" applyAlignment="0" applyProtection="0"/>
    <xf numFmtId="181" fontId="45" fillId="0" borderId="0"/>
    <xf numFmtId="181" fontId="13" fillId="0" borderId="0"/>
    <xf numFmtId="181" fontId="13" fillId="0" borderId="0"/>
    <xf numFmtId="181" fontId="13" fillId="0" borderId="0"/>
    <xf numFmtId="181" fontId="13" fillId="0" borderId="0"/>
    <xf numFmtId="181" fontId="45" fillId="0" borderId="0"/>
    <xf numFmtId="181" fontId="45"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45" fillId="0" borderId="0"/>
    <xf numFmtId="181" fontId="45" fillId="0" borderId="0"/>
    <xf numFmtId="181" fontId="45"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13" fillId="0" borderId="0"/>
    <xf numFmtId="181" fontId="13" fillId="0" borderId="0"/>
    <xf numFmtId="181" fontId="13" fillId="0" borderId="0"/>
    <xf numFmtId="181" fontId="13"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13" fillId="0" borderId="0"/>
    <xf numFmtId="181" fontId="13"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45" fillId="0" borderId="0"/>
    <xf numFmtId="181" fontId="13" fillId="0" borderId="0"/>
    <xf numFmtId="181" fontId="13" fillId="0" borderId="0"/>
    <xf numFmtId="181" fontId="45" fillId="0" borderId="0"/>
    <xf numFmtId="181" fontId="45"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45" fillId="0" borderId="0"/>
    <xf numFmtId="181" fontId="45" fillId="0" borderId="0"/>
    <xf numFmtId="181" fontId="45" fillId="0" borderId="0"/>
    <xf numFmtId="181" fontId="45" fillId="0" borderId="0"/>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13" fillId="0" borderId="0" applyNumberFormat="0" applyFill="0" applyBorder="0" applyProtection="0">
      <alignment vertical="top"/>
    </xf>
    <xf numFmtId="181" fontId="78" fillId="0" borderId="0" applyNumberFormat="0" applyFill="0" applyBorder="0" applyProtection="0">
      <alignment vertical="top"/>
    </xf>
    <xf numFmtId="181" fontId="78" fillId="0" borderId="0" applyNumberFormat="0" applyFill="0" applyBorder="0" applyProtection="0">
      <alignment vertical="top"/>
    </xf>
    <xf numFmtId="181" fontId="79" fillId="0" borderId="35" applyNumberFormat="0" applyFill="0" applyAlignment="0" applyProtection="0"/>
    <xf numFmtId="181" fontId="79"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79" fillId="0" borderId="35" applyNumberFormat="0" applyFill="0" applyAlignment="0" applyProtection="0"/>
    <xf numFmtId="181" fontId="79"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79" fillId="0" borderId="35" applyNumberFormat="0" applyFill="0" applyAlignment="0" applyProtection="0"/>
    <xf numFmtId="181" fontId="79" fillId="0" borderId="35" applyNumberFormat="0" applyFill="0" applyAlignment="0" applyProtection="0"/>
    <xf numFmtId="181" fontId="79" fillId="0" borderId="35" applyNumberFormat="0" applyFill="0" applyAlignment="0" applyProtection="0"/>
    <xf numFmtId="181" fontId="79" fillId="0" borderId="35" applyNumberFormat="0" applyFill="0" applyAlignment="0" applyProtection="0"/>
    <xf numFmtId="181" fontId="79" fillId="0" borderId="35" applyNumberFormat="0" applyFill="0" applyAlignment="0" applyProtection="0"/>
    <xf numFmtId="181" fontId="79" fillId="0" borderId="35" applyNumberFormat="0" applyFill="0" applyAlignment="0" applyProtection="0"/>
    <xf numFmtId="181" fontId="79"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79" fillId="0" borderId="35" applyNumberFormat="0" applyFill="0" applyAlignment="0" applyProtection="0"/>
    <xf numFmtId="181" fontId="79"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79"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13" fillId="0" borderId="35" applyNumberFormat="0" applyFill="0" applyAlignment="0" applyProtection="0"/>
    <xf numFmtId="181" fontId="80" fillId="0" borderId="36" applyNumberFormat="0" applyFill="0" applyProtection="0">
      <alignment horizontal="center"/>
    </xf>
    <xf numFmtId="181" fontId="80"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80" fillId="0" borderId="36" applyNumberFormat="0" applyFill="0" applyProtection="0">
      <alignment horizontal="center"/>
    </xf>
    <xf numFmtId="181" fontId="80"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80" fillId="0" borderId="36" applyNumberFormat="0" applyFill="0" applyProtection="0">
      <alignment horizontal="center"/>
    </xf>
    <xf numFmtId="181" fontId="80" fillId="0" borderId="36" applyNumberFormat="0" applyFill="0" applyProtection="0">
      <alignment horizontal="center"/>
    </xf>
    <xf numFmtId="181" fontId="80" fillId="0" borderId="36" applyNumberFormat="0" applyFill="0" applyProtection="0">
      <alignment horizontal="center"/>
    </xf>
    <xf numFmtId="181" fontId="80" fillId="0" borderId="36" applyNumberFormat="0" applyFill="0" applyProtection="0">
      <alignment horizontal="center"/>
    </xf>
    <xf numFmtId="181" fontId="80" fillId="0" borderId="36" applyNumberFormat="0" applyFill="0" applyProtection="0">
      <alignment horizontal="center"/>
    </xf>
    <xf numFmtId="181" fontId="80" fillId="0" borderId="36" applyNumberFormat="0" applyFill="0" applyProtection="0">
      <alignment horizontal="center"/>
    </xf>
    <xf numFmtId="181" fontId="80"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80" fillId="0" borderId="36" applyNumberFormat="0" applyFill="0" applyProtection="0">
      <alignment horizontal="center"/>
    </xf>
    <xf numFmtId="181" fontId="80"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80"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13" fillId="0" borderId="36" applyNumberFormat="0" applyFill="0" applyProtection="0">
      <alignment horizontal="center"/>
    </xf>
    <xf numFmtId="181" fontId="80" fillId="0" borderId="0" applyNumberFormat="0" applyFill="0" applyBorder="0" applyProtection="0">
      <alignment horizontal="left"/>
    </xf>
    <xf numFmtId="181" fontId="13" fillId="0" borderId="0" applyNumberFormat="0" applyFill="0" applyBorder="0" applyProtection="0">
      <alignment horizontal="left"/>
    </xf>
    <xf numFmtId="181" fontId="80" fillId="0" borderId="0" applyNumberFormat="0" applyFill="0" applyBorder="0" applyProtection="0">
      <alignment horizontal="left"/>
    </xf>
    <xf numFmtId="181" fontId="80" fillId="0" borderId="0" applyNumberFormat="0" applyFill="0" applyBorder="0" applyProtection="0">
      <alignment horizontal="left"/>
    </xf>
    <xf numFmtId="181" fontId="80" fillId="0" borderId="0" applyNumberFormat="0" applyFill="0" applyBorder="0" applyProtection="0">
      <alignment horizontal="left"/>
    </xf>
    <xf numFmtId="181" fontId="80" fillId="0" borderId="0" applyNumberFormat="0" applyFill="0" applyBorder="0" applyProtection="0">
      <alignment horizontal="left"/>
    </xf>
    <xf numFmtId="181" fontId="80" fillId="0" borderId="0" applyNumberFormat="0" applyFill="0" applyBorder="0" applyProtection="0">
      <alignment horizontal="left"/>
    </xf>
    <xf numFmtId="181" fontId="80" fillId="0" borderId="0" applyNumberFormat="0" applyFill="0" applyBorder="0" applyProtection="0">
      <alignment horizontal="left"/>
    </xf>
    <xf numFmtId="181" fontId="80" fillId="0" borderId="0" applyNumberFormat="0" applyFill="0" applyBorder="0" applyProtection="0">
      <alignment horizontal="left"/>
    </xf>
    <xf numFmtId="181" fontId="80" fillId="0" borderId="0" applyNumberFormat="0" applyFill="0" applyBorder="0" applyProtection="0">
      <alignment horizontal="left"/>
    </xf>
    <xf numFmtId="181" fontId="80" fillId="0" borderId="0" applyNumberFormat="0" applyFill="0" applyBorder="0" applyProtection="0">
      <alignment horizontal="left"/>
    </xf>
    <xf numFmtId="181" fontId="80" fillId="0" borderId="0" applyNumberFormat="0" applyFill="0" applyBorder="0" applyProtection="0">
      <alignment horizontal="left"/>
    </xf>
    <xf numFmtId="181" fontId="13" fillId="0" borderId="0" applyNumberFormat="0" applyFill="0" applyBorder="0" applyProtection="0">
      <alignment horizontal="left"/>
    </xf>
    <xf numFmtId="181" fontId="13" fillId="0" borderId="0" applyNumberFormat="0" applyFill="0" applyBorder="0" applyProtection="0">
      <alignment horizontal="left"/>
    </xf>
    <xf numFmtId="181" fontId="81" fillId="0" borderId="0" applyNumberFormat="0" applyFill="0" applyBorder="0" applyProtection="0">
      <alignment horizontal="centerContinuous"/>
    </xf>
    <xf numFmtId="181" fontId="13" fillId="0" borderId="0" applyNumberFormat="0" applyFill="0" applyBorder="0" applyProtection="0">
      <alignment horizontal="centerContinuous"/>
    </xf>
    <xf numFmtId="181" fontId="81" fillId="0" borderId="0" applyNumberFormat="0" applyFill="0" applyBorder="0" applyProtection="0">
      <alignment horizontal="centerContinuous"/>
    </xf>
    <xf numFmtId="181" fontId="81" fillId="0" borderId="0" applyNumberFormat="0" applyFill="0" applyBorder="0" applyProtection="0">
      <alignment horizontal="centerContinuous"/>
    </xf>
    <xf numFmtId="181" fontId="81" fillId="0" borderId="0" applyNumberFormat="0" applyFill="0" applyBorder="0" applyProtection="0">
      <alignment horizontal="centerContinuous"/>
    </xf>
    <xf numFmtId="181" fontId="81" fillId="0" borderId="0" applyNumberFormat="0" applyFill="0" applyBorder="0" applyProtection="0">
      <alignment horizontal="centerContinuous"/>
    </xf>
    <xf numFmtId="181" fontId="81" fillId="0" borderId="0" applyNumberFormat="0" applyFill="0" applyBorder="0" applyProtection="0">
      <alignment horizontal="centerContinuous"/>
    </xf>
    <xf numFmtId="181" fontId="81" fillId="0" borderId="0" applyNumberFormat="0" applyFill="0" applyBorder="0" applyProtection="0">
      <alignment horizontal="centerContinuous"/>
    </xf>
    <xf numFmtId="181" fontId="81" fillId="0" borderId="0" applyNumberFormat="0" applyFill="0" applyBorder="0" applyProtection="0">
      <alignment horizontal="centerContinuous"/>
    </xf>
    <xf numFmtId="181" fontId="81" fillId="0" borderId="0" applyNumberFormat="0" applyFill="0" applyBorder="0" applyProtection="0">
      <alignment horizontal="centerContinuous"/>
    </xf>
    <xf numFmtId="181" fontId="81" fillId="0" borderId="0" applyNumberFormat="0" applyFill="0" applyBorder="0" applyProtection="0">
      <alignment horizontal="centerContinuous"/>
    </xf>
    <xf numFmtId="181" fontId="81" fillId="0" borderId="0" applyNumberFormat="0" applyFill="0" applyBorder="0" applyProtection="0">
      <alignment horizontal="centerContinuous"/>
    </xf>
    <xf numFmtId="181" fontId="13" fillId="0" borderId="0" applyNumberFormat="0" applyFill="0" applyBorder="0" applyProtection="0">
      <alignment horizontal="centerContinuous"/>
    </xf>
    <xf numFmtId="181" fontId="13" fillId="0" borderId="0" applyNumberFormat="0" applyFill="0" applyBorder="0" applyProtection="0">
      <alignment horizontal="centerContinuous"/>
    </xf>
    <xf numFmtId="181" fontId="13" fillId="0" borderId="0" applyFont="0" applyFill="0" applyBorder="0" applyAlignment="0" applyProtection="0"/>
    <xf numFmtId="181" fontId="13" fillId="0" borderId="0" applyFont="0" applyFill="0" applyBorder="0" applyAlignment="0" applyProtection="0"/>
    <xf numFmtId="181" fontId="13" fillId="0" borderId="0" applyNumberFormat="0" applyFill="0" applyBorder="0" applyAlignment="0" applyProtection="0"/>
    <xf numFmtId="181" fontId="13" fillId="0" borderId="0"/>
    <xf numFmtId="181" fontId="13" fillId="0" borderId="0"/>
    <xf numFmtId="181" fontId="13" fillId="0" borderId="0"/>
    <xf numFmtId="181" fontId="13" fillId="0" borderId="0"/>
    <xf numFmtId="181" fontId="13" fillId="0" borderId="0">
      <alignment vertical="center"/>
    </xf>
    <xf numFmtId="181" fontId="13" fillId="0" borderId="0">
      <alignment vertical="center"/>
    </xf>
    <xf numFmtId="181" fontId="13" fillId="0" borderId="0" applyFont="0" applyFill="0" applyBorder="0" applyAlignment="0" applyProtection="0"/>
    <xf numFmtId="181" fontId="13" fillId="0" borderId="0" applyFont="0" applyFill="0" applyBorder="0" applyAlignment="0" applyProtection="0"/>
    <xf numFmtId="220" fontId="14" fillId="0" borderId="0" applyFont="0" applyFill="0" applyBorder="0" applyAlignment="0" applyProtection="0"/>
    <xf numFmtId="181" fontId="13" fillId="0" borderId="0"/>
    <xf numFmtId="221" fontId="14" fillId="0" borderId="0" applyFont="0" applyFill="0" applyBorder="0" applyAlignment="0" applyProtection="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applyNumberFormat="0" applyFill="0" applyBorder="0" applyAlignment="0" applyProtection="0">
      <alignment vertical="top"/>
      <protection locked="0"/>
    </xf>
    <xf numFmtId="181" fontId="13" fillId="0" borderId="0"/>
    <xf numFmtId="181" fontId="13" fillId="0" borderId="0" applyNumberFormat="0" applyFill="0" applyBorder="0" applyAlignment="0" applyProtection="0">
      <alignment vertical="top"/>
      <protection locked="0"/>
    </xf>
    <xf numFmtId="181" fontId="13" fillId="0" borderId="0" applyNumberFormat="0" applyFill="0" applyBorder="0" applyAlignment="0" applyProtection="0">
      <alignment vertical="top"/>
      <protection locked="0"/>
    </xf>
    <xf numFmtId="181" fontId="13" fillId="0" borderId="0"/>
    <xf numFmtId="9" fontId="14" fillId="0" borderId="0" applyFont="0" applyFill="0" applyBorder="0" applyAlignment="0" applyProtection="0"/>
    <xf numFmtId="9" fontId="14" fillId="0" borderId="0" applyFont="0" applyFill="0" applyBorder="0" applyAlignment="0" applyProtection="0"/>
    <xf numFmtId="174" fontId="14" fillId="0" borderId="0"/>
    <xf numFmtId="222" fontId="142" fillId="0" borderId="0" applyFont="0" applyFill="0" applyBorder="0" applyAlignment="0" applyProtection="0"/>
    <xf numFmtId="174" fontId="14" fillId="0" borderId="0"/>
    <xf numFmtId="2" fontId="14" fillId="0" borderId="0"/>
    <xf numFmtId="10" fontId="14" fillId="0" borderId="0" applyFont="0" applyFill="0" applyBorder="0" applyAlignment="0" applyProtection="0"/>
    <xf numFmtId="10" fontId="14" fillId="0" borderId="0" applyFont="0" applyFill="0" applyBorder="0" applyAlignment="0" applyProtection="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223" fontId="14" fillId="0" borderId="0"/>
    <xf numFmtId="224" fontId="14" fillId="0" borderId="0"/>
    <xf numFmtId="1" fontId="14" fillId="0" borderId="7">
      <alignment horizontal="right"/>
    </xf>
    <xf numFmtId="181" fontId="13" fillId="0" borderId="0"/>
    <xf numFmtId="225" fontId="14" fillId="0" borderId="7">
      <alignment horizontal="right"/>
    </xf>
    <xf numFmtId="174" fontId="14" fillId="0" borderId="0"/>
    <xf numFmtId="226" fontId="14" fillId="0" borderId="0" applyFont="0" applyFill="0" applyBorder="0" applyProtection="0">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227" fontId="14" fillId="0" borderId="37">
      <alignment horizontal="right"/>
    </xf>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61" fillId="37" borderId="0" applyNumberFormat="0" applyBorder="0" applyAlignment="0" applyProtection="0"/>
    <xf numFmtId="181" fontId="61" fillId="37" borderId="0" applyNumberFormat="0" applyBorder="0" applyAlignment="0" applyProtection="0"/>
    <xf numFmtId="181" fontId="61" fillId="37" borderId="0" applyNumberFormat="0" applyBorder="0" applyAlignment="0" applyProtection="0"/>
    <xf numFmtId="181" fontId="61" fillId="37" borderId="0" applyNumberFormat="0" applyBorder="0" applyAlignment="0" applyProtection="0"/>
    <xf numFmtId="181" fontId="82" fillId="37" borderId="0" applyNumberFormat="0" applyBorder="0" applyAlignment="0" applyProtection="0"/>
    <xf numFmtId="181" fontId="61"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61" fillId="37" borderId="0" applyNumberFormat="0" applyBorder="0" applyAlignment="0" applyProtection="0"/>
    <xf numFmtId="181" fontId="61"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3" fillId="37" borderId="0" applyNumberFormat="0" applyBorder="0" applyAlignment="0" applyProtection="0"/>
    <xf numFmtId="181" fontId="82" fillId="37" borderId="0" applyNumberFormat="0" applyBorder="0" applyAlignment="0" applyProtection="0"/>
    <xf numFmtId="181" fontId="83" fillId="37" borderId="0" applyNumberFormat="0" applyBorder="0" applyAlignment="0" applyProtection="0"/>
    <xf numFmtId="181" fontId="83" fillId="37" borderId="0" applyNumberFormat="0" applyBorder="0" applyAlignment="0" applyProtection="0"/>
    <xf numFmtId="181" fontId="83" fillId="37" borderId="0" applyNumberFormat="0" applyBorder="0" applyAlignment="0" applyProtection="0"/>
    <xf numFmtId="181" fontId="83" fillId="37" borderId="0" applyNumberFormat="0" applyBorder="0" applyAlignment="0" applyProtection="0"/>
    <xf numFmtId="181" fontId="82" fillId="37" borderId="0" applyNumberFormat="0" applyBorder="0" applyAlignment="0" applyProtection="0"/>
    <xf numFmtId="181" fontId="51" fillId="37" borderId="0" applyNumberFormat="0" applyBorder="0" applyAlignment="0" applyProtection="0"/>
    <xf numFmtId="181" fontId="51" fillId="37" borderId="0" applyNumberFormat="0" applyBorder="0" applyAlignment="0" applyProtection="0"/>
    <xf numFmtId="181" fontId="51" fillId="37" borderId="0" applyNumberFormat="0" applyBorder="0" applyAlignment="0" applyProtection="0"/>
    <xf numFmtId="181" fontId="51" fillId="37" borderId="0" applyNumberFormat="0" applyBorder="0" applyAlignment="0" applyProtection="0"/>
    <xf numFmtId="181" fontId="82" fillId="37" borderId="0" applyNumberFormat="0" applyBorder="0" applyAlignment="0" applyProtection="0"/>
    <xf numFmtId="181" fontId="51"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4"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4" fillId="37" borderId="0" applyNumberFormat="0" applyBorder="0" applyAlignment="0" applyProtection="0"/>
    <xf numFmtId="181" fontId="84" fillId="37" borderId="0" applyNumberFormat="0" applyBorder="0" applyAlignment="0" applyProtection="0"/>
    <xf numFmtId="181" fontId="84" fillId="37" borderId="0" applyNumberFormat="0" applyBorder="0" applyAlignment="0" applyProtection="0"/>
    <xf numFmtId="181" fontId="82" fillId="37" borderId="0" applyNumberFormat="0" applyBorder="0" applyAlignment="0" applyProtection="0"/>
    <xf numFmtId="181" fontId="84"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4"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37"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61" fillId="26" borderId="0" applyNumberFormat="0" applyBorder="0" applyAlignment="0" applyProtection="0"/>
    <xf numFmtId="181" fontId="61" fillId="26" borderId="0" applyNumberFormat="0" applyBorder="0" applyAlignment="0" applyProtection="0"/>
    <xf numFmtId="181" fontId="61" fillId="26" borderId="0" applyNumberFormat="0" applyBorder="0" applyAlignment="0" applyProtection="0"/>
    <xf numFmtId="181" fontId="61" fillId="26" borderId="0" applyNumberFormat="0" applyBorder="0" applyAlignment="0" applyProtection="0"/>
    <xf numFmtId="181" fontId="82" fillId="26" borderId="0" applyNumberFormat="0" applyBorder="0" applyAlignment="0" applyProtection="0"/>
    <xf numFmtId="181" fontId="61"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61" fillId="26" borderId="0" applyNumberFormat="0" applyBorder="0" applyAlignment="0" applyProtection="0"/>
    <xf numFmtId="181" fontId="61"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3" fillId="26" borderId="0" applyNumberFormat="0" applyBorder="0" applyAlignment="0" applyProtection="0"/>
    <xf numFmtId="181" fontId="82" fillId="26" borderId="0" applyNumberFormat="0" applyBorder="0" applyAlignment="0" applyProtection="0"/>
    <xf numFmtId="181" fontId="83" fillId="26" borderId="0" applyNumberFormat="0" applyBorder="0" applyAlignment="0" applyProtection="0"/>
    <xf numFmtId="181" fontId="83" fillId="26" borderId="0" applyNumberFormat="0" applyBorder="0" applyAlignment="0" applyProtection="0"/>
    <xf numFmtId="181" fontId="83" fillId="26" borderId="0" applyNumberFormat="0" applyBorder="0" applyAlignment="0" applyProtection="0"/>
    <xf numFmtId="181" fontId="83" fillId="26" borderId="0" applyNumberFormat="0" applyBorder="0" applyAlignment="0" applyProtection="0"/>
    <xf numFmtId="181" fontId="82" fillId="26" borderId="0" applyNumberFormat="0" applyBorder="0" applyAlignment="0" applyProtection="0"/>
    <xf numFmtId="181" fontId="51" fillId="26" borderId="0" applyNumberFormat="0" applyBorder="0" applyAlignment="0" applyProtection="0"/>
    <xf numFmtId="181" fontId="51" fillId="26" borderId="0" applyNumberFormat="0" applyBorder="0" applyAlignment="0" applyProtection="0"/>
    <xf numFmtId="181" fontId="51" fillId="26" borderId="0" applyNumberFormat="0" applyBorder="0" applyAlignment="0" applyProtection="0"/>
    <xf numFmtId="181" fontId="51" fillId="26" borderId="0" applyNumberFormat="0" applyBorder="0" applyAlignment="0" applyProtection="0"/>
    <xf numFmtId="181" fontId="82" fillId="26" borderId="0" applyNumberFormat="0" applyBorder="0" applyAlignment="0" applyProtection="0"/>
    <xf numFmtId="181" fontId="51"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4"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4" fillId="26" borderId="0" applyNumberFormat="0" applyBorder="0" applyAlignment="0" applyProtection="0"/>
    <xf numFmtId="181" fontId="84" fillId="26" borderId="0" applyNumberFormat="0" applyBorder="0" applyAlignment="0" applyProtection="0"/>
    <xf numFmtId="181" fontId="84" fillId="26" borderId="0" applyNumberFormat="0" applyBorder="0" applyAlignment="0" applyProtection="0"/>
    <xf numFmtId="181" fontId="82" fillId="26" borderId="0" applyNumberFormat="0" applyBorder="0" applyAlignment="0" applyProtection="0"/>
    <xf numFmtId="181" fontId="84"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4"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61" fillId="38" borderId="0" applyNumberFormat="0" applyBorder="0" applyAlignment="0" applyProtection="0"/>
    <xf numFmtId="181" fontId="61" fillId="38" borderId="0" applyNumberFormat="0" applyBorder="0" applyAlignment="0" applyProtection="0"/>
    <xf numFmtId="181" fontId="61" fillId="38" borderId="0" applyNumberFormat="0" applyBorder="0" applyAlignment="0" applyProtection="0"/>
    <xf numFmtId="181" fontId="61" fillId="38" borderId="0" applyNumberFormat="0" applyBorder="0" applyAlignment="0" applyProtection="0"/>
    <xf numFmtId="181" fontId="82" fillId="38" borderId="0" applyNumberFormat="0" applyBorder="0" applyAlignment="0" applyProtection="0"/>
    <xf numFmtId="181" fontId="61"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61" fillId="38" borderId="0" applyNumberFormat="0" applyBorder="0" applyAlignment="0" applyProtection="0"/>
    <xf numFmtId="181" fontId="61"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3" fillId="38" borderId="0" applyNumberFormat="0" applyBorder="0" applyAlignment="0" applyProtection="0"/>
    <xf numFmtId="181" fontId="82" fillId="38" borderId="0" applyNumberFormat="0" applyBorder="0" applyAlignment="0" applyProtection="0"/>
    <xf numFmtId="181" fontId="83" fillId="38" borderId="0" applyNumberFormat="0" applyBorder="0" applyAlignment="0" applyProtection="0"/>
    <xf numFmtId="181" fontId="83" fillId="38" borderId="0" applyNumberFormat="0" applyBorder="0" applyAlignment="0" applyProtection="0"/>
    <xf numFmtId="181" fontId="83" fillId="38" borderId="0" applyNumberFormat="0" applyBorder="0" applyAlignment="0" applyProtection="0"/>
    <xf numFmtId="181" fontId="83" fillId="38" borderId="0" applyNumberFormat="0" applyBorder="0" applyAlignment="0" applyProtection="0"/>
    <xf numFmtId="181" fontId="82" fillId="38" borderId="0" applyNumberFormat="0" applyBorder="0" applyAlignment="0" applyProtection="0"/>
    <xf numFmtId="181" fontId="51" fillId="38" borderId="0" applyNumberFormat="0" applyBorder="0" applyAlignment="0" applyProtection="0"/>
    <xf numFmtId="181" fontId="51" fillId="38" borderId="0" applyNumberFormat="0" applyBorder="0" applyAlignment="0" applyProtection="0"/>
    <xf numFmtId="181" fontId="51" fillId="38" borderId="0" applyNumberFormat="0" applyBorder="0" applyAlignment="0" applyProtection="0"/>
    <xf numFmtId="181" fontId="51" fillId="38" borderId="0" applyNumberFormat="0" applyBorder="0" applyAlignment="0" applyProtection="0"/>
    <xf numFmtId="181" fontId="82" fillId="38" borderId="0" applyNumberFormat="0" applyBorder="0" applyAlignment="0" applyProtection="0"/>
    <xf numFmtId="181" fontId="51"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22" borderId="0" applyNumberFormat="0" applyBorder="0" applyAlignment="0" applyProtection="0"/>
    <xf numFmtId="181" fontId="82" fillId="22"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4"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4" fillId="38" borderId="0" applyNumberFormat="0" applyBorder="0" applyAlignment="0" applyProtection="0"/>
    <xf numFmtId="181" fontId="84" fillId="38" borderId="0" applyNumberFormat="0" applyBorder="0" applyAlignment="0" applyProtection="0"/>
    <xf numFmtId="181" fontId="84" fillId="38" borderId="0" applyNumberFormat="0" applyBorder="0" applyAlignment="0" applyProtection="0"/>
    <xf numFmtId="181" fontId="82" fillId="38" borderId="0" applyNumberFormat="0" applyBorder="0" applyAlignment="0" applyProtection="0"/>
    <xf numFmtId="181" fontId="84"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4"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8"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61" fillId="33" borderId="0" applyNumberFormat="0" applyBorder="0" applyAlignment="0" applyProtection="0"/>
    <xf numFmtId="181" fontId="61" fillId="33" borderId="0" applyNumberFormat="0" applyBorder="0" applyAlignment="0" applyProtection="0"/>
    <xf numFmtId="181" fontId="61" fillId="33" borderId="0" applyNumberFormat="0" applyBorder="0" applyAlignment="0" applyProtection="0"/>
    <xf numFmtId="181" fontId="61" fillId="33" borderId="0" applyNumberFormat="0" applyBorder="0" applyAlignment="0" applyProtection="0"/>
    <xf numFmtId="181" fontId="82" fillId="33" borderId="0" applyNumberFormat="0" applyBorder="0" applyAlignment="0" applyProtection="0"/>
    <xf numFmtId="181" fontId="61"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61" fillId="33" borderId="0" applyNumberFormat="0" applyBorder="0" applyAlignment="0" applyProtection="0"/>
    <xf numFmtId="181" fontId="61"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3" fillId="33" borderId="0" applyNumberFormat="0" applyBorder="0" applyAlignment="0" applyProtection="0"/>
    <xf numFmtId="181" fontId="82" fillId="33" borderId="0" applyNumberFormat="0" applyBorder="0" applyAlignment="0" applyProtection="0"/>
    <xf numFmtId="181" fontId="83" fillId="33" borderId="0" applyNumberFormat="0" applyBorder="0" applyAlignment="0" applyProtection="0"/>
    <xf numFmtId="181" fontId="83" fillId="33" borderId="0" applyNumberFormat="0" applyBorder="0" applyAlignment="0" applyProtection="0"/>
    <xf numFmtId="181" fontId="83" fillId="33" borderId="0" applyNumberFormat="0" applyBorder="0" applyAlignment="0" applyProtection="0"/>
    <xf numFmtId="181" fontId="83" fillId="33" borderId="0" applyNumberFormat="0" applyBorder="0" applyAlignment="0" applyProtection="0"/>
    <xf numFmtId="181" fontId="82" fillId="33" borderId="0" applyNumberFormat="0" applyBorder="0" applyAlignment="0" applyProtection="0"/>
    <xf numFmtId="181" fontId="51" fillId="33" borderId="0" applyNumberFormat="0" applyBorder="0" applyAlignment="0" applyProtection="0"/>
    <xf numFmtId="181" fontId="51" fillId="33" borderId="0" applyNumberFormat="0" applyBorder="0" applyAlignment="0" applyProtection="0"/>
    <xf numFmtId="181" fontId="51" fillId="33" borderId="0" applyNumberFormat="0" applyBorder="0" applyAlignment="0" applyProtection="0"/>
    <xf numFmtId="181" fontId="51" fillId="33" borderId="0" applyNumberFormat="0" applyBorder="0" applyAlignment="0" applyProtection="0"/>
    <xf numFmtId="181" fontId="82" fillId="33" borderId="0" applyNumberFormat="0" applyBorder="0" applyAlignment="0" applyProtection="0"/>
    <xf numFmtId="181" fontId="51"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4"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4" fillId="33" borderId="0" applyNumberFormat="0" applyBorder="0" applyAlignment="0" applyProtection="0"/>
    <xf numFmtId="181" fontId="84" fillId="33" borderId="0" applyNumberFormat="0" applyBorder="0" applyAlignment="0" applyProtection="0"/>
    <xf numFmtId="181" fontId="84" fillId="33" borderId="0" applyNumberFormat="0" applyBorder="0" applyAlignment="0" applyProtection="0"/>
    <xf numFmtId="181" fontId="82" fillId="33" borderId="0" applyNumberFormat="0" applyBorder="0" applyAlignment="0" applyProtection="0"/>
    <xf numFmtId="181" fontId="84"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4"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61" fillId="24" borderId="0" applyNumberFormat="0" applyBorder="0" applyAlignment="0" applyProtection="0"/>
    <xf numFmtId="181" fontId="61" fillId="24" borderId="0" applyNumberFormat="0" applyBorder="0" applyAlignment="0" applyProtection="0"/>
    <xf numFmtId="181" fontId="61" fillId="24" borderId="0" applyNumberFormat="0" applyBorder="0" applyAlignment="0" applyProtection="0"/>
    <xf numFmtId="181" fontId="61" fillId="24" borderId="0" applyNumberFormat="0" applyBorder="0" applyAlignment="0" applyProtection="0"/>
    <xf numFmtId="181" fontId="82" fillId="24" borderId="0" applyNumberFormat="0" applyBorder="0" applyAlignment="0" applyProtection="0"/>
    <xf numFmtId="181" fontId="61"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61" fillId="24" borderId="0" applyNumberFormat="0" applyBorder="0" applyAlignment="0" applyProtection="0"/>
    <xf numFmtId="181" fontId="61"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3" fillId="24" borderId="0" applyNumberFormat="0" applyBorder="0" applyAlignment="0" applyProtection="0"/>
    <xf numFmtId="181" fontId="82" fillId="24" borderId="0" applyNumberFormat="0" applyBorder="0" applyAlignment="0" applyProtection="0"/>
    <xf numFmtId="181" fontId="83" fillId="24" borderId="0" applyNumberFormat="0" applyBorder="0" applyAlignment="0" applyProtection="0"/>
    <xf numFmtId="181" fontId="83" fillId="24" borderId="0" applyNumberFormat="0" applyBorder="0" applyAlignment="0" applyProtection="0"/>
    <xf numFmtId="181" fontId="83" fillId="24" borderId="0" applyNumberFormat="0" applyBorder="0" applyAlignment="0" applyProtection="0"/>
    <xf numFmtId="181" fontId="83" fillId="24" borderId="0" applyNumberFormat="0" applyBorder="0" applyAlignment="0" applyProtection="0"/>
    <xf numFmtId="181" fontId="82" fillId="24" borderId="0" applyNumberFormat="0" applyBorder="0" applyAlignment="0" applyProtection="0"/>
    <xf numFmtId="181" fontId="51" fillId="24" borderId="0" applyNumberFormat="0" applyBorder="0" applyAlignment="0" applyProtection="0"/>
    <xf numFmtId="181" fontId="51" fillId="24" borderId="0" applyNumberFormat="0" applyBorder="0" applyAlignment="0" applyProtection="0"/>
    <xf numFmtId="181" fontId="51" fillId="24" borderId="0" applyNumberFormat="0" applyBorder="0" applyAlignment="0" applyProtection="0"/>
    <xf numFmtId="181" fontId="51" fillId="24" borderId="0" applyNumberFormat="0" applyBorder="0" applyAlignment="0" applyProtection="0"/>
    <xf numFmtId="181" fontId="82" fillId="24" borderId="0" applyNumberFormat="0" applyBorder="0" applyAlignment="0" applyProtection="0"/>
    <xf numFmtId="181" fontId="51"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4" fillId="24" borderId="0" applyNumberFormat="0" applyBorder="0" applyAlignment="0" applyProtection="0"/>
    <xf numFmtId="181" fontId="84" fillId="24" borderId="0" applyNumberFormat="0" applyBorder="0" applyAlignment="0" applyProtection="0"/>
    <xf numFmtId="181" fontId="84"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61" fillId="23" borderId="0" applyNumberFormat="0" applyBorder="0" applyAlignment="0" applyProtection="0"/>
    <xf numFmtId="181" fontId="61" fillId="23" borderId="0" applyNumberFormat="0" applyBorder="0" applyAlignment="0" applyProtection="0"/>
    <xf numFmtId="181" fontId="61" fillId="23" borderId="0" applyNumberFormat="0" applyBorder="0" applyAlignment="0" applyProtection="0"/>
    <xf numFmtId="181" fontId="61" fillId="23" borderId="0" applyNumberFormat="0" applyBorder="0" applyAlignment="0" applyProtection="0"/>
    <xf numFmtId="181" fontId="82" fillId="23" borderId="0" applyNumberFormat="0" applyBorder="0" applyAlignment="0" applyProtection="0"/>
    <xf numFmtId="181" fontId="61"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61" fillId="23" borderId="0" applyNumberFormat="0" applyBorder="0" applyAlignment="0" applyProtection="0"/>
    <xf numFmtId="181" fontId="61"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3" fillId="23" borderId="0" applyNumberFormat="0" applyBorder="0" applyAlignment="0" applyProtection="0"/>
    <xf numFmtId="181" fontId="82" fillId="23" borderId="0" applyNumberFormat="0" applyBorder="0" applyAlignment="0" applyProtection="0"/>
    <xf numFmtId="181" fontId="83" fillId="23" borderId="0" applyNumberFormat="0" applyBorder="0" applyAlignment="0" applyProtection="0"/>
    <xf numFmtId="181" fontId="83" fillId="23" borderId="0" applyNumberFormat="0" applyBorder="0" applyAlignment="0" applyProtection="0"/>
    <xf numFmtId="181" fontId="83" fillId="23" borderId="0" applyNumberFormat="0" applyBorder="0" applyAlignment="0" applyProtection="0"/>
    <xf numFmtId="181" fontId="83" fillId="23" borderId="0" applyNumberFormat="0" applyBorder="0" applyAlignment="0" applyProtection="0"/>
    <xf numFmtId="181" fontId="82" fillId="23" borderId="0" applyNumberFormat="0" applyBorder="0" applyAlignment="0" applyProtection="0"/>
    <xf numFmtId="181" fontId="51" fillId="23" borderId="0" applyNumberFormat="0" applyBorder="0" applyAlignment="0" applyProtection="0"/>
    <xf numFmtId="181" fontId="51" fillId="23" borderId="0" applyNumberFormat="0" applyBorder="0" applyAlignment="0" applyProtection="0"/>
    <xf numFmtId="181" fontId="51" fillId="23" borderId="0" applyNumberFormat="0" applyBorder="0" applyAlignment="0" applyProtection="0"/>
    <xf numFmtId="181" fontId="51" fillId="23" borderId="0" applyNumberFormat="0" applyBorder="0" applyAlignment="0" applyProtection="0"/>
    <xf numFmtId="181" fontId="82" fillId="23" borderId="0" applyNumberFormat="0" applyBorder="0" applyAlignment="0" applyProtection="0"/>
    <xf numFmtId="181" fontId="51"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39" borderId="0" applyNumberFormat="0" applyBorder="0" applyAlignment="0" applyProtection="0"/>
    <xf numFmtId="181" fontId="82" fillId="39" borderId="0" applyNumberFormat="0" applyBorder="0" applyAlignment="0" applyProtection="0"/>
    <xf numFmtId="181" fontId="82" fillId="39"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2" borderId="0" applyNumberFormat="0" applyBorder="0" applyAlignment="0" applyProtection="0"/>
    <xf numFmtId="181" fontId="82" fillId="22"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4"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4" fillId="23" borderId="0" applyNumberFormat="0" applyBorder="0" applyAlignment="0" applyProtection="0"/>
    <xf numFmtId="181" fontId="84" fillId="23" borderId="0" applyNumberFormat="0" applyBorder="0" applyAlignment="0" applyProtection="0"/>
    <xf numFmtId="181" fontId="84" fillId="23" borderId="0" applyNumberFormat="0" applyBorder="0" applyAlignment="0" applyProtection="0"/>
    <xf numFmtId="181" fontId="82" fillId="23" borderId="0" applyNumberFormat="0" applyBorder="0" applyAlignment="0" applyProtection="0"/>
    <xf numFmtId="181" fontId="84"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4"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82" fillId="23" borderId="0" applyNumberFormat="0" applyBorder="0" applyAlignment="0" applyProtection="0"/>
    <xf numFmtId="181" fontId="13" fillId="37" borderId="0" applyNumberFormat="0" applyBorder="0" applyAlignment="0" applyProtection="0"/>
    <xf numFmtId="181" fontId="13" fillId="26" borderId="0" applyNumberFormat="0" applyBorder="0" applyAlignment="0" applyProtection="0"/>
    <xf numFmtId="181" fontId="13" fillId="38" borderId="0" applyNumberFormat="0" applyBorder="0" applyAlignment="0" applyProtection="0"/>
    <xf numFmtId="181" fontId="13" fillId="33" borderId="0" applyNumberFormat="0" applyBorder="0" applyAlignment="0" applyProtection="0"/>
    <xf numFmtId="181" fontId="13" fillId="24" borderId="0" applyNumberFormat="0" applyBorder="0" applyAlignment="0" applyProtection="0"/>
    <xf numFmtId="181" fontId="13" fillId="23" borderId="0" applyNumberFormat="0" applyBorder="0" applyAlignment="0" applyProtection="0"/>
    <xf numFmtId="181" fontId="13" fillId="37" borderId="0" applyNumberFormat="0" applyBorder="0" applyAlignment="0" applyProtection="0"/>
    <xf numFmtId="181" fontId="13" fillId="26" borderId="0" applyNumberFormat="0" applyBorder="0" applyAlignment="0" applyProtection="0"/>
    <xf numFmtId="181" fontId="13" fillId="38" borderId="0" applyNumberFormat="0" applyBorder="0" applyAlignment="0" applyProtection="0"/>
    <xf numFmtId="181" fontId="13" fillId="33" borderId="0" applyNumberFormat="0" applyBorder="0" applyAlignment="0" applyProtection="0"/>
    <xf numFmtId="181" fontId="13" fillId="24" borderId="0" applyNumberFormat="0" applyBorder="0" applyAlignment="0" applyProtection="0"/>
    <xf numFmtId="181" fontId="13" fillId="23" borderId="0" applyNumberFormat="0" applyBorder="0" applyAlignment="0" applyProtection="0"/>
    <xf numFmtId="228" fontId="14" fillId="0" borderId="37">
      <alignment horizontal="right"/>
    </xf>
    <xf numFmtId="229" fontId="14" fillId="0" borderId="0"/>
    <xf numFmtId="40" fontId="14" fillId="0" borderId="0"/>
    <xf numFmtId="230" fontId="14" fillId="0" borderId="0" applyFont="0" applyFill="0" applyBorder="0" applyProtection="0">
      <alignment horizontal="right"/>
    </xf>
    <xf numFmtId="231" fontId="14" fillId="0" borderId="7">
      <alignment horizontal="right"/>
    </xf>
    <xf numFmtId="232" fontId="14" fillId="0" borderId="7">
      <alignment horizontal="right"/>
    </xf>
    <xf numFmtId="233" fontId="14" fillId="0" borderId="0" applyFont="0" applyFill="0" applyBorder="0" applyProtection="0">
      <alignment horizontal="right"/>
    </xf>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61" fillId="20" borderId="0" applyNumberFormat="0" applyBorder="0" applyAlignment="0" applyProtection="0"/>
    <xf numFmtId="181" fontId="61" fillId="20" borderId="0" applyNumberFormat="0" applyBorder="0" applyAlignment="0" applyProtection="0"/>
    <xf numFmtId="181" fontId="61" fillId="20" borderId="0" applyNumberFormat="0" applyBorder="0" applyAlignment="0" applyProtection="0"/>
    <xf numFmtId="181" fontId="61" fillId="20" borderId="0" applyNumberFormat="0" applyBorder="0" applyAlignment="0" applyProtection="0"/>
    <xf numFmtId="181" fontId="82" fillId="20" borderId="0" applyNumberFormat="0" applyBorder="0" applyAlignment="0" applyProtection="0"/>
    <xf numFmtId="181" fontId="61"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61" fillId="20" borderId="0" applyNumberFormat="0" applyBorder="0" applyAlignment="0" applyProtection="0"/>
    <xf numFmtId="181" fontId="61"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3" fillId="20" borderId="0" applyNumberFormat="0" applyBorder="0" applyAlignment="0" applyProtection="0"/>
    <xf numFmtId="181" fontId="82" fillId="20" borderId="0" applyNumberFormat="0" applyBorder="0" applyAlignment="0" applyProtection="0"/>
    <xf numFmtId="181" fontId="83" fillId="20" borderId="0" applyNumberFormat="0" applyBorder="0" applyAlignment="0" applyProtection="0"/>
    <xf numFmtId="181" fontId="83" fillId="20" borderId="0" applyNumberFormat="0" applyBorder="0" applyAlignment="0" applyProtection="0"/>
    <xf numFmtId="181" fontId="83" fillId="20" borderId="0" applyNumberFormat="0" applyBorder="0" applyAlignment="0" applyProtection="0"/>
    <xf numFmtId="181" fontId="83" fillId="20" borderId="0" applyNumberFormat="0" applyBorder="0" applyAlignment="0" applyProtection="0"/>
    <xf numFmtId="181" fontId="82" fillId="20" borderId="0" applyNumberFormat="0" applyBorder="0" applyAlignment="0" applyProtection="0"/>
    <xf numFmtId="181" fontId="51" fillId="20" borderId="0" applyNumberFormat="0" applyBorder="0" applyAlignment="0" applyProtection="0"/>
    <xf numFmtId="181" fontId="51" fillId="20" borderId="0" applyNumberFormat="0" applyBorder="0" applyAlignment="0" applyProtection="0"/>
    <xf numFmtId="181" fontId="51" fillId="20" borderId="0" applyNumberFormat="0" applyBorder="0" applyAlignment="0" applyProtection="0"/>
    <xf numFmtId="181" fontId="51" fillId="20" borderId="0" applyNumberFormat="0" applyBorder="0" applyAlignment="0" applyProtection="0"/>
    <xf numFmtId="181" fontId="82" fillId="20" borderId="0" applyNumberFormat="0" applyBorder="0" applyAlignment="0" applyProtection="0"/>
    <xf numFmtId="181" fontId="51"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4"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4" fillId="20" borderId="0" applyNumberFormat="0" applyBorder="0" applyAlignment="0" applyProtection="0"/>
    <xf numFmtId="181" fontId="84" fillId="20" borderId="0" applyNumberFormat="0" applyBorder="0" applyAlignment="0" applyProtection="0"/>
    <xf numFmtId="181" fontId="84" fillId="20" borderId="0" applyNumberFormat="0" applyBorder="0" applyAlignment="0" applyProtection="0"/>
    <xf numFmtId="181" fontId="82" fillId="20" borderId="0" applyNumberFormat="0" applyBorder="0" applyAlignment="0" applyProtection="0"/>
    <xf numFmtId="181" fontId="84"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4"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61" fillId="21" borderId="0" applyNumberFormat="0" applyBorder="0" applyAlignment="0" applyProtection="0"/>
    <xf numFmtId="181" fontId="61" fillId="21" borderId="0" applyNumberFormat="0" applyBorder="0" applyAlignment="0" applyProtection="0"/>
    <xf numFmtId="181" fontId="61" fillId="21" borderId="0" applyNumberFormat="0" applyBorder="0" applyAlignment="0" applyProtection="0"/>
    <xf numFmtId="181" fontId="61" fillId="21" borderId="0" applyNumberFormat="0" applyBorder="0" applyAlignment="0" applyProtection="0"/>
    <xf numFmtId="181" fontId="82" fillId="21" borderId="0" applyNumberFormat="0" applyBorder="0" applyAlignment="0" applyProtection="0"/>
    <xf numFmtId="181" fontId="61"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61" fillId="21" borderId="0" applyNumberFormat="0" applyBorder="0" applyAlignment="0" applyProtection="0"/>
    <xf numFmtId="181" fontId="61"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3" fillId="21" borderId="0" applyNumberFormat="0" applyBorder="0" applyAlignment="0" applyProtection="0"/>
    <xf numFmtId="181" fontId="82" fillId="21" borderId="0" applyNumberFormat="0" applyBorder="0" applyAlignment="0" applyProtection="0"/>
    <xf numFmtId="181" fontId="83" fillId="21" borderId="0" applyNumberFormat="0" applyBorder="0" applyAlignment="0" applyProtection="0"/>
    <xf numFmtId="181" fontId="83" fillId="21" borderId="0" applyNumberFormat="0" applyBorder="0" applyAlignment="0" applyProtection="0"/>
    <xf numFmtId="181" fontId="83" fillId="21" borderId="0" applyNumberFormat="0" applyBorder="0" applyAlignment="0" applyProtection="0"/>
    <xf numFmtId="181" fontId="83" fillId="21" borderId="0" applyNumberFormat="0" applyBorder="0" applyAlignment="0" applyProtection="0"/>
    <xf numFmtId="181" fontId="82" fillId="21" borderId="0" applyNumberFormat="0" applyBorder="0" applyAlignment="0" applyProtection="0"/>
    <xf numFmtId="181" fontId="51" fillId="21" borderId="0" applyNumberFormat="0" applyBorder="0" applyAlignment="0" applyProtection="0"/>
    <xf numFmtId="181" fontId="51" fillId="21" borderId="0" applyNumberFormat="0" applyBorder="0" applyAlignment="0" applyProtection="0"/>
    <xf numFmtId="181" fontId="51" fillId="21" borderId="0" applyNumberFormat="0" applyBorder="0" applyAlignment="0" applyProtection="0"/>
    <xf numFmtId="181" fontId="51" fillId="21" borderId="0" applyNumberFormat="0" applyBorder="0" applyAlignment="0" applyProtection="0"/>
    <xf numFmtId="181" fontId="82" fillId="21" borderId="0" applyNumberFormat="0" applyBorder="0" applyAlignment="0" applyProtection="0"/>
    <xf numFmtId="181" fontId="51"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4" fillId="21" borderId="0" applyNumberFormat="0" applyBorder="0" applyAlignment="0" applyProtection="0"/>
    <xf numFmtId="181" fontId="84" fillId="21" borderId="0" applyNumberFormat="0" applyBorder="0" applyAlignment="0" applyProtection="0"/>
    <xf numFmtId="181" fontId="84"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21"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61" fillId="40" borderId="0" applyNumberFormat="0" applyBorder="0" applyAlignment="0" applyProtection="0"/>
    <xf numFmtId="181" fontId="61" fillId="40" borderId="0" applyNumberFormat="0" applyBorder="0" applyAlignment="0" applyProtection="0"/>
    <xf numFmtId="181" fontId="61" fillId="40" borderId="0" applyNumberFormat="0" applyBorder="0" applyAlignment="0" applyProtection="0"/>
    <xf numFmtId="181" fontId="61" fillId="40" borderId="0" applyNumberFormat="0" applyBorder="0" applyAlignment="0" applyProtection="0"/>
    <xf numFmtId="181" fontId="82" fillId="40" borderId="0" applyNumberFormat="0" applyBorder="0" applyAlignment="0" applyProtection="0"/>
    <xf numFmtId="181" fontId="61"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61" fillId="40" borderId="0" applyNumberFormat="0" applyBorder="0" applyAlignment="0" applyProtection="0"/>
    <xf numFmtId="181" fontId="61"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3" fillId="40" borderId="0" applyNumberFormat="0" applyBorder="0" applyAlignment="0" applyProtection="0"/>
    <xf numFmtId="181" fontId="82" fillId="40" borderId="0" applyNumberFormat="0" applyBorder="0" applyAlignment="0" applyProtection="0"/>
    <xf numFmtId="181" fontId="83" fillId="40" borderId="0" applyNumberFormat="0" applyBorder="0" applyAlignment="0" applyProtection="0"/>
    <xf numFmtId="181" fontId="83" fillId="40" borderId="0" applyNumberFormat="0" applyBorder="0" applyAlignment="0" applyProtection="0"/>
    <xf numFmtId="181" fontId="83" fillId="40" borderId="0" applyNumberFormat="0" applyBorder="0" applyAlignment="0" applyProtection="0"/>
    <xf numFmtId="181" fontId="83" fillId="40" borderId="0" applyNumberFormat="0" applyBorder="0" applyAlignment="0" applyProtection="0"/>
    <xf numFmtId="181" fontId="82" fillId="40" borderId="0" applyNumberFormat="0" applyBorder="0" applyAlignment="0" applyProtection="0"/>
    <xf numFmtId="181" fontId="51" fillId="40" borderId="0" applyNumberFormat="0" applyBorder="0" applyAlignment="0" applyProtection="0"/>
    <xf numFmtId="181" fontId="51" fillId="40" borderId="0" applyNumberFormat="0" applyBorder="0" applyAlignment="0" applyProtection="0"/>
    <xf numFmtId="181" fontId="51" fillId="40" borderId="0" applyNumberFormat="0" applyBorder="0" applyAlignment="0" applyProtection="0"/>
    <xf numFmtId="181" fontId="51" fillId="40" borderId="0" applyNumberFormat="0" applyBorder="0" applyAlignment="0" applyProtection="0"/>
    <xf numFmtId="181" fontId="82" fillId="40" borderId="0" applyNumberFormat="0" applyBorder="0" applyAlignment="0" applyProtection="0"/>
    <xf numFmtId="181" fontId="51"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25" borderId="0" applyNumberFormat="0" applyBorder="0" applyAlignment="0" applyProtection="0"/>
    <xf numFmtId="181" fontId="82" fillId="25"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4"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4" fillId="40" borderId="0" applyNumberFormat="0" applyBorder="0" applyAlignment="0" applyProtection="0"/>
    <xf numFmtId="181" fontId="84" fillId="40" borderId="0" applyNumberFormat="0" applyBorder="0" applyAlignment="0" applyProtection="0"/>
    <xf numFmtId="181" fontId="84" fillId="40" borderId="0" applyNumberFormat="0" applyBorder="0" applyAlignment="0" applyProtection="0"/>
    <xf numFmtId="181" fontId="82" fillId="40" borderId="0" applyNumberFormat="0" applyBorder="0" applyAlignment="0" applyProtection="0"/>
    <xf numFmtId="181" fontId="84"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4"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40"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61" fillId="33" borderId="0" applyNumberFormat="0" applyBorder="0" applyAlignment="0" applyProtection="0"/>
    <xf numFmtId="181" fontId="61" fillId="33" borderId="0" applyNumberFormat="0" applyBorder="0" applyAlignment="0" applyProtection="0"/>
    <xf numFmtId="181" fontId="61" fillId="33" borderId="0" applyNumberFormat="0" applyBorder="0" applyAlignment="0" applyProtection="0"/>
    <xf numFmtId="181" fontId="61" fillId="33" borderId="0" applyNumberFormat="0" applyBorder="0" applyAlignment="0" applyProtection="0"/>
    <xf numFmtId="181" fontId="82" fillId="33" borderId="0" applyNumberFormat="0" applyBorder="0" applyAlignment="0" applyProtection="0"/>
    <xf numFmtId="181" fontId="61"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61" fillId="33" borderId="0" applyNumberFormat="0" applyBorder="0" applyAlignment="0" applyProtection="0"/>
    <xf numFmtId="181" fontId="61"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3" fillId="33" borderId="0" applyNumberFormat="0" applyBorder="0" applyAlignment="0" applyProtection="0"/>
    <xf numFmtId="181" fontId="82" fillId="33" borderId="0" applyNumberFormat="0" applyBorder="0" applyAlignment="0" applyProtection="0"/>
    <xf numFmtId="181" fontId="83" fillId="33" borderId="0" applyNumberFormat="0" applyBorder="0" applyAlignment="0" applyProtection="0"/>
    <xf numFmtId="181" fontId="83" fillId="33" borderId="0" applyNumberFormat="0" applyBorder="0" applyAlignment="0" applyProtection="0"/>
    <xf numFmtId="181" fontId="83" fillId="33" borderId="0" applyNumberFormat="0" applyBorder="0" applyAlignment="0" applyProtection="0"/>
    <xf numFmtId="181" fontId="83" fillId="33" borderId="0" applyNumberFormat="0" applyBorder="0" applyAlignment="0" applyProtection="0"/>
    <xf numFmtId="181" fontId="82" fillId="33" borderId="0" applyNumberFormat="0" applyBorder="0" applyAlignment="0" applyProtection="0"/>
    <xf numFmtId="181" fontId="51" fillId="33" borderId="0" applyNumberFormat="0" applyBorder="0" applyAlignment="0" applyProtection="0"/>
    <xf numFmtId="181" fontId="51" fillId="33" borderId="0" applyNumberFormat="0" applyBorder="0" applyAlignment="0" applyProtection="0"/>
    <xf numFmtId="181" fontId="51" fillId="33" borderId="0" applyNumberFormat="0" applyBorder="0" applyAlignment="0" applyProtection="0"/>
    <xf numFmtId="181" fontId="51" fillId="33" borderId="0" applyNumberFormat="0" applyBorder="0" applyAlignment="0" applyProtection="0"/>
    <xf numFmtId="181" fontId="82" fillId="33" borderId="0" applyNumberFormat="0" applyBorder="0" applyAlignment="0" applyProtection="0"/>
    <xf numFmtId="181" fontId="51"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26" borderId="0" applyNumberFormat="0" applyBorder="0" applyAlignment="0" applyProtection="0"/>
    <xf numFmtId="181" fontId="82" fillId="26"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4"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4" fillId="33" borderId="0" applyNumberFormat="0" applyBorder="0" applyAlignment="0" applyProtection="0"/>
    <xf numFmtId="181" fontId="84" fillId="33" borderId="0" applyNumberFormat="0" applyBorder="0" applyAlignment="0" applyProtection="0"/>
    <xf numFmtId="181" fontId="84" fillId="33" borderId="0" applyNumberFormat="0" applyBorder="0" applyAlignment="0" applyProtection="0"/>
    <xf numFmtId="181" fontId="82" fillId="33" borderId="0" applyNumberFormat="0" applyBorder="0" applyAlignment="0" applyProtection="0"/>
    <xf numFmtId="181" fontId="84"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4"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33"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61" fillId="20" borderId="0" applyNumberFormat="0" applyBorder="0" applyAlignment="0" applyProtection="0"/>
    <xf numFmtId="181" fontId="61" fillId="20" borderId="0" applyNumberFormat="0" applyBorder="0" applyAlignment="0" applyProtection="0"/>
    <xf numFmtId="181" fontId="61" fillId="20" borderId="0" applyNumberFormat="0" applyBorder="0" applyAlignment="0" applyProtection="0"/>
    <xf numFmtId="181" fontId="61" fillId="20" borderId="0" applyNumberFormat="0" applyBorder="0" applyAlignment="0" applyProtection="0"/>
    <xf numFmtId="181" fontId="82" fillId="20" borderId="0" applyNumberFormat="0" applyBorder="0" applyAlignment="0" applyProtection="0"/>
    <xf numFmtId="181" fontId="61"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61" fillId="20" borderId="0" applyNumberFormat="0" applyBorder="0" applyAlignment="0" applyProtection="0"/>
    <xf numFmtId="181" fontId="61"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3" fillId="20" borderId="0" applyNumberFormat="0" applyBorder="0" applyAlignment="0" applyProtection="0"/>
    <xf numFmtId="181" fontId="82" fillId="20" borderId="0" applyNumberFormat="0" applyBorder="0" applyAlignment="0" applyProtection="0"/>
    <xf numFmtId="181" fontId="83" fillId="20" borderId="0" applyNumberFormat="0" applyBorder="0" applyAlignment="0" applyProtection="0"/>
    <xf numFmtId="181" fontId="83" fillId="20" borderId="0" applyNumberFormat="0" applyBorder="0" applyAlignment="0" applyProtection="0"/>
    <xf numFmtId="181" fontId="83" fillId="20" borderId="0" applyNumberFormat="0" applyBorder="0" applyAlignment="0" applyProtection="0"/>
    <xf numFmtId="181" fontId="83" fillId="20" borderId="0" applyNumberFormat="0" applyBorder="0" applyAlignment="0" applyProtection="0"/>
    <xf numFmtId="181" fontId="82" fillId="20" borderId="0" applyNumberFormat="0" applyBorder="0" applyAlignment="0" applyProtection="0"/>
    <xf numFmtId="181" fontId="51" fillId="20" borderId="0" applyNumberFormat="0" applyBorder="0" applyAlignment="0" applyProtection="0"/>
    <xf numFmtId="181" fontId="51" fillId="20" borderId="0" applyNumberFormat="0" applyBorder="0" applyAlignment="0" applyProtection="0"/>
    <xf numFmtId="181" fontId="51" fillId="20" borderId="0" applyNumberFormat="0" applyBorder="0" applyAlignment="0" applyProtection="0"/>
    <xf numFmtId="181" fontId="51" fillId="20" borderId="0" applyNumberFormat="0" applyBorder="0" applyAlignment="0" applyProtection="0"/>
    <xf numFmtId="181" fontId="82" fillId="20" borderId="0" applyNumberFormat="0" applyBorder="0" applyAlignment="0" applyProtection="0"/>
    <xf numFmtId="181" fontId="51"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4" borderId="0" applyNumberFormat="0" applyBorder="0" applyAlignment="0" applyProtection="0"/>
    <xf numFmtId="181" fontId="82" fillId="24"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4"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4" fillId="20" borderId="0" applyNumberFormat="0" applyBorder="0" applyAlignment="0" applyProtection="0"/>
    <xf numFmtId="181" fontId="84" fillId="20" borderId="0" applyNumberFormat="0" applyBorder="0" applyAlignment="0" applyProtection="0"/>
    <xf numFmtId="181" fontId="84" fillId="20" borderId="0" applyNumberFormat="0" applyBorder="0" applyAlignment="0" applyProtection="0"/>
    <xf numFmtId="181" fontId="82" fillId="20" borderId="0" applyNumberFormat="0" applyBorder="0" applyAlignment="0" applyProtection="0"/>
    <xf numFmtId="181" fontId="84"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4"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0"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61" fillId="28" borderId="0" applyNumberFormat="0" applyBorder="0" applyAlignment="0" applyProtection="0"/>
    <xf numFmtId="181" fontId="61" fillId="28" borderId="0" applyNumberFormat="0" applyBorder="0" applyAlignment="0" applyProtection="0"/>
    <xf numFmtId="181" fontId="61" fillId="28" borderId="0" applyNumberFormat="0" applyBorder="0" applyAlignment="0" applyProtection="0"/>
    <xf numFmtId="181" fontId="61" fillId="28" borderId="0" applyNumberFormat="0" applyBorder="0" applyAlignment="0" applyProtection="0"/>
    <xf numFmtId="181" fontId="82" fillId="28" borderId="0" applyNumberFormat="0" applyBorder="0" applyAlignment="0" applyProtection="0"/>
    <xf numFmtId="181" fontId="61"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61" fillId="28" borderId="0" applyNumberFormat="0" applyBorder="0" applyAlignment="0" applyProtection="0"/>
    <xf numFmtId="181" fontId="61"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3" fillId="28" borderId="0" applyNumberFormat="0" applyBorder="0" applyAlignment="0" applyProtection="0"/>
    <xf numFmtId="181" fontId="82" fillId="28" borderId="0" applyNumberFormat="0" applyBorder="0" applyAlignment="0" applyProtection="0"/>
    <xf numFmtId="181" fontId="83" fillId="28" borderId="0" applyNumberFormat="0" applyBorder="0" applyAlignment="0" applyProtection="0"/>
    <xf numFmtId="181" fontId="83" fillId="28" borderId="0" applyNumberFormat="0" applyBorder="0" applyAlignment="0" applyProtection="0"/>
    <xf numFmtId="181" fontId="83" fillId="28" borderId="0" applyNumberFormat="0" applyBorder="0" applyAlignment="0" applyProtection="0"/>
    <xf numFmtId="181" fontId="83" fillId="28" borderId="0" applyNumberFormat="0" applyBorder="0" applyAlignment="0" applyProtection="0"/>
    <xf numFmtId="181" fontId="82" fillId="28" borderId="0" applyNumberFormat="0" applyBorder="0" applyAlignment="0" applyProtection="0"/>
    <xf numFmtId="181" fontId="51" fillId="28" borderId="0" applyNumberFormat="0" applyBorder="0" applyAlignment="0" applyProtection="0"/>
    <xf numFmtId="181" fontId="51" fillId="28" borderId="0" applyNumberFormat="0" applyBorder="0" applyAlignment="0" applyProtection="0"/>
    <xf numFmtId="181" fontId="51" fillId="28" borderId="0" applyNumberFormat="0" applyBorder="0" applyAlignment="0" applyProtection="0"/>
    <xf numFmtId="181" fontId="51" fillId="28" borderId="0" applyNumberFormat="0" applyBorder="0" applyAlignment="0" applyProtection="0"/>
    <xf numFmtId="181" fontId="82" fillId="28" borderId="0" applyNumberFormat="0" applyBorder="0" applyAlignment="0" applyProtection="0"/>
    <xf numFmtId="181" fontId="51"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2" borderId="0" applyNumberFormat="0" applyBorder="0" applyAlignment="0" applyProtection="0"/>
    <xf numFmtId="181" fontId="82" fillId="22"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4"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4" fillId="28" borderId="0" applyNumberFormat="0" applyBorder="0" applyAlignment="0" applyProtection="0"/>
    <xf numFmtId="181" fontId="84" fillId="28" borderId="0" applyNumberFormat="0" applyBorder="0" applyAlignment="0" applyProtection="0"/>
    <xf numFmtId="181" fontId="84" fillId="28" borderId="0" applyNumberFormat="0" applyBorder="0" applyAlignment="0" applyProtection="0"/>
    <xf numFmtId="181" fontId="82" fillId="28" borderId="0" applyNumberFormat="0" applyBorder="0" applyAlignment="0" applyProtection="0"/>
    <xf numFmtId="181" fontId="84"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4"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82" fillId="28" borderId="0" applyNumberFormat="0" applyBorder="0" applyAlignment="0" applyProtection="0"/>
    <xf numFmtId="181" fontId="13" fillId="20" borderId="0" applyNumberFormat="0" applyBorder="0" applyAlignment="0" applyProtection="0"/>
    <xf numFmtId="181" fontId="13" fillId="21" borderId="0" applyNumberFormat="0" applyBorder="0" applyAlignment="0" applyProtection="0"/>
    <xf numFmtId="181" fontId="13" fillId="40" borderId="0" applyNumberFormat="0" applyBorder="0" applyAlignment="0" applyProtection="0"/>
    <xf numFmtId="181" fontId="13" fillId="33" borderId="0" applyNumberFormat="0" applyBorder="0" applyAlignment="0" applyProtection="0"/>
    <xf numFmtId="181" fontId="13" fillId="20" borderId="0" applyNumberFormat="0" applyBorder="0" applyAlignment="0" applyProtection="0"/>
    <xf numFmtId="181" fontId="13" fillId="28" borderId="0" applyNumberFormat="0" applyBorder="0" applyAlignment="0" applyProtection="0"/>
    <xf numFmtId="181" fontId="13" fillId="20" borderId="0" applyNumberFormat="0" applyBorder="0" applyAlignment="0" applyProtection="0"/>
    <xf numFmtId="181" fontId="13" fillId="21" borderId="0" applyNumberFormat="0" applyBorder="0" applyAlignment="0" applyProtection="0"/>
    <xf numFmtId="181" fontId="13" fillId="40" borderId="0" applyNumberFormat="0" applyBorder="0" applyAlignment="0" applyProtection="0"/>
    <xf numFmtId="181" fontId="13" fillId="33" borderId="0" applyNumberFormat="0" applyBorder="0" applyAlignment="0" applyProtection="0"/>
    <xf numFmtId="181" fontId="13" fillId="20" borderId="0" applyNumberFormat="0" applyBorder="0" applyAlignment="0" applyProtection="0"/>
    <xf numFmtId="181" fontId="13" fillId="28" borderId="0" applyNumberFormat="0" applyBorder="0" applyAlignment="0" applyProtection="0"/>
    <xf numFmtId="181" fontId="13" fillId="0" borderId="0"/>
    <xf numFmtId="181" fontId="13" fillId="0" borderId="0" applyNumberFormat="0" applyFill="0" applyBorder="0" applyAlignment="0" applyProtection="0"/>
    <xf numFmtId="181" fontId="13" fillId="0" borderId="0"/>
    <xf numFmtId="181" fontId="85" fillId="41" borderId="0" applyNumberFormat="0" applyBorder="0" applyAlignment="0" applyProtection="0"/>
    <xf numFmtId="181" fontId="86" fillId="41" borderId="0" applyNumberFormat="0" applyBorder="0" applyAlignment="0" applyProtection="0"/>
    <xf numFmtId="181" fontId="86" fillId="41" borderId="0" applyNumberFormat="0" applyBorder="0" applyAlignment="0" applyProtection="0"/>
    <xf numFmtId="181" fontId="86" fillId="41" borderId="0" applyNumberFormat="0" applyBorder="0" applyAlignment="0" applyProtection="0"/>
    <xf numFmtId="181" fontId="86" fillId="41" borderId="0" applyNumberFormat="0" applyBorder="0" applyAlignment="0" applyProtection="0"/>
    <xf numFmtId="181" fontId="87" fillId="41" borderId="0" applyNumberFormat="0" applyBorder="0" applyAlignment="0" applyProtection="0"/>
    <xf numFmtId="181" fontId="86" fillId="41" borderId="0" applyNumberFormat="0" applyBorder="0" applyAlignment="0" applyProtection="0"/>
    <xf numFmtId="181" fontId="87" fillId="41" borderId="0" applyNumberFormat="0" applyBorder="0" applyAlignment="0" applyProtection="0"/>
    <xf numFmtId="181" fontId="87" fillId="41" borderId="0" applyNumberFormat="0" applyBorder="0" applyAlignment="0" applyProtection="0"/>
    <xf numFmtId="181" fontId="87" fillId="41" borderId="0" applyNumberFormat="0" applyBorder="0" applyAlignment="0" applyProtection="0"/>
    <xf numFmtId="181" fontId="87" fillId="41" borderId="0" applyNumberFormat="0" applyBorder="0" applyAlignment="0" applyProtection="0"/>
    <xf numFmtId="181" fontId="86" fillId="41" borderId="0" applyNumberFormat="0" applyBorder="0" applyAlignment="0" applyProtection="0"/>
    <xf numFmtId="181" fontId="86" fillId="41" borderId="0" applyNumberFormat="0" applyBorder="0" applyAlignment="0" applyProtection="0"/>
    <xf numFmtId="181" fontId="87"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52" fillId="41" borderId="0" applyNumberFormat="0" applyBorder="0" applyAlignment="0" applyProtection="0"/>
    <xf numFmtId="181" fontId="52" fillId="41" borderId="0" applyNumberFormat="0" applyBorder="0" applyAlignment="0" applyProtection="0"/>
    <xf numFmtId="181" fontId="52"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24" borderId="0" applyNumberFormat="0" applyBorder="0" applyAlignment="0" applyProtection="0"/>
    <xf numFmtId="181" fontId="85" fillId="24"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8" fillId="41" borderId="0" applyNumberFormat="0" applyBorder="0" applyAlignment="0" applyProtection="0"/>
    <xf numFmtId="181" fontId="88"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8" fillId="41" borderId="0" applyNumberFormat="0" applyBorder="0" applyAlignment="0" applyProtection="0"/>
    <xf numFmtId="181" fontId="88" fillId="41" borderId="0" applyNumberFormat="0" applyBorder="0" applyAlignment="0" applyProtection="0"/>
    <xf numFmtId="181" fontId="88"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41" borderId="0" applyNumberFormat="0" applyBorder="0" applyAlignment="0" applyProtection="0"/>
    <xf numFmtId="181" fontId="85" fillId="21" borderId="0" applyNumberFormat="0" applyBorder="0" applyAlignment="0" applyProtection="0"/>
    <xf numFmtId="181" fontId="86" fillId="21" borderId="0" applyNumberFormat="0" applyBorder="0" applyAlignment="0" applyProtection="0"/>
    <xf numFmtId="181" fontId="86" fillId="21" borderId="0" applyNumberFormat="0" applyBorder="0" applyAlignment="0" applyProtection="0"/>
    <xf numFmtId="181" fontId="86" fillId="21" borderId="0" applyNumberFormat="0" applyBorder="0" applyAlignment="0" applyProtection="0"/>
    <xf numFmtId="181" fontId="86" fillId="21" borderId="0" applyNumberFormat="0" applyBorder="0" applyAlignment="0" applyProtection="0"/>
    <xf numFmtId="181" fontId="87" fillId="21" borderId="0" applyNumberFormat="0" applyBorder="0" applyAlignment="0" applyProtection="0"/>
    <xf numFmtId="181" fontId="86" fillId="21" borderId="0" applyNumberFormat="0" applyBorder="0" applyAlignment="0" applyProtection="0"/>
    <xf numFmtId="181" fontId="87" fillId="21" borderId="0" applyNumberFormat="0" applyBorder="0" applyAlignment="0" applyProtection="0"/>
    <xf numFmtId="181" fontId="87" fillId="21" borderId="0" applyNumberFormat="0" applyBorder="0" applyAlignment="0" applyProtection="0"/>
    <xf numFmtId="181" fontId="87" fillId="21" borderId="0" applyNumberFormat="0" applyBorder="0" applyAlignment="0" applyProtection="0"/>
    <xf numFmtId="181" fontId="87" fillId="21" borderId="0" applyNumberFormat="0" applyBorder="0" applyAlignment="0" applyProtection="0"/>
    <xf numFmtId="181" fontId="86" fillId="21" borderId="0" applyNumberFormat="0" applyBorder="0" applyAlignment="0" applyProtection="0"/>
    <xf numFmtId="181" fontId="86" fillId="21" borderId="0" applyNumberFormat="0" applyBorder="0" applyAlignment="0" applyProtection="0"/>
    <xf numFmtId="181" fontId="87"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52" fillId="21" borderId="0" applyNumberFormat="0" applyBorder="0" applyAlignment="0" applyProtection="0"/>
    <xf numFmtId="181" fontId="52" fillId="21" borderId="0" applyNumberFormat="0" applyBorder="0" applyAlignment="0" applyProtection="0"/>
    <xf numFmtId="181" fontId="52"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8" fillId="21" borderId="0" applyNumberFormat="0" applyBorder="0" applyAlignment="0" applyProtection="0"/>
    <xf numFmtId="181" fontId="88"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8" fillId="21" borderId="0" applyNumberFormat="0" applyBorder="0" applyAlignment="0" applyProtection="0"/>
    <xf numFmtId="181" fontId="88" fillId="21" borderId="0" applyNumberFormat="0" applyBorder="0" applyAlignment="0" applyProtection="0"/>
    <xf numFmtId="181" fontId="88"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40" borderId="0" applyNumberFormat="0" applyBorder="0" applyAlignment="0" applyProtection="0"/>
    <xf numFmtId="181" fontId="86" fillId="40" borderId="0" applyNumberFormat="0" applyBorder="0" applyAlignment="0" applyProtection="0"/>
    <xf numFmtId="181" fontId="86" fillId="40" borderId="0" applyNumberFormat="0" applyBorder="0" applyAlignment="0" applyProtection="0"/>
    <xf numFmtId="181" fontId="86" fillId="40" borderId="0" applyNumberFormat="0" applyBorder="0" applyAlignment="0" applyProtection="0"/>
    <xf numFmtId="181" fontId="86" fillId="40" borderId="0" applyNumberFormat="0" applyBorder="0" applyAlignment="0" applyProtection="0"/>
    <xf numFmtId="181" fontId="87" fillId="40" borderId="0" applyNumberFormat="0" applyBorder="0" applyAlignment="0" applyProtection="0"/>
    <xf numFmtId="181" fontId="86" fillId="40" borderId="0" applyNumberFormat="0" applyBorder="0" applyAlignment="0" applyProtection="0"/>
    <xf numFmtId="181" fontId="87" fillId="40" borderId="0" applyNumberFormat="0" applyBorder="0" applyAlignment="0" applyProtection="0"/>
    <xf numFmtId="181" fontId="87" fillId="40" borderId="0" applyNumberFormat="0" applyBorder="0" applyAlignment="0" applyProtection="0"/>
    <xf numFmtId="181" fontId="87" fillId="40" borderId="0" applyNumberFormat="0" applyBorder="0" applyAlignment="0" applyProtection="0"/>
    <xf numFmtId="181" fontId="87" fillId="40" borderId="0" applyNumberFormat="0" applyBorder="0" applyAlignment="0" applyProtection="0"/>
    <xf numFmtId="181" fontId="86" fillId="40" borderId="0" applyNumberFormat="0" applyBorder="0" applyAlignment="0" applyProtection="0"/>
    <xf numFmtId="181" fontId="86" fillId="40" borderId="0" applyNumberFormat="0" applyBorder="0" applyAlignment="0" applyProtection="0"/>
    <xf numFmtId="181" fontId="87"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52" fillId="40" borderId="0" applyNumberFormat="0" applyBorder="0" applyAlignment="0" applyProtection="0"/>
    <xf numFmtId="181" fontId="52" fillId="40" borderId="0" applyNumberFormat="0" applyBorder="0" applyAlignment="0" applyProtection="0"/>
    <xf numFmtId="181" fontId="52"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28" borderId="0" applyNumberFormat="0" applyBorder="0" applyAlignment="0" applyProtection="0"/>
    <xf numFmtId="181" fontId="85" fillId="28"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8" fillId="40" borderId="0" applyNumberFormat="0" applyBorder="0" applyAlignment="0" applyProtection="0"/>
    <xf numFmtId="181" fontId="88"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8" fillId="40" borderId="0" applyNumberFormat="0" applyBorder="0" applyAlignment="0" applyProtection="0"/>
    <xf numFmtId="181" fontId="88" fillId="40" borderId="0" applyNumberFormat="0" applyBorder="0" applyAlignment="0" applyProtection="0"/>
    <xf numFmtId="181" fontId="88"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40" borderId="0" applyNumberFormat="0" applyBorder="0" applyAlignment="0" applyProtection="0"/>
    <xf numFmtId="181" fontId="85" fillId="42" borderId="0" applyNumberFormat="0" applyBorder="0" applyAlignment="0" applyProtection="0"/>
    <xf numFmtId="181" fontId="86" fillId="42" borderId="0" applyNumberFormat="0" applyBorder="0" applyAlignment="0" applyProtection="0"/>
    <xf numFmtId="181" fontId="86" fillId="42" borderId="0" applyNumberFormat="0" applyBorder="0" applyAlignment="0" applyProtection="0"/>
    <xf numFmtId="181" fontId="86" fillId="42" borderId="0" applyNumberFormat="0" applyBorder="0" applyAlignment="0" applyProtection="0"/>
    <xf numFmtId="181" fontId="86" fillId="42" borderId="0" applyNumberFormat="0" applyBorder="0" applyAlignment="0" applyProtection="0"/>
    <xf numFmtId="181" fontId="87" fillId="42" borderId="0" applyNumberFormat="0" applyBorder="0" applyAlignment="0" applyProtection="0"/>
    <xf numFmtId="181" fontId="86" fillId="42" borderId="0" applyNumberFormat="0" applyBorder="0" applyAlignment="0" applyProtection="0"/>
    <xf numFmtId="181" fontId="87" fillId="42" borderId="0" applyNumberFormat="0" applyBorder="0" applyAlignment="0" applyProtection="0"/>
    <xf numFmtId="181" fontId="87" fillId="42" borderId="0" applyNumberFormat="0" applyBorder="0" applyAlignment="0" applyProtection="0"/>
    <xf numFmtId="181" fontId="87" fillId="42" borderId="0" applyNumberFormat="0" applyBorder="0" applyAlignment="0" applyProtection="0"/>
    <xf numFmtId="181" fontId="87" fillId="42" borderId="0" applyNumberFormat="0" applyBorder="0" applyAlignment="0" applyProtection="0"/>
    <xf numFmtId="181" fontId="86" fillId="42" borderId="0" applyNumberFormat="0" applyBorder="0" applyAlignment="0" applyProtection="0"/>
    <xf numFmtId="181" fontId="86" fillId="42" borderId="0" applyNumberFormat="0" applyBorder="0" applyAlignment="0" applyProtection="0"/>
    <xf numFmtId="181" fontId="87"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52" fillId="42" borderId="0" applyNumberFormat="0" applyBorder="0" applyAlignment="0" applyProtection="0"/>
    <xf numFmtId="181" fontId="52" fillId="42" borderId="0" applyNumberFormat="0" applyBorder="0" applyAlignment="0" applyProtection="0"/>
    <xf numFmtId="181" fontId="52"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26" borderId="0" applyNumberFormat="0" applyBorder="0" applyAlignment="0" applyProtection="0"/>
    <xf numFmtId="181" fontId="85" fillId="26"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8" fillId="42" borderId="0" applyNumberFormat="0" applyBorder="0" applyAlignment="0" applyProtection="0"/>
    <xf numFmtId="181" fontId="88"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8" fillId="42" borderId="0" applyNumberFormat="0" applyBorder="0" applyAlignment="0" applyProtection="0"/>
    <xf numFmtId="181" fontId="88" fillId="42" borderId="0" applyNumberFormat="0" applyBorder="0" applyAlignment="0" applyProtection="0"/>
    <xf numFmtId="181" fontId="88"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31" borderId="0" applyNumberFormat="0" applyBorder="0" applyAlignment="0" applyProtection="0"/>
    <xf numFmtId="181" fontId="86" fillId="31" borderId="0" applyNumberFormat="0" applyBorder="0" applyAlignment="0" applyProtection="0"/>
    <xf numFmtId="181" fontId="86" fillId="31" borderId="0" applyNumberFormat="0" applyBorder="0" applyAlignment="0" applyProtection="0"/>
    <xf numFmtId="181" fontId="86" fillId="31" borderId="0" applyNumberFormat="0" applyBorder="0" applyAlignment="0" applyProtection="0"/>
    <xf numFmtId="181" fontId="86" fillId="31" borderId="0" applyNumberFormat="0" applyBorder="0" applyAlignment="0" applyProtection="0"/>
    <xf numFmtId="181" fontId="87" fillId="31" borderId="0" applyNumberFormat="0" applyBorder="0" applyAlignment="0" applyProtection="0"/>
    <xf numFmtId="181" fontId="86" fillId="31" borderId="0" applyNumberFormat="0" applyBorder="0" applyAlignment="0" applyProtection="0"/>
    <xf numFmtId="181" fontId="87" fillId="31" borderId="0" applyNumberFormat="0" applyBorder="0" applyAlignment="0" applyProtection="0"/>
    <xf numFmtId="181" fontId="87" fillId="31" borderId="0" applyNumberFormat="0" applyBorder="0" applyAlignment="0" applyProtection="0"/>
    <xf numFmtId="181" fontId="87" fillId="31" borderId="0" applyNumberFormat="0" applyBorder="0" applyAlignment="0" applyProtection="0"/>
    <xf numFmtId="181" fontId="87" fillId="31" borderId="0" applyNumberFormat="0" applyBorder="0" applyAlignment="0" applyProtection="0"/>
    <xf numFmtId="181" fontId="86" fillId="31" borderId="0" applyNumberFormat="0" applyBorder="0" applyAlignment="0" applyProtection="0"/>
    <xf numFmtId="181" fontId="86" fillId="31" borderId="0" applyNumberFormat="0" applyBorder="0" applyAlignment="0" applyProtection="0"/>
    <xf numFmtId="181" fontId="87"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52" fillId="31" borderId="0" applyNumberFormat="0" applyBorder="0" applyAlignment="0" applyProtection="0"/>
    <xf numFmtId="181" fontId="52" fillId="31" borderId="0" applyNumberFormat="0" applyBorder="0" applyAlignment="0" applyProtection="0"/>
    <xf numFmtId="181" fontId="52"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24" borderId="0" applyNumberFormat="0" applyBorder="0" applyAlignment="0" applyProtection="0"/>
    <xf numFmtId="181" fontId="85" fillId="24"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8" fillId="31" borderId="0" applyNumberFormat="0" applyBorder="0" applyAlignment="0" applyProtection="0"/>
    <xf numFmtId="181" fontId="88"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8" fillId="31" borderId="0" applyNumberFormat="0" applyBorder="0" applyAlignment="0" applyProtection="0"/>
    <xf numFmtId="181" fontId="88" fillId="31" borderId="0" applyNumberFormat="0" applyBorder="0" applyAlignment="0" applyProtection="0"/>
    <xf numFmtId="181" fontId="88"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43" borderId="0" applyNumberFormat="0" applyBorder="0" applyAlignment="0" applyProtection="0"/>
    <xf numFmtId="181" fontId="86" fillId="43" borderId="0" applyNumberFormat="0" applyBorder="0" applyAlignment="0" applyProtection="0"/>
    <xf numFmtId="181" fontId="86" fillId="43" borderId="0" applyNumberFormat="0" applyBorder="0" applyAlignment="0" applyProtection="0"/>
    <xf numFmtId="181" fontId="86" fillId="43" borderId="0" applyNumberFormat="0" applyBorder="0" applyAlignment="0" applyProtection="0"/>
    <xf numFmtId="181" fontId="86" fillId="43" borderId="0" applyNumberFormat="0" applyBorder="0" applyAlignment="0" applyProtection="0"/>
    <xf numFmtId="181" fontId="87" fillId="43" borderId="0" applyNumberFormat="0" applyBorder="0" applyAlignment="0" applyProtection="0"/>
    <xf numFmtId="181" fontId="86" fillId="43" borderId="0" applyNumberFormat="0" applyBorder="0" applyAlignment="0" applyProtection="0"/>
    <xf numFmtId="181" fontId="87" fillId="43" borderId="0" applyNumberFormat="0" applyBorder="0" applyAlignment="0" applyProtection="0"/>
    <xf numFmtId="181" fontId="87" fillId="43" borderId="0" applyNumberFormat="0" applyBorder="0" applyAlignment="0" applyProtection="0"/>
    <xf numFmtId="181" fontId="87" fillId="43" borderId="0" applyNumberFormat="0" applyBorder="0" applyAlignment="0" applyProtection="0"/>
    <xf numFmtId="181" fontId="87" fillId="43" borderId="0" applyNumberFormat="0" applyBorder="0" applyAlignment="0" applyProtection="0"/>
    <xf numFmtId="181" fontId="86" fillId="43" borderId="0" applyNumberFormat="0" applyBorder="0" applyAlignment="0" applyProtection="0"/>
    <xf numFmtId="181" fontId="86" fillId="43" borderId="0" applyNumberFormat="0" applyBorder="0" applyAlignment="0" applyProtection="0"/>
    <xf numFmtId="181" fontId="87"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52" fillId="43" borderId="0" applyNumberFormat="0" applyBorder="0" applyAlignment="0" applyProtection="0"/>
    <xf numFmtId="181" fontId="52" fillId="43" borderId="0" applyNumberFormat="0" applyBorder="0" applyAlignment="0" applyProtection="0"/>
    <xf numFmtId="181" fontId="52"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5" fillId="21" borderId="0" applyNumberFormat="0" applyBorder="0" applyAlignment="0" applyProtection="0"/>
    <xf numFmtId="181" fontId="85" fillId="21"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8" fillId="43" borderId="0" applyNumberFormat="0" applyBorder="0" applyAlignment="0" applyProtection="0"/>
    <xf numFmtId="181" fontId="88"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8" fillId="43" borderId="0" applyNumberFormat="0" applyBorder="0" applyAlignment="0" applyProtection="0"/>
    <xf numFmtId="181" fontId="88" fillId="43" borderId="0" applyNumberFormat="0" applyBorder="0" applyAlignment="0" applyProtection="0"/>
    <xf numFmtId="181" fontId="88"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85" fillId="43" borderId="0" applyNumberFormat="0" applyBorder="0" applyAlignment="0" applyProtection="0"/>
    <xf numFmtId="181" fontId="13" fillId="41" borderId="0" applyNumberFormat="0" applyBorder="0" applyAlignment="0" applyProtection="0"/>
    <xf numFmtId="181" fontId="13" fillId="21" borderId="0" applyNumberFormat="0" applyBorder="0" applyAlignment="0" applyProtection="0"/>
    <xf numFmtId="181" fontId="13" fillId="40" borderId="0" applyNumberFormat="0" applyBorder="0" applyAlignment="0" applyProtection="0"/>
    <xf numFmtId="181" fontId="13" fillId="42" borderId="0" applyNumberFormat="0" applyBorder="0" applyAlignment="0" applyProtection="0"/>
    <xf numFmtId="181" fontId="13" fillId="31" borderId="0" applyNumberFormat="0" applyBorder="0" applyAlignment="0" applyProtection="0"/>
    <xf numFmtId="181" fontId="13" fillId="43" borderId="0" applyNumberFormat="0" applyBorder="0" applyAlignment="0" applyProtection="0"/>
    <xf numFmtId="181" fontId="13" fillId="41" borderId="0" applyNumberFormat="0" applyBorder="0" applyAlignment="0" applyProtection="0"/>
    <xf numFmtId="181" fontId="13" fillId="21" borderId="0" applyNumberFormat="0" applyBorder="0" applyAlignment="0" applyProtection="0"/>
    <xf numFmtId="181" fontId="13" fillId="40" borderId="0" applyNumberFormat="0" applyBorder="0" applyAlignment="0" applyProtection="0"/>
    <xf numFmtId="181" fontId="13" fillId="42" borderId="0" applyNumberFormat="0" applyBorder="0" applyAlignment="0" applyProtection="0"/>
    <xf numFmtId="181" fontId="13" fillId="31" borderId="0" applyNumberFormat="0" applyBorder="0" applyAlignment="0" applyProtection="0"/>
    <xf numFmtId="181" fontId="13" fillId="43" borderId="0" applyNumberFormat="0" applyBorder="0" applyAlignment="0" applyProtection="0"/>
    <xf numFmtId="181" fontId="13" fillId="0" borderId="7" applyAlignment="0"/>
    <xf numFmtId="181" fontId="13" fillId="0" borderId="0">
      <alignment vertical="center"/>
    </xf>
    <xf numFmtId="181" fontId="13" fillId="0" borderId="0"/>
    <xf numFmtId="181" fontId="13" fillId="0" borderId="0">
      <alignment vertical="center"/>
    </xf>
    <xf numFmtId="181" fontId="13" fillId="0" borderId="38" applyAlignment="0"/>
    <xf numFmtId="181" fontId="13" fillId="0" borderId="0" applyBorder="0">
      <alignment horizontal="centerContinuous"/>
    </xf>
    <xf numFmtId="37" fontId="14" fillId="0" borderId="0">
      <alignment horizontal="center"/>
    </xf>
    <xf numFmtId="207" fontId="14" fillId="36" borderId="0" applyFont="0" applyBorder="0"/>
    <xf numFmtId="6" fontId="14" fillId="36" borderId="0" applyFont="0" applyBorder="0"/>
    <xf numFmtId="181" fontId="13" fillId="44" borderId="0"/>
    <xf numFmtId="181" fontId="13" fillId="44" borderId="0"/>
    <xf numFmtId="207" fontId="14" fillId="45" borderId="0" applyNumberFormat="0" applyFont="0" applyBorder="0" applyAlignment="0" applyProtection="0"/>
    <xf numFmtId="207" fontId="14" fillId="14" borderId="0" applyNumberFormat="0" applyFont="0" applyBorder="0" applyAlignment="0" applyProtection="0"/>
    <xf numFmtId="207" fontId="14" fillId="46" borderId="0" applyBorder="0"/>
    <xf numFmtId="6" fontId="14" fillId="46" borderId="0" applyBorder="0"/>
    <xf numFmtId="6" fontId="14" fillId="46" borderId="0" applyBorder="0"/>
    <xf numFmtId="6" fontId="14" fillId="46" borderId="0" applyBorder="0"/>
    <xf numFmtId="6" fontId="14" fillId="46" borderId="0" applyBorder="0"/>
    <xf numFmtId="6" fontId="14" fillId="46" borderId="0" applyBorder="0"/>
    <xf numFmtId="207" fontId="14" fillId="0" borderId="39" applyNumberFormat="0" applyBorder="0" applyAlignment="0" applyProtection="0"/>
    <xf numFmtId="194" fontId="14" fillId="0" borderId="0" applyBorder="0">
      <alignment horizontal="right"/>
    </xf>
    <xf numFmtId="194" fontId="14" fillId="0" borderId="39" applyBorder="0">
      <alignment horizontal="right"/>
    </xf>
    <xf numFmtId="6" fontId="14" fillId="0" borderId="39" applyNumberFormat="0" applyBorder="0" applyAlignment="0" applyProtection="0"/>
    <xf numFmtId="6" fontId="14" fillId="0" borderId="39" applyNumberFormat="0" applyBorder="0" applyAlignment="0" applyProtection="0"/>
    <xf numFmtId="6" fontId="14" fillId="0" borderId="39" applyNumberFormat="0" applyBorder="0" applyAlignment="0" applyProtection="0"/>
    <xf numFmtId="6" fontId="14" fillId="0" borderId="39" applyNumberFormat="0" applyBorder="0" applyAlignment="0" applyProtection="0"/>
    <xf numFmtId="6" fontId="14" fillId="0" borderId="39" applyNumberFormat="0" applyBorder="0" applyAlignment="0" applyProtection="0"/>
    <xf numFmtId="181" fontId="13" fillId="0" borderId="0" applyBorder="0">
      <alignment horizontal="right"/>
    </xf>
    <xf numFmtId="181" fontId="13" fillId="0" borderId="39" applyBorder="0">
      <alignment horizontal="right"/>
    </xf>
    <xf numFmtId="181" fontId="13" fillId="0" borderId="39" applyBorder="0">
      <alignment horizontal="right"/>
    </xf>
    <xf numFmtId="181" fontId="13" fillId="0" borderId="39" applyBorder="0">
      <alignment horizontal="right"/>
    </xf>
    <xf numFmtId="181" fontId="13" fillId="0" borderId="39" applyBorder="0">
      <alignment horizontal="right"/>
    </xf>
    <xf numFmtId="181" fontId="13" fillId="0" borderId="0" applyBorder="0">
      <alignment horizontal="right"/>
    </xf>
    <xf numFmtId="181" fontId="13" fillId="0" borderId="0" applyBorder="0">
      <alignment horizontal="right"/>
    </xf>
    <xf numFmtId="181" fontId="13" fillId="0" borderId="0" applyBorder="0">
      <alignment horizontal="right"/>
    </xf>
    <xf numFmtId="207" fontId="14" fillId="0" borderId="0">
      <alignment horizontal="left" indent="1"/>
    </xf>
    <xf numFmtId="6" fontId="14" fillId="0" borderId="0">
      <alignment horizontal="left" indent="1"/>
    </xf>
    <xf numFmtId="6" fontId="14" fillId="0" borderId="0">
      <alignment horizontal="left"/>
    </xf>
    <xf numFmtId="6" fontId="14" fillId="0" borderId="0">
      <alignment horizontal="left"/>
    </xf>
    <xf numFmtId="6" fontId="14" fillId="0" borderId="0">
      <alignment horizontal="left" indent="1"/>
    </xf>
    <xf numFmtId="6" fontId="14" fillId="0" borderId="0">
      <alignment horizontal="left"/>
    </xf>
    <xf numFmtId="6" fontId="14" fillId="0" borderId="0">
      <alignment horizontal="left"/>
    </xf>
    <xf numFmtId="6" fontId="14" fillId="0" borderId="0">
      <alignment horizontal="left" indent="1"/>
    </xf>
    <xf numFmtId="6" fontId="14" fillId="0" borderId="0">
      <alignment horizontal="left"/>
    </xf>
    <xf numFmtId="6" fontId="14" fillId="0" borderId="0">
      <alignment horizontal="left"/>
    </xf>
    <xf numFmtId="6" fontId="14" fillId="0" borderId="0">
      <alignment horizontal="left" indent="1"/>
    </xf>
    <xf numFmtId="6" fontId="14" fillId="0" borderId="0">
      <alignment horizontal="left"/>
    </xf>
    <xf numFmtId="6" fontId="14" fillId="0" borderId="0">
      <alignment horizontal="left"/>
    </xf>
    <xf numFmtId="6" fontId="14" fillId="0" borderId="0">
      <alignment horizontal="left" indent="1"/>
    </xf>
    <xf numFmtId="6" fontId="14" fillId="0" borderId="0">
      <alignment horizontal="left"/>
    </xf>
    <xf numFmtId="6" fontId="14" fillId="0" borderId="0">
      <alignment horizontal="left"/>
    </xf>
    <xf numFmtId="207" fontId="14" fillId="0" borderId="0">
      <alignment horizontal="left"/>
    </xf>
    <xf numFmtId="207" fontId="14" fillId="0" borderId="0">
      <alignment horizontal="left"/>
    </xf>
    <xf numFmtId="207" fontId="14" fillId="0" borderId="31" applyBorder="0"/>
    <xf numFmtId="6" fontId="14" fillId="0" borderId="31" applyBorder="0"/>
    <xf numFmtId="6" fontId="14" fillId="0" borderId="31" applyBorder="0"/>
    <xf numFmtId="6" fontId="14" fillId="0" borderId="31" applyBorder="0"/>
    <xf numFmtId="6" fontId="14" fillId="0" borderId="31" applyBorder="0"/>
    <xf numFmtId="6" fontId="14" fillId="0" borderId="31" applyBorder="0"/>
    <xf numFmtId="207" fontId="14" fillId="13" borderId="39" applyNumberFormat="0" applyFont="0" applyBorder="0" applyAlignment="0" applyProtection="0"/>
    <xf numFmtId="194" fontId="14" fillId="47" borderId="31" applyBorder="0">
      <alignment horizontal="right"/>
    </xf>
    <xf numFmtId="194" fontId="14" fillId="0" borderId="31" applyBorder="0">
      <alignment horizontal="right"/>
    </xf>
    <xf numFmtId="207" fontId="14" fillId="0" borderId="39" applyNumberFormat="0" applyBorder="0" applyAlignment="0" applyProtection="0"/>
    <xf numFmtId="6" fontId="14" fillId="0" borderId="39" applyNumberFormat="0" applyBorder="0" applyAlignment="0" applyProtection="0"/>
    <xf numFmtId="6" fontId="14" fillId="0" borderId="39" applyNumberFormat="0" applyBorder="0" applyAlignment="0" applyProtection="0"/>
    <xf numFmtId="6" fontId="14" fillId="0" borderId="39" applyNumberFormat="0" applyBorder="0" applyAlignment="0" applyProtection="0"/>
    <xf numFmtId="6" fontId="14" fillId="0" borderId="39" applyNumberFormat="0" applyBorder="0" applyAlignment="0" applyProtection="0"/>
    <xf numFmtId="6" fontId="14" fillId="0" borderId="39" applyNumberFormat="0" applyBorder="0" applyAlignment="0" applyProtection="0"/>
    <xf numFmtId="181" fontId="13" fillId="36" borderId="40" applyBorder="0">
      <alignment horizontal="center"/>
    </xf>
    <xf numFmtId="181" fontId="13" fillId="36" borderId="40" applyBorder="0">
      <alignment horizontal="center"/>
    </xf>
    <xf numFmtId="15" fontId="14" fillId="48" borderId="0" applyFont="0" applyFill="0" applyBorder="0" applyProtection="0">
      <alignment horizontal="center"/>
    </xf>
    <xf numFmtId="3" fontId="14" fillId="49" borderId="0" applyNumberFormat="0" applyBorder="0" applyAlignment="0" applyProtection="0"/>
    <xf numFmtId="181" fontId="23" fillId="0" borderId="33" applyNumberFormat="0" applyFill="0" applyBorder="0" applyAlignment="0" applyProtection="0">
      <alignment horizontal="center"/>
    </xf>
    <xf numFmtId="189" fontId="14" fillId="50" borderId="0" applyNumberFormat="0" applyBorder="0" applyAlignment="0" applyProtection="0"/>
    <xf numFmtId="234" fontId="14" fillId="44" borderId="0" applyNumberFormat="0" applyBorder="0" applyAlignment="0" applyProtection="0"/>
    <xf numFmtId="181" fontId="89" fillId="51" borderId="41" applyNumberFormat="0" applyBorder="0" applyProtection="0">
      <alignment horizontal="left" vertical="center"/>
    </xf>
    <xf numFmtId="181" fontId="90" fillId="48" borderId="0" applyNumberFormat="0" applyBorder="0" applyAlignment="0" applyProtection="0"/>
    <xf numFmtId="181" fontId="90" fillId="44" borderId="0" applyNumberFormat="0" applyBorder="0" applyAlignment="0" applyProtection="0"/>
    <xf numFmtId="181" fontId="13" fillId="51" borderId="41" applyNumberFormat="0" applyBorder="0" applyProtection="0">
      <alignment horizontal="left" vertical="center"/>
    </xf>
    <xf numFmtId="181" fontId="86" fillId="49" borderId="0" applyNumberFormat="0" applyBorder="0" applyAlignment="0" applyProtection="0"/>
    <xf numFmtId="181" fontId="89" fillId="52" borderId="0" applyNumberFormat="0" applyBorder="0" applyProtection="0">
      <alignment horizontal="center" wrapText="1"/>
    </xf>
    <xf numFmtId="181" fontId="89" fillId="52" borderId="0" applyNumberFormat="0" applyBorder="0" applyProtection="0">
      <alignment horizontal="center" wrapText="1"/>
    </xf>
    <xf numFmtId="181" fontId="89" fillId="52" borderId="0" applyNumberFormat="0" applyBorder="0" applyProtection="0">
      <alignment horizontal="center" wrapText="1"/>
    </xf>
    <xf numFmtId="181" fontId="86" fillId="44" borderId="0" applyNumberFormat="0" applyBorder="0" applyAlignment="0" applyProtection="0"/>
    <xf numFmtId="181" fontId="86" fillId="44" borderId="0" applyNumberFormat="0" applyBorder="0" applyAlignment="0" applyProtection="0"/>
    <xf numFmtId="189" fontId="153" fillId="50" borderId="42" applyNumberFormat="0" applyBorder="0" applyAlignment="0" applyProtection="0">
      <alignment horizontal="left"/>
    </xf>
    <xf numFmtId="189" fontId="153" fillId="50" borderId="42" applyNumberFormat="0" applyBorder="0" applyAlignment="0" applyProtection="0">
      <alignment horizontal="left"/>
    </xf>
    <xf numFmtId="181" fontId="85" fillId="53" borderId="0" applyNumberFormat="0" applyBorder="0" applyAlignment="0" applyProtection="0"/>
    <xf numFmtId="181" fontId="86" fillId="53" borderId="0" applyNumberFormat="0" applyBorder="0" applyAlignment="0" applyProtection="0"/>
    <xf numFmtId="181" fontId="86" fillId="53" borderId="0" applyNumberFormat="0" applyBorder="0" applyAlignment="0" applyProtection="0"/>
    <xf numFmtId="181" fontId="86" fillId="53" borderId="0" applyNumberFormat="0" applyBorder="0" applyAlignment="0" applyProtection="0"/>
    <xf numFmtId="181" fontId="86" fillId="53" borderId="0" applyNumberFormat="0" applyBorder="0" applyAlignment="0" applyProtection="0"/>
    <xf numFmtId="181" fontId="87" fillId="53" borderId="0" applyNumberFormat="0" applyBorder="0" applyAlignment="0" applyProtection="0"/>
    <xf numFmtId="181" fontId="86" fillId="53" borderId="0" applyNumberFormat="0" applyBorder="0" applyAlignment="0" applyProtection="0"/>
    <xf numFmtId="181" fontId="87" fillId="53" borderId="0" applyNumberFormat="0" applyBorder="0" applyAlignment="0" applyProtection="0"/>
    <xf numFmtId="181" fontId="87" fillId="53" borderId="0" applyNumberFormat="0" applyBorder="0" applyAlignment="0" applyProtection="0"/>
    <xf numFmtId="181" fontId="87" fillId="53" borderId="0" applyNumberFormat="0" applyBorder="0" applyAlignment="0" applyProtection="0"/>
    <xf numFmtId="181" fontId="87" fillId="53" borderId="0" applyNumberFormat="0" applyBorder="0" applyAlignment="0" applyProtection="0"/>
    <xf numFmtId="181" fontId="86" fillId="53" borderId="0" applyNumberFormat="0" applyBorder="0" applyAlignment="0" applyProtection="0"/>
    <xf numFmtId="181" fontId="86" fillId="53" borderId="0" applyNumberFormat="0" applyBorder="0" applyAlignment="0" applyProtection="0"/>
    <xf numFmtId="181" fontId="87"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52" fillId="53" borderId="0" applyNumberFormat="0" applyBorder="0" applyAlignment="0" applyProtection="0"/>
    <xf numFmtId="181" fontId="52" fillId="53" borderId="0" applyNumberFormat="0" applyBorder="0" applyAlignment="0" applyProtection="0"/>
    <xf numFmtId="181" fontId="52"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29" borderId="0" applyNumberFormat="0" applyBorder="0" applyAlignment="0" applyProtection="0"/>
    <xf numFmtId="181" fontId="85" fillId="29"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8" fillId="53" borderId="0" applyNumberFormat="0" applyBorder="0" applyAlignment="0" applyProtection="0"/>
    <xf numFmtId="181" fontId="88"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8" fillId="53" borderId="0" applyNumberFormat="0" applyBorder="0" applyAlignment="0" applyProtection="0"/>
    <xf numFmtId="181" fontId="88" fillId="53" borderId="0" applyNumberFormat="0" applyBorder="0" applyAlignment="0" applyProtection="0"/>
    <xf numFmtId="181" fontId="88"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53" borderId="0" applyNumberFormat="0" applyBorder="0" applyAlignment="0" applyProtection="0"/>
    <xf numFmtId="181" fontId="85" fillId="32" borderId="0" applyNumberFormat="0" applyBorder="0" applyAlignment="0" applyProtection="0"/>
    <xf numFmtId="181" fontId="86" fillId="32" borderId="0" applyNumberFormat="0" applyBorder="0" applyAlignment="0" applyProtection="0"/>
    <xf numFmtId="181" fontId="86" fillId="32" borderId="0" applyNumberFormat="0" applyBorder="0" applyAlignment="0" applyProtection="0"/>
    <xf numFmtId="181" fontId="86" fillId="32" borderId="0" applyNumberFormat="0" applyBorder="0" applyAlignment="0" applyProtection="0"/>
    <xf numFmtId="181" fontId="86" fillId="32" borderId="0" applyNumberFormat="0" applyBorder="0" applyAlignment="0" applyProtection="0"/>
    <xf numFmtId="181" fontId="87" fillId="32" borderId="0" applyNumberFormat="0" applyBorder="0" applyAlignment="0" applyProtection="0"/>
    <xf numFmtId="181" fontId="86" fillId="32" borderId="0" applyNumberFormat="0" applyBorder="0" applyAlignment="0" applyProtection="0"/>
    <xf numFmtId="181" fontId="87" fillId="32" borderId="0" applyNumberFormat="0" applyBorder="0" applyAlignment="0" applyProtection="0"/>
    <xf numFmtId="181" fontId="87" fillId="32" borderId="0" applyNumberFormat="0" applyBorder="0" applyAlignment="0" applyProtection="0"/>
    <xf numFmtId="181" fontId="87" fillId="32" borderId="0" applyNumberFormat="0" applyBorder="0" applyAlignment="0" applyProtection="0"/>
    <xf numFmtId="181" fontId="87" fillId="32" borderId="0" applyNumberFormat="0" applyBorder="0" applyAlignment="0" applyProtection="0"/>
    <xf numFmtId="181" fontId="86" fillId="32" borderId="0" applyNumberFormat="0" applyBorder="0" applyAlignment="0" applyProtection="0"/>
    <xf numFmtId="181" fontId="86" fillId="32" borderId="0" applyNumberFormat="0" applyBorder="0" applyAlignment="0" applyProtection="0"/>
    <xf numFmtId="181" fontId="87"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52" fillId="32" borderId="0" applyNumberFormat="0" applyBorder="0" applyAlignment="0" applyProtection="0"/>
    <xf numFmtId="181" fontId="52" fillId="32" borderId="0" applyNumberFormat="0" applyBorder="0" applyAlignment="0" applyProtection="0"/>
    <xf numFmtId="181" fontId="52"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8" fillId="32" borderId="0" applyNumberFormat="0" applyBorder="0" applyAlignment="0" applyProtection="0"/>
    <xf numFmtId="181" fontId="88"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8" fillId="32" borderId="0" applyNumberFormat="0" applyBorder="0" applyAlignment="0" applyProtection="0"/>
    <xf numFmtId="181" fontId="88" fillId="32" borderId="0" applyNumberFormat="0" applyBorder="0" applyAlignment="0" applyProtection="0"/>
    <xf numFmtId="181" fontId="88"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54" borderId="0" applyNumberFormat="0" applyBorder="0" applyAlignment="0" applyProtection="0"/>
    <xf numFmtId="181" fontId="86" fillId="54" borderId="0" applyNumberFormat="0" applyBorder="0" applyAlignment="0" applyProtection="0"/>
    <xf numFmtId="181" fontId="86" fillId="54" borderId="0" applyNumberFormat="0" applyBorder="0" applyAlignment="0" applyProtection="0"/>
    <xf numFmtId="181" fontId="86" fillId="54" borderId="0" applyNumberFormat="0" applyBorder="0" applyAlignment="0" applyProtection="0"/>
    <xf numFmtId="181" fontId="86" fillId="54" borderId="0" applyNumberFormat="0" applyBorder="0" applyAlignment="0" applyProtection="0"/>
    <xf numFmtId="181" fontId="87" fillId="54" borderId="0" applyNumberFormat="0" applyBorder="0" applyAlignment="0" applyProtection="0"/>
    <xf numFmtId="181" fontId="86" fillId="54" borderId="0" applyNumberFormat="0" applyBorder="0" applyAlignment="0" applyProtection="0"/>
    <xf numFmtId="181" fontId="87" fillId="54" borderId="0" applyNumberFormat="0" applyBorder="0" applyAlignment="0" applyProtection="0"/>
    <xf numFmtId="181" fontId="87" fillId="54" borderId="0" applyNumberFormat="0" applyBorder="0" applyAlignment="0" applyProtection="0"/>
    <xf numFmtId="181" fontId="87" fillId="54" borderId="0" applyNumberFormat="0" applyBorder="0" applyAlignment="0" applyProtection="0"/>
    <xf numFmtId="181" fontId="87" fillId="54" borderId="0" applyNumberFormat="0" applyBorder="0" applyAlignment="0" applyProtection="0"/>
    <xf numFmtId="181" fontId="86" fillId="54" borderId="0" applyNumberFormat="0" applyBorder="0" applyAlignment="0" applyProtection="0"/>
    <xf numFmtId="181" fontId="86" fillId="54" borderId="0" applyNumberFormat="0" applyBorder="0" applyAlignment="0" applyProtection="0"/>
    <xf numFmtId="181" fontId="87"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52" fillId="54" borderId="0" applyNumberFormat="0" applyBorder="0" applyAlignment="0" applyProtection="0"/>
    <xf numFmtId="181" fontId="52" fillId="54" borderId="0" applyNumberFormat="0" applyBorder="0" applyAlignment="0" applyProtection="0"/>
    <xf numFmtId="181" fontId="52"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28" borderId="0" applyNumberFormat="0" applyBorder="0" applyAlignment="0" applyProtection="0"/>
    <xf numFmtId="181" fontId="85" fillId="28"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8" fillId="54" borderId="0" applyNumberFormat="0" applyBorder="0" applyAlignment="0" applyProtection="0"/>
    <xf numFmtId="181" fontId="88"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8" fillId="54" borderId="0" applyNumberFormat="0" applyBorder="0" applyAlignment="0" applyProtection="0"/>
    <xf numFmtId="181" fontId="88" fillId="54" borderId="0" applyNumberFormat="0" applyBorder="0" applyAlignment="0" applyProtection="0"/>
    <xf numFmtId="181" fontId="88"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54" borderId="0" applyNumberFormat="0" applyBorder="0" applyAlignment="0" applyProtection="0"/>
    <xf numFmtId="181" fontId="85" fillId="42" borderId="0" applyNumberFormat="0" applyBorder="0" applyAlignment="0" applyProtection="0"/>
    <xf numFmtId="181" fontId="86" fillId="42" borderId="0" applyNumberFormat="0" applyBorder="0" applyAlignment="0" applyProtection="0"/>
    <xf numFmtId="181" fontId="86" fillId="42" borderId="0" applyNumberFormat="0" applyBorder="0" applyAlignment="0" applyProtection="0"/>
    <xf numFmtId="181" fontId="86" fillId="42" borderId="0" applyNumberFormat="0" applyBorder="0" applyAlignment="0" applyProtection="0"/>
    <xf numFmtId="181" fontId="86" fillId="42" borderId="0" applyNumberFormat="0" applyBorder="0" applyAlignment="0" applyProtection="0"/>
    <xf numFmtId="181" fontId="87" fillId="42" borderId="0" applyNumberFormat="0" applyBorder="0" applyAlignment="0" applyProtection="0"/>
    <xf numFmtId="181" fontId="86" fillId="42" borderId="0" applyNumberFormat="0" applyBorder="0" applyAlignment="0" applyProtection="0"/>
    <xf numFmtId="181" fontId="87" fillId="42" borderId="0" applyNumberFormat="0" applyBorder="0" applyAlignment="0" applyProtection="0"/>
    <xf numFmtId="181" fontId="87" fillId="42" borderId="0" applyNumberFormat="0" applyBorder="0" applyAlignment="0" applyProtection="0"/>
    <xf numFmtId="181" fontId="87" fillId="42" borderId="0" applyNumberFormat="0" applyBorder="0" applyAlignment="0" applyProtection="0"/>
    <xf numFmtId="181" fontId="87" fillId="42" borderId="0" applyNumberFormat="0" applyBorder="0" applyAlignment="0" applyProtection="0"/>
    <xf numFmtId="181" fontId="86" fillId="42" borderId="0" applyNumberFormat="0" applyBorder="0" applyAlignment="0" applyProtection="0"/>
    <xf numFmtId="181" fontId="86" fillId="42" borderId="0" applyNumberFormat="0" applyBorder="0" applyAlignment="0" applyProtection="0"/>
    <xf numFmtId="181" fontId="87"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52" fillId="42" borderId="0" applyNumberFormat="0" applyBorder="0" applyAlignment="0" applyProtection="0"/>
    <xf numFmtId="181" fontId="52" fillId="42" borderId="0" applyNumberFormat="0" applyBorder="0" applyAlignment="0" applyProtection="0"/>
    <xf numFmtId="181" fontId="52"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30" borderId="0" applyNumberFormat="0" applyBorder="0" applyAlignment="0" applyProtection="0"/>
    <xf numFmtId="181" fontId="85" fillId="30"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8" fillId="42" borderId="0" applyNumberFormat="0" applyBorder="0" applyAlignment="0" applyProtection="0"/>
    <xf numFmtId="181" fontId="88"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8" fillId="42" borderId="0" applyNumberFormat="0" applyBorder="0" applyAlignment="0" applyProtection="0"/>
    <xf numFmtId="181" fontId="88" fillId="42" borderId="0" applyNumberFormat="0" applyBorder="0" applyAlignment="0" applyProtection="0"/>
    <xf numFmtId="181" fontId="88"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42" borderId="0" applyNumberFormat="0" applyBorder="0" applyAlignment="0" applyProtection="0"/>
    <xf numFmtId="181" fontId="85" fillId="31" borderId="0" applyNumberFormat="0" applyBorder="0" applyAlignment="0" applyProtection="0"/>
    <xf numFmtId="181" fontId="86" fillId="31" borderId="0" applyNumberFormat="0" applyBorder="0" applyAlignment="0" applyProtection="0"/>
    <xf numFmtId="181" fontId="86" fillId="31" borderId="0" applyNumberFormat="0" applyBorder="0" applyAlignment="0" applyProtection="0"/>
    <xf numFmtId="181" fontId="86" fillId="31" borderId="0" applyNumberFormat="0" applyBorder="0" applyAlignment="0" applyProtection="0"/>
    <xf numFmtId="181" fontId="86" fillId="31" borderId="0" applyNumberFormat="0" applyBorder="0" applyAlignment="0" applyProtection="0"/>
    <xf numFmtId="181" fontId="87" fillId="31" borderId="0" applyNumberFormat="0" applyBorder="0" applyAlignment="0" applyProtection="0"/>
    <xf numFmtId="181" fontId="86" fillId="31" borderId="0" applyNumberFormat="0" applyBorder="0" applyAlignment="0" applyProtection="0"/>
    <xf numFmtId="181" fontId="87" fillId="31" borderId="0" applyNumberFormat="0" applyBorder="0" applyAlignment="0" applyProtection="0"/>
    <xf numFmtId="181" fontId="87" fillId="31" borderId="0" applyNumberFormat="0" applyBorder="0" applyAlignment="0" applyProtection="0"/>
    <xf numFmtId="181" fontId="87" fillId="31" borderId="0" applyNumberFormat="0" applyBorder="0" applyAlignment="0" applyProtection="0"/>
    <xf numFmtId="181" fontId="87" fillId="31" borderId="0" applyNumberFormat="0" applyBorder="0" applyAlignment="0" applyProtection="0"/>
    <xf numFmtId="181" fontId="86" fillId="31" borderId="0" applyNumberFormat="0" applyBorder="0" applyAlignment="0" applyProtection="0"/>
    <xf numFmtId="181" fontId="86" fillId="31" borderId="0" applyNumberFormat="0" applyBorder="0" applyAlignment="0" applyProtection="0"/>
    <xf numFmtId="181" fontId="87"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52" fillId="31" borderId="0" applyNumberFormat="0" applyBorder="0" applyAlignment="0" applyProtection="0"/>
    <xf numFmtId="181" fontId="52" fillId="31" borderId="0" applyNumberFormat="0" applyBorder="0" applyAlignment="0" applyProtection="0"/>
    <xf numFmtId="181" fontId="52" fillId="31" borderId="0" applyNumberFormat="0" applyBorder="0" applyAlignment="0" applyProtection="0"/>
    <xf numFmtId="181" fontId="88" fillId="31" borderId="0" applyNumberFormat="0" applyBorder="0" applyAlignment="0" applyProtection="0"/>
    <xf numFmtId="181" fontId="88" fillId="31" borderId="0" applyNumberFormat="0" applyBorder="0" applyAlignment="0" applyProtection="0"/>
    <xf numFmtId="181" fontId="88" fillId="31" borderId="0" applyNumberFormat="0" applyBorder="0" applyAlignment="0" applyProtection="0"/>
    <xf numFmtId="181" fontId="88"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31" borderId="0" applyNumberFormat="0" applyBorder="0" applyAlignment="0" applyProtection="0"/>
    <xf numFmtId="181" fontId="85" fillId="27" borderId="0" applyNumberFormat="0" applyBorder="0" applyAlignment="0" applyProtection="0"/>
    <xf numFmtId="181" fontId="86" fillId="27" borderId="0" applyNumberFormat="0" applyBorder="0" applyAlignment="0" applyProtection="0"/>
    <xf numFmtId="181" fontId="86" fillId="27" borderId="0" applyNumberFormat="0" applyBorder="0" applyAlignment="0" applyProtection="0"/>
    <xf numFmtId="181" fontId="86" fillId="27" borderId="0" applyNumberFormat="0" applyBorder="0" applyAlignment="0" applyProtection="0"/>
    <xf numFmtId="181" fontId="86" fillId="27" borderId="0" applyNumberFormat="0" applyBorder="0" applyAlignment="0" applyProtection="0"/>
    <xf numFmtId="181" fontId="87" fillId="27" borderId="0" applyNumberFormat="0" applyBorder="0" applyAlignment="0" applyProtection="0"/>
    <xf numFmtId="181" fontId="86" fillId="27" borderId="0" applyNumberFormat="0" applyBorder="0" applyAlignment="0" applyProtection="0"/>
    <xf numFmtId="181" fontId="87" fillId="27" borderId="0" applyNumberFormat="0" applyBorder="0" applyAlignment="0" applyProtection="0"/>
    <xf numFmtId="181" fontId="87" fillId="27" borderId="0" applyNumberFormat="0" applyBorder="0" applyAlignment="0" applyProtection="0"/>
    <xf numFmtId="181" fontId="87" fillId="27" borderId="0" applyNumberFormat="0" applyBorder="0" applyAlignment="0" applyProtection="0"/>
    <xf numFmtId="181" fontId="87" fillId="27" borderId="0" applyNumberFormat="0" applyBorder="0" applyAlignment="0" applyProtection="0"/>
    <xf numFmtId="181" fontId="86" fillId="27" borderId="0" applyNumberFormat="0" applyBorder="0" applyAlignment="0" applyProtection="0"/>
    <xf numFmtId="181" fontId="86" fillId="27" borderId="0" applyNumberFormat="0" applyBorder="0" applyAlignment="0" applyProtection="0"/>
    <xf numFmtId="181" fontId="87"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52" fillId="27" borderId="0" applyNumberFormat="0" applyBorder="0" applyAlignment="0" applyProtection="0"/>
    <xf numFmtId="181" fontId="52" fillId="27" borderId="0" applyNumberFormat="0" applyBorder="0" applyAlignment="0" applyProtection="0"/>
    <xf numFmtId="181" fontId="52"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32" borderId="0" applyNumberFormat="0" applyBorder="0" applyAlignment="0" applyProtection="0"/>
    <xf numFmtId="181" fontId="85" fillId="32"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8" fillId="27" borderId="0" applyNumberFormat="0" applyBorder="0" applyAlignment="0" applyProtection="0"/>
    <xf numFmtId="181" fontId="88"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8" fillId="27" borderId="0" applyNumberFormat="0" applyBorder="0" applyAlignment="0" applyProtection="0"/>
    <xf numFmtId="181" fontId="88" fillId="27" borderId="0" applyNumberFormat="0" applyBorder="0" applyAlignment="0" applyProtection="0"/>
    <xf numFmtId="181" fontId="88"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181" fontId="85" fillId="27" borderId="0" applyNumberFormat="0" applyBorder="0" applyAlignment="0" applyProtection="0"/>
    <xf numFmtId="235" fontId="14" fillId="55" borderId="0" applyBorder="0" applyProtection="0"/>
    <xf numFmtId="181" fontId="91" fillId="0" borderId="17"/>
    <xf numFmtId="236" fontId="14" fillId="56" borderId="43">
      <alignment horizontal="center" vertical="center"/>
    </xf>
    <xf numFmtId="181" fontId="45" fillId="0" borderId="0"/>
    <xf numFmtId="181" fontId="45" fillId="0" borderId="0"/>
    <xf numFmtId="181" fontId="45" fillId="0" borderId="0"/>
    <xf numFmtId="181" fontId="45" fillId="0" borderId="0"/>
    <xf numFmtId="181" fontId="45" fillId="0" borderId="0"/>
    <xf numFmtId="181" fontId="45" fillId="0" borderId="0"/>
    <xf numFmtId="181" fontId="13" fillId="0" borderId="0"/>
    <xf numFmtId="181" fontId="13" fillId="0" borderId="0">
      <alignment horizontal="center" wrapText="1"/>
    </xf>
    <xf numFmtId="181" fontId="92" fillId="0" borderId="9">
      <alignment horizontal="center"/>
    </xf>
    <xf numFmtId="181" fontId="93" fillId="0" borderId="9">
      <alignment horizontal="center"/>
    </xf>
    <xf numFmtId="181" fontId="93" fillId="0" borderId="9">
      <alignment horizontal="center"/>
    </xf>
    <xf numFmtId="237" fontId="14" fillId="0" borderId="0"/>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32" fillId="0" borderId="17">
      <alignment horizontal="center" vertical="center"/>
    </xf>
    <xf numFmtId="181" fontId="13" fillId="57" borderId="44" applyNumberFormat="0"/>
    <xf numFmtId="210" fontId="157" fillId="14" borderId="0" applyBorder="0"/>
    <xf numFmtId="238" fontId="157" fillId="14" borderId="0" applyBorder="0"/>
    <xf numFmtId="239" fontId="157" fillId="14" borderId="0" applyBorder="0"/>
    <xf numFmtId="181" fontId="13" fillId="0" borderId="0"/>
    <xf numFmtId="3" fontId="14" fillId="13" borderId="9">
      <alignment horizontal="center"/>
      <protection locked="0"/>
    </xf>
    <xf numFmtId="3" fontId="14" fillId="13" borderId="0">
      <alignment horizontal="center"/>
      <protection locked="0"/>
    </xf>
    <xf numFmtId="17" fontId="14" fillId="13" borderId="9">
      <alignment horizontal="center"/>
      <protection locked="0"/>
    </xf>
    <xf numFmtId="240" fontId="14" fillId="0" borderId="45">
      <alignment horizontal="center" vertical="center"/>
      <protection locked="0"/>
    </xf>
    <xf numFmtId="241" fontId="14" fillId="0" borderId="45">
      <alignment horizontal="center" vertical="center"/>
      <protection locked="0"/>
    </xf>
    <xf numFmtId="242" fontId="14" fillId="0" borderId="45">
      <alignment horizontal="center" vertical="center"/>
      <protection locked="0"/>
    </xf>
    <xf numFmtId="243" fontId="14" fillId="0" borderId="45">
      <alignment horizontal="center" vertical="center"/>
      <protection locked="0"/>
    </xf>
    <xf numFmtId="244" fontId="14" fillId="0" borderId="45">
      <alignment horizontal="center" vertical="center"/>
      <protection locked="0"/>
    </xf>
    <xf numFmtId="245" fontId="14" fillId="0" borderId="45">
      <alignment horizontal="center" vertical="center"/>
      <protection locked="0"/>
    </xf>
    <xf numFmtId="181" fontId="13" fillId="0" borderId="45">
      <alignment vertical="center"/>
      <protection locked="0"/>
    </xf>
    <xf numFmtId="240" fontId="14" fillId="0" borderId="45">
      <alignment horizontal="right" vertical="center"/>
      <protection locked="0"/>
    </xf>
    <xf numFmtId="246" fontId="14" fillId="0" borderId="45">
      <alignment horizontal="right" vertical="center"/>
      <protection locked="0"/>
    </xf>
    <xf numFmtId="242" fontId="14" fillId="0" borderId="45">
      <alignment horizontal="right" vertical="center"/>
      <protection locked="0"/>
    </xf>
    <xf numFmtId="243" fontId="14" fillId="0" borderId="45">
      <alignment horizontal="right" vertical="center"/>
      <protection locked="0"/>
    </xf>
    <xf numFmtId="244" fontId="14" fillId="0" borderId="45">
      <alignment horizontal="right" vertical="center"/>
      <protection locked="0"/>
    </xf>
    <xf numFmtId="245" fontId="14" fillId="0" borderId="45">
      <alignment horizontal="right" vertical="center"/>
      <protection locked="0"/>
    </xf>
    <xf numFmtId="181" fontId="45" fillId="0" borderId="0">
      <protection locked="0"/>
    </xf>
    <xf numFmtId="181" fontId="94" fillId="0" borderId="0" applyNumberFormat="0" applyFill="0" applyBorder="0" applyAlignment="0" applyProtection="0">
      <alignment horizontal="centerContinuous"/>
    </xf>
    <xf numFmtId="38" fontId="14" fillId="58" borderId="0" applyNumberFormat="0" applyFont="0" applyAlignment="0"/>
    <xf numFmtId="181" fontId="95" fillId="26" borderId="0" applyNumberFormat="0" applyBorder="0" applyAlignment="0" applyProtection="0"/>
    <xf numFmtId="181" fontId="96" fillId="26" borderId="0" applyNumberFormat="0" applyBorder="0" applyAlignment="0" applyProtection="0"/>
    <xf numFmtId="181" fontId="96" fillId="26" borderId="0" applyNumberFormat="0" applyBorder="0" applyAlignment="0" applyProtection="0"/>
    <xf numFmtId="181" fontId="96" fillId="26" borderId="0" applyNumberFormat="0" applyBorder="0" applyAlignment="0" applyProtection="0"/>
    <xf numFmtId="181" fontId="96" fillId="26" borderId="0" applyNumberFormat="0" applyBorder="0" applyAlignment="0" applyProtection="0"/>
    <xf numFmtId="181" fontId="97" fillId="26" borderId="0" applyNumberFormat="0" applyBorder="0" applyAlignment="0" applyProtection="0"/>
    <xf numFmtId="181" fontId="96" fillId="26" borderId="0" applyNumberFormat="0" applyBorder="0" applyAlignment="0" applyProtection="0"/>
    <xf numFmtId="181" fontId="97" fillId="26" borderId="0" applyNumberFormat="0" applyBorder="0" applyAlignment="0" applyProtection="0"/>
    <xf numFmtId="181" fontId="97" fillId="26" borderId="0" applyNumberFormat="0" applyBorder="0" applyAlignment="0" applyProtection="0"/>
    <xf numFmtId="181" fontId="97" fillId="26" borderId="0" applyNumberFormat="0" applyBorder="0" applyAlignment="0" applyProtection="0"/>
    <xf numFmtId="181" fontId="97" fillId="26" borderId="0" applyNumberFormat="0" applyBorder="0" applyAlignment="0" applyProtection="0"/>
    <xf numFmtId="181" fontId="96" fillId="26" borderId="0" applyNumberFormat="0" applyBorder="0" applyAlignment="0" applyProtection="0"/>
    <xf numFmtId="181" fontId="96" fillId="26" borderId="0" applyNumberFormat="0" applyBorder="0" applyAlignment="0" applyProtection="0"/>
    <xf numFmtId="181" fontId="97"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53" fillId="26" borderId="0" applyNumberFormat="0" applyBorder="0" applyAlignment="0" applyProtection="0"/>
    <xf numFmtId="181" fontId="53" fillId="26" borderId="0" applyNumberFormat="0" applyBorder="0" applyAlignment="0" applyProtection="0"/>
    <xf numFmtId="181" fontId="53"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5" fillId="33" borderId="0" applyNumberFormat="0" applyBorder="0" applyAlignment="0" applyProtection="0"/>
    <xf numFmtId="181" fontId="95" fillId="33"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8" fillId="26" borderId="0" applyNumberFormat="0" applyBorder="0" applyAlignment="0" applyProtection="0"/>
    <xf numFmtId="181" fontId="98"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8" fillId="26" borderId="0" applyNumberFormat="0" applyBorder="0" applyAlignment="0" applyProtection="0"/>
    <xf numFmtId="181" fontId="98" fillId="26" borderId="0" applyNumberFormat="0" applyBorder="0" applyAlignment="0" applyProtection="0"/>
    <xf numFmtId="181" fontId="98"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95" fillId="26" borderId="0" applyNumberFormat="0" applyBorder="0" applyAlignment="0" applyProtection="0"/>
    <xf numFmtId="181" fontId="13" fillId="38" borderId="0" applyNumberFormat="0" applyBorder="0" applyAlignment="0" applyProtection="0"/>
    <xf numFmtId="181" fontId="13" fillId="39" borderId="46" applyNumberFormat="0" applyAlignment="0" applyProtection="0"/>
    <xf numFmtId="181" fontId="13" fillId="0" borderId="0" applyNumberFormat="0" applyFill="0" applyBorder="0" applyAlignment="0" applyProtection="0">
      <alignment vertical="top"/>
      <protection locked="0"/>
    </xf>
    <xf numFmtId="247" fontId="14" fillId="59" borderId="0">
      <protection locked="0"/>
    </xf>
    <xf numFmtId="181" fontId="13" fillId="0" borderId="47">
      <alignment horizontal="center"/>
    </xf>
    <xf numFmtId="181" fontId="99" fillId="0" borderId="0" applyNumberFormat="0" applyBorder="0" applyAlignment="0"/>
    <xf numFmtId="248" fontId="14" fillId="0" borderId="0"/>
    <xf numFmtId="181" fontId="100" fillId="0" borderId="0" applyNumberFormat="0" applyFont="0" applyProtection="0">
      <alignment horizontal="right" vertical="center"/>
    </xf>
    <xf numFmtId="249" fontId="14" fillId="0" borderId="0" applyFont="0" applyFill="0" applyBorder="0" applyAlignment="0"/>
    <xf numFmtId="9" fontId="14" fillId="0" borderId="0">
      <alignment horizontal="center"/>
    </xf>
    <xf numFmtId="4" fontId="14" fillId="60" borderId="0" applyFont="0" applyBorder="0" applyAlignment="0">
      <alignment horizontal="right"/>
    </xf>
    <xf numFmtId="4" fontId="14" fillId="60" borderId="0" applyFont="0" applyBorder="0" applyAlignment="0">
      <alignment horizontal="right"/>
    </xf>
    <xf numFmtId="4" fontId="14" fillId="60" borderId="0" applyFont="0" applyBorder="0" applyAlignment="0">
      <alignment horizontal="right"/>
    </xf>
    <xf numFmtId="4" fontId="14" fillId="60" borderId="0" applyFont="0" applyBorder="0" applyAlignment="0">
      <alignment horizontal="right"/>
    </xf>
    <xf numFmtId="181" fontId="13" fillId="0" borderId="0" applyNumberFormat="0" applyFill="0" applyBorder="0" applyAlignment="0" applyProtection="0"/>
    <xf numFmtId="181" fontId="13" fillId="0" borderId="7" applyNumberFormat="0" applyFill="0" applyAlignment="0" applyProtection="0"/>
    <xf numFmtId="5" fontId="158" fillId="0" borderId="31" applyAlignment="0" applyProtection="0"/>
    <xf numFmtId="181" fontId="13" fillId="0" borderId="37" applyNumberFormat="0" applyFont="0" applyFill="0" applyAlignment="0" applyProtection="0"/>
    <xf numFmtId="181" fontId="13" fillId="0" borderId="48" applyNumberFormat="0" applyFont="0" applyFill="0" applyAlignment="0" applyProtection="0"/>
    <xf numFmtId="5" fontId="14" fillId="0" borderId="31" applyAlignment="0" applyProtection="0"/>
    <xf numFmtId="181" fontId="13" fillId="48" borderId="49"/>
    <xf numFmtId="250" fontId="14" fillId="0" borderId="0"/>
    <xf numFmtId="250" fontId="14" fillId="0" borderId="17"/>
    <xf numFmtId="229" fontId="14" fillId="0" borderId="0"/>
    <xf numFmtId="229" fontId="14" fillId="0" borderId="0"/>
    <xf numFmtId="229" fontId="14" fillId="0" borderId="17"/>
    <xf numFmtId="251" fontId="14" fillId="0" borderId="0"/>
    <xf numFmtId="252" fontId="14" fillId="0" borderId="0"/>
    <xf numFmtId="252" fontId="14" fillId="0" borderId="0"/>
    <xf numFmtId="43" fontId="14" fillId="0" borderId="0"/>
    <xf numFmtId="49" fontId="14" fillId="0" borderId="0" applyFont="0" applyFill="0" applyBorder="0" applyAlignment="0" applyProtection="0">
      <alignment horizontal="left"/>
    </xf>
    <xf numFmtId="210" fontId="14" fillId="0" borderId="0" applyAlignment="0" applyProtection="0"/>
    <xf numFmtId="253" fontId="14" fillId="0" borderId="0" applyAlignment="0" applyProtection="0"/>
    <xf numFmtId="253" fontId="14" fillId="0" borderId="0" applyAlignment="0" applyProtection="0"/>
    <xf numFmtId="253" fontId="14" fillId="0" borderId="0" applyAlignment="0" applyProtection="0"/>
    <xf numFmtId="253" fontId="14" fillId="0" borderId="0" applyAlignment="0" applyProtection="0"/>
    <xf numFmtId="253" fontId="14" fillId="0" borderId="0" applyAlignment="0" applyProtection="0"/>
    <xf numFmtId="253" fontId="14" fillId="0" borderId="0" applyAlignment="0" applyProtection="0"/>
    <xf numFmtId="253" fontId="14" fillId="0" borderId="0" applyAlignment="0" applyProtection="0"/>
    <xf numFmtId="253" fontId="14" fillId="0" borderId="0" applyAlignment="0" applyProtection="0"/>
    <xf numFmtId="193" fontId="14" fillId="0" borderId="0" applyFill="0" applyBorder="0" applyAlignment="0" applyProtection="0"/>
    <xf numFmtId="49" fontId="14" fillId="0" borderId="0" applyNumberFormat="0" applyAlignment="0" applyProtection="0">
      <alignment horizontal="left"/>
    </xf>
    <xf numFmtId="49" fontId="14" fillId="0" borderId="50" applyNumberFormat="0" applyAlignment="0" applyProtection="0">
      <alignment horizontal="left" wrapText="1"/>
    </xf>
    <xf numFmtId="49" fontId="14" fillId="0" borderId="50" applyNumberFormat="0" applyAlignment="0" applyProtection="0">
      <alignment horizontal="left" wrapText="1"/>
    </xf>
    <xf numFmtId="49" fontId="14" fillId="0" borderId="50" applyNumberFormat="0" applyAlignment="0" applyProtection="0">
      <alignment horizontal="left" wrapText="1"/>
    </xf>
    <xf numFmtId="49" fontId="14" fillId="0" borderId="0" applyNumberFormat="0" applyAlignment="0" applyProtection="0">
      <alignment horizontal="left" wrapText="1"/>
    </xf>
    <xf numFmtId="49" fontId="14" fillId="0" borderId="0" applyAlignment="0" applyProtection="0">
      <alignment horizontal="left"/>
    </xf>
    <xf numFmtId="49" fontId="14" fillId="0" borderId="0" applyAlignment="0" applyProtection="0">
      <alignment horizontal="left"/>
    </xf>
    <xf numFmtId="49" fontId="14" fillId="0" borderId="0" applyAlignment="0" applyProtection="0">
      <alignment horizontal="left"/>
    </xf>
    <xf numFmtId="235" fontId="14" fillId="0" borderId="0"/>
    <xf numFmtId="181" fontId="13" fillId="0" borderId="7">
      <alignment horizontal="centerContinuous"/>
    </xf>
    <xf numFmtId="254" fontId="14" fillId="0" borderId="0" applyFont="0" applyFill="0" applyBorder="0" applyAlignment="0" applyProtection="0"/>
    <xf numFmtId="4" fontId="14" fillId="0" borderId="18">
      <alignment horizontal="centerContinuous"/>
    </xf>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3" fillId="0" borderId="0"/>
    <xf numFmtId="181" fontId="102" fillId="0" borderId="0" applyNumberFormat="0" applyFont="0" applyFill="0" applyBorder="0" applyProtection="0">
      <alignment horizontal="centerContinuous"/>
    </xf>
    <xf numFmtId="181" fontId="102" fillId="0" borderId="0" applyNumberFormat="0" applyFont="0" applyFill="0" applyBorder="0" applyProtection="0">
      <alignment horizontal="centerContinuous"/>
    </xf>
    <xf numFmtId="181" fontId="102" fillId="0" borderId="0" applyNumberFormat="0" applyFont="0" applyFill="0" applyBorder="0" applyProtection="0">
      <alignment horizontal="centerContinuous"/>
    </xf>
    <xf numFmtId="181" fontId="102" fillId="0" borderId="0" applyNumberFormat="0" applyFont="0" applyFill="0" applyBorder="0" applyProtection="0">
      <alignment horizontal="centerContinuous"/>
    </xf>
    <xf numFmtId="181" fontId="102" fillId="0" borderId="0" applyNumberFormat="0" applyFont="0" applyFill="0" applyBorder="0" applyProtection="0">
      <alignment horizontal="centerContinuous"/>
    </xf>
    <xf numFmtId="255" fontId="40" fillId="0" borderId="0" applyFill="0"/>
    <xf numFmtId="4" fontId="45" fillId="0" borderId="0">
      <alignment horizontal="right"/>
    </xf>
    <xf numFmtId="181" fontId="13" fillId="0" borderId="7" applyFill="0">
      <alignment horizontal="center"/>
    </xf>
    <xf numFmtId="255" fontId="159" fillId="0" borderId="34" applyFill="0"/>
    <xf numFmtId="181" fontId="13" fillId="0" borderId="0" applyFont="0" applyAlignment="0"/>
    <xf numFmtId="181" fontId="13" fillId="0" borderId="0" applyFont="0" applyAlignment="0"/>
    <xf numFmtId="181" fontId="13" fillId="0" borderId="0" applyFont="0" applyAlignment="0"/>
    <xf numFmtId="181" fontId="103" fillId="0" borderId="0" applyFill="0">
      <alignment vertical="top"/>
    </xf>
    <xf numFmtId="181" fontId="20" fillId="0" borderId="0" applyFill="0">
      <alignment horizontal="left" vertical="top"/>
    </xf>
    <xf numFmtId="255" fontId="45" fillId="0" borderId="17" applyFill="0"/>
    <xf numFmtId="181" fontId="13" fillId="0" borderId="0" applyNumberFormat="0" applyFont="0" applyAlignment="0"/>
    <xf numFmtId="181" fontId="13" fillId="0" borderId="0" applyNumberFormat="0" applyFont="0" applyAlignment="0"/>
    <xf numFmtId="181" fontId="103" fillId="0" borderId="0" applyFill="0">
      <alignment wrapText="1"/>
    </xf>
    <xf numFmtId="181" fontId="20" fillId="0" borderId="0" applyFill="0">
      <alignment horizontal="left" vertical="top" wrapText="1"/>
    </xf>
    <xf numFmtId="255" fontId="45" fillId="0" borderId="17" applyFill="0"/>
    <xf numFmtId="181" fontId="104" fillId="0" borderId="0" applyNumberFormat="0" applyFont="0" applyAlignment="0">
      <alignment horizontal="center"/>
    </xf>
    <xf numFmtId="181" fontId="22" fillId="0" borderId="0" applyFill="0">
      <alignment vertical="top" wrapText="1"/>
    </xf>
    <xf numFmtId="181" fontId="14" fillId="0" borderId="0" applyFill="0">
      <alignment horizontal="left" vertical="top" wrapText="1"/>
    </xf>
    <xf numFmtId="255" fontId="14" fillId="0" borderId="17" applyFill="0"/>
    <xf numFmtId="181" fontId="104" fillId="0" borderId="0" applyNumberFormat="0" applyFont="0" applyAlignment="0">
      <alignment horizontal="center"/>
    </xf>
    <xf numFmtId="181" fontId="105" fillId="0" borderId="0" applyFill="0">
      <alignment vertical="center" wrapText="1"/>
    </xf>
    <xf numFmtId="181" fontId="21" fillId="0" borderId="0">
      <alignment horizontal="left" vertical="center" wrapText="1"/>
    </xf>
    <xf numFmtId="255" fontId="115" fillId="0" borderId="17" applyFill="0"/>
    <xf numFmtId="181" fontId="104" fillId="0" borderId="0" applyNumberFormat="0" applyFont="0" applyAlignment="0">
      <alignment horizontal="center"/>
    </xf>
    <xf numFmtId="181" fontId="106" fillId="0" borderId="0" applyFill="0">
      <alignment horizontal="center" vertical="center" wrapText="1"/>
    </xf>
    <xf numFmtId="181" fontId="13" fillId="0" borderId="0" applyFill="0">
      <alignment horizontal="center" vertical="center" wrapText="1"/>
    </xf>
    <xf numFmtId="255" fontId="160" fillId="0" borderId="0" applyFill="0"/>
    <xf numFmtId="181" fontId="104" fillId="0" borderId="0" applyNumberFormat="0" applyFont="0" applyAlignment="0">
      <alignment horizontal="center"/>
    </xf>
    <xf numFmtId="181" fontId="108" fillId="0" borderId="0" applyFill="0">
      <alignment horizontal="center" vertical="center" wrapText="1"/>
    </xf>
    <xf numFmtId="181" fontId="109" fillId="0" borderId="0" applyFill="0">
      <alignment horizontal="center" vertical="center" wrapText="1"/>
    </xf>
    <xf numFmtId="255" fontId="162" fillId="0" borderId="0" applyFill="0"/>
    <xf numFmtId="181" fontId="104" fillId="0" borderId="0" applyNumberFormat="0" applyFont="0" applyAlignment="0">
      <alignment horizontal="center"/>
    </xf>
    <xf numFmtId="181" fontId="110" fillId="0" borderId="0">
      <alignment horizontal="center" wrapText="1"/>
    </xf>
    <xf numFmtId="181" fontId="107" fillId="0" borderId="0" applyFill="0">
      <alignment horizontal="center" wrapText="1"/>
    </xf>
    <xf numFmtId="181" fontId="13" fillId="0" borderId="0"/>
    <xf numFmtId="38" fontId="14" fillId="0" borderId="9">
      <alignment horizontal="right"/>
    </xf>
    <xf numFmtId="256" fontId="14" fillId="0" borderId="0" applyFill="0" applyBorder="0" applyAlignment="0"/>
    <xf numFmtId="257" fontId="14" fillId="0" borderId="9">
      <alignment horizontal="center"/>
    </xf>
    <xf numFmtId="181" fontId="13" fillId="39" borderId="46" applyNumberFormat="0" applyAlignment="0" applyProtection="0"/>
    <xf numFmtId="181" fontId="13" fillId="39" borderId="46" applyNumberFormat="0" applyAlignment="0" applyProtection="0"/>
    <xf numFmtId="256" fontId="14" fillId="13" borderId="0"/>
    <xf numFmtId="181" fontId="13" fillId="61" borderId="9" applyNumberFormat="0" applyFill="0" applyAlignment="0"/>
    <xf numFmtId="0" fontId="163" fillId="39" borderId="46" applyNumberFormat="0" applyAlignment="0" applyProtection="0"/>
    <xf numFmtId="181" fontId="111" fillId="39" borderId="46" applyNumberFormat="0" applyAlignment="0" applyProtection="0"/>
    <xf numFmtId="181" fontId="47" fillId="39" borderId="46" applyNumberFormat="0" applyAlignment="0" applyProtection="0"/>
    <xf numFmtId="181" fontId="111" fillId="39" borderId="46" applyNumberFormat="0" applyAlignment="0" applyProtection="0"/>
    <xf numFmtId="181" fontId="111" fillId="39" borderId="46" applyNumberFormat="0" applyAlignment="0" applyProtection="0"/>
    <xf numFmtId="181" fontId="111" fillId="39" borderId="46" applyNumberFormat="0" applyAlignment="0" applyProtection="0"/>
    <xf numFmtId="181" fontId="111" fillId="39" borderId="46" applyNumberFormat="0" applyAlignment="0" applyProtection="0"/>
    <xf numFmtId="181" fontId="111" fillId="39" borderId="46" applyNumberFormat="0" applyAlignment="0" applyProtection="0"/>
    <xf numFmtId="181" fontId="111" fillId="39" borderId="46" applyNumberFormat="0" applyAlignment="0" applyProtection="0"/>
    <xf numFmtId="258" fontId="164" fillId="0" borderId="0" applyFill="0" applyBorder="0" applyAlignment="0"/>
    <xf numFmtId="181" fontId="13" fillId="62" borderId="51">
      <alignment horizontal="center"/>
    </xf>
    <xf numFmtId="181" fontId="13" fillId="0" borderId="52">
      <alignment horizontal="right" vertical="center"/>
    </xf>
    <xf numFmtId="181" fontId="13" fillId="0" borderId="0"/>
    <xf numFmtId="259" fontId="40" fillId="0" borderId="0" applyFill="0" applyBorder="0"/>
    <xf numFmtId="259" fontId="40" fillId="0" borderId="0" applyFill="0" applyBorder="0"/>
    <xf numFmtId="259" fontId="40" fillId="0" borderId="0" applyFill="0" applyBorder="0">
      <alignment vertical="top"/>
    </xf>
    <xf numFmtId="200" fontId="14" fillId="0" borderId="0" applyFill="0" applyBorder="0">
      <alignment vertical="top"/>
    </xf>
    <xf numFmtId="259" fontId="40" fillId="0" borderId="0" applyFill="0" applyBorder="0"/>
    <xf numFmtId="259" fontId="40" fillId="0" borderId="0" applyFill="0" applyBorder="0"/>
    <xf numFmtId="259" fontId="40" fillId="0" borderId="0">
      <alignment vertical="top"/>
    </xf>
    <xf numFmtId="259" fontId="165" fillId="0" borderId="0" applyFill="0" applyBorder="0"/>
    <xf numFmtId="259" fontId="165" fillId="0" borderId="0" applyFill="0" applyBorder="0"/>
    <xf numFmtId="259" fontId="165" fillId="0" borderId="0" applyFill="0" applyBorder="0">
      <alignment vertical="top"/>
    </xf>
    <xf numFmtId="260" fontId="40" fillId="0" borderId="0" applyFill="0" applyBorder="0">
      <alignment vertical="top"/>
    </xf>
    <xf numFmtId="260" fontId="165" fillId="0" borderId="0" applyFill="0" applyBorder="0">
      <alignment vertical="top"/>
    </xf>
    <xf numFmtId="261" fontId="40" fillId="0" borderId="0" applyFill="0" applyBorder="0">
      <alignment vertical="top"/>
    </xf>
    <xf numFmtId="262" fontId="40" fillId="0" borderId="0" applyFill="0" applyBorder="0"/>
    <xf numFmtId="262" fontId="40" fillId="0" borderId="0" applyFill="0" applyBorder="0"/>
    <xf numFmtId="262" fontId="40" fillId="0" borderId="0" applyFill="0" applyBorder="0"/>
    <xf numFmtId="263" fontId="40" fillId="0" borderId="0" applyFill="0" applyBorder="0">
      <alignment vertical="top"/>
    </xf>
    <xf numFmtId="264" fontId="40" fillId="0" borderId="0" applyFill="0" applyBorder="0"/>
    <xf numFmtId="264" fontId="40" fillId="0" borderId="0" applyFill="0" applyBorder="0"/>
    <xf numFmtId="264" fontId="40" fillId="0" borderId="0" applyFill="0" applyBorder="0">
      <alignment vertical="top"/>
    </xf>
    <xf numFmtId="264" fontId="40" fillId="0" borderId="0" applyFill="0" applyBorder="0"/>
    <xf numFmtId="265" fontId="40" fillId="0" borderId="0" applyFill="0" applyBorder="0">
      <alignment vertical="top"/>
    </xf>
    <xf numFmtId="266" fontId="40" fillId="0" borderId="0" applyFill="0" applyBorder="0"/>
    <xf numFmtId="266" fontId="40" fillId="0" borderId="0" applyFill="0" applyBorder="0"/>
    <xf numFmtId="266" fontId="40" fillId="0" borderId="0" applyFill="0" applyBorder="0"/>
    <xf numFmtId="267" fontId="40" fillId="0" borderId="0" applyFill="0" applyBorder="0">
      <alignment vertical="top"/>
    </xf>
    <xf numFmtId="260" fontId="165" fillId="0" borderId="21" applyFill="0" applyBorder="0">
      <alignment vertical="top"/>
    </xf>
    <xf numFmtId="268" fontId="40" fillId="0" borderId="0" applyFill="0" applyBorder="0"/>
    <xf numFmtId="268" fontId="40" fillId="0" borderId="0" applyFill="0" applyBorder="0"/>
    <xf numFmtId="268" fontId="40" fillId="0" borderId="0" applyFill="0" applyBorder="0"/>
    <xf numFmtId="269" fontId="40" fillId="0" borderId="0" applyFill="0" applyBorder="0">
      <alignment vertical="top"/>
    </xf>
    <xf numFmtId="270" fontId="40" fillId="0" borderId="0" applyFill="0" applyBorder="0">
      <alignment vertical="top"/>
    </xf>
    <xf numFmtId="271" fontId="40" fillId="0" borderId="0" applyFill="0" applyBorder="0">
      <alignment vertical="top"/>
    </xf>
    <xf numFmtId="272" fontId="40" fillId="0" borderId="0" applyFill="0" applyBorder="0">
      <alignment vertical="top"/>
    </xf>
    <xf numFmtId="273" fontId="40" fillId="0" borderId="0" applyFill="0" applyBorder="0">
      <alignment vertical="top"/>
    </xf>
    <xf numFmtId="274" fontId="40" fillId="0" borderId="0" applyFill="0" applyBorder="0">
      <alignment vertical="top"/>
    </xf>
    <xf numFmtId="275" fontId="40" fillId="0" borderId="0" applyFill="0" applyBorder="0">
      <alignment vertical="top"/>
    </xf>
    <xf numFmtId="276" fontId="40" fillId="0" borderId="0" applyFill="0" applyBorder="0"/>
    <xf numFmtId="276" fontId="40" fillId="0" borderId="0" applyFill="0" applyBorder="0"/>
    <xf numFmtId="276" fontId="40" fillId="0" borderId="0" applyFill="0" applyBorder="0"/>
    <xf numFmtId="252" fontId="19" fillId="0" borderId="0" applyFill="0" applyBorder="0"/>
    <xf numFmtId="252" fontId="19" fillId="0" borderId="0" applyFill="0" applyBorder="0"/>
    <xf numFmtId="252" fontId="19" fillId="0" borderId="0" applyFill="0" applyBorder="0"/>
    <xf numFmtId="277" fontId="139" fillId="0" borderId="0" applyFill="0" applyBorder="0"/>
    <xf numFmtId="252" fontId="19" fillId="0" borderId="0" applyFill="0" applyBorder="0">
      <alignment vertical="top"/>
    </xf>
    <xf numFmtId="252" fontId="19" fillId="0" borderId="0" applyFill="0" applyBorder="0">
      <alignment vertical="top"/>
    </xf>
    <xf numFmtId="277" fontId="139" fillId="0" borderId="0" applyFill="0" applyBorder="0">
      <alignment vertical="top"/>
    </xf>
    <xf numFmtId="252" fontId="19" fillId="0" borderId="0" applyFill="0" applyBorder="0">
      <alignment vertical="top"/>
    </xf>
    <xf numFmtId="264" fontId="136" fillId="0" borderId="0" applyFill="0" applyBorder="0"/>
    <xf numFmtId="278" fontId="40" fillId="0" borderId="0" applyFill="0" applyBorder="0"/>
    <xf numFmtId="278" fontId="40" fillId="0" borderId="0" applyFill="0" applyBorder="0"/>
    <xf numFmtId="278" fontId="40" fillId="0" borderId="0" applyFill="0" applyBorder="0"/>
    <xf numFmtId="279" fontId="40" fillId="0" borderId="0" applyFill="0" applyBorder="0"/>
    <xf numFmtId="279" fontId="40" fillId="0" borderId="0" applyFill="0" applyBorder="0"/>
    <xf numFmtId="279" fontId="40" fillId="0" borderId="0" applyFill="0" applyBorder="0"/>
    <xf numFmtId="280" fontId="40" fillId="0" borderId="0" applyFill="0" applyBorder="0"/>
    <xf numFmtId="280" fontId="40" fillId="0" borderId="0" applyFill="0" applyBorder="0"/>
    <xf numFmtId="280" fontId="40" fillId="0" borderId="0" applyFill="0" applyBorder="0"/>
    <xf numFmtId="280" fontId="26" fillId="0" borderId="53" applyFill="0" applyBorder="0">
      <alignment horizontal="centerContinuous"/>
    </xf>
    <xf numFmtId="280" fontId="40" fillId="0" borderId="0" applyFill="0" applyBorder="0">
      <alignment horizontal="center"/>
    </xf>
    <xf numFmtId="280" fontId="40" fillId="0" borderId="0" applyFill="0" applyBorder="0">
      <alignment horizontal="center"/>
    </xf>
    <xf numFmtId="280" fontId="40" fillId="0" borderId="0" applyFill="0" applyBorder="0">
      <alignment horizontal="center"/>
    </xf>
    <xf numFmtId="181" fontId="13" fillId="34" borderId="28" applyNumberFormat="0" applyAlignment="0" applyProtection="0"/>
    <xf numFmtId="181" fontId="13" fillId="0" borderId="54" applyNumberFormat="0" applyFill="0" applyAlignment="0" applyProtection="0"/>
    <xf numFmtId="181" fontId="13" fillId="0" borderId="0" applyNumberFormat="0" applyFont="0" applyFill="0" applyBorder="0">
      <alignment horizontal="center" vertical="center"/>
      <protection locked="0"/>
    </xf>
    <xf numFmtId="181" fontId="13" fillId="0" borderId="54" applyNumberFormat="0" applyFill="0" applyAlignment="0" applyProtection="0"/>
    <xf numFmtId="181" fontId="13" fillId="34" borderId="28" applyNumberFormat="0" applyAlignment="0" applyProtection="0"/>
    <xf numFmtId="240" fontId="14" fillId="0" borderId="0" applyFill="0" applyBorder="0">
      <alignment horizontal="center" vertical="center"/>
    </xf>
    <xf numFmtId="241" fontId="14" fillId="0" borderId="0" applyFill="0" applyBorder="0">
      <alignment horizontal="center" vertical="center"/>
    </xf>
    <xf numFmtId="242" fontId="14" fillId="0" borderId="0" applyFill="0" applyBorder="0">
      <alignment horizontal="center" vertical="center"/>
    </xf>
    <xf numFmtId="243" fontId="14" fillId="0" borderId="0" applyFill="0" applyBorder="0">
      <alignment horizontal="center" vertical="center"/>
    </xf>
    <xf numFmtId="244" fontId="14" fillId="0" borderId="0" applyFill="0" applyBorder="0">
      <alignment horizontal="center" vertical="center"/>
    </xf>
    <xf numFmtId="245" fontId="14" fillId="0" borderId="0" applyFill="0" applyBorder="0">
      <alignment horizontal="center" vertical="center"/>
    </xf>
    <xf numFmtId="181" fontId="13" fillId="0" borderId="19" applyBorder="0">
      <alignment horizontal="center"/>
    </xf>
    <xf numFmtId="281" fontId="40" fillId="0" borderId="0" applyFill="0" applyBorder="0"/>
    <xf numFmtId="281" fontId="40" fillId="0" borderId="0" applyFill="0" applyBorder="0"/>
    <xf numFmtId="281" fontId="40" fillId="0" borderId="0" applyFill="0" applyBorder="0">
      <alignment vertical="top"/>
    </xf>
    <xf numFmtId="281" fontId="40" fillId="0" borderId="0" applyFill="0" applyBorder="0"/>
    <xf numFmtId="1" fontId="14" fillId="0" borderId="0"/>
    <xf numFmtId="282" fontId="14" fillId="0" borderId="55">
      <alignment horizontal="center" vertical="center"/>
    </xf>
    <xf numFmtId="181" fontId="113" fillId="34" borderId="28" applyNumberFormat="0" applyAlignment="0" applyProtection="0"/>
    <xf numFmtId="181" fontId="113" fillId="34" borderId="28" applyNumberFormat="0" applyAlignment="0" applyProtection="0"/>
    <xf numFmtId="181" fontId="113" fillId="34" borderId="28" applyNumberFormat="0" applyAlignment="0" applyProtection="0"/>
    <xf numFmtId="181" fontId="113" fillId="34" borderId="28" applyNumberFormat="0" applyAlignment="0" applyProtection="0"/>
    <xf numFmtId="181" fontId="113" fillId="34" borderId="28" applyNumberFormat="0" applyAlignment="0" applyProtection="0"/>
    <xf numFmtId="181" fontId="113" fillId="34" borderId="28" applyNumberFormat="0" applyAlignment="0" applyProtection="0"/>
    <xf numFmtId="181" fontId="113" fillId="34" borderId="28" applyNumberFormat="0" applyAlignment="0" applyProtection="0"/>
    <xf numFmtId="283" fontId="14" fillId="0" borderId="0"/>
    <xf numFmtId="260" fontId="19" fillId="0" borderId="0" applyFill="0" applyBorder="0"/>
    <xf numFmtId="260" fontId="19" fillId="0" borderId="0" applyFill="0" applyBorder="0"/>
    <xf numFmtId="260" fontId="19" fillId="0" borderId="0" applyFill="0" applyBorder="0"/>
    <xf numFmtId="284" fontId="139" fillId="0" borderId="0" applyFill="0" applyBorder="0"/>
    <xf numFmtId="260" fontId="19" fillId="0" borderId="0" applyFill="0" applyBorder="0">
      <alignment vertical="top"/>
    </xf>
    <xf numFmtId="260" fontId="19" fillId="0" borderId="0" applyFill="0" applyBorder="0">
      <alignment vertical="top"/>
    </xf>
    <xf numFmtId="284" fontId="139" fillId="0" borderId="0" applyFill="0" applyBorder="0">
      <alignment vertical="top"/>
    </xf>
    <xf numFmtId="260" fontId="19" fillId="0" borderId="0" applyFill="0" applyBorder="0">
      <alignment vertical="top"/>
    </xf>
    <xf numFmtId="276" fontId="136" fillId="0" borderId="0" applyFill="0" applyBorder="0"/>
    <xf numFmtId="285" fontId="40" fillId="0" borderId="0" applyFill="0" applyBorder="0"/>
    <xf numFmtId="285" fontId="40" fillId="0" borderId="0" applyFill="0" applyBorder="0"/>
    <xf numFmtId="285" fontId="40" fillId="0" borderId="0" applyFill="0" applyBorder="0"/>
    <xf numFmtId="49" fontId="14" fillId="0" borderId="0">
      <alignment horizontal="right" vertical="center"/>
    </xf>
    <xf numFmtId="49" fontId="14" fillId="0" borderId="0">
      <alignment horizontal="right" vertical="center"/>
    </xf>
    <xf numFmtId="181" fontId="13" fillId="0" borderId="56">
      <alignment horizontal="right" vertical="center"/>
    </xf>
    <xf numFmtId="17" fontId="14" fillId="0" borderId="56">
      <alignment horizontal="right" vertical="center"/>
    </xf>
    <xf numFmtId="286" fontId="14" fillId="0" borderId="56">
      <alignment horizontal="right" vertical="center"/>
    </xf>
    <xf numFmtId="181" fontId="13" fillId="0" borderId="56">
      <alignment horizontal="right" vertical="center"/>
    </xf>
    <xf numFmtId="181" fontId="13" fillId="53" borderId="0" applyNumberFormat="0" applyBorder="0" applyAlignment="0" applyProtection="0"/>
    <xf numFmtId="181" fontId="13" fillId="32" borderId="0" applyNumberFormat="0" applyBorder="0" applyAlignment="0" applyProtection="0"/>
    <xf numFmtId="181" fontId="13" fillId="54" borderId="0" applyNumberFormat="0" applyBorder="0" applyAlignment="0" applyProtection="0"/>
    <xf numFmtId="181" fontId="13" fillId="42" borderId="0" applyNumberFormat="0" applyBorder="0" applyAlignment="0" applyProtection="0"/>
    <xf numFmtId="181" fontId="13" fillId="31" borderId="0" applyNumberFormat="0" applyBorder="0" applyAlignment="0" applyProtection="0"/>
    <xf numFmtId="181" fontId="13" fillId="27" borderId="0" applyNumberFormat="0" applyBorder="0" applyAlignment="0" applyProtection="0"/>
    <xf numFmtId="181" fontId="114" fillId="0" borderId="7">
      <alignment horizontal="center"/>
    </xf>
    <xf numFmtId="181" fontId="13" fillId="0" borderId="38">
      <alignment horizontal="center"/>
    </xf>
    <xf numFmtId="181" fontId="13" fillId="0" borderId="38">
      <alignment horizontal="center"/>
    </xf>
    <xf numFmtId="181" fontId="13" fillId="0" borderId="38">
      <alignment horizontal="center"/>
    </xf>
    <xf numFmtId="181" fontId="13" fillId="0" borderId="38">
      <alignment horizontal="center"/>
    </xf>
    <xf numFmtId="181" fontId="13" fillId="0" borderId="38">
      <alignment horizontal="center"/>
    </xf>
    <xf numFmtId="181" fontId="13" fillId="0" borderId="38">
      <alignment horizontal="center"/>
    </xf>
    <xf numFmtId="181" fontId="13" fillId="0" borderId="38">
      <alignment horizontal="center"/>
    </xf>
    <xf numFmtId="181" fontId="13" fillId="0" borderId="38">
      <alignment horizontal="center"/>
    </xf>
    <xf numFmtId="181" fontId="13" fillId="0" borderId="38">
      <alignment horizontal="center"/>
    </xf>
    <xf numFmtId="181" fontId="13" fillId="0" borderId="38">
      <alignment horizontal="center"/>
    </xf>
    <xf numFmtId="181" fontId="13" fillId="0" borderId="38">
      <alignment horizontal="center"/>
    </xf>
    <xf numFmtId="181" fontId="13" fillId="0" borderId="38">
      <alignment horizontal="center"/>
    </xf>
    <xf numFmtId="181" fontId="13" fillId="0" borderId="38">
      <alignment horizontal="center"/>
    </xf>
    <xf numFmtId="181" fontId="13" fillId="0" borderId="7">
      <alignment horizontal="center"/>
    </xf>
    <xf numFmtId="252" fontId="14" fillId="0" borderId="0"/>
    <xf numFmtId="252" fontId="14" fillId="0" borderId="0"/>
    <xf numFmtId="252" fontId="14" fillId="0" borderId="0"/>
    <xf numFmtId="252" fontId="14" fillId="0" borderId="0"/>
    <xf numFmtId="252" fontId="14" fillId="0" borderId="0"/>
    <xf numFmtId="252" fontId="14" fillId="0" borderId="0"/>
    <xf numFmtId="252" fontId="14" fillId="0" borderId="0"/>
    <xf numFmtId="252" fontId="14" fillId="0" borderId="0"/>
    <xf numFmtId="287" fontId="14" fillId="0" borderId="0" applyFont="0" applyFill="0" applyBorder="0" applyAlignment="0" applyProtection="0"/>
    <xf numFmtId="287" fontId="14" fillId="0" borderId="0" applyFont="0" applyFill="0" applyBorder="0" applyAlignment="0" applyProtection="0"/>
    <xf numFmtId="287" fontId="14" fillId="0" borderId="0" applyFont="0" applyFill="0" applyBorder="0" applyAlignment="0" applyProtection="0"/>
    <xf numFmtId="288" fontId="14" fillId="0" borderId="0" applyFont="0" applyFill="0" applyBorder="0" applyAlignment="0" applyProtection="0"/>
    <xf numFmtId="288" fontId="14" fillId="0" borderId="0" applyFont="0" applyFill="0" applyBorder="0" applyAlignment="0" applyProtection="0"/>
    <xf numFmtId="289" fontId="167" fillId="0" borderId="0" applyFont="0" applyFill="0" applyBorder="0" applyAlignment="0" applyProtection="0">
      <alignment horizontal="left"/>
      <protection locked="0"/>
    </xf>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289" fontId="168" fillId="0" borderId="0" applyFont="0" applyFill="0" applyBorder="0" applyAlignment="0" applyProtection="0">
      <alignment horizontal="left"/>
      <protection locked="0"/>
    </xf>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181" fontId="144" fillId="0" borderId="0" applyFont="0" applyFill="0" applyBorder="0" applyAlignment="0" applyProtection="0"/>
    <xf numFmtId="290" fontId="14" fillId="63" borderId="9" applyFont="0" applyFill="0" applyBorder="0" applyAlignment="0" applyProtection="0"/>
    <xf numFmtId="291" fontId="164" fillId="0" borderId="0" applyFont="0" applyFill="0" applyBorder="0" applyAlignment="0" applyProtection="0">
      <alignment horizontal="right"/>
    </xf>
    <xf numFmtId="292" fontId="164" fillId="0" borderId="0" applyFont="0" applyFill="0" applyBorder="0" applyAlignment="0" applyProtection="0"/>
    <xf numFmtId="256" fontId="14" fillId="0" borderId="0" applyFont="0" applyFill="0" applyBorder="0" applyAlignment="0" applyProtection="0">
      <alignment horizontal="right"/>
    </xf>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43" fontId="1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293" fontId="14" fillId="0" borderId="0" applyFont="0" applyFill="0" applyBorder="0" applyAlignment="0" applyProtection="0"/>
    <xf numFmtId="43" fontId="14" fillId="0" borderId="0" applyFont="0" applyFill="0" applyBorder="0" applyAlignment="0" applyProtection="0"/>
    <xf numFmtId="43" fontId="144" fillId="0" borderId="0" applyFont="0" applyFill="0" applyBorder="0" applyAlignment="0" applyProtection="0"/>
    <xf numFmtId="43" fontId="144" fillId="0" borderId="0" applyFont="0" applyFill="0" applyBorder="0" applyAlignment="0" applyProtection="0"/>
    <xf numFmtId="181" fontId="117" fillId="0" borderId="0" applyAlignment="0">
      <alignment vertical="top" wrapText="1"/>
      <protection locked="0"/>
    </xf>
    <xf numFmtId="43" fontId="5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43" fontId="14" fillId="0" borderId="0" applyFont="0" applyFill="0" applyBorder="0" applyAlignment="0" applyProtection="0"/>
    <xf numFmtId="293" fontId="14" fillId="0" borderId="0" applyFont="0" applyFill="0" applyBorder="0" applyAlignment="0" applyProtection="0"/>
    <xf numFmtId="181" fontId="117" fillId="0" borderId="0" applyAlignment="0">
      <alignment vertical="top" wrapText="1"/>
      <protection locked="0"/>
    </xf>
    <xf numFmtId="43" fontId="144" fillId="0" borderId="0" applyFont="0" applyFill="0" applyBorder="0" applyAlignment="0" applyProtection="0"/>
    <xf numFmtId="181" fontId="117" fillId="0" borderId="0" applyAlignment="0">
      <alignment vertical="top" wrapText="1"/>
      <protection locked="0"/>
    </xf>
    <xf numFmtId="181" fontId="19" fillId="0" borderId="0" applyAlignment="0">
      <alignment vertical="top" wrapText="1"/>
      <protection locked="0"/>
    </xf>
    <xf numFmtId="293" fontId="40"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4"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43" fontId="54" fillId="0" borderId="0" applyFont="0" applyFill="0" applyBorder="0" applyAlignment="0" applyProtection="0"/>
    <xf numFmtId="294" fontId="27"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 fillId="0" borderId="0" applyFont="0" applyFill="0" applyBorder="0" applyAlignment="0" applyProtection="0"/>
    <xf numFmtId="293" fontId="14" fillId="0" borderId="0" applyFont="0" applyFill="0" applyBorder="0" applyAlignment="0" applyProtection="0"/>
    <xf numFmtId="293" fontId="1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69"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3" fontId="144" fillId="0" borderId="0" applyFont="0" applyFill="0" applyBorder="0" applyAlignment="0" applyProtection="0"/>
    <xf numFmtId="295" fontId="34" fillId="13" borderId="0" applyFont="0" applyBorder="0" applyAlignment="0" applyProtection="0"/>
    <xf numFmtId="295" fontId="34" fillId="13" borderId="0" applyFont="0" applyBorder="0" applyAlignment="0" applyProtection="0"/>
    <xf numFmtId="295" fontId="34" fillId="13" borderId="0" applyFont="0" applyBorder="0" applyAlignment="0" applyProtection="0"/>
    <xf numFmtId="191" fontId="34" fillId="13" borderId="0" applyFont="0" applyBorder="0" applyProtection="0">
      <alignment horizontal="right"/>
    </xf>
    <xf numFmtId="191" fontId="34" fillId="13" borderId="0" applyFont="0" applyBorder="0" applyProtection="0">
      <alignment horizontal="right"/>
    </xf>
    <xf numFmtId="3" fontId="170" fillId="0" borderId="0" applyFont="0" applyFill="0" applyBorder="0" applyAlignment="0" applyProtection="0"/>
    <xf numFmtId="181" fontId="119" fillId="13" borderId="0" applyBorder="0"/>
    <xf numFmtId="181" fontId="118" fillId="58" borderId="57">
      <alignment vertical="top" wrapText="1"/>
      <protection locked="0"/>
    </xf>
    <xf numFmtId="181" fontId="118" fillId="58" borderId="57">
      <alignment horizontal="left" vertical="top" wrapText="1" indent="1"/>
      <protection locked="0"/>
    </xf>
    <xf numFmtId="49" fontId="23" fillId="0" borderId="9">
      <alignment horizontal="left" vertical="top" wrapText="1"/>
      <protection locked="0"/>
    </xf>
    <xf numFmtId="181" fontId="118" fillId="58" borderId="57">
      <alignment vertical="top" wrapText="1"/>
      <protection locked="0"/>
    </xf>
    <xf numFmtId="181" fontId="119" fillId="13" borderId="0" applyBorder="0"/>
    <xf numFmtId="181" fontId="13" fillId="55" borderId="58" applyFont="0">
      <alignment wrapText="1"/>
    </xf>
    <xf numFmtId="181" fontId="56" fillId="13" borderId="0" applyBorder="0">
      <alignment wrapText="1"/>
    </xf>
    <xf numFmtId="181" fontId="119" fillId="13" borderId="0" applyBorder="0">
      <alignment wrapText="1"/>
    </xf>
    <xf numFmtId="181" fontId="119" fillId="13" borderId="0" applyBorder="0">
      <alignment wrapText="1"/>
    </xf>
    <xf numFmtId="181" fontId="13" fillId="0" borderId="0"/>
    <xf numFmtId="181" fontId="120" fillId="14" borderId="9">
      <alignment horizontal="center"/>
    </xf>
    <xf numFmtId="248" fontId="14" fillId="0" borderId="0" applyFill="0" applyBorder="0">
      <alignment horizontal="left"/>
    </xf>
    <xf numFmtId="181" fontId="13" fillId="0" borderId="37">
      <alignment horizontal="center"/>
    </xf>
    <xf numFmtId="181" fontId="13" fillId="0" borderId="0" applyNumberFormat="0" applyFont="0" applyBorder="0" applyAlignment="0" applyProtection="0"/>
    <xf numFmtId="181" fontId="13" fillId="14" borderId="0" applyNumberFormat="0" applyFont="0" applyBorder="0" applyAlignment="0" applyProtection="0"/>
    <xf numFmtId="181" fontId="13" fillId="60" borderId="0" applyNumberFormat="0" applyFont="0" applyBorder="0" applyAlignment="0" applyProtection="0"/>
    <xf numFmtId="181" fontId="13" fillId="13" borderId="0" applyNumberFormat="0" applyFont="0" applyBorder="0" applyAlignment="0" applyProtection="0"/>
    <xf numFmtId="181" fontId="13" fillId="57" borderId="0" applyNumberFormat="0" applyFont="0" applyBorder="0" applyAlignment="0" applyProtection="0"/>
    <xf numFmtId="181" fontId="13" fillId="34" borderId="28" applyNumberFormat="0" applyAlignment="0" applyProtection="0"/>
    <xf numFmtId="181" fontId="13" fillId="0" borderId="0" applyNumberFormat="0" applyAlignment="0">
      <alignment horizontal="left"/>
    </xf>
    <xf numFmtId="181" fontId="121" fillId="0" borderId="0">
      <alignment horizontal="left"/>
    </xf>
    <xf numFmtId="181" fontId="13" fillId="0" borderId="0">
      <alignment horizontal="left" vertical="center" indent="2"/>
    </xf>
    <xf numFmtId="181" fontId="122" fillId="0" borderId="0"/>
    <xf numFmtId="181" fontId="123" fillId="0" borderId="0">
      <alignment horizontal="left"/>
    </xf>
    <xf numFmtId="296" fontId="40" fillId="0" borderId="0" applyFill="0" applyBorder="0"/>
    <xf numFmtId="297" fontId="40" fillId="0" borderId="0" applyFill="0" applyBorder="0"/>
    <xf numFmtId="297" fontId="40" fillId="0" borderId="0" applyFill="0" applyBorder="0">
      <alignment vertical="top"/>
    </xf>
    <xf numFmtId="297" fontId="40" fillId="0" borderId="0" applyFill="0" applyBorder="0"/>
    <xf numFmtId="297" fontId="165" fillId="0" borderId="0" applyFill="0" applyBorder="0"/>
    <xf numFmtId="298" fontId="146" fillId="0" borderId="0" applyFill="0" applyBorder="0"/>
    <xf numFmtId="298" fontId="146" fillId="0" borderId="0" applyFill="0" applyBorder="0"/>
    <xf numFmtId="298" fontId="146" fillId="0" borderId="0" applyFill="0" applyBorder="0"/>
    <xf numFmtId="299" fontId="40" fillId="0" borderId="0" applyFill="0" applyBorder="0"/>
    <xf numFmtId="299" fontId="40" fillId="0" borderId="0" applyFill="0" applyBorder="0"/>
    <xf numFmtId="299" fontId="40" fillId="0" borderId="0" applyFill="0" applyBorder="0"/>
    <xf numFmtId="299" fontId="165" fillId="0" borderId="0" applyFill="0" applyBorder="0">
      <alignment vertical="top"/>
    </xf>
    <xf numFmtId="300" fontId="40" fillId="0" borderId="0" applyFill="0" applyBorder="0"/>
    <xf numFmtId="300" fontId="40" fillId="0" borderId="0" applyFill="0" applyBorder="0"/>
    <xf numFmtId="300" fontId="40" fillId="0" borderId="0" applyFill="0" applyBorder="0"/>
    <xf numFmtId="301" fontId="40" fillId="0" borderId="0" applyFill="0" applyBorder="0"/>
    <xf numFmtId="301" fontId="40" fillId="0" borderId="0" applyFill="0" applyBorder="0"/>
    <xf numFmtId="301" fontId="40" fillId="0" borderId="0" applyFill="0" applyBorder="0"/>
    <xf numFmtId="302" fontId="40" fillId="0" borderId="0" applyFill="0" applyBorder="0">
      <alignment vertical="top"/>
    </xf>
    <xf numFmtId="303" fontId="40" fillId="0" borderId="0" applyFill="0" applyBorder="0">
      <alignment vertical="top"/>
    </xf>
    <xf numFmtId="304" fontId="40" fillId="0" borderId="0" applyFill="0" applyBorder="0"/>
    <xf numFmtId="304" fontId="40" fillId="0" borderId="0" applyFill="0" applyBorder="0"/>
    <xf numFmtId="304" fontId="40" fillId="0" borderId="0" applyFill="0" applyBorder="0"/>
    <xf numFmtId="305" fontId="40" fillId="0" borderId="0" applyFill="0" applyBorder="0"/>
    <xf numFmtId="305" fontId="40" fillId="0" borderId="0" applyFill="0" applyBorder="0"/>
    <xf numFmtId="305" fontId="40" fillId="0" borderId="0" applyFill="0" applyBorder="0"/>
    <xf numFmtId="306" fontId="40" fillId="0" borderId="0" applyFill="0" applyBorder="0"/>
    <xf numFmtId="306" fontId="40" fillId="0" borderId="0" applyFill="0" applyBorder="0"/>
    <xf numFmtId="306" fontId="40" fillId="0" borderId="0" applyFill="0" applyBorder="0"/>
    <xf numFmtId="307" fontId="40" fillId="0" borderId="0" applyFill="0" applyBorder="0"/>
    <xf numFmtId="307" fontId="40" fillId="0" borderId="0" applyFill="0" applyBorder="0"/>
    <xf numFmtId="307" fontId="40" fillId="0" borderId="0" applyFill="0" applyBorder="0"/>
    <xf numFmtId="207" fontId="14" fillId="13" borderId="0"/>
    <xf numFmtId="181" fontId="16" fillId="0" borderId="0"/>
    <xf numFmtId="181" fontId="16" fillId="0" borderId="0"/>
    <xf numFmtId="181" fontId="74" fillId="0" borderId="7" applyNumberFormat="0" applyFont="0" applyFill="0" applyProtection="0">
      <alignment horizontal="centerContinuous"/>
    </xf>
    <xf numFmtId="308" fontId="14" fillId="0" borderId="0" applyFont="0" applyFill="0" applyBorder="0" applyAlignment="0" applyProtection="0">
      <protection locked="0"/>
    </xf>
    <xf numFmtId="188" fontId="172" fillId="0" borderId="0" applyFill="0" applyBorder="0">
      <protection locked="0"/>
    </xf>
    <xf numFmtId="309" fontId="14" fillId="0" borderId="0" applyFont="0" applyFill="0" applyBorder="0" applyAlignment="0" applyProtection="0"/>
    <xf numFmtId="310" fontId="172" fillId="0" borderId="0" applyFill="0" applyBorder="0">
      <protection locked="0"/>
    </xf>
    <xf numFmtId="309" fontId="14" fillId="0" borderId="0" applyFont="0" applyFill="0" applyBorder="0" applyAlignment="0" applyProtection="0"/>
    <xf numFmtId="311" fontId="164" fillId="0" borderId="0" applyFont="0" applyFill="0" applyBorder="0" applyAlignment="0" applyProtection="0">
      <alignment horizontal="right"/>
    </xf>
    <xf numFmtId="312" fontId="14" fillId="0" borderId="20" applyBorder="0"/>
    <xf numFmtId="44" fontId="17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3" fillId="0" borderId="0" applyFont="0" applyFill="0" applyBorder="0" applyAlignment="0" applyProtection="0"/>
    <xf numFmtId="44" fontId="173" fillId="0" borderId="0" applyFont="0" applyFill="0" applyBorder="0" applyAlignment="0" applyProtection="0"/>
    <xf numFmtId="313" fontId="14" fillId="0" borderId="0" applyFont="0" applyFill="0" applyBorder="0" applyAlignment="0" applyProtection="0"/>
    <xf numFmtId="313" fontId="14" fillId="0" borderId="0" applyFont="0" applyFill="0" applyBorder="0" applyAlignment="0" applyProtection="0"/>
    <xf numFmtId="313" fontId="14" fillId="0" borderId="0" applyFont="0" applyFill="0" applyBorder="0" applyAlignment="0" applyProtection="0"/>
    <xf numFmtId="313" fontId="14" fillId="0" borderId="0" applyFont="0" applyFill="0" applyBorder="0" applyAlignment="0" applyProtection="0"/>
    <xf numFmtId="313" fontId="169" fillId="0" borderId="0" applyFont="0" applyFill="0" applyBorder="0" applyAlignment="0" applyProtection="0"/>
    <xf numFmtId="44" fontId="14" fillId="0" borderId="0" applyFont="0" applyFill="0" applyBorder="0" applyAlignment="0" applyProtection="0"/>
    <xf numFmtId="313" fontId="14" fillId="0" borderId="0" applyFont="0" applyFill="0" applyBorder="0" applyAlignment="0" applyProtection="0"/>
    <xf numFmtId="44" fontId="14" fillId="0" borderId="0" applyFont="0" applyFill="0" applyBorder="0" applyAlignment="0" applyProtection="0"/>
    <xf numFmtId="313" fontId="144" fillId="0" borderId="0" applyFont="0" applyFill="0" applyBorder="0" applyAlignment="0" applyProtection="0"/>
    <xf numFmtId="44" fontId="143" fillId="0" borderId="0" applyFont="0" applyFill="0" applyBorder="0" applyAlignment="0" applyProtection="0"/>
    <xf numFmtId="44" fontId="146"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4" fillId="0" borderId="0" applyFont="0" applyFill="0" applyBorder="0" applyAlignment="0" applyProtection="0"/>
    <xf numFmtId="44" fontId="144" fillId="0" borderId="0" applyFont="0" applyFill="0" applyBorder="0" applyAlignment="0" applyProtection="0"/>
    <xf numFmtId="314" fontId="14" fillId="0" borderId="0" applyFont="0" applyFill="0" applyBorder="0" applyAlignment="0" applyProtection="0"/>
    <xf numFmtId="315" fontId="14" fillId="0" borderId="0" applyFont="0" applyFill="0" applyBorder="0" applyAlignment="0" applyProtection="0"/>
    <xf numFmtId="316" fontId="14" fillId="0" borderId="0" applyFont="0" applyFill="0" applyBorder="0" applyAlignment="0" applyProtection="0"/>
    <xf numFmtId="181" fontId="14" fillId="0" borderId="21"/>
    <xf numFmtId="317" fontId="14" fillId="0" borderId="0" applyFill="0" applyBorder="0"/>
    <xf numFmtId="318" fontId="14" fillId="0" borderId="0" applyFont="0" applyFill="0" applyBorder="0" applyAlignment="0" applyProtection="0"/>
    <xf numFmtId="2" fontId="14" fillId="0" borderId="0" applyNumberFormat="0" applyFill="0" applyBorder="0" applyAlignment="0" applyProtection="0">
      <protection locked="0"/>
    </xf>
    <xf numFmtId="181" fontId="125" fillId="58" borderId="59" applyFill="0">
      <alignment horizontal="right"/>
      <protection locked="0"/>
    </xf>
    <xf numFmtId="181" fontId="126" fillId="58" borderId="60" applyFill="0">
      <alignment horizontal="right"/>
      <protection locked="0"/>
    </xf>
    <xf numFmtId="181" fontId="126" fillId="58" borderId="60" applyFill="0">
      <alignment horizontal="right"/>
      <protection locked="0"/>
    </xf>
    <xf numFmtId="181" fontId="126" fillId="0" borderId="9">
      <protection locked="0"/>
    </xf>
    <xf numFmtId="181" fontId="15" fillId="0" borderId="9" applyNumberFormat="0">
      <alignment horizontal="left"/>
      <protection locked="0"/>
    </xf>
    <xf numFmtId="181" fontId="127" fillId="0" borderId="9">
      <alignment horizontal="center"/>
      <protection locked="0"/>
    </xf>
    <xf numFmtId="181" fontId="126" fillId="0" borderId="9">
      <alignment horizontal="center"/>
      <protection locked="0"/>
    </xf>
    <xf numFmtId="181" fontId="126" fillId="0" borderId="9">
      <alignment horizontal="center"/>
      <protection locked="0"/>
    </xf>
    <xf numFmtId="181" fontId="126" fillId="0" borderId="9">
      <protection locked="0"/>
    </xf>
    <xf numFmtId="181" fontId="13" fillId="13" borderId="0"/>
    <xf numFmtId="181" fontId="118" fillId="63" borderId="0"/>
    <xf numFmtId="181" fontId="128" fillId="63" borderId="0"/>
    <xf numFmtId="181" fontId="118" fillId="63" borderId="0"/>
    <xf numFmtId="181" fontId="118" fillId="63" borderId="0"/>
    <xf numFmtId="181" fontId="129" fillId="63" borderId="0"/>
    <xf numFmtId="181" fontId="59" fillId="63" borderId="0"/>
    <xf numFmtId="181" fontId="59" fillId="63" borderId="0"/>
    <xf numFmtId="181" fontId="37" fillId="13" borderId="0" applyAlignment="0"/>
    <xf numFmtId="181" fontId="13" fillId="13" borderId="0"/>
    <xf numFmtId="181" fontId="13" fillId="13" borderId="0"/>
    <xf numFmtId="181" fontId="37" fillId="13" borderId="0" applyAlignment="0"/>
    <xf numFmtId="2" fontId="14" fillId="0" borderId="0" applyNumberFormat="0" applyFill="0" applyBorder="0" applyProtection="0">
      <alignment horizontal="left"/>
    </xf>
    <xf numFmtId="181" fontId="16" fillId="13" borderId="0" applyFont="0" applyFill="0" applyBorder="0" applyAlignment="0" applyProtection="0">
      <alignment horizontal="center" wrapText="1"/>
    </xf>
    <xf numFmtId="181" fontId="130" fillId="0" borderId="0" applyFont="0" applyFill="0" applyBorder="0" applyAlignment="0" applyProtection="0">
      <alignment wrapText="1"/>
    </xf>
    <xf numFmtId="319" fontId="174" fillId="0" borderId="0" applyFont="0" applyFill="0" applyBorder="0" applyAlignment="0" applyProtection="0"/>
    <xf numFmtId="319" fontId="14" fillId="0" borderId="0" applyFont="0" applyFill="0" applyBorder="0" applyAlignment="0" applyProtection="0"/>
    <xf numFmtId="319" fontId="14" fillId="0" borderId="0" applyFont="0" applyFill="0" applyBorder="0" applyAlignment="0" applyProtection="0"/>
    <xf numFmtId="319" fontId="14" fillId="0" borderId="0" applyFill="0" applyBorder="0" applyAlignment="0" applyProtection="0"/>
    <xf numFmtId="320" fontId="14" fillId="0" borderId="0" applyFont="0" applyFill="0" applyBorder="0" applyAlignment="0" applyProtection="0"/>
    <xf numFmtId="14" fontId="14" fillId="0" borderId="0" applyFont="0" applyFill="0" applyBorder="0" applyAlignment="0" applyProtection="0"/>
    <xf numFmtId="321" fontId="24" fillId="0" borderId="0" applyFont="0" applyFill="0" applyBorder="0" applyAlignment="0" applyProtection="0"/>
    <xf numFmtId="17" fontId="14" fillId="0" borderId="0" applyFont="0" applyFill="0" applyBorder="0" applyAlignment="0" applyProtection="0"/>
    <xf numFmtId="17" fontId="14" fillId="0" borderId="0" applyFont="0" applyFill="0" applyBorder="0" applyAlignment="0" applyProtection="0"/>
    <xf numFmtId="17" fontId="14" fillId="0" borderId="0" applyFont="0" applyFill="0" applyBorder="0" applyAlignment="0" applyProtection="0"/>
    <xf numFmtId="15" fontId="175" fillId="48" borderId="0" applyFont="0" applyFill="0" applyBorder="0" applyAlignment="0"/>
    <xf numFmtId="15" fontId="14" fillId="0" borderId="0" applyFont="0" applyFill="0" applyBorder="0" applyAlignment="0" applyProtection="0"/>
    <xf numFmtId="15" fontId="14" fillId="0" borderId="0" applyFont="0" applyFill="0" applyBorder="0" applyAlignment="0" applyProtection="0"/>
    <xf numFmtId="15" fontId="14" fillId="0" borderId="0" applyFont="0" applyFill="0" applyBorder="0" applyAlignment="0" applyProtection="0"/>
    <xf numFmtId="15" fontId="14" fillId="0" borderId="0" applyFont="0" applyFill="0" applyBorder="0" applyAlignment="0" applyProtection="0"/>
    <xf numFmtId="15" fontId="14" fillId="0" borderId="0" applyFont="0" applyFill="0" applyBorder="0" applyAlignment="0" applyProtection="0"/>
    <xf numFmtId="181" fontId="13" fillId="0" borderId="9" applyFont="0" applyFill="0" applyBorder="0" applyAlignment="0" applyProtection="0">
      <alignment horizontal="left"/>
      <protection locked="0"/>
    </xf>
    <xf numFmtId="181" fontId="13" fillId="0" borderId="9" applyFont="0" applyFill="0" applyBorder="0" applyAlignment="0" applyProtection="0">
      <alignment horizontal="left"/>
      <protection locked="0"/>
    </xf>
    <xf numFmtId="181" fontId="116" fillId="0" borderId="0" applyFont="0" applyFill="0" applyBorder="0" applyProtection="0">
      <protection locked="0"/>
    </xf>
    <xf numFmtId="181" fontId="116" fillId="0" borderId="0" applyFont="0" applyFill="0" applyBorder="0" applyProtection="0">
      <protection locked="0"/>
    </xf>
    <xf numFmtId="15" fontId="14" fillId="0" borderId="0" applyFont="0" applyFill="0" applyBorder="0" applyAlignment="0" applyProtection="0"/>
    <xf numFmtId="15" fontId="14" fillId="0" borderId="0" applyFont="0" applyFill="0" applyBorder="0" applyAlignment="0" applyProtection="0"/>
    <xf numFmtId="15" fontId="14" fillId="0" borderId="0" applyFont="0" applyFill="0" applyBorder="0" applyAlignment="0" applyProtection="0"/>
    <xf numFmtId="15" fontId="14" fillId="0" borderId="0" applyFont="0" applyFill="0" applyBorder="0" applyAlignment="0" applyProtection="0"/>
    <xf numFmtId="15" fontId="14" fillId="0" borderId="0" applyFont="0" applyFill="0" applyBorder="0" applyAlignment="0" applyProtection="0"/>
    <xf numFmtId="15" fontId="14" fillId="0" borderId="0" applyFont="0" applyFill="0" applyBorder="0" applyAlignment="0" applyProtection="0"/>
    <xf numFmtId="322" fontId="164" fillId="0" borderId="0" applyFont="0" applyFill="0" applyBorder="0" applyAlignment="0" applyProtection="0"/>
    <xf numFmtId="181" fontId="116" fillId="0" borderId="0" applyFont="0" applyFill="0" applyBorder="0" applyAlignment="0" applyProtection="0">
      <protection locked="0"/>
    </xf>
    <xf numFmtId="181" fontId="116" fillId="0" borderId="0" applyFont="0" applyFill="0" applyBorder="0" applyAlignment="0" applyProtection="0">
      <protection locked="0"/>
    </xf>
    <xf numFmtId="181" fontId="15" fillId="0" borderId="9" applyFont="0" applyFill="0" applyBorder="0" applyAlignment="0">
      <alignment horizontal="left"/>
      <protection locked="0"/>
    </xf>
    <xf numFmtId="181" fontId="116" fillId="0" borderId="0" applyFont="0" applyFill="0" applyBorder="0" applyAlignment="0" applyProtection="0">
      <protection locked="0"/>
    </xf>
    <xf numFmtId="181" fontId="13" fillId="0" borderId="0"/>
    <xf numFmtId="15" fontId="172" fillId="0" borderId="0" applyFill="0" applyBorder="0">
      <protection locked="0"/>
    </xf>
    <xf numFmtId="320" fontId="14" fillId="0" borderId="0" applyFill="0" applyBorder="0" applyProtection="0"/>
    <xf numFmtId="14" fontId="14" fillId="0" borderId="0" applyFill="0" applyBorder="0" applyProtection="0"/>
    <xf numFmtId="15" fontId="176" fillId="0" borderId="0" applyBorder="0"/>
    <xf numFmtId="204" fontId="14" fillId="0" borderId="0"/>
    <xf numFmtId="321" fontId="14" fillId="48" borderId="0">
      <alignment horizontal="center"/>
    </xf>
    <xf numFmtId="323" fontId="177" fillId="64" borderId="0" applyFont="0" applyFill="0" applyBorder="0" applyAlignment="0"/>
    <xf numFmtId="324" fontId="178" fillId="65" borderId="0" applyFont="0" applyFill="0" applyBorder="0" applyAlignment="0"/>
    <xf numFmtId="325" fontId="177" fillId="0" borderId="0" applyFont="0" applyFill="0" applyBorder="0" applyAlignment="0"/>
    <xf numFmtId="17" fontId="136" fillId="0" borderId="0" applyFont="0" applyFill="0" applyBorder="0" applyAlignment="0" applyProtection="0"/>
    <xf numFmtId="15" fontId="14" fillId="0" borderId="0">
      <alignment horizontal="right" vertical="center"/>
    </xf>
    <xf numFmtId="14" fontId="14" fillId="0" borderId="0" applyFont="0" applyFill="0" applyBorder="0" applyAlignment="0" applyProtection="0"/>
    <xf numFmtId="14" fontId="14" fillId="0" borderId="0" applyFont="0" applyFill="0" applyBorder="0" applyAlignment="0" applyProtection="0"/>
    <xf numFmtId="226" fontId="14" fillId="0" borderId="0" applyFont="0" applyFill="0" applyBorder="0" applyProtection="0">
      <alignment horizontal="right"/>
    </xf>
    <xf numFmtId="181" fontId="13" fillId="0" borderId="0"/>
    <xf numFmtId="15" fontId="14" fillId="0" borderId="0" applyFont="0" applyFill="0" applyBorder="0" applyAlignment="0" applyProtection="0"/>
    <xf numFmtId="174" fontId="161" fillId="66" borderId="0" applyNumberFormat="0" applyBorder="0" applyAlignment="0"/>
    <xf numFmtId="181" fontId="13" fillId="0" borderId="0">
      <alignment horizontal="right"/>
      <protection locked="0"/>
    </xf>
    <xf numFmtId="326"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7" fontId="14" fillId="0" borderId="0" applyFont="0" applyFill="0" applyBorder="0" applyAlignment="0"/>
    <xf numFmtId="328" fontId="14" fillId="0" borderId="0" applyFont="0" applyFill="0" applyBorder="0" applyAlignment="0"/>
    <xf numFmtId="2" fontId="172" fillId="0" borderId="0" applyFill="0" applyBorder="0">
      <protection locked="0"/>
    </xf>
    <xf numFmtId="328" fontId="14" fillId="0" borderId="0" applyFont="0" applyFill="0" applyBorder="0" applyAlignment="0"/>
    <xf numFmtId="329" fontId="14" fillId="0" borderId="0" applyFont="0" applyFill="0" applyBorder="0" applyAlignment="0" applyProtection="0"/>
    <xf numFmtId="198" fontId="172" fillId="0" borderId="0" applyFill="0" applyBorder="0">
      <protection locked="0"/>
    </xf>
    <xf numFmtId="329" fontId="14" fillId="0" borderId="0" applyFont="0" applyFill="0" applyBorder="0" applyAlignment="0" applyProtection="0"/>
    <xf numFmtId="201" fontId="14" fillId="0" borderId="0" applyFont="0" applyFill="0" applyBorder="0" applyAlignment="0" applyProtection="0"/>
    <xf numFmtId="40" fontId="14" fillId="0" borderId="0" applyFont="0" applyFill="0" applyBorder="0" applyAlignment="0" applyProtection="0"/>
    <xf numFmtId="49" fontId="14" fillId="0" borderId="0" applyFill="0" applyBorder="0" applyProtection="0">
      <alignment horizontal="left"/>
    </xf>
    <xf numFmtId="164" fontId="171" fillId="14" borderId="9">
      <alignment horizontal="center" vertical="center"/>
    </xf>
    <xf numFmtId="330" fontId="14" fillId="0" borderId="0" applyFont="0" applyFill="0" applyBorder="0" applyAlignment="0" applyProtection="0">
      <alignment horizontal="left"/>
    </xf>
    <xf numFmtId="181" fontId="13" fillId="0" borderId="0"/>
    <xf numFmtId="331" fontId="14" fillId="0" borderId="0" applyFont="0" applyFill="0" applyBorder="0" applyAlignment="0" applyProtection="0">
      <protection locked="0"/>
    </xf>
    <xf numFmtId="332" fontId="14" fillId="0" borderId="0" applyFont="0" applyFill="0" applyBorder="0" applyAlignment="0" applyProtection="0"/>
    <xf numFmtId="333" fontId="14" fillId="0" borderId="0" applyFont="0" applyFill="0" applyBorder="0" applyAlignment="0" applyProtection="0"/>
    <xf numFmtId="334" fontId="164" fillId="0" borderId="61" applyNumberFormat="0" applyFont="0" applyFill="0" applyAlignment="0" applyProtection="0"/>
    <xf numFmtId="256" fontId="14" fillId="63" borderId="17"/>
    <xf numFmtId="199" fontId="179" fillId="0" borderId="0"/>
    <xf numFmtId="4" fontId="14" fillId="0" borderId="0" applyProtection="0"/>
    <xf numFmtId="181" fontId="131" fillId="0" borderId="0">
      <alignment horizontal="left" vertical="top"/>
    </xf>
    <xf numFmtId="181" fontId="13" fillId="67" borderId="9" applyNumberFormat="0"/>
    <xf numFmtId="181" fontId="13" fillId="53" borderId="0" applyNumberFormat="0" applyBorder="0" applyAlignment="0" applyProtection="0"/>
    <xf numFmtId="181" fontId="13" fillId="32" borderId="0" applyNumberFormat="0" applyBorder="0" applyAlignment="0" applyProtection="0"/>
    <xf numFmtId="181" fontId="13" fillId="54" borderId="0" applyNumberFormat="0" applyBorder="0" applyAlignment="0" applyProtection="0"/>
    <xf numFmtId="181" fontId="13" fillId="42" borderId="0" applyNumberFormat="0" applyBorder="0" applyAlignment="0" applyProtection="0"/>
    <xf numFmtId="181" fontId="13" fillId="31" borderId="0" applyNumberFormat="0" applyBorder="0" applyAlignment="0" applyProtection="0"/>
    <xf numFmtId="181" fontId="13" fillId="27" borderId="0" applyNumberFormat="0" applyBorder="0" applyAlignment="0" applyProtection="0"/>
    <xf numFmtId="181" fontId="13" fillId="0" borderId="0" applyNumberFormat="0" applyAlignment="0">
      <alignment horizontal="left"/>
    </xf>
    <xf numFmtId="181" fontId="13" fillId="23" borderId="46" applyNumberFormat="0" applyAlignment="0" applyProtection="0"/>
    <xf numFmtId="181" fontId="13" fillId="0" borderId="0">
      <alignment horizontal="left"/>
    </xf>
    <xf numFmtId="181" fontId="17" fillId="14" borderId="9" applyFill="0">
      <alignment horizontal="center"/>
    </xf>
    <xf numFmtId="181" fontId="132" fillId="0" borderId="57" applyFill="0">
      <alignment horizontal="center"/>
    </xf>
    <xf numFmtId="181" fontId="17" fillId="14" borderId="9" applyFill="0">
      <alignment horizontal="center"/>
    </xf>
    <xf numFmtId="181" fontId="132" fillId="0" borderId="57" applyFill="0">
      <alignment horizontal="center"/>
    </xf>
    <xf numFmtId="181" fontId="17" fillId="14" borderId="9" applyFill="0">
      <alignment horizontal="center"/>
    </xf>
    <xf numFmtId="181" fontId="132" fillId="0" borderId="57" applyFill="0">
      <alignment horizontal="center"/>
    </xf>
    <xf numFmtId="181" fontId="17" fillId="14" borderId="9" applyFill="0">
      <alignment horizontal="center" vertical="center"/>
    </xf>
    <xf numFmtId="181" fontId="132" fillId="0" borderId="57" applyFill="0">
      <alignment horizontal="center" vertical="center"/>
    </xf>
    <xf numFmtId="181" fontId="17" fillId="14" borderId="9" applyFill="0">
      <alignment horizontal="center" vertical="center"/>
    </xf>
    <xf numFmtId="181" fontId="132" fillId="0" borderId="57" applyFill="0">
      <alignment horizontal="center" vertical="center"/>
      <protection locked="0"/>
    </xf>
    <xf numFmtId="181" fontId="17" fillId="14" borderId="9" applyFill="0">
      <alignment horizontal="center" vertical="center"/>
    </xf>
    <xf numFmtId="181" fontId="17" fillId="14" borderId="9" applyFill="0">
      <alignment horizontal="center" vertical="center"/>
    </xf>
    <xf numFmtId="181" fontId="132" fillId="0" borderId="57" applyFill="0">
      <alignment horizontal="center" vertical="center"/>
      <protection locked="0"/>
    </xf>
    <xf numFmtId="181" fontId="13" fillId="0" borderId="0">
      <alignment horizontal="left"/>
    </xf>
    <xf numFmtId="335" fontId="14" fillId="0" borderId="0">
      <protection locked="0"/>
    </xf>
    <xf numFmtId="335" fontId="14" fillId="0" borderId="0">
      <protection locked="0"/>
    </xf>
    <xf numFmtId="181" fontId="109" fillId="55" borderId="0" applyNumberFormat="0" applyBorder="0" applyAlignment="0"/>
    <xf numFmtId="181" fontId="13" fillId="68" borderId="62" applyNumberFormat="0" applyAlignment="0">
      <alignment horizontal="center"/>
    </xf>
    <xf numFmtId="181" fontId="13" fillId="0" borderId="0"/>
    <xf numFmtId="181" fontId="13" fillId="0" borderId="0"/>
    <xf numFmtId="181" fontId="13" fillId="0" borderId="0" applyFont="0" applyFill="0" applyBorder="0" applyAlignment="0" applyProtection="0"/>
    <xf numFmtId="181" fontId="43" fillId="0" borderId="0"/>
    <xf numFmtId="181" fontId="43" fillId="0" borderId="0"/>
    <xf numFmtId="40" fontId="14" fillId="0" borderId="0" applyFill="0" applyBorder="0" applyAlignment="0" applyProtection="0">
      <alignment horizontal="left"/>
      <protection locked="0"/>
    </xf>
    <xf numFmtId="181" fontId="133" fillId="0" borderId="0" applyNumberFormat="0" applyFill="0" applyBorder="0" applyAlignment="0" applyProtection="0"/>
    <xf numFmtId="181" fontId="133" fillId="0" borderId="0" applyNumberFormat="0" applyFill="0" applyBorder="0" applyAlignment="0" applyProtection="0"/>
    <xf numFmtId="49" fontId="180" fillId="13" borderId="0" applyFill="0">
      <alignment horizontal="left"/>
    </xf>
    <xf numFmtId="49" fontId="181" fillId="0" borderId="0" applyFill="0" applyProtection="0">
      <alignment horizontal="left" indent="1"/>
    </xf>
    <xf numFmtId="181" fontId="13" fillId="0" borderId="0" applyNumberFormat="0" applyFill="0" applyBorder="0" applyAlignment="0" applyProtection="0"/>
    <xf numFmtId="181" fontId="13" fillId="0" borderId="0" applyNumberFormat="0" applyFill="0" applyBorder="0" applyAlignment="0" applyProtection="0"/>
    <xf numFmtId="181" fontId="13" fillId="0" borderId="0" applyNumberFormat="0" applyFill="0" applyBorder="0" applyAlignment="0" applyProtection="0"/>
    <xf numFmtId="181" fontId="13" fillId="0" borderId="0" applyNumberFormat="0" applyFill="0" applyBorder="0" applyAlignment="0" applyProtection="0"/>
    <xf numFmtId="181" fontId="13" fillId="0" borderId="0" applyNumberFormat="0" applyFill="0" applyBorder="0" applyAlignment="0" applyProtection="0"/>
    <xf numFmtId="181" fontId="13" fillId="0" borderId="0" applyNumberFormat="0" applyFill="0" applyBorder="0" applyAlignment="0" applyProtection="0"/>
    <xf numFmtId="336" fontId="14" fillId="0" borderId="0" applyFill="0" applyBorder="0">
      <alignment horizontal="right" vertical="top"/>
    </xf>
    <xf numFmtId="181" fontId="13" fillId="0" borderId="63">
      <alignment horizontal="right" wrapText="1"/>
    </xf>
    <xf numFmtId="337" fontId="14" fillId="0" borderId="63">
      <alignment horizontal="left"/>
    </xf>
    <xf numFmtId="41" fontId="14" fillId="0" borderId="63" applyFill="0" applyBorder="0" applyProtection="0">
      <alignment horizontal="right" vertical="top"/>
    </xf>
    <xf numFmtId="337" fontId="14" fillId="0" borderId="0"/>
    <xf numFmtId="337" fontId="14" fillId="0" borderId="0">
      <alignment horizontal="left" vertical="top"/>
    </xf>
    <xf numFmtId="181" fontId="13" fillId="0" borderId="0" applyFill="0" applyBorder="0">
      <alignment horizontal="left" vertical="top" wrapText="1"/>
    </xf>
    <xf numFmtId="338" fontId="14" fillId="0" borderId="0" applyBorder="0"/>
    <xf numFmtId="181" fontId="13" fillId="0" borderId="0">
      <protection locked="0"/>
    </xf>
    <xf numFmtId="181" fontId="13" fillId="0" borderId="0">
      <protection locked="0"/>
    </xf>
    <xf numFmtId="181" fontId="13" fillId="0" borderId="0">
      <protection locked="0"/>
    </xf>
    <xf numFmtId="181" fontId="13" fillId="0" borderId="0">
      <protection locked="0"/>
    </xf>
    <xf numFmtId="181" fontId="13" fillId="0" borderId="0">
      <protection locked="0"/>
    </xf>
    <xf numFmtId="181" fontId="13" fillId="0" borderId="0">
      <protection locked="0"/>
    </xf>
    <xf numFmtId="181" fontId="13" fillId="0" borderId="0">
      <protection locked="0"/>
    </xf>
    <xf numFmtId="181" fontId="13" fillId="0" borderId="0"/>
    <xf numFmtId="181" fontId="13" fillId="58" borderId="0" applyNumberFormat="0" applyFont="0" applyAlignment="0"/>
    <xf numFmtId="339" fontId="14" fillId="0" borderId="0" applyFont="0" applyFill="0" applyBorder="0" applyProtection="0">
      <alignment horizontal="center" vertical="center"/>
    </xf>
    <xf numFmtId="181" fontId="13" fillId="69" borderId="0"/>
    <xf numFmtId="2" fontId="170" fillId="0" borderId="0" applyFont="0" applyFill="0" applyBorder="0" applyAlignment="0" applyProtection="0"/>
    <xf numFmtId="326" fontId="14" fillId="70" borderId="46"/>
    <xf numFmtId="181" fontId="13" fillId="0" borderId="0" applyNumberFormat="0" applyFill="0" applyBorder="0" applyAlignment="0" applyProtection="0">
      <alignment vertical="top"/>
      <protection locked="0"/>
    </xf>
    <xf numFmtId="181" fontId="134" fillId="0" borderId="0">
      <alignment vertical="center"/>
    </xf>
    <xf numFmtId="49" fontId="14" fillId="0" borderId="0"/>
    <xf numFmtId="181" fontId="135" fillId="0" borderId="0" applyNumberFormat="0" applyFill="0" applyBorder="0" applyAlignment="0" applyProtection="0">
      <alignment vertical="top"/>
      <protection locked="0"/>
    </xf>
    <xf numFmtId="194" fontId="182" fillId="0" borderId="0" applyNumberFormat="0" applyFill="0" applyBorder="0" applyAlignment="0" applyProtection="0"/>
    <xf numFmtId="181" fontId="137" fillId="0" borderId="0">
      <alignment horizontal="left"/>
    </xf>
    <xf numFmtId="181" fontId="138" fillId="0" borderId="0">
      <alignment horizontal="left"/>
    </xf>
    <xf numFmtId="181" fontId="139" fillId="13" borderId="0" applyNumberFormat="0" applyBorder="0">
      <alignment horizontal="left"/>
    </xf>
    <xf numFmtId="181" fontId="58" fillId="0" borderId="0">
      <alignment horizontal="left"/>
    </xf>
    <xf numFmtId="181" fontId="140" fillId="13" borderId="0" applyNumberFormat="0" applyBorder="0">
      <alignment horizontal="left"/>
    </xf>
    <xf numFmtId="37" fontId="14" fillId="0" borderId="0" applyFill="0" applyBorder="0" applyAlignment="0"/>
    <xf numFmtId="207" fontId="14" fillId="0" borderId="0" applyFill="0" applyBorder="0" applyAlignment="0"/>
    <xf numFmtId="181" fontId="13" fillId="0" borderId="7" applyProtection="0">
      <alignment horizontal="center"/>
    </xf>
    <xf numFmtId="181" fontId="13" fillId="0" borderId="54" applyNumberFormat="0" applyFill="0" applyAlignment="0" applyProtection="0"/>
    <xf numFmtId="181" fontId="13" fillId="0" borderId="0"/>
    <xf numFmtId="181" fontId="13" fillId="0" borderId="0"/>
    <xf numFmtId="181" fontId="13" fillId="0" borderId="0"/>
    <xf numFmtId="181" fontId="13" fillId="38" borderId="0" applyNumberFormat="0" applyBorder="0" applyAlignment="0" applyProtection="0"/>
    <xf numFmtId="181" fontId="141" fillId="38" borderId="0" applyNumberFormat="0" applyBorder="0" applyAlignment="0" applyProtection="0"/>
    <xf numFmtId="181" fontId="141" fillId="38" borderId="0" applyNumberFormat="0" applyBorder="0" applyAlignment="0" applyProtection="0"/>
    <xf numFmtId="181" fontId="141" fillId="38" borderId="0" applyNumberFormat="0" applyBorder="0" applyAlignment="0" applyProtection="0"/>
    <xf numFmtId="181" fontId="141" fillId="38" borderId="0" applyNumberFormat="0" applyBorder="0" applyAlignment="0" applyProtection="0"/>
    <xf numFmtId="181" fontId="141" fillId="38" borderId="0" applyNumberFormat="0" applyBorder="0" applyAlignment="0" applyProtection="0"/>
    <xf numFmtId="181" fontId="141" fillId="38" borderId="0" applyNumberFormat="0" applyBorder="0" applyAlignment="0" applyProtection="0"/>
    <xf numFmtId="181" fontId="141" fillId="38" borderId="0" applyNumberFormat="0" applyBorder="0" applyAlignment="0" applyProtection="0"/>
    <xf numFmtId="340" fontId="14" fillId="62" borderId="0" applyNumberFormat="0" applyBorder="0" applyAlignment="0" applyProtection="0"/>
    <xf numFmtId="38" fontId="40" fillId="36" borderId="0" applyNumberFormat="0" applyBorder="0" applyAlignment="0" applyProtection="0"/>
    <xf numFmtId="181" fontId="13" fillId="71" borderId="55" applyNumberFormat="0" applyFont="0" applyAlignment="0"/>
    <xf numFmtId="181" fontId="142" fillId="0" borderId="0">
      <alignment vertical="top"/>
    </xf>
    <xf numFmtId="9" fontId="14" fillId="13" borderId="0">
      <alignment horizontal="right"/>
      <protection locked="0"/>
    </xf>
    <xf numFmtId="181" fontId="13" fillId="0" borderId="0" applyNumberFormat="0" applyFill="0" applyProtection="0">
      <alignment horizontal="left"/>
    </xf>
    <xf numFmtId="181" fontId="20" fillId="0" borderId="0" applyFill="0" applyBorder="0"/>
    <xf numFmtId="181" fontId="20" fillId="0" borderId="0" applyFill="0" applyBorder="0"/>
    <xf numFmtId="181" fontId="20" fillId="0" borderId="0" applyFill="0" applyBorder="0"/>
    <xf numFmtId="181" fontId="13" fillId="0" borderId="64">
      <alignment horizontal="centerContinuous"/>
    </xf>
    <xf numFmtId="181" fontId="14" fillId="0" borderId="0" applyFill="0" applyBorder="0"/>
    <xf numFmtId="181" fontId="14" fillId="0" borderId="0" applyFill="0" applyBorder="0"/>
    <xf numFmtId="181" fontId="143" fillId="72" borderId="65" applyFill="0" applyBorder="0">
      <alignment vertical="top"/>
    </xf>
    <xf numFmtId="181" fontId="143" fillId="0" borderId="0" applyFill="0" applyBorder="0">
      <alignment vertical="top"/>
    </xf>
    <xf numFmtId="181" fontId="14" fillId="0" borderId="0" applyFill="0" applyBorder="0"/>
    <xf numFmtId="181" fontId="13" fillId="0" borderId="64">
      <alignment horizontal="centerContinuous"/>
    </xf>
    <xf numFmtId="181" fontId="13" fillId="0" borderId="0">
      <alignment horizontal="centerContinuous"/>
    </xf>
    <xf numFmtId="181" fontId="16" fillId="0" borderId="0" applyFill="0" applyBorder="0"/>
    <xf numFmtId="181" fontId="16" fillId="0" borderId="0" applyFill="0" applyBorder="0"/>
    <xf numFmtId="181" fontId="16" fillId="0" borderId="0" applyFill="0" applyBorder="0"/>
    <xf numFmtId="181" fontId="16" fillId="0" borderId="0" applyFill="0" applyBorder="0"/>
    <xf numFmtId="181" fontId="144" fillId="0" borderId="0" applyFill="0" applyBorder="0">
      <alignment vertical="top"/>
    </xf>
    <xf numFmtId="181" fontId="16" fillId="0" borderId="0" applyFill="0" applyBorder="0"/>
    <xf numFmtId="181" fontId="13" fillId="0" borderId="0">
      <alignment horizontal="centerContinuous"/>
    </xf>
    <xf numFmtId="181" fontId="112" fillId="0" borderId="0" applyFill="0" applyBorder="0"/>
    <xf numFmtId="181" fontId="112" fillId="0" borderId="0" applyFill="0" applyBorder="0"/>
    <xf numFmtId="181" fontId="145" fillId="0" borderId="0" applyFill="0" applyBorder="0">
      <alignment vertical="top"/>
    </xf>
    <xf numFmtId="181" fontId="112" fillId="0" borderId="0" applyFill="0" applyBorder="0"/>
    <xf numFmtId="341" fontId="164" fillId="0" borderId="0" applyFont="0" applyFill="0" applyBorder="0" applyAlignment="0" applyProtection="0">
      <alignment horizontal="right"/>
    </xf>
    <xf numFmtId="181" fontId="13" fillId="73" borderId="0"/>
    <xf numFmtId="181" fontId="13" fillId="0" borderId="0" applyAlignment="0" applyProtection="0"/>
    <xf numFmtId="181" fontId="13" fillId="0" borderId="0" applyAlignment="0" applyProtection="0"/>
    <xf numFmtId="181" fontId="13" fillId="0" borderId="0" applyAlignment="0" applyProtection="0"/>
    <xf numFmtId="181" fontId="146" fillId="0" borderId="0" applyProtection="0">
      <alignment horizontal="right"/>
    </xf>
    <xf numFmtId="181" fontId="13" fillId="51" borderId="0"/>
    <xf numFmtId="181" fontId="147" fillId="14" borderId="21" applyBorder="0"/>
    <xf numFmtId="181" fontId="147" fillId="14" borderId="21" applyBorder="0"/>
    <xf numFmtId="181" fontId="148" fillId="14" borderId="0" applyNumberFormat="0" applyBorder="0">
      <alignment horizontal="right"/>
    </xf>
    <xf numFmtId="181" fontId="148" fillId="14" borderId="0" applyNumberFormat="0" applyBorder="0">
      <alignment horizontal="right"/>
    </xf>
    <xf numFmtId="181" fontId="149" fillId="0" borderId="0">
      <alignment horizontal="left"/>
    </xf>
    <xf numFmtId="181" fontId="59" fillId="14" borderId="0" applyFont="0" applyAlignment="0"/>
    <xf numFmtId="181" fontId="59" fillId="14" borderId="0" applyFont="0" applyAlignment="0"/>
    <xf numFmtId="181" fontId="150" fillId="14" borderId="0" applyBorder="0">
      <alignment vertical="top" wrapText="1"/>
    </xf>
    <xf numFmtId="181" fontId="150" fillId="14" borderId="0" applyBorder="0">
      <alignment vertical="top" wrapText="1"/>
    </xf>
    <xf numFmtId="181" fontId="119" fillId="14" borderId="0" applyAlignment="0">
      <alignment horizontal="center"/>
    </xf>
    <xf numFmtId="181" fontId="119" fillId="14" borderId="0" applyAlignment="0">
      <alignment horizontal="center"/>
    </xf>
    <xf numFmtId="181" fontId="13" fillId="0" borderId="0" applyProtection="0">
      <alignment horizontal="right"/>
    </xf>
    <xf numFmtId="181" fontId="13" fillId="0" borderId="66" applyNumberFormat="0" applyAlignment="0" applyProtection="0">
      <alignment horizontal="left" vertical="center"/>
    </xf>
    <xf numFmtId="181" fontId="13" fillId="0" borderId="17">
      <alignment horizontal="left" vertical="center"/>
    </xf>
    <xf numFmtId="181" fontId="13" fillId="0" borderId="0"/>
    <xf numFmtId="181" fontId="13" fillId="0" borderId="0"/>
    <xf numFmtId="181" fontId="14" fillId="0" borderId="0" applyNumberFormat="0" applyFill="0" applyBorder="0" applyAlignment="0" applyProtection="0"/>
    <xf numFmtId="181" fontId="13" fillId="0" borderId="9" applyNumberFormat="0" applyFill="0" applyBorder="0" applyAlignment="0" applyProtection="0"/>
    <xf numFmtId="181" fontId="13" fillId="0" borderId="0" applyNumberFormat="0" applyFill="0" applyBorder="0" applyAlignment="0" applyProtection="0"/>
    <xf numFmtId="181" fontId="13" fillId="0" borderId="0" applyNumberFormat="0" applyFill="0" applyBorder="0" applyAlignment="0" applyProtection="0"/>
    <xf numFmtId="181" fontId="13" fillId="0" borderId="31" applyNumberFormat="0" applyFill="0" applyAlignment="0" applyProtection="0"/>
    <xf numFmtId="342" fontId="154" fillId="44" borderId="0">
      <alignment horizontal="left"/>
    </xf>
    <xf numFmtId="181" fontId="13" fillId="0" borderId="0" applyNumberFormat="0" applyFill="0" applyBorder="0"/>
    <xf numFmtId="181" fontId="151" fillId="0" borderId="0" applyNumberFormat="0" applyFill="0" applyAlignment="0"/>
    <xf numFmtId="181" fontId="152" fillId="0" borderId="67" applyNumberFormat="0" applyFill="0" applyAlignment="0" applyProtection="0"/>
    <xf numFmtId="181" fontId="151" fillId="0" borderId="0" applyNumberFormat="0" applyFill="0" applyAlignment="0"/>
    <xf numFmtId="0" fontId="183" fillId="0" borderId="0" applyNumberFormat="0" applyFill="0" applyAlignment="0" applyProtection="0"/>
    <xf numFmtId="181" fontId="153" fillId="0" borderId="0" applyNumberFormat="0" applyFill="0" applyAlignment="0"/>
    <xf numFmtId="181" fontId="153" fillId="0" borderId="0" applyNumberFormat="0" applyFill="0" applyAlignment="0"/>
    <xf numFmtId="181" fontId="151" fillId="0" borderId="0" applyNumberFormat="0" applyFill="0" applyAlignment="0"/>
    <xf numFmtId="181" fontId="151" fillId="0" borderId="0" applyNumberFormat="0" applyFill="0" applyAlignment="0"/>
    <xf numFmtId="181" fontId="152" fillId="0" borderId="67" applyNumberFormat="0" applyFill="0" applyAlignment="0" applyProtection="0"/>
    <xf numFmtId="181" fontId="13" fillId="0" borderId="67" applyNumberFormat="0" applyFill="0" applyAlignment="0" applyProtection="0"/>
    <xf numFmtId="181" fontId="13" fillId="0" borderId="67" applyNumberFormat="0" applyFill="0" applyAlignment="0" applyProtection="0"/>
    <xf numFmtId="181" fontId="154" fillId="0" borderId="0">
      <alignment horizontal="left"/>
    </xf>
    <xf numFmtId="181" fontId="155" fillId="0" borderId="21">
      <alignment horizontal="left" vertical="top"/>
    </xf>
    <xf numFmtId="342" fontId="166" fillId="74" borderId="0"/>
    <xf numFmtId="342" fontId="14" fillId="74" borderId="0"/>
    <xf numFmtId="342" fontId="14" fillId="74" borderId="0"/>
    <xf numFmtId="342" fontId="14" fillId="74" borderId="0"/>
    <xf numFmtId="342" fontId="14" fillId="74" borderId="0"/>
    <xf numFmtId="342" fontId="14" fillId="74" borderId="0"/>
    <xf numFmtId="342" fontId="14" fillId="74" borderId="0"/>
    <xf numFmtId="342" fontId="14" fillId="74" borderId="0"/>
    <xf numFmtId="342" fontId="14" fillId="74" borderId="0"/>
    <xf numFmtId="342" fontId="14" fillId="74" borderId="0"/>
    <xf numFmtId="342" fontId="14" fillId="74" borderId="0"/>
    <xf numFmtId="342" fontId="14" fillId="74" borderId="0"/>
    <xf numFmtId="342" fontId="14" fillId="74" borderId="0"/>
    <xf numFmtId="342" fontId="14" fillId="74" borderId="0"/>
    <xf numFmtId="342" fontId="14" fillId="74" borderId="0"/>
    <xf numFmtId="181" fontId="14" fillId="14" borderId="0" applyNumberFormat="0" applyFill="0" applyAlignment="0"/>
    <xf numFmtId="181" fontId="151" fillId="0" borderId="0" applyNumberFormat="0" applyFill="0" applyAlignment="0" applyProtection="0"/>
    <xf numFmtId="181" fontId="156" fillId="0" borderId="0" applyNumberFormat="0" applyFill="0" applyAlignment="0" applyProtection="0"/>
    <xf numFmtId="181" fontId="14" fillId="14" borderId="0" applyNumberFormat="0" applyFill="0" applyAlignment="0"/>
    <xf numFmtId="181" fontId="156" fillId="0" borderId="0" applyNumberFormat="0" applyFill="0" applyAlignment="0" applyProtection="0"/>
    <xf numFmtId="49" fontId="184" fillId="0" borderId="0" applyFill="0" applyAlignment="0"/>
    <xf numFmtId="181" fontId="157" fillId="0" borderId="47" applyNumberFormat="0" applyFill="0" applyAlignment="0" applyProtection="0"/>
    <xf numFmtId="0" fontId="185" fillId="0" borderId="0" applyNumberFormat="0" applyFill="0" applyAlignment="0" applyProtection="0"/>
    <xf numFmtId="181" fontId="13" fillId="0" borderId="47" applyNumberFormat="0" applyFill="0" applyAlignment="0" applyProtection="0"/>
    <xf numFmtId="181" fontId="13" fillId="0" borderId="47" applyNumberFormat="0" applyFill="0" applyAlignment="0" applyProtection="0"/>
    <xf numFmtId="181" fontId="13" fillId="0" borderId="47" applyNumberFormat="0" applyFill="0" applyAlignment="0" applyProtection="0"/>
    <xf numFmtId="181" fontId="13" fillId="0" borderId="47" applyNumberFormat="0" applyFill="0" applyAlignment="0" applyProtection="0"/>
    <xf numFmtId="181" fontId="13" fillId="0" borderId="47" applyNumberFormat="0" applyFill="0" applyAlignment="0" applyProtection="0"/>
    <xf numFmtId="181" fontId="31" fillId="0" borderId="0">
      <alignment horizontal="left"/>
    </xf>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9" fontId="1" fillId="0" borderId="0" applyFont="0" applyFill="0" applyBorder="0" applyAlignment="0" applyProtection="0"/>
    <xf numFmtId="0" fontId="188" fillId="0" borderId="0">
      <alignment horizontal="right"/>
    </xf>
    <xf numFmtId="0" fontId="1" fillId="0" borderId="0"/>
    <xf numFmtId="0" fontId="1" fillId="0" borderId="0"/>
    <xf numFmtId="0" fontId="22" fillId="0" borderId="0"/>
    <xf numFmtId="0" fontId="1" fillId="0" borderId="0"/>
    <xf numFmtId="0" fontId="22" fillId="0" borderId="0"/>
    <xf numFmtId="0" fontId="22" fillId="0" borderId="0"/>
    <xf numFmtId="43" fontId="188" fillId="0" borderId="0" applyFont="0" applyFill="0" applyBorder="0" applyAlignment="0" applyProtection="0"/>
    <xf numFmtId="293" fontId="1" fillId="0" borderId="0" applyFont="0" applyFill="0" applyBorder="0" applyAlignment="0" applyProtection="0"/>
    <xf numFmtId="0" fontId="22" fillId="0" borderId="0"/>
    <xf numFmtId="9" fontId="188" fillId="0" borderId="0" applyFont="0" applyFill="0" applyBorder="0" applyAlignment="0" applyProtection="0"/>
    <xf numFmtId="0" fontId="188" fillId="0" borderId="0">
      <alignment horizontal="right"/>
    </xf>
    <xf numFmtId="0" fontId="190" fillId="0" borderId="0" applyNumberFormat="0" applyFill="0" applyBorder="0" applyAlignment="0" applyProtection="0">
      <alignment horizontal="right"/>
    </xf>
    <xf numFmtId="0" fontId="55" fillId="0" borderId="0"/>
    <xf numFmtId="0" fontId="24" fillId="0" borderId="0"/>
    <xf numFmtId="0" fontId="1" fillId="0" borderId="0"/>
    <xf numFmtId="0" fontId="21" fillId="0" borderId="0" applyFont="0"/>
    <xf numFmtId="0" fontId="49" fillId="0" borderId="26" applyNumberFormat="0" applyFill="0" applyAlignment="0" applyProtection="0"/>
    <xf numFmtId="0" fontId="4" fillId="4" borderId="3" applyNumberFormat="0" applyAlignment="0" applyProtection="0"/>
    <xf numFmtId="0" fontId="2" fillId="2" borderId="1" applyNumberFormat="0" applyAlignment="0" applyProtection="0"/>
    <xf numFmtId="0" fontId="79" fillId="0" borderId="71"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49" fillId="0" borderId="26" applyNumberFormat="0" applyFill="0" applyAlignment="0" applyProtection="0"/>
    <xf numFmtId="0" fontId="84" fillId="0" borderId="0" applyNumberFormat="0" applyFill="0" applyBorder="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79" fillId="0" borderId="71"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49" fillId="0" borderId="26" applyNumberFormat="0" applyFill="0" applyAlignment="0" applyProtection="0"/>
    <xf numFmtId="0" fontId="84" fillId="0" borderId="0" applyNumberFormat="0" applyFill="0" applyBorder="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9" fillId="0" borderId="71"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9" fillId="0" borderId="71"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9" fillId="0" borderId="71"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79" fillId="0" borderId="71"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79" fillId="0" borderId="71"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79" fillId="0" borderId="71"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9" fillId="0" borderId="71"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9" fillId="0" borderId="71"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77"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79" fillId="0" borderId="71"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77" fillId="0" borderId="0" applyNumberFormat="0" applyFill="0" applyBorder="0" applyAlignment="0" applyProtection="0"/>
    <xf numFmtId="0" fontId="49" fillId="0" borderId="26" applyNumberFormat="0" applyFill="0" applyAlignment="0" applyProtection="0"/>
    <xf numFmtId="0" fontId="78" fillId="0" borderId="70" applyNumberFormat="0" applyFill="0" applyAlignment="0" applyProtection="0"/>
    <xf numFmtId="0" fontId="49" fillId="0" borderId="26"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77" fillId="0" borderId="0" applyNumberFormat="0" applyFill="0" applyBorder="0" applyAlignment="0" applyProtection="0"/>
    <xf numFmtId="0" fontId="78" fillId="0" borderId="70" applyNumberFormat="0" applyFill="0" applyAlignment="0" applyProtection="0"/>
    <xf numFmtId="0" fontId="79" fillId="0" borderId="71" applyNumberFormat="0" applyFill="0" applyAlignment="0" applyProtection="0"/>
    <xf numFmtId="0" fontId="2" fillId="2" borderId="1" applyNumberFormat="0" applyAlignment="0" applyProtection="0"/>
    <xf numFmtId="0" fontId="4" fillId="4" borderId="3" applyNumberFormat="0" applyAlignment="0" applyProtection="0"/>
    <xf numFmtId="0" fontId="84" fillId="0" borderId="0" applyNumberFormat="0" applyFill="0" applyBorder="0" applyAlignment="0" applyProtection="0"/>
    <xf numFmtId="0" fontId="49" fillId="0" borderId="26" applyNumberFormat="0" applyFill="0" applyAlignment="0" applyProtection="0"/>
    <xf numFmtId="0" fontId="49" fillId="0" borderId="26" applyNumberFormat="0" applyFill="0" applyAlignment="0" applyProtection="0"/>
    <xf numFmtId="0" fontId="190" fillId="0" borderId="0" applyNumberFormat="0" applyFill="0" applyBorder="0" applyAlignment="0" applyProtection="0">
      <alignment horizontal="right"/>
    </xf>
    <xf numFmtId="9" fontId="188" fillId="0" borderId="0" applyFont="0" applyFill="0" applyBorder="0" applyAlignment="0" applyProtection="0"/>
    <xf numFmtId="43" fontId="188" fillId="0" borderId="0" applyFont="0" applyFill="0" applyBorder="0" applyAlignment="0" applyProtection="0"/>
    <xf numFmtId="0" fontId="1" fillId="0" borderId="0"/>
    <xf numFmtId="0" fontId="188" fillId="0" borderId="0">
      <alignment horizontal="right"/>
    </xf>
    <xf numFmtId="0" fontId="191" fillId="0" borderId="0" applyNumberFormat="0" applyFill="0" applyBorder="0" applyAlignment="0">
      <alignment horizontal="left" vertical="center"/>
    </xf>
    <xf numFmtId="182" fontId="22" fillId="0" borderId="0" applyFont="0" applyFill="0" applyBorder="0" applyAlignment="0" applyProtection="0">
      <alignment horizontal="left"/>
      <protection locked="0"/>
    </xf>
    <xf numFmtId="0" fontId="122" fillId="0" borderId="0"/>
    <xf numFmtId="187" fontId="5" fillId="0" borderId="0"/>
  </cellStyleXfs>
  <cellXfs count="205">
    <xf numFmtId="0" fontId="0" fillId="0" borderId="0" xfId="0"/>
    <xf numFmtId="0" fontId="0" fillId="0" borderId="0" xfId="0" applyNumberFormat="1"/>
    <xf numFmtId="0" fontId="2" fillId="2" borderId="1" xfId="1"/>
    <xf numFmtId="0" fontId="3" fillId="3" borderId="2" xfId="2" applyFont="1"/>
    <xf numFmtId="1" fontId="0" fillId="0" borderId="0" xfId="0" applyNumberFormat="1"/>
    <xf numFmtId="1" fontId="4" fillId="4" borderId="3" xfId="3" applyNumberFormat="1" applyAlignment="1">
      <alignment horizontal="center"/>
    </xf>
    <xf numFmtId="0" fontId="4" fillId="3" borderId="2" xfId="2" applyFont="1" applyAlignment="1">
      <alignment horizontal="center"/>
    </xf>
    <xf numFmtId="1" fontId="4" fillId="3" borderId="2" xfId="2" quotePrefix="1" applyNumberFormat="1" applyFont="1" applyAlignment="1">
      <alignment horizontal="center"/>
    </xf>
    <xf numFmtId="0" fontId="4" fillId="3" borderId="2" xfId="2" applyFont="1"/>
    <xf numFmtId="44" fontId="2" fillId="2" borderId="1" xfId="4" applyFont="1" applyFill="1" applyBorder="1"/>
    <xf numFmtId="44" fontId="4" fillId="4" borderId="3" xfId="4" applyFont="1" applyFill="1" applyBorder="1" applyAlignment="1">
      <alignment horizontal="center"/>
    </xf>
    <xf numFmtId="0" fontId="5" fillId="5" borderId="0" xfId="0" applyFont="1" applyFill="1"/>
    <xf numFmtId="0" fontId="5" fillId="0" borderId="0" xfId="0" applyFont="1"/>
    <xf numFmtId="0" fontId="6" fillId="5" borderId="0" xfId="0" applyFont="1" applyFill="1" applyAlignment="1"/>
    <xf numFmtId="0" fontId="7" fillId="5" borderId="0" xfId="0" applyFont="1" applyFill="1" applyAlignment="1">
      <alignment horizontal="right"/>
    </xf>
    <xf numFmtId="0" fontId="8" fillId="0" borderId="0" xfId="0" applyFont="1" applyAlignment="1">
      <alignment horizontal="right"/>
    </xf>
    <xf numFmtId="0" fontId="5" fillId="0" borderId="0" xfId="0" applyFont="1" applyAlignment="1">
      <alignment vertical="center"/>
    </xf>
    <xf numFmtId="0" fontId="6" fillId="0" borderId="0" xfId="0" applyFont="1" applyAlignment="1"/>
    <xf numFmtId="0" fontId="9" fillId="0" borderId="0" xfId="0" applyFont="1" applyAlignment="1"/>
    <xf numFmtId="0" fontId="10" fillId="0" borderId="0" xfId="0" applyFont="1" applyAlignment="1">
      <alignment horizontal="left"/>
    </xf>
    <xf numFmtId="0" fontId="11" fillId="0" borderId="0" xfId="0" applyFont="1"/>
    <xf numFmtId="164" fontId="6" fillId="0" borderId="0" xfId="0" applyNumberFormat="1" applyFont="1" applyAlignment="1">
      <alignment horizontal="left"/>
    </xf>
    <xf numFmtId="0" fontId="5" fillId="0" borderId="4" xfId="0" applyFont="1" applyBorder="1"/>
    <xf numFmtId="0" fontId="12" fillId="0" borderId="0" xfId="0" applyFont="1"/>
    <xf numFmtId="0" fontId="13" fillId="0" borderId="0" xfId="0" applyFont="1"/>
    <xf numFmtId="0" fontId="5" fillId="0" borderId="7" xfId="0" applyFont="1" applyBorder="1"/>
    <xf numFmtId="0" fontId="15" fillId="5" borderId="0" xfId="0" applyFont="1" applyFill="1" applyAlignment="1">
      <alignment vertical="center"/>
    </xf>
    <xf numFmtId="0" fontId="16" fillId="5" borderId="0" xfId="0" applyFont="1" applyFill="1"/>
    <xf numFmtId="0" fontId="17" fillId="7" borderId="0" xfId="0" applyFont="1" applyFill="1"/>
    <xf numFmtId="0" fontId="5" fillId="8" borderId="0" xfId="0" applyFont="1" applyFill="1"/>
    <xf numFmtId="0" fontId="5" fillId="9" borderId="0" xfId="0" applyFont="1" applyFill="1"/>
    <xf numFmtId="0" fontId="5" fillId="10" borderId="0" xfId="0" applyFont="1" applyFill="1"/>
    <xf numFmtId="0" fontId="5" fillId="11" borderId="0" xfId="0" applyFont="1" applyFill="1"/>
    <xf numFmtId="165" fontId="14" fillId="6" borderId="8" xfId="5" applyNumberFormat="1" applyFont="1" applyFill="1" applyBorder="1" applyAlignment="1">
      <alignment vertical="center"/>
    </xf>
    <xf numFmtId="165" fontId="14" fillId="0" borderId="8" xfId="5" applyNumberFormat="1" applyFont="1" applyFill="1" applyBorder="1" applyAlignment="1">
      <alignment vertical="center"/>
    </xf>
    <xf numFmtId="0" fontId="19" fillId="0" borderId="0" xfId="0" applyFont="1"/>
    <xf numFmtId="0" fontId="15" fillId="12" borderId="0" xfId="0" applyFont="1" applyFill="1" applyAlignment="1">
      <alignment vertical="center"/>
    </xf>
    <xf numFmtId="0" fontId="16" fillId="12" borderId="0" xfId="0" applyFont="1" applyFill="1"/>
    <xf numFmtId="0" fontId="19" fillId="0" borderId="0" xfId="0" applyFont="1" applyAlignment="1">
      <alignment horizontal="left" indent="1"/>
    </xf>
    <xf numFmtId="0" fontId="20" fillId="0" borderId="0" xfId="6" applyFont="1" applyAlignment="1">
      <alignment vertical="center"/>
    </xf>
    <xf numFmtId="0" fontId="10" fillId="0" borderId="0" xfId="0" applyFont="1" applyAlignment="1"/>
    <xf numFmtId="0" fontId="7" fillId="5" borderId="0" xfId="0" applyFont="1" applyFill="1" applyAlignment="1">
      <alignment vertical="center"/>
    </xf>
    <xf numFmtId="0" fontId="42" fillId="5" borderId="0" xfId="48" applyFont="1" applyFill="1"/>
    <xf numFmtId="0" fontId="43" fillId="0" borderId="0" xfId="0" applyFont="1"/>
    <xf numFmtId="0" fontId="5" fillId="0" borderId="0" xfId="0" applyFont="1" applyFill="1" applyBorder="1"/>
    <xf numFmtId="0" fontId="48" fillId="0" borderId="0" xfId="0" applyFont="1"/>
    <xf numFmtId="0" fontId="5" fillId="0" borderId="15" xfId="0" applyFont="1" applyFill="1" applyBorder="1"/>
    <xf numFmtId="187" fontId="5" fillId="0" borderId="15" xfId="0" applyNumberFormat="1" applyFont="1" applyFill="1" applyBorder="1"/>
    <xf numFmtId="0" fontId="5" fillId="19" borderId="0" xfId="0" applyFont="1" applyFill="1"/>
    <xf numFmtId="0" fontId="17" fillId="18" borderId="0" xfId="0" applyFont="1" applyFill="1" applyBorder="1" applyAlignment="1">
      <alignment horizontal="center"/>
    </xf>
    <xf numFmtId="0" fontId="17" fillId="18" borderId="24" xfId="0" applyFont="1" applyFill="1" applyBorder="1" applyAlignment="1">
      <alignment horizontal="center"/>
    </xf>
    <xf numFmtId="0" fontId="0" fillId="0" borderId="0" xfId="0"/>
    <xf numFmtId="0" fontId="5" fillId="0" borderId="0" xfId="0" applyFont="1"/>
    <xf numFmtId="0" fontId="16" fillId="5" borderId="0" xfId="0" applyFont="1" applyFill="1"/>
    <xf numFmtId="0" fontId="16" fillId="12" borderId="0" xfId="0" applyFont="1" applyFill="1"/>
    <xf numFmtId="0" fontId="42" fillId="0" borderId="0" xfId="48" applyFont="1" applyFill="1"/>
    <xf numFmtId="0" fontId="5" fillId="0" borderId="0" xfId="0" quotePrefix="1" applyFont="1"/>
    <xf numFmtId="0" fontId="5" fillId="0" borderId="0" xfId="0" applyFont="1" applyAlignment="1">
      <alignment wrapText="1"/>
    </xf>
    <xf numFmtId="0" fontId="0" fillId="0" borderId="0" xfId="0"/>
    <xf numFmtId="0" fontId="5" fillId="0" borderId="0" xfId="0" applyFont="1"/>
    <xf numFmtId="0" fontId="5" fillId="0" borderId="0" xfId="0" applyFont="1" applyFill="1"/>
    <xf numFmtId="0" fontId="46" fillId="0" borderId="0" xfId="0" applyFont="1"/>
    <xf numFmtId="0" fontId="5" fillId="0" borderId="0" xfId="0" applyFont="1"/>
    <xf numFmtId="0" fontId="15" fillId="5" borderId="0" xfId="0" applyFont="1" applyFill="1" applyAlignment="1">
      <alignment vertical="center"/>
    </xf>
    <xf numFmtId="0" fontId="5" fillId="0" borderId="0" xfId="0" applyFont="1"/>
    <xf numFmtId="0" fontId="0" fillId="0" borderId="0" xfId="0" quotePrefix="1"/>
    <xf numFmtId="0" fontId="0" fillId="0" borderId="0" xfId="0"/>
    <xf numFmtId="190" fontId="43" fillId="0" borderId="16" xfId="4" applyNumberFormat="1" applyFont="1" applyFill="1" applyBorder="1"/>
    <xf numFmtId="0" fontId="5" fillId="0" borderId="0" xfId="0" applyFont="1" applyAlignment="1">
      <alignment vertical="top" wrapText="1"/>
    </xf>
    <xf numFmtId="0" fontId="0" fillId="0" borderId="0" xfId="0"/>
    <xf numFmtId="0" fontId="5" fillId="0" borderId="0" xfId="0" applyFont="1" applyAlignment="1">
      <alignment horizontal="left" wrapText="1"/>
    </xf>
    <xf numFmtId="0" fontId="0" fillId="0" borderId="0" xfId="0" applyFill="1"/>
    <xf numFmtId="0" fontId="0" fillId="0" borderId="0" xfId="0"/>
    <xf numFmtId="2" fontId="43" fillId="0" borderId="16" xfId="4" applyNumberFormat="1" applyFont="1" applyFill="1" applyBorder="1"/>
    <xf numFmtId="1" fontId="43" fillId="0" borderId="16" xfId="4" applyNumberFormat="1" applyFont="1" applyFill="1" applyBorder="1"/>
    <xf numFmtId="196" fontId="5" fillId="0" borderId="15" xfId="0" applyNumberFormat="1" applyFont="1" applyFill="1" applyBorder="1"/>
    <xf numFmtId="190" fontId="43" fillId="0" borderId="0" xfId="4" applyNumberFormat="1" applyFont="1" applyFill="1" applyBorder="1"/>
    <xf numFmtId="197" fontId="2" fillId="2" borderId="1" xfId="1" applyNumberFormat="1"/>
    <xf numFmtId="1" fontId="5" fillId="0" borderId="15" xfId="0" applyNumberFormat="1" applyFont="1" applyFill="1" applyBorder="1"/>
    <xf numFmtId="0" fontId="17" fillId="18" borderId="24" xfId="0" applyFont="1" applyFill="1" applyBorder="1" applyAlignment="1">
      <alignment horizontal="left"/>
    </xf>
    <xf numFmtId="196" fontId="2" fillId="2" borderId="1" xfId="1" applyNumberFormat="1"/>
    <xf numFmtId="0" fontId="0" fillId="0" borderId="0" xfId="0"/>
    <xf numFmtId="11" fontId="44" fillId="6" borderId="8" xfId="5" applyNumberFormat="1" applyFont="1" applyFill="1" applyBorder="1" applyAlignment="1">
      <alignment vertical="center"/>
    </xf>
    <xf numFmtId="0" fontId="17" fillId="18" borderId="24" xfId="0" applyFont="1" applyFill="1" applyBorder="1" applyAlignment="1">
      <alignment horizontal="centerContinuous" vertical="top" wrapText="1"/>
    </xf>
    <xf numFmtId="0" fontId="17" fillId="18" borderId="24" xfId="0" applyFont="1" applyFill="1" applyBorder="1" applyAlignment="1">
      <alignment horizontal="left" vertical="top" wrapText="1"/>
    </xf>
    <xf numFmtId="0" fontId="0" fillId="0" borderId="0" xfId="0"/>
    <xf numFmtId="0" fontId="0" fillId="0" borderId="0" xfId="0"/>
    <xf numFmtId="343" fontId="44" fillId="6" borderId="8" xfId="5" applyNumberFormat="1" applyFont="1" applyFill="1" applyBorder="1" applyAlignment="1">
      <alignment vertical="center"/>
    </xf>
    <xf numFmtId="0" fontId="5" fillId="0" borderId="15" xfId="0" applyFont="1" applyFill="1" applyBorder="1"/>
    <xf numFmtId="0" fontId="0" fillId="0" borderId="0" xfId="0"/>
    <xf numFmtId="2" fontId="0" fillId="0" borderId="0" xfId="0" applyNumberFormat="1"/>
    <xf numFmtId="344" fontId="44" fillId="6" borderId="8" xfId="5" applyNumberFormat="1" applyFont="1" applyFill="1" applyBorder="1" applyAlignment="1">
      <alignment vertical="center"/>
    </xf>
    <xf numFmtId="0" fontId="186" fillId="0" borderId="0" xfId="0" applyFont="1" applyFill="1" applyBorder="1"/>
    <xf numFmtId="0" fontId="0" fillId="0" borderId="0" xfId="0"/>
    <xf numFmtId="0" fontId="5" fillId="0" borderId="0" xfId="0" applyFont="1" applyFill="1" applyBorder="1" applyAlignment="1">
      <alignment horizontal="left" vertical="top" wrapText="1"/>
    </xf>
    <xf numFmtId="0" fontId="18" fillId="0" borderId="0" xfId="6" applyFill="1" applyBorder="1" applyAlignment="1">
      <alignment horizontal="left" wrapText="1"/>
    </xf>
    <xf numFmtId="0" fontId="20" fillId="0" borderId="0" xfId="6" applyFont="1" applyFill="1" applyBorder="1" applyAlignment="1">
      <alignment horizontal="left" wrapText="1"/>
    </xf>
    <xf numFmtId="0" fontId="17" fillId="18" borderId="24" xfId="0" applyFont="1" applyFill="1" applyBorder="1" applyAlignment="1">
      <alignment horizontal="left" wrapText="1"/>
    </xf>
    <xf numFmtId="0" fontId="17" fillId="18" borderId="68" xfId="0" applyFont="1" applyFill="1" applyBorder="1" applyAlignment="1">
      <alignment horizontal="center" wrapText="1"/>
    </xf>
    <xf numFmtId="0" fontId="44" fillId="0" borderId="69" xfId="0" applyFont="1" applyBorder="1" applyAlignment="1">
      <alignment vertical="top" wrapText="1"/>
    </xf>
    <xf numFmtId="0" fontId="44" fillId="75" borderId="8" xfId="0" applyFont="1" applyFill="1" applyBorder="1" applyAlignment="1">
      <alignment horizontal="left" vertical="top" wrapText="1"/>
    </xf>
    <xf numFmtId="0" fontId="0" fillId="0" borderId="0" xfId="0"/>
    <xf numFmtId="0" fontId="0" fillId="0" borderId="0" xfId="0"/>
    <xf numFmtId="0" fontId="18" fillId="0" borderId="0" xfId="6"/>
    <xf numFmtId="0" fontId="0" fillId="0" borderId="0" xfId="0"/>
    <xf numFmtId="345" fontId="44" fillId="6" borderId="8" xfId="5" applyNumberFormat="1" applyFont="1" applyFill="1" applyBorder="1" applyAlignment="1">
      <alignment vertical="center"/>
    </xf>
    <xf numFmtId="0" fontId="5" fillId="0" borderId="0" xfId="0" applyFont="1" applyAlignment="1"/>
    <xf numFmtId="0" fontId="44" fillId="0" borderId="0" xfId="0" applyFont="1" applyBorder="1" applyAlignment="1">
      <alignment vertical="top"/>
    </xf>
    <xf numFmtId="0" fontId="0" fillId="0" borderId="0" xfId="0"/>
    <xf numFmtId="165" fontId="14" fillId="0" borderId="0" xfId="5" applyNumberFormat="1" applyFont="1" applyFill="1" applyBorder="1" applyAlignment="1">
      <alignment vertical="center"/>
    </xf>
    <xf numFmtId="0" fontId="0" fillId="0" borderId="0" xfId="0"/>
    <xf numFmtId="0" fontId="3" fillId="0" borderId="0" xfId="0" applyFont="1"/>
    <xf numFmtId="2" fontId="44" fillId="75" borderId="8" xfId="0" applyNumberFormat="1" applyFont="1" applyFill="1" applyBorder="1" applyAlignment="1">
      <alignment horizontal="left" vertical="top" wrapText="1"/>
    </xf>
    <xf numFmtId="189" fontId="14" fillId="0" borderId="8" xfId="5" applyNumberFormat="1" applyFont="1" applyFill="1" applyBorder="1" applyAlignment="1">
      <alignment vertical="center"/>
    </xf>
    <xf numFmtId="1" fontId="44" fillId="75" borderId="8" xfId="0" applyNumberFormat="1" applyFont="1" applyFill="1" applyBorder="1" applyAlignment="1">
      <alignment horizontal="left" vertical="top" wrapText="1"/>
    </xf>
    <xf numFmtId="0" fontId="0" fillId="0" borderId="0" xfId="0"/>
    <xf numFmtId="43" fontId="189" fillId="0" borderId="0" xfId="4459" applyNumberFormat="1" applyFont="1" applyAlignment="1"/>
    <xf numFmtId="189" fontId="189" fillId="0" borderId="0" xfId="4814" applyNumberFormat="1" applyFont="1" applyAlignment="1"/>
    <xf numFmtId="346" fontId="44" fillId="6" borderId="8" xfId="5" applyNumberFormat="1" applyFont="1" applyFill="1" applyBorder="1" applyAlignment="1">
      <alignment vertical="center"/>
    </xf>
    <xf numFmtId="0" fontId="0" fillId="0" borderId="0" xfId="0"/>
    <xf numFmtId="0" fontId="44" fillId="0" borderId="0" xfId="0" applyFont="1" applyFill="1" applyBorder="1" applyAlignment="1">
      <alignment horizontal="left" vertical="top" wrapText="1"/>
    </xf>
    <xf numFmtId="2" fontId="44" fillId="0" borderId="0" xfId="0" applyNumberFormat="1" applyFont="1" applyFill="1" applyBorder="1" applyAlignment="1">
      <alignment horizontal="left" vertical="top" wrapText="1"/>
    </xf>
    <xf numFmtId="2" fontId="5" fillId="0" borderId="0" xfId="0" applyNumberFormat="1" applyFont="1"/>
    <xf numFmtId="198" fontId="44" fillId="75" borderId="8" xfId="0" applyNumberFormat="1" applyFont="1" applyFill="1" applyBorder="1" applyAlignment="1">
      <alignment horizontal="left" vertical="top" wrapText="1"/>
    </xf>
    <xf numFmtId="0" fontId="0" fillId="0" borderId="0" xfId="0"/>
    <xf numFmtId="0" fontId="0" fillId="0" borderId="0" xfId="0"/>
    <xf numFmtId="0" fontId="5" fillId="0" borderId="0" xfId="0" applyFont="1" applyFill="1" applyAlignment="1">
      <alignment horizontal="centerContinuous" wrapText="1"/>
    </xf>
    <xf numFmtId="0" fontId="5" fillId="0" borderId="0" xfId="0" applyFont="1" applyAlignment="1">
      <alignment horizontal="centerContinuous" wrapText="1"/>
    </xf>
    <xf numFmtId="0" fontId="18" fillId="0" borderId="0" xfId="6" applyFill="1" applyBorder="1"/>
    <xf numFmtId="195" fontId="44" fillId="0" borderId="0" xfId="5" applyNumberFormat="1" applyFont="1" applyFill="1" applyBorder="1" applyAlignment="1">
      <alignment vertical="center"/>
    </xf>
    <xf numFmtId="11" fontId="44" fillId="0" borderId="0" xfId="5" applyNumberFormat="1" applyFont="1" applyFill="1" applyBorder="1" applyAlignment="1">
      <alignment vertical="center"/>
    </xf>
    <xf numFmtId="9" fontId="44" fillId="0" borderId="0" xfId="4451" applyFont="1" applyFill="1" applyBorder="1" applyAlignment="1">
      <alignment vertical="center"/>
    </xf>
    <xf numFmtId="11" fontId="44" fillId="75" borderId="8" xfId="0" applyNumberFormat="1" applyFont="1" applyFill="1" applyBorder="1" applyAlignment="1">
      <alignment horizontal="left" vertical="top" wrapText="1"/>
    </xf>
    <xf numFmtId="0" fontId="0" fillId="0" borderId="0" xfId="0"/>
    <xf numFmtId="0" fontId="0" fillId="0" borderId="0" xfId="0"/>
    <xf numFmtId="0" fontId="0" fillId="0" borderId="0" xfId="0"/>
    <xf numFmtId="0" fontId="0" fillId="0" borderId="72" xfId="0" applyFill="1" applyBorder="1" applyAlignment="1">
      <alignment horizontal="left" vertical="top" wrapText="1"/>
    </xf>
    <xf numFmtId="1" fontId="45" fillId="6" borderId="8" xfId="5" applyNumberFormat="1" applyFont="1" applyFill="1" applyBorder="1" applyAlignment="1">
      <alignment vertical="center"/>
    </xf>
    <xf numFmtId="0" fontId="3" fillId="0" borderId="72" xfId="0" applyFont="1" applyFill="1" applyBorder="1" applyAlignment="1">
      <alignment horizontal="left" vertical="top" wrapText="1"/>
    </xf>
    <xf numFmtId="0" fontId="87" fillId="0" borderId="73" xfId="0" applyFont="1" applyFill="1" applyBorder="1"/>
    <xf numFmtId="0" fontId="87" fillId="0" borderId="15" xfId="0" applyFont="1" applyFill="1" applyBorder="1"/>
    <xf numFmtId="0" fontId="87" fillId="0" borderId="15" xfId="0" applyFont="1" applyFill="1" applyBorder="1" applyAlignment="1">
      <alignment horizontal="center"/>
    </xf>
    <xf numFmtId="0" fontId="87" fillId="0" borderId="74" xfId="0" applyFont="1" applyFill="1" applyBorder="1"/>
    <xf numFmtId="0" fontId="87" fillId="18" borderId="0" xfId="0" applyFont="1" applyFill="1" applyBorder="1" applyAlignment="1">
      <alignment horizontal="center"/>
    </xf>
    <xf numFmtId="0" fontId="87" fillId="18" borderId="25" xfId="0" applyFont="1" applyFill="1" applyBorder="1" applyAlignment="1">
      <alignment horizontal="center"/>
    </xf>
    <xf numFmtId="0" fontId="87" fillId="18" borderId="75" xfId="0" applyFont="1" applyFill="1" applyBorder="1" applyAlignment="1">
      <alignment horizontal="center"/>
    </xf>
    <xf numFmtId="0" fontId="87" fillId="18" borderId="0" xfId="0" applyFont="1" applyFill="1" applyBorder="1" applyAlignment="1">
      <alignment horizontal="left"/>
    </xf>
    <xf numFmtId="165" fontId="14" fillId="0" borderId="76" xfId="5" applyNumberFormat="1" applyFont="1" applyFill="1" applyBorder="1" applyAlignment="1">
      <alignment vertical="center"/>
    </xf>
    <xf numFmtId="2" fontId="44" fillId="75" borderId="76" xfId="0" applyNumberFormat="1" applyFont="1" applyFill="1" applyBorder="1" applyAlignment="1">
      <alignment horizontal="left" vertical="top" wrapText="1"/>
    </xf>
    <xf numFmtId="165" fontId="14" fillId="0" borderId="77" xfId="5" applyNumberFormat="1" applyFont="1" applyFill="1" applyBorder="1" applyAlignment="1">
      <alignment vertical="center"/>
    </xf>
    <xf numFmtId="195" fontId="44" fillId="75" borderId="77" xfId="0" applyNumberFormat="1" applyFont="1" applyFill="1" applyBorder="1" applyAlignment="1">
      <alignment horizontal="left" vertical="top" wrapText="1"/>
    </xf>
    <xf numFmtId="195" fontId="44" fillId="75" borderId="76" xfId="0" applyNumberFormat="1" applyFont="1" applyFill="1" applyBorder="1" applyAlignment="1">
      <alignment horizontal="left" vertical="top" wrapText="1"/>
    </xf>
    <xf numFmtId="195" fontId="43" fillId="0" borderId="16" xfId="4" applyNumberFormat="1" applyFont="1" applyFill="1" applyBorder="1"/>
    <xf numFmtId="200" fontId="14" fillId="0" borderId="8" xfId="5" applyNumberFormat="1" applyFont="1" applyFill="1" applyBorder="1" applyAlignment="1">
      <alignment vertical="center"/>
    </xf>
    <xf numFmtId="43" fontId="14" fillId="0" borderId="8" xfId="5" applyNumberFormat="1" applyFont="1" applyFill="1" applyBorder="1" applyAlignment="1">
      <alignment vertical="center"/>
    </xf>
    <xf numFmtId="11" fontId="14" fillId="0" borderId="8" xfId="5" applyNumberFormat="1" applyFont="1" applyFill="1" applyBorder="1" applyAlignment="1">
      <alignment vertical="center"/>
    </xf>
    <xf numFmtId="9" fontId="14" fillId="0" borderId="8" xfId="4451" applyFont="1" applyFill="1" applyBorder="1" applyAlignment="1">
      <alignment vertical="center"/>
    </xf>
    <xf numFmtId="190" fontId="14" fillId="0" borderId="8" xfId="4" applyNumberFormat="1" applyFont="1" applyFill="1" applyBorder="1" applyAlignment="1">
      <alignment vertical="center"/>
    </xf>
    <xf numFmtId="0" fontId="0" fillId="0" borderId="0" xfId="0"/>
    <xf numFmtId="0" fontId="16" fillId="0" borderId="0" xfId="0" applyFont="1"/>
    <xf numFmtId="0" fontId="17" fillId="0" borderId="0" xfId="0" applyFont="1"/>
    <xf numFmtId="0" fontId="17" fillId="0" borderId="73" xfId="0" applyFont="1" applyFill="1" applyBorder="1"/>
    <xf numFmtId="0" fontId="17" fillId="0" borderId="15" xfId="0" applyFont="1" applyFill="1" applyBorder="1"/>
    <xf numFmtId="0" fontId="17" fillId="0" borderId="74" xfId="0" applyFont="1" applyFill="1" applyBorder="1"/>
    <xf numFmtId="0" fontId="17" fillId="18" borderId="25" xfId="0" applyFont="1" applyFill="1" applyBorder="1" applyAlignment="1">
      <alignment horizontal="center"/>
    </xf>
    <xf numFmtId="0" fontId="17" fillId="18" borderId="75" xfId="0" applyFont="1" applyFill="1" applyBorder="1" applyAlignment="1">
      <alignment horizontal="center"/>
    </xf>
    <xf numFmtId="347" fontId="5" fillId="0" borderId="15" xfId="0" applyNumberFormat="1" applyFont="1" applyFill="1" applyBorder="1"/>
    <xf numFmtId="0" fontId="17" fillId="0" borderId="15" xfId="0" applyFont="1" applyFill="1" applyBorder="1" applyAlignment="1">
      <alignment horizontal="center"/>
    </xf>
    <xf numFmtId="187" fontId="5" fillId="0" borderId="72" xfId="4" applyNumberFormat="1" applyFont="1" applyBorder="1"/>
    <xf numFmtId="347" fontId="5" fillId="0" borderId="72" xfId="4" applyNumberFormat="1" applyFont="1" applyBorder="1"/>
    <xf numFmtId="187" fontId="5" fillId="0" borderId="0" xfId="4" applyNumberFormat="1" applyFont="1" applyBorder="1"/>
    <xf numFmtId="348" fontId="5" fillId="0" borderId="0" xfId="0" applyNumberFormat="1" applyFont="1" applyFill="1" applyBorder="1"/>
    <xf numFmtId="349" fontId="5" fillId="0" borderId="72" xfId="4" applyNumberFormat="1" applyFont="1" applyBorder="1"/>
    <xf numFmtId="0" fontId="51" fillId="76" borderId="0" xfId="0" applyFont="1" applyFill="1" applyAlignment="1">
      <alignment vertical="center"/>
    </xf>
    <xf numFmtId="0" fontId="51" fillId="76" borderId="0" xfId="0" applyFont="1" applyFill="1" applyAlignment="1">
      <alignment horizontal="center" vertical="center"/>
    </xf>
    <xf numFmtId="0" fontId="13" fillId="76" borderId="0" xfId="0" applyFont="1" applyFill="1" applyAlignment="1">
      <alignment horizontal="center" vertical="center"/>
    </xf>
    <xf numFmtId="3" fontId="51" fillId="76" borderId="0" xfId="0" applyNumberFormat="1" applyFont="1" applyFill="1" applyAlignment="1">
      <alignment horizontal="center" vertical="center"/>
    </xf>
    <xf numFmtId="0" fontId="0" fillId="0" borderId="0" xfId="0"/>
    <xf numFmtId="348" fontId="0" fillId="0" borderId="0" xfId="0" applyNumberFormat="1"/>
    <xf numFmtId="9" fontId="0" fillId="0" borderId="0" xfId="4451" applyFont="1"/>
    <xf numFmtId="0" fontId="0" fillId="0" borderId="0" xfId="0"/>
    <xf numFmtId="0" fontId="87" fillId="18" borderId="0" xfId="0" applyFont="1" applyFill="1" applyBorder="1" applyAlignment="1">
      <alignment horizontal="right"/>
    </xf>
    <xf numFmtId="0" fontId="87" fillId="18" borderId="25" xfId="0" applyFont="1" applyFill="1" applyBorder="1" applyAlignment="1">
      <alignment horizontal="right"/>
    </xf>
    <xf numFmtId="0" fontId="87" fillId="18" borderId="75" xfId="0" applyFont="1" applyFill="1" applyBorder="1" applyAlignment="1">
      <alignment horizontal="right"/>
    </xf>
    <xf numFmtId="1" fontId="0" fillId="0" borderId="72" xfId="0" applyNumberFormat="1" applyFill="1" applyBorder="1" applyAlignment="1">
      <alignment horizontal="right" vertical="top" wrapText="1"/>
    </xf>
    <xf numFmtId="1" fontId="3" fillId="0" borderId="72" xfId="0" applyNumberFormat="1" applyFont="1" applyFill="1" applyBorder="1" applyAlignment="1">
      <alignment horizontal="right" vertical="top" wrapText="1"/>
    </xf>
    <xf numFmtId="0" fontId="0" fillId="0" borderId="72" xfId="0" applyFill="1" applyBorder="1" applyAlignment="1">
      <alignment horizontal="right" vertical="top" wrapText="1"/>
    </xf>
    <xf numFmtId="195" fontId="0" fillId="0" borderId="72" xfId="0" applyNumberFormat="1" applyFill="1" applyBorder="1" applyAlignment="1">
      <alignment horizontal="right" vertical="top" wrapText="1"/>
    </xf>
    <xf numFmtId="195" fontId="3" fillId="0" borderId="72" xfId="0" applyNumberFormat="1" applyFont="1" applyFill="1" applyBorder="1" applyAlignment="1">
      <alignment horizontal="right" vertical="top" wrapText="1"/>
    </xf>
    <xf numFmtId="0" fontId="11" fillId="18" borderId="0" xfId="0" applyFont="1" applyFill="1" applyBorder="1" applyAlignment="1">
      <alignment horizontal="center"/>
    </xf>
    <xf numFmtId="0" fontId="11" fillId="18" borderId="25" xfId="0" applyFont="1" applyFill="1" applyBorder="1" applyAlignment="1">
      <alignment horizontal="center"/>
    </xf>
    <xf numFmtId="0" fontId="11" fillId="18" borderId="75" xfId="0" applyFont="1" applyFill="1" applyBorder="1" applyAlignment="1">
      <alignment horizontal="center"/>
    </xf>
    <xf numFmtId="10" fontId="0" fillId="0" borderId="0" xfId="4451" applyNumberFormat="1" applyFont="1"/>
    <xf numFmtId="0" fontId="6" fillId="0" borderId="0" xfId="0" applyFont="1"/>
    <xf numFmtId="165" fontId="14" fillId="0" borderId="0" xfId="5" applyNumberFormat="1" applyFont="1" applyFill="1" applyBorder="1" applyAlignment="1">
      <alignment horizontal="right" vertical="center"/>
    </xf>
    <xf numFmtId="14" fontId="14" fillId="0" borderId="0" xfId="5" applyNumberFormat="1" applyFont="1" applyFill="1" applyBorder="1" applyAlignment="1">
      <alignment vertical="center"/>
    </xf>
    <xf numFmtId="0" fontId="5" fillId="0" borderId="0" xfId="0" applyFont="1" applyAlignment="1">
      <alignment wrapText="1"/>
    </xf>
    <xf numFmtId="0" fontId="5" fillId="0" borderId="0" xfId="0" applyFont="1" applyAlignment="1">
      <alignment vertical="top" wrapText="1"/>
    </xf>
    <xf numFmtId="0" fontId="5" fillId="6" borderId="5" xfId="0" applyFont="1" applyFill="1" applyBorder="1" applyAlignment="1"/>
    <xf numFmtId="0" fontId="5" fillId="6" borderId="23" xfId="0" applyFont="1" applyFill="1" applyBorder="1" applyAlignment="1"/>
    <xf numFmtId="0" fontId="5" fillId="6" borderId="6" xfId="0" applyFont="1" applyFill="1" applyBorder="1" applyAlignment="1"/>
    <xf numFmtId="0" fontId="0" fillId="0" borderId="0" xfId="0"/>
    <xf numFmtId="14" fontId="5" fillId="6" borderId="5" xfId="0" applyNumberFormat="1" applyFont="1" applyFill="1" applyBorder="1" applyAlignment="1">
      <alignment horizontal="left"/>
    </xf>
    <xf numFmtId="14" fontId="5" fillId="6" borderId="23" xfId="0" applyNumberFormat="1" applyFont="1" applyFill="1" applyBorder="1" applyAlignment="1">
      <alignment horizontal="left"/>
    </xf>
    <xf numFmtId="14" fontId="5" fillId="6" borderId="6" xfId="0" applyNumberFormat="1" applyFont="1" applyFill="1" applyBorder="1" applyAlignment="1">
      <alignment horizontal="left"/>
    </xf>
  </cellXfs>
  <cellStyles count="4821">
    <cellStyle name="᎞" xfId="175"/>
    <cellStyle name="_x0002__x0002_" xfId="180"/>
    <cellStyle name="_x0002__x0003_" xfId="181"/>
    <cellStyle name="_x0004__xffff_" xfId="186"/>
    <cellStyle name="_x0013_" xfId="179"/>
    <cellStyle name=" 1" xfId="182"/>
    <cellStyle name=" 1 2" xfId="176"/>
    <cellStyle name=" 1_F-zero" xfId="184"/>
    <cellStyle name="_x0004_ 2" xfId="183"/>
    <cellStyle name="_x0013_ 2" xfId="189"/>
    <cellStyle name="_x0004_ 2 2" xfId="185"/>
    <cellStyle name="_x0004_ 2 3" xfId="178"/>
    <cellStyle name="_x0004_ 2 4" xfId="177"/>
    <cellStyle name="_x0004_ 2 5" xfId="190"/>
    <cellStyle name="_x0004_ 2_F-zero" xfId="191"/>
    <cellStyle name="_x0013_ 2_F-zero" xfId="192"/>
    <cellStyle name="_x0004_ 3" xfId="193"/>
    <cellStyle name="_x0013_ 3" xfId="194"/>
    <cellStyle name="_x0004_ 3 2" xfId="195"/>
    <cellStyle name="_x0004_ 3 3" xfId="196"/>
    <cellStyle name="_x0004_ 3 4" xfId="197"/>
    <cellStyle name="_x0004_ 3 5" xfId="198"/>
    <cellStyle name="_x0004_ 3_F-zero" xfId="199"/>
    <cellStyle name="_x0013_ 3_F-zero" xfId="200"/>
    <cellStyle name="_x0004_ 4" xfId="201"/>
    <cellStyle name="_x0004_ 4 2" xfId="202"/>
    <cellStyle name="_x0004_ 4 3" xfId="203"/>
    <cellStyle name="_x0004_ 4 4" xfId="204"/>
    <cellStyle name="_x0004_ 4 5" xfId="205"/>
    <cellStyle name="_x0004_ 4_F-zero" xfId="206"/>
    <cellStyle name="_x0004_ 5" xfId="207"/>
    <cellStyle name="_x0004_ 5 2" xfId="208"/>
    <cellStyle name="_x0004_ 5 3" xfId="209"/>
    <cellStyle name="_x0004_ 5 4" xfId="210"/>
    <cellStyle name="_x0004_ 5 5" xfId="211"/>
    <cellStyle name="_x0004_ 5_F-zero" xfId="212"/>
    <cellStyle name="_x0004_ 6" xfId="213"/>
    <cellStyle name="_x0004_ 7" xfId="214"/>
    <cellStyle name="_x0004_ 8" xfId="215"/>
    <cellStyle name="_x0004_ 9" xfId="216"/>
    <cellStyle name="_x000b_" xfId="217"/>
    <cellStyle name="_x000d__x0010__x0001_?" xfId="218"/>
    <cellStyle name="_x000d__x0010__x0001_ဠ" xfId="219"/>
    <cellStyle name="##" xfId="220"/>
    <cellStyle name="#,##0" xfId="221"/>
    <cellStyle name="$" xfId="222"/>
    <cellStyle name="$ 2" xfId="223"/>
    <cellStyle name="$ Forecast" xfId="224"/>
    <cellStyle name="$ History" xfId="225"/>
    <cellStyle name="$ k" xfId="226"/>
    <cellStyle name="$ k 2" xfId="227"/>
    <cellStyle name="$ M" xfId="228"/>
    <cellStyle name="$ M 2" xfId="229"/>
    <cellStyle name="%" xfId="230"/>
    <cellStyle name="% 2" xfId="231"/>
    <cellStyle name="% change/margin" xfId="232"/>
    <cellStyle name="% Forecast" xfId="233"/>
    <cellStyle name="% History" xfId="234"/>
    <cellStyle name="% Presentation" xfId="235"/>
    <cellStyle name="%_105 BIF June 2009 TEA v5" xfId="236"/>
    <cellStyle name="%_105 BIF June 2009 TEA v5_F-zero" xfId="237"/>
    <cellStyle name="%_145 PIE June 2009 TEAv2" xfId="238"/>
    <cellStyle name="%_145 PIE June 2009 TEAv2_F-zero" xfId="239"/>
    <cellStyle name="%_156 BBI US Investments June 2009 TEA v4" xfId="240"/>
    <cellStyle name="%_156 BBI US Investments June 2009 TEA v4_F-zero" xfId="241"/>
    <cellStyle name="%_Accounts Gas" xfId="242"/>
    <cellStyle name="%_Accounts Gas_F-zero" xfId="243"/>
    <cellStyle name="%_AETD Quarter forecast template" xfId="244"/>
    <cellStyle name="%_AETD Quarter forecast template_F-zero" xfId="245"/>
    <cellStyle name="%_AMP" xfId="246"/>
    <cellStyle name="%_AMP_1" xfId="247"/>
    <cellStyle name="%_AMP_1_F-zero" xfId="248"/>
    <cellStyle name="%_AMP_AMP" xfId="249"/>
    <cellStyle name="%_AMP_AMP_F-zero" xfId="250"/>
    <cellStyle name="%_AMP_Debt" xfId="251"/>
    <cellStyle name="%_AMP_Debt_F-zero" xfId="252"/>
    <cellStyle name="%_AMP_F-zero" xfId="253"/>
    <cellStyle name="%_Assumptions book" xfId="254"/>
    <cellStyle name="%_Assumptions book_1" xfId="255"/>
    <cellStyle name="%_Assumptions book_1_F-zero" xfId="256"/>
    <cellStyle name="%_Assumptions book_AMP" xfId="257"/>
    <cellStyle name="%_Assumptions book_AMP_1" xfId="258"/>
    <cellStyle name="%_Assumptions book_AMP_1_F-zero" xfId="259"/>
    <cellStyle name="%_Assumptions book_AMP_AMP" xfId="260"/>
    <cellStyle name="%_Assumptions book_AMP_AMP_F-zero" xfId="261"/>
    <cellStyle name="%_Assumptions book_AMP_Debt" xfId="262"/>
    <cellStyle name="%_Assumptions book_AMP_Debt_F-zero" xfId="263"/>
    <cellStyle name="%_Assumptions book_AMP_F-zero" xfId="264"/>
    <cellStyle name="%_Assumptions book_Assumptions book" xfId="265"/>
    <cellStyle name="%_Assumptions book_Assumptions book_F-zero" xfId="266"/>
    <cellStyle name="%_Assumptions book_F-zero" xfId="267"/>
    <cellStyle name="%_Assumptions book_Model" xfId="268"/>
    <cellStyle name="%_Assumptions book_Model_1" xfId="269"/>
    <cellStyle name="%_Assumptions book_Model_1_F-zero" xfId="270"/>
    <cellStyle name="%_Assumptions book_Model_F-zero" xfId="271"/>
    <cellStyle name="%_Assumptions book_Updated" xfId="272"/>
    <cellStyle name="%_Assumptions book_Updated_F-zero" xfId="273"/>
    <cellStyle name="%_Cashflow forecast" xfId="274"/>
    <cellStyle name="%_Cashflow forecast_F-zero" xfId="275"/>
    <cellStyle name="%_Cashflow forecast_Model" xfId="276"/>
    <cellStyle name="%_Cashflow forecast_Model_1" xfId="277"/>
    <cellStyle name="%_Cashflow forecast_Model_1_F-zero" xfId="278"/>
    <cellStyle name="%_Cashflow forecast_Model_F-zero" xfId="279"/>
    <cellStyle name="%_CORP IS" xfId="280"/>
    <cellStyle name="%_CORP IS_F-zero" xfId="281"/>
    <cellStyle name="%_CSC Quarter forecast template" xfId="282"/>
    <cellStyle name="%_CSC Quarter forecast template_F-zero" xfId="283"/>
    <cellStyle name="%_DBCT - Tax Journals YE 30 June 2009" xfId="284"/>
    <cellStyle name="%_DBCT - Tax Journals YE 30 June 2009_F-zero" xfId="285"/>
    <cellStyle name="%_Elimination Adj" xfId="286"/>
    <cellStyle name="%_Elimination Adj_F-zero" xfId="287"/>
    <cellStyle name="%_Elimination Journals (2)" xfId="288"/>
    <cellStyle name="%_Elimination Journals (2)_F-zero" xfId="289"/>
    <cellStyle name="%_Forecast - Q2-10 - MASTERv5 - Gross for Each Asset" xfId="290"/>
    <cellStyle name="%_Forecast - Q2-10 - MASTERv5 - Gross for Each Asset_F-zero" xfId="291"/>
    <cellStyle name="%_Forecast Template - Q2-10 - MASTERv5" xfId="292"/>
    <cellStyle name="%_Forecast Template - Q2-10 - MASTERv5_F-zero" xfId="293"/>
    <cellStyle name="%_F-zero" xfId="294"/>
    <cellStyle name="%_GL Journal Templates" xfId="295"/>
    <cellStyle name="%_GL Journal Templates_F-zero" xfId="296"/>
    <cellStyle name="%_IEG Quarter forecast template" xfId="297"/>
    <cellStyle name="%_IEG Quarter forecast template_F-zero" xfId="298"/>
    <cellStyle name="%_Income Statement" xfId="299"/>
    <cellStyle name="%_Income Statement_F-zero" xfId="300"/>
    <cellStyle name="%_Master Asset IS_BS summary Mar Qtr 10 (version 1)" xfId="301"/>
    <cellStyle name="%_Master Asset IS_BS summary Mar Qtr 10 (version 1)_F-zero" xfId="302"/>
    <cellStyle name="%_mGroupStatCashflow" xfId="303"/>
    <cellStyle name="%_mGroupStatCashflow_F-zero" xfId="304"/>
    <cellStyle name="%_Model" xfId="305"/>
    <cellStyle name="%_Model_1" xfId="306"/>
    <cellStyle name="%_Model_1_F-zero" xfId="307"/>
    <cellStyle name="%_Model_F-zero" xfId="308"/>
    <cellStyle name="%_mParentStatCashflow" xfId="309"/>
    <cellStyle name="%_mParentStatCashflow_F-zero" xfId="310"/>
    <cellStyle name="%_Myria Quarter forecast template" xfId="311"/>
    <cellStyle name="%_Myria Quarter forecast template_F-zero" xfId="312"/>
    <cellStyle name="%_OpsAssumptions" xfId="313"/>
    <cellStyle name="%_OpsAssumptions_AMP" xfId="314"/>
    <cellStyle name="%_OpsAssumptions_AMP_1" xfId="315"/>
    <cellStyle name="%_OpsAssumptions_AMP_1_F-zero" xfId="316"/>
    <cellStyle name="%_OpsAssumptions_AMP_AMP" xfId="317"/>
    <cellStyle name="%_OpsAssumptions_AMP_AMP_F-zero" xfId="318"/>
    <cellStyle name="%_OpsAssumptions_AMP_Debt" xfId="319"/>
    <cellStyle name="%_OpsAssumptions_AMP_Debt_F-zero" xfId="320"/>
    <cellStyle name="%_OpsAssumptions_AMP_F-zero" xfId="321"/>
    <cellStyle name="%_OpsAssumptions_Assumptions book" xfId="322"/>
    <cellStyle name="%_OpsAssumptions_Assumptions book_F-zero" xfId="323"/>
    <cellStyle name="%_OpsAssumptions_F-zero" xfId="324"/>
    <cellStyle name="%_OpsAssumptions_Model" xfId="325"/>
    <cellStyle name="%_OpsAssumptions_Model_1" xfId="326"/>
    <cellStyle name="%_OpsAssumptions_Model_1_F-zero" xfId="327"/>
    <cellStyle name="%_OpsAssumptions_Model_F-zero" xfId="328"/>
    <cellStyle name="%_OpsAssumptions_Updated" xfId="329"/>
    <cellStyle name="%_OpsAssumptions_Updated_F-zero" xfId="330"/>
    <cellStyle name="%_PNZH Quarter forecast template Mar Qtr" xfId="331"/>
    <cellStyle name="%_PNZH Quarter forecast template Mar Qtr_F-zero" xfId="332"/>
    <cellStyle name="%_Pwc Tax Calculation - 30 June 2010 (Final - with loss offset)" xfId="333"/>
    <cellStyle name="%_Pwc Tax Calculation - 30 June 2010 (Final - with loss offset)_Accounts Gas" xfId="334"/>
    <cellStyle name="%_Pwc Tax Calculation - 30 June 2010 (Final - with loss offset)_Accounts Gas_F-zero" xfId="335"/>
    <cellStyle name="%_Pwc Tax Calculation - 30 June 2010 (Final - with loss offset)_F-zero" xfId="336"/>
    <cellStyle name="%_Q2-10 Forecast - Corporate Eliminations" xfId="337"/>
    <cellStyle name="%_Q2-10 Forecast - Corporate Eliminations_F-zero" xfId="338"/>
    <cellStyle name="%_Quarter forecast template - DBCT V2 (2)" xfId="339"/>
    <cellStyle name="%_Quarter forecast template - DBCT V2 (2)_F-zero" xfId="340"/>
    <cellStyle name="%_Quarter forecast template (3)" xfId="341"/>
    <cellStyle name="%_Quarter forecast template (3)_F-zero" xfId="342"/>
    <cellStyle name="%_rGroupBS (Corp)" xfId="343"/>
    <cellStyle name="%_rGroupBS (Corp)_F-zero" xfId="344"/>
    <cellStyle name="%_rGroupCashflowSummary (819)" xfId="345"/>
    <cellStyle name="%_rGroupCashflowSummary (819)_F-zero" xfId="346"/>
    <cellStyle name="%_rGroupCashflowSummary (Corp)" xfId="347"/>
    <cellStyle name="%_rGroupCashflowSummary (Corp)_F-zero" xfId="348"/>
    <cellStyle name="%_rGroupFinancials" xfId="349"/>
    <cellStyle name="%_rGroupFinancials_F-zero" xfId="350"/>
    <cellStyle name="%_rGroupP&amp;LSummary" xfId="351"/>
    <cellStyle name="%_rGroupP&amp;LSummary (Corp Detail)" xfId="352"/>
    <cellStyle name="%_rGroupP&amp;LSummary (Corp Detail)_F-zero" xfId="353"/>
    <cellStyle name="%_rGroupP&amp;LSummary_F-zero" xfId="354"/>
    <cellStyle name="%_rGroupStatCashflow" xfId="355"/>
    <cellStyle name="%_rGroupStatCashflow_F-zero" xfId="356"/>
    <cellStyle name="%_RP #3 - Financial Reporting - Q2-10 MASTER" xfId="357"/>
    <cellStyle name="%_RP #3 - Financial Reporting - Q2-10 MASTER_F-zero" xfId="358"/>
    <cellStyle name="%_RP #4 - Notes and MDA - Q409 MASTER" xfId="359"/>
    <cellStyle name="%_RP #4 - Notes and MDA - Q409 MASTER_F-zero" xfId="360"/>
    <cellStyle name="%_RP#2 - Preliminary Reporting - FINAL" xfId="361"/>
    <cellStyle name="%_RP#2 - Preliminary Reporting - FINAL - With remapped P&amp;L" xfId="362"/>
    <cellStyle name="%_RP#2 - Preliminary Reporting - FINAL - With remapped P&amp;L_F-zero" xfId="363"/>
    <cellStyle name="%_RP#2 - Preliminary Reporting - FINAL_F-zero" xfId="364"/>
    <cellStyle name="%_RP#2 - Preliminary Reporting - Q2-10 MASTER" xfId="365"/>
    <cellStyle name="%_RP#2 - Preliminary Reporting - Q2-10 MASTER_F-zero" xfId="366"/>
    <cellStyle name="%_RP#2 - Preliminary Reporting - Q2-10 MASTER-FINAL" xfId="367"/>
    <cellStyle name="%_RP#2 - Preliminary Reporting - Q2-10 MASTER-FINAL 7-7-10" xfId="368"/>
    <cellStyle name="%_RP#2 - Preliminary Reporting - Q2-10 MASTER-FINAL 7-7-10_F-zero" xfId="369"/>
    <cellStyle name="%_RP#2 - Preliminary Reporting - Q2-10 MASTER-FINAL_F-zero" xfId="370"/>
    <cellStyle name="%_RP#2 - Preliminary Reporting - Q3-10-MASTER" xfId="371"/>
    <cellStyle name="%_RP#2 - Preliminary Reporting - Q3-10-MASTER_F-zero" xfId="372"/>
    <cellStyle name="%_RP#3 - Financial Reporting - Q409 MASTER 290110v2" xfId="373"/>
    <cellStyle name="%_RP#3 - Financial Reporting - Q409 MASTER 290110v2_F-zero" xfId="374"/>
    <cellStyle name="%_rPNZHLConsol11 Stacey" xfId="375"/>
    <cellStyle name="%_rPNZHLConsol11 Stacey_F-zero" xfId="376"/>
    <cellStyle name="%_rPowercoConsol11" xfId="377"/>
    <cellStyle name="%_rPowercoConsol11_F-zero" xfId="378"/>
    <cellStyle name="%_rStatCashflow" xfId="379"/>
    <cellStyle name="%_rStatCashflow_F-zero" xfId="380"/>
    <cellStyle name="%_Subs" xfId="381"/>
    <cellStyle name="%_Subs_F-zero" xfId="382"/>
    <cellStyle name="%_Subs_Model" xfId="383"/>
    <cellStyle name="%_Subs_Model_1" xfId="384"/>
    <cellStyle name="%_Subs_Model_1_F-zero" xfId="385"/>
    <cellStyle name="%_Subs_Model_F-zero" xfId="386"/>
    <cellStyle name="%_Tas Gas Holdings Mar09 Quarter forecast template" xfId="387"/>
    <cellStyle name="%_Tas Gas Holdings Mar09 Quarter forecast template_F-zero" xfId="388"/>
    <cellStyle name="%_Tax Note consolidation - Masterv2" xfId="389"/>
    <cellStyle name="%_Tax Note consolidation - Masterv2_F-zero" xfId="390"/>
    <cellStyle name="%_Updated" xfId="391"/>
    <cellStyle name="%_Updated_F-zero" xfId="392"/>
    <cellStyle name="%_WNR Quarter forecast - Mar10" xfId="393"/>
    <cellStyle name="%_WNR Quarter forecast - Mar10_F-zero" xfId="394"/>
    <cellStyle name="%_WNR Subsidiary Reporting Template 30 June 2009 FINAL 4.8.09" xfId="395"/>
    <cellStyle name="%_WNR Subsidiary Reporting Template 30 June 2009 FINAL 4.8.09_F-zero" xfId="396"/>
    <cellStyle name="******************************************" xfId="397"/>
    <cellStyle name="." xfId="398"/>
    <cellStyle name=".1" xfId="399"/>
    <cellStyle name="?" xfId="400"/>
    <cellStyle name="_x0004_?" xfId="401"/>
    <cellStyle name="??&amp;O?&amp;H?_x0008_??_x0007__x0001__x0001_" xfId="402"/>
    <cellStyle name="_x0004_?_F-zero" xfId="403"/>
    <cellStyle name="_%(SignOnly)" xfId="404"/>
    <cellStyle name="_%(SignSpaceOnly)" xfId="405"/>
    <cellStyle name="_070612 IS Co Model" xfId="406"/>
    <cellStyle name="_070612 IS Co Model_F-zero" xfId="407"/>
    <cellStyle name="_1269486_1" xfId="408"/>
    <cellStyle name="_1269486_1_F-zero" xfId="409"/>
    <cellStyle name="_2007 05 28 GR.HELIOS" xfId="410"/>
    <cellStyle name="_2007 05 28 GR.HELIOS_F-zero" xfId="411"/>
    <cellStyle name="_2007 10 01 New Solare Italia" xfId="412"/>
    <cellStyle name="_2007 10 01 New Solare Italia_F-zero" xfId="413"/>
    <cellStyle name="_2008 NPM LOM Plan Ver 26 with VARIABLE price&amp;FX v4" xfId="414"/>
    <cellStyle name="_2008 NPM LOM Plan Ver 26 with VARIABLE price&amp;FX v4_F-zero" xfId="415"/>
    <cellStyle name="_2008 Plan RTCA Model - 2007 11 19 (inc MOATIZE)" xfId="416"/>
    <cellStyle name="_2008 Plan RTCA Model - 2007 11 19 (inc MOATIZE)_F-zero" xfId="417"/>
    <cellStyle name="_789277_13" xfId="418"/>
    <cellStyle name="_789277_13_F-zero" xfId="419"/>
    <cellStyle name="_AA - Base Case for M&amp;M Expansion v2" xfId="420"/>
    <cellStyle name="_AA - Base Case for M&amp;M Expansion v2_F-zero" xfId="421"/>
    <cellStyle name="_Assumptions" xfId="422"/>
    <cellStyle name="_Assumptions_F-zero" xfId="423"/>
    <cellStyle name="_BBI Application of WASP Proceeds" xfId="424"/>
    <cellStyle name="_BBI monthly cashflow forecast Dec 08 - bank presentation v2 (3)" xfId="425"/>
    <cellStyle name="_BBI monthly cashflow forecast Nov 08_v02" xfId="426"/>
    <cellStyle name="_BLANKresultsSheet" xfId="427"/>
    <cellStyle name="_BLANKresultsSheet_F-zero" xfId="428"/>
    <cellStyle name="_Book1" xfId="429"/>
    <cellStyle name="_Book1_F-zero" xfId="430"/>
    <cellStyle name="_Carlos Assumptions - EMAIL - 071212" xfId="431"/>
    <cellStyle name="_Carlos Assumptions - EMAIL - 071212_F-zero" xfId="432"/>
    <cellStyle name="_Carlos Assumptions - EMAIL - 071217" xfId="433"/>
    <cellStyle name="_Carlos Assumptions - EMAIL - 071217_F-zero" xfId="434"/>
    <cellStyle name="_Cashflow forecast" xfId="435"/>
    <cellStyle name="_Cashflow forecast_AMP" xfId="436"/>
    <cellStyle name="_Cashflow forecast_AMP_F-zero" xfId="437"/>
    <cellStyle name="_Cashflow forecast_Debt" xfId="438"/>
    <cellStyle name="_Cashflow forecast_Debt_F-zero" xfId="439"/>
    <cellStyle name="_Cashflow forecast_F-zero" xfId="440"/>
    <cellStyle name="_Cashflow forecast_Updated" xfId="441"/>
    <cellStyle name="_Cashflow forecast_Updated_F-zero" xfId="442"/>
    <cellStyle name="_Cat.v26.11.bnb.FINAL.25yrLPG" xfId="443"/>
    <cellStyle name="_Cat.v26.11.bnb.FINAL.25yrLPG_FinRepsConsol" xfId="444"/>
    <cellStyle name="_Cat.v26.11.bnb.FINAL.25yrLPG_mParentStatCashflow" xfId="445"/>
    <cellStyle name="_Cat.v26.11.bnb.FINAL.25yrLPG_rGroupBS (Corp)" xfId="446"/>
    <cellStyle name="_Cat.v26.11.bnb.FINAL.25yrLPG_rGroupCashflowSummary (819)" xfId="447"/>
    <cellStyle name="_Cat.v26.11.bnb.FINAL.25yrLPG_rGroupCashflowSummary (Corp)" xfId="448"/>
    <cellStyle name="_Cat.v26.11.bnb.FINAL.25yrLPG_rGroupFinancials" xfId="449"/>
    <cellStyle name="_Cat.v26.11.bnb.FINAL.25yrLPG_rGroupP&amp;LSummary" xfId="450"/>
    <cellStyle name="_Cat.v26.11.bnb.FINAL.25yrLPG_rGroupP&amp;LSummary (Corp Detail)" xfId="451"/>
    <cellStyle name="_Cat.v26.11.bnb.FINAL.25yrLPG_rGroupStatCashflow" xfId="452"/>
    <cellStyle name="_Cat.v26.11.bnb.FINAL.25yrLPG_rPowercoConsol11" xfId="453"/>
    <cellStyle name="_Cat.v26.11.bnb.FINAL.25yrLPG_rStatCashflow" xfId="454"/>
    <cellStyle name="_Cat.v26.11.bnb.FINAL.25yrLPG_Sheet1" xfId="455"/>
    <cellStyle name="_Cat.v26.11.bnb.FINAL.25yrLPG_Workings" xfId="456"/>
    <cellStyle name="_Coal Consensus Prices 8 Jan 09 (2)" xfId="457"/>
    <cellStyle name="_Coal Consensus Prices 8 Jan 09 (2)_F-zero" xfId="458"/>
    <cellStyle name="_Coles and FAL - analyst model output - 2 June 2003" xfId="459"/>
    <cellStyle name="_Coles and FAL - analyst model output - 2 June 2003_F-zero" xfId="460"/>
    <cellStyle name="_Comma" xfId="461"/>
    <cellStyle name="_Comma_1084294_23" xfId="462"/>
    <cellStyle name="_Comma_979807_1" xfId="463"/>
    <cellStyle name="_Comma_Mortlock Model (DRAFT) - 19 Feb 09 1439" xfId="464"/>
    <cellStyle name="_Comparison" xfId="465"/>
    <cellStyle name="_Comparison_F-zero" xfId="466"/>
    <cellStyle name="_Competitor Extract 3 Dec 07" xfId="467"/>
    <cellStyle name="_Competitor Extract 3 Dec 07_F-zero" xfId="468"/>
    <cellStyle name="_Competitor Extract 6 Dec 07" xfId="469"/>
    <cellStyle name="_Competitor Extract 6 Dec 07_F-zero" xfId="470"/>
    <cellStyle name="_Consensus Price - Master File (29 Nov 07) (8)" xfId="471"/>
    <cellStyle name="_Consensus Price - Master File (29 Nov 07) (8)_F-zero" xfId="472"/>
    <cellStyle name="_Copy of Copy of Cat . v38 . CAR FINAL (West OM, DBNGP, MGH, TGP, AGN 74%)4 . Mar28_AR" xfId="473"/>
    <cellStyle name="_Copy of Copy of Cat . v38 . CAR FINAL (West OM, DBNGP, MGH, TGP, AGN 74%)4 . Mar28_AR_Accounts Gas" xfId="474"/>
    <cellStyle name="_Copy of Copy of Cat . v38 . CAR FINAL (West OM, DBNGP, MGH, TGP, AGN 74%)4 . Mar28_AR_Accounts Gas_F-zero" xfId="475"/>
    <cellStyle name="_Copy of Copy of Cat . v38 . CAR FINAL (West OM, DBNGP, MGH, TGP, AGN 74%)4 . Mar28_AR_FinRepsConsol" xfId="476"/>
    <cellStyle name="_Copy of Copy of Cat . v38 . CAR FINAL (West OM, DBNGP, MGH, TGP, AGN 74%)4 . Mar28_AR_FinRepsConsol_F-zero" xfId="477"/>
    <cellStyle name="_Copy of Copy of Cat . v38 . CAR FINAL (West OM, DBNGP, MGH, TGP, AGN 74%)4 . Mar28_AR_F-zero" xfId="478"/>
    <cellStyle name="_Copy of Copy of Cat . v38 . CAR FINAL (West OM, DBNGP, MGH, TGP, AGN 74%)4 . Mar28_AR_mParentStatCashflow" xfId="479"/>
    <cellStyle name="_Copy of Copy of Cat . v38 . CAR FINAL (West OM, DBNGP, MGH, TGP, AGN 74%)4 . Mar28_AR_mParentStatCashflow_F-zero" xfId="480"/>
    <cellStyle name="_Copy of Copy of Cat . v38 . CAR FINAL (West OM, DBNGP, MGH, TGP, AGN 74%)4 . Mar28_AR_rGroupBS (Corp)" xfId="481"/>
    <cellStyle name="_Copy of Copy of Cat . v38 . CAR FINAL (West OM, DBNGP, MGH, TGP, AGN 74%)4 . Mar28_AR_rGroupBS (Corp)_F-zero" xfId="482"/>
    <cellStyle name="_Copy of Copy of Cat . v38 . CAR FINAL (West OM, DBNGP, MGH, TGP, AGN 74%)4 . Mar28_AR_rGroupCashflowSummary (819)" xfId="483"/>
    <cellStyle name="_Copy of Copy of Cat . v38 . CAR FINAL (West OM, DBNGP, MGH, TGP, AGN 74%)4 . Mar28_AR_rGroupCashflowSummary (819)_F-zero" xfId="484"/>
    <cellStyle name="_Copy of Copy of Cat . v38 . CAR FINAL (West OM, DBNGP, MGH, TGP, AGN 74%)4 . Mar28_AR_rGroupCashflowSummary (Corp)" xfId="485"/>
    <cellStyle name="_Copy of Copy of Cat . v38 . CAR FINAL (West OM, DBNGP, MGH, TGP, AGN 74%)4 . Mar28_AR_rGroupCashflowSummary (Corp)_F-zero" xfId="486"/>
    <cellStyle name="_Copy of Copy of Cat . v38 . CAR FINAL (West OM, DBNGP, MGH, TGP, AGN 74%)4 . Mar28_AR_rGroupFinancials" xfId="487"/>
    <cellStyle name="_Copy of Copy of Cat . v38 . CAR FINAL (West OM, DBNGP, MGH, TGP, AGN 74%)4 . Mar28_AR_rGroupFinancials_F-zero" xfId="488"/>
    <cellStyle name="_Copy of Copy of Cat . v38 . CAR FINAL (West OM, DBNGP, MGH, TGP, AGN 74%)4 . Mar28_AR_rGroupP&amp;LSummary" xfId="489"/>
    <cellStyle name="_Copy of Copy of Cat . v38 . CAR FINAL (West OM, DBNGP, MGH, TGP, AGN 74%)4 . Mar28_AR_rGroupP&amp;LSummary (Corp Detail)" xfId="490"/>
    <cellStyle name="_Copy of Copy of Cat . v38 . CAR FINAL (West OM, DBNGP, MGH, TGP, AGN 74%)4 . Mar28_AR_rGroupP&amp;LSummary (Corp Detail)_F-zero" xfId="491"/>
    <cellStyle name="_Copy of Copy of Cat . v38 . CAR FINAL (West OM, DBNGP, MGH, TGP, AGN 74%)4 . Mar28_AR_rGroupP&amp;LSummary_F-zero" xfId="492"/>
    <cellStyle name="_Copy of Copy of Cat . v38 . CAR FINAL (West OM, DBNGP, MGH, TGP, AGN 74%)4 . Mar28_AR_rGroupStatCashflow" xfId="493"/>
    <cellStyle name="_Copy of Copy of Cat . v38 . CAR FINAL (West OM, DBNGP, MGH, TGP, AGN 74%)4 . Mar28_AR_rGroupStatCashflow_F-zero" xfId="494"/>
    <cellStyle name="_Copy of Copy of Cat . v38 . CAR FINAL (West OM, DBNGP, MGH, TGP, AGN 74%)4 . Mar28_AR_rPowercoConsol11" xfId="495"/>
    <cellStyle name="_Copy of Copy of Cat . v38 . CAR FINAL (West OM, DBNGP, MGH, TGP, AGN 74%)4 . Mar28_AR_rPowercoConsol11_F-zero" xfId="496"/>
    <cellStyle name="_Copy of Copy of Cat . v38 . CAR FINAL (West OM, DBNGP, MGH, TGP, AGN 74%)4 . Mar28_AR_rStatCashflow" xfId="497"/>
    <cellStyle name="_Copy of Copy of Cat . v38 . CAR FINAL (West OM, DBNGP, MGH, TGP, AGN 74%)4 . Mar28_AR_rStatCashflow_F-zero" xfId="498"/>
    <cellStyle name="_Copy of Copy of Cat . v38 . CAR FINAL (West OM, DBNGP, MGH, TGP, AGN 74%)4 . Mar28_AR_Sheet1" xfId="499"/>
    <cellStyle name="_Copy of Copy of Cat . v38 . CAR FINAL (West OM, DBNGP, MGH, TGP, AGN 74%)4 . Mar28_AR_Sheet1_F-zero" xfId="500"/>
    <cellStyle name="_Copy of Copy of Cat . v38 . CAR FINAL (West OM, DBNGP, MGH, TGP, AGN 74%)4 . Mar28_AR_Workings" xfId="501"/>
    <cellStyle name="_Copy of Copy of Cat . v38 . CAR FINAL (West OM, DBNGP, MGH, TGP, AGN 74%)4 . Mar28_AR_Workings_F-zero" xfId="502"/>
    <cellStyle name="_Currency" xfId="503"/>
    <cellStyle name="_Currency 2" xfId="504"/>
    <cellStyle name="_Currency_1084294_23" xfId="505"/>
    <cellStyle name="_Currency_1084294_23_F-zero" xfId="506"/>
    <cellStyle name="_Currency_979807_1" xfId="507"/>
    <cellStyle name="_Currency_Draft output pages" xfId="508"/>
    <cellStyle name="_Currency_Integrated Corporate Impact Model_Sent to Joe_30 July" xfId="509"/>
    <cellStyle name="_Currency_Mortlock Model (DRAFT) - 19 Feb 09 1439" xfId="510"/>
    <cellStyle name="_Currency_Mortlock Model (DRAFT) - 19 Feb 09 1439_F-zero" xfId="511"/>
    <cellStyle name="_CurrencySpace" xfId="512"/>
    <cellStyle name="_CurrencySpace 2" xfId="513"/>
    <cellStyle name="_CurrencySpace_1084294_23" xfId="514"/>
    <cellStyle name="_CurrencySpace_979807_1" xfId="515"/>
    <cellStyle name="_CurrencySpace_Mortlock Model (DRAFT) - 19 Feb 09 1439" xfId="516"/>
    <cellStyle name="_DBCT&gt;Link" xfId="517"/>
    <cellStyle name="_DBCT&gt;Link_1" xfId="518"/>
    <cellStyle name="_DBCT&gt;Link_2" xfId="519"/>
    <cellStyle name="_DBCT&gt;Link_2_F-zero" xfId="520"/>
    <cellStyle name="_DBCT&gt;Link_3" xfId="521"/>
    <cellStyle name="_DBCT&gt;Link_4" xfId="522"/>
    <cellStyle name="_DBCT&gt;Link_4_F-zero" xfId="523"/>
    <cellStyle name="_DBCT&gt;Link_5" xfId="524"/>
    <cellStyle name="_DBCT&gt;Link_6" xfId="525"/>
    <cellStyle name="_DBCT&gt;Link_6_F-zero" xfId="526"/>
    <cellStyle name="_DBCT&gt;Link_7" xfId="527"/>
    <cellStyle name="_DBCT&gt;Link_8" xfId="528"/>
    <cellStyle name="_DBCT&gt;Link_8_F-zero" xfId="529"/>
    <cellStyle name="_DBCT&gt;Link_9" xfId="530"/>
    <cellStyle name="_DBCT&gt;Link_A" xfId="531"/>
    <cellStyle name="_DISCLAIM (4)" xfId="532"/>
    <cellStyle name="_DISCLAIM (4)_F-zero" xfId="533"/>
    <cellStyle name="_ESCONDIDA_Copper_v2" xfId="534"/>
    <cellStyle name="_ESCONDIDA_Copper_v2_F-zero" xfId="535"/>
    <cellStyle name="_Euro" xfId="536"/>
    <cellStyle name="_Europort Stats 120808" xfId="537"/>
    <cellStyle name="_Europort Stats 120808_F-zero" xfId="538"/>
    <cellStyle name="_FinRepsConsol" xfId="539"/>
    <cellStyle name="_FinRepsConsol_F-zero" xfId="540"/>
    <cellStyle name="_FORECAST Rev_1" xfId="541"/>
    <cellStyle name="_FORECAST Rev_1 (3)" xfId="542"/>
    <cellStyle name="_FORECAST Rev_1 (3)_F-zero" xfId="543"/>
    <cellStyle name="_FORECAST Rev_1_F-zero" xfId="544"/>
    <cellStyle name="_x0002__x0002__F-zero" xfId="545"/>
    <cellStyle name="_x0013__F-zero" xfId="546"/>
    <cellStyle name="_GPL Financing v35_Audited_Post Hedge_Link" xfId="547"/>
    <cellStyle name="_GPL Financing v35_Audited_Post Hedge_Link_105 BIF June 2009 TEA v5" xfId="548"/>
    <cellStyle name="_GPL Financing v35_Audited_Post Hedge_Link_105 BIF June 2009 TEA v5_F-zero" xfId="549"/>
    <cellStyle name="_GPL Financing v35_Audited_Post Hedge_Link_145 PIE June 2009 TEAv2" xfId="550"/>
    <cellStyle name="_GPL Financing v35_Audited_Post Hedge_Link_145 PIE June 2009 TEAv2_F-zero" xfId="551"/>
    <cellStyle name="_GPL Financing v35_Audited_Post Hedge_Link_156 BBI US Investments June 2009 TEA v4" xfId="552"/>
    <cellStyle name="_GPL Financing v35_Audited_Post Hedge_Link_156 BBI US Investments June 2009 TEA v4_F-zero" xfId="553"/>
    <cellStyle name="_GPL Financing v35_Audited_Post Hedge_Link_Elimination Adj" xfId="554"/>
    <cellStyle name="_GPL Financing v35_Audited_Post Hedge_Link_Elimination Adj_F-zero" xfId="555"/>
    <cellStyle name="_GPL Financing v35_Audited_Post Hedge_Link_Elimination Journals (2)" xfId="556"/>
    <cellStyle name="_GPL Financing v35_Audited_Post Hedge_Link_Elimination Journals (2)_F-zero" xfId="557"/>
    <cellStyle name="_GPL Financing v35_Audited_Post Hedge_Link_F-zero" xfId="558"/>
    <cellStyle name="_GPL Financing v35_Audited_Post Hedge_Link_Tax Note consolidation - Masterv2" xfId="559"/>
    <cellStyle name="_GPL Financing v35_Audited_Post Hedge_Link_Tax Note consolidation - Masterv2_F-zero" xfId="560"/>
    <cellStyle name="_Happy Camper prodtons_-750A_$10_camp_c" xfId="561"/>
    <cellStyle name="_Happy Camper prodtons_-750A_$10_camp_c_F-zero" xfId="562"/>
    <cellStyle name="_Heading" xfId="563"/>
    <cellStyle name="_Heading_A3 GStyle Excel_Version 3" xfId="564"/>
    <cellStyle name="_Heading_A3 GStyle Excel_Version 3_FinRepsConsol" xfId="565"/>
    <cellStyle name="_Heading_A3 GStyle Excel_Version 3_mParentStatCashflow" xfId="566"/>
    <cellStyle name="_Heading_A3 GStyle Excel_Version 3_rGroupBS (Corp)" xfId="567"/>
    <cellStyle name="_Heading_A3 GStyle Excel_Version 3_rGroupCashflowSummary (819)" xfId="568"/>
    <cellStyle name="_Heading_A3 GStyle Excel_Version 3_rGroupCashflowSummary (Corp)" xfId="569"/>
    <cellStyle name="_Heading_A3 GStyle Excel_Version 3_rGroupFinancials" xfId="570"/>
    <cellStyle name="_Heading_A3 GStyle Excel_Version 3_rGroupP&amp;LSummary" xfId="571"/>
    <cellStyle name="_Heading_A3 GStyle Excel_Version 3_rGroupP&amp;LSummary (Corp Detail)" xfId="572"/>
    <cellStyle name="_Heading_A3 GStyle Excel_Version 3_rGroupStatCashflow" xfId="573"/>
    <cellStyle name="_Heading_A3 GStyle Excel_Version 3_rPowercoConsol11" xfId="574"/>
    <cellStyle name="_Heading_A3 GStyle Excel_Version 3_rStatCashflow" xfId="575"/>
    <cellStyle name="_Heading_A3 GStyle Excel_Version 3_Sheet1" xfId="576"/>
    <cellStyle name="_Heading_A3 GStyle Excel_Version 3_Workings" xfId="577"/>
    <cellStyle name="_Highlight" xfId="578"/>
    <cellStyle name="_Interest Final Calculation" xfId="579"/>
    <cellStyle name="_Interest Final Calculation_F-zero" xfId="580"/>
    <cellStyle name="_Madrid Financial Model v9 Seacastle" xfId="581"/>
    <cellStyle name="_Madrid Financial Model v9 Seacastle_F-zero" xfId="582"/>
    <cellStyle name="_x0013__Master Template" xfId="583"/>
    <cellStyle name="_x0013__Master Template_F-zero" xfId="584"/>
    <cellStyle name="_Matrix of Options July07 (NW Mods)" xfId="585"/>
    <cellStyle name="_Matrix of Options July07 (NW Mods)_F-zero" xfId="586"/>
    <cellStyle name="_Matrix of options with summary - with sorting macro NW8.0 (2)" xfId="587"/>
    <cellStyle name="_Matrix of options with summary - with sorting macro NW8.0 (2)_F-zero" xfId="588"/>
    <cellStyle name="_Matrix of options with summary - with sorting macro NW9.0" xfId="589"/>
    <cellStyle name="_Matrix of options with summary - with sorting macro NW9.0_F-zero" xfId="590"/>
    <cellStyle name="_Matrix of options with summary NW7 0" xfId="591"/>
    <cellStyle name="_Matrix of options with summary NW7 0_F-zero" xfId="592"/>
    <cellStyle name="_Matrix of options with summary NW7.0" xfId="593"/>
    <cellStyle name="_Matrix of options with summary NW7.0(cases only)" xfId="594"/>
    <cellStyle name="_Matrix of options with summary NW7.0(cases only)_F-zero" xfId="595"/>
    <cellStyle name="_Matrix of options with summary NW7.0_F-zero" xfId="596"/>
    <cellStyle name="_Matrix of options with summary NW8.0 cases with list" xfId="597"/>
    <cellStyle name="_Matrix of options with summary NW8.0 cases with list_F-zero" xfId="598"/>
    <cellStyle name="_Matrix Sheet" xfId="599"/>
    <cellStyle name="_Matrix Sheet_F-zero" xfId="600"/>
    <cellStyle name="_Merlot_MBL Model_27 Apr 07" xfId="601"/>
    <cellStyle name="_Merlot_MBL Model_27 Apr 07_F-zero" xfId="602"/>
    <cellStyle name="_models" xfId="603"/>
    <cellStyle name="_models_F-zero" xfId="604"/>
    <cellStyle name="_models1" xfId="605"/>
    <cellStyle name="_models1_F-zero" xfId="606"/>
    <cellStyle name="_Mortlock Model (DRAFT) - 19 Feb 09 1439" xfId="607"/>
    <cellStyle name="_Mortlock Model (DRAFT) - 19 Feb 09 1439_F-zero" xfId="608"/>
    <cellStyle name="_Multiple" xfId="609"/>
    <cellStyle name="_Multiple 2" xfId="610"/>
    <cellStyle name="_Multiple_1084294_23" xfId="611"/>
    <cellStyle name="_Multiple_1084294_23_F-zero" xfId="612"/>
    <cellStyle name="_Multiple_979807_1" xfId="613"/>
    <cellStyle name="_Multiple_Mortlock Model (DRAFT) - 19 Feb 09 1439" xfId="614"/>
    <cellStyle name="_Multiple_Mortlock Model (DRAFT) - 19 Feb 09 1439_F-zero" xfId="615"/>
    <cellStyle name="_MultipleSpace" xfId="616"/>
    <cellStyle name="_MultipleSpace 2" xfId="617"/>
    <cellStyle name="_MultipleSpace_1084294_23" xfId="618"/>
    <cellStyle name="_MultipleSpace_1084294_23_F-zero" xfId="619"/>
    <cellStyle name="_MultipleSpace_979807_1" xfId="620"/>
    <cellStyle name="_MultipleSpace_Mortlock Model (DRAFT) - 19 Feb 09 1439" xfId="621"/>
    <cellStyle name="_MultipleSpace_Mortlock Model (DRAFT) - 19 Feb 09 1439_F-zero" xfId="622"/>
    <cellStyle name="_Myria 6-30-08 Workbook Final - SJ" xfId="623"/>
    <cellStyle name="_Myria 6-30-08 Workbook Final - SJ_F-zero" xfId="624"/>
    <cellStyle name="_myria budget 5feb08 wc (4)" xfId="625"/>
    <cellStyle name="_myria budget 5feb08 wc (4)_F-zero" xfId="626"/>
    <cellStyle name="_NPM LOM Capex Assumptions" xfId="627"/>
    <cellStyle name="_NPM LOM Capex Assumptions_F-zero" xfId="628"/>
    <cellStyle name="_Overview - Template" xfId="629"/>
    <cellStyle name="_Overview - Template (2)" xfId="630"/>
    <cellStyle name="_Overview - Template (2)_F-zero" xfId="631"/>
    <cellStyle name="_Overview - Template_F-zero" xfId="632"/>
    <cellStyle name="_Percent" xfId="633"/>
    <cellStyle name="_Percent 2" xfId="634"/>
    <cellStyle name="_Percent_1269486_1" xfId="635"/>
    <cellStyle name="_Percent_DBCT&gt;Link" xfId="636"/>
    <cellStyle name="_PercentSpace" xfId="637"/>
    <cellStyle name="_PercentSpace_F-zero" xfId="638"/>
    <cellStyle name="_Project Proceeds v06" xfId="639"/>
    <cellStyle name="_Project Proceeds v06_105 BIF June 2009 TEA v5" xfId="640"/>
    <cellStyle name="_Project Proceeds v06_145 PIE June 2009 TEAv2" xfId="641"/>
    <cellStyle name="_Project Proceeds v06_156 BBI US Investments June 2009 TEA v4" xfId="642"/>
    <cellStyle name="_Project Proceeds v06_Elimination Adj" xfId="643"/>
    <cellStyle name="_Project Proceeds v06_Elimination Journals (2)" xfId="644"/>
    <cellStyle name="_Project Proceeds v06_Tax Note consolidation - Masterv2" xfId="645"/>
    <cellStyle name="_Robert Aluminium (draft - MBL) 5 July 2007 (2)" xfId="646"/>
    <cellStyle name="_Robert Aluminium (draft - MBL) 5 July 2007 (2)_F-zero" xfId="647"/>
    <cellStyle name="_Robert Aluminium DCF Model (WORKING DRAFT - MBL) 13 July 2007" xfId="648"/>
    <cellStyle name="_Robert Aluminium DCF Model (WORKING DRAFT - MBL) 13 July 2007_F-zero" xfId="649"/>
    <cellStyle name="_Robert nickel input" xfId="650"/>
    <cellStyle name="_Robert nickel input_F-zero" xfId="651"/>
    <cellStyle name="_Robert_Northparkes_MaC v4" xfId="652"/>
    <cellStyle name="_Robert_Northparkes_MaC v4_F-zero" xfId="653"/>
    <cellStyle name="_RT Data Extraction Antamina 17 Nov 07 V8 V1" xfId="654"/>
    <cellStyle name="_RT Data Extraction Antamina 17 Nov 07 V8 V1_F-zero" xfId="655"/>
    <cellStyle name="_RT Data Extraction Antamina 19 Nov 07 V8 V2" xfId="656"/>
    <cellStyle name="_RT Data Extraction Antamina 19 Nov 07 V8 V2_F-zero" xfId="657"/>
    <cellStyle name="_RT Data Extraction Antamina 20 Nov 07 V8 V3" xfId="658"/>
    <cellStyle name="_RT Data Extraction Antamina 20 Nov 07 V8 V3_F-zero" xfId="659"/>
    <cellStyle name="_RT Data Extraction Escondida 11 Nov 07 V8" xfId="660"/>
    <cellStyle name="_RT Data Extraction Escondida 11 Nov 07 V8_F-zero" xfId="661"/>
    <cellStyle name="_RT Data Extraction Escondida Resource Case 12 Nov 07 V8" xfId="662"/>
    <cellStyle name="_RT Data Extraction Escondida Resource Case 12 Nov 07 V8_F-zero" xfId="663"/>
    <cellStyle name="_RT Data Extraction KUC 10 Nov 07 V8 (2)" xfId="664"/>
    <cellStyle name="_RT Data Extraction KUC 10 Nov 07 V8 (2)_F-zero" xfId="665"/>
    <cellStyle name="_RT Data Extraction La Granja 12 Nov 07 V8" xfId="666"/>
    <cellStyle name="_RT Data Extraction La Granja 12 Nov 07 V8_F-zero" xfId="667"/>
    <cellStyle name="_RT Data Extraction La Granja 14 Nov 07 V8" xfId="668"/>
    <cellStyle name="_RT Data Extraction La Granja 14 Nov 07 V8_F-zero" xfId="669"/>
    <cellStyle name="_RT Data Extraction La Granja 15 Nov 07 V8 V2" xfId="670"/>
    <cellStyle name="_RT Data Extraction La Granja 15 Nov 07 V8 V2 (2)" xfId="671"/>
    <cellStyle name="_RT Data Extraction La Granja 15 Nov 07 V8 V2 (2)_F-zero" xfId="672"/>
    <cellStyle name="_RT Data Extraction La Granja 15 Nov 07 V8 V2_F-zero" xfId="673"/>
    <cellStyle name="_RT Data Extraction Oyu Tolgoi 11 Nov 07 V8" xfId="674"/>
    <cellStyle name="_RT Data Extraction Oyu Tolgoi 11 Nov 07 V8_F-zero" xfId="675"/>
    <cellStyle name="_RT Data Extraction PMC Nov 13 V8 V2" xfId="676"/>
    <cellStyle name="_RT Data Extraction PMC Nov 13 V8 V2_F-zero" xfId="677"/>
    <cellStyle name="_Rubattino_080430_bnb" xfId="678"/>
    <cellStyle name="_Rubattino_080430_bnb_F-zero" xfId="679"/>
    <cellStyle name="_Seacastle - Seaking model - v18" xfId="680"/>
    <cellStyle name="_Seacastle model (E&amp;Yresponse)(FINAL)" xfId="681"/>
    <cellStyle name="_shellfish equity 26feb06_Link" xfId="682"/>
    <cellStyle name="_shellfish equity 26feb06_Link_1" xfId="683"/>
    <cellStyle name="_shellfish equity 26feb06_Link_1 month cash flow template" xfId="684"/>
    <cellStyle name="_shellfish equity 26feb06_Link_1 month cash flow template_F-zero" xfId="685"/>
    <cellStyle name="_shellfish equity 26feb06_Link_1_F-zero" xfId="686"/>
    <cellStyle name="_shellfish equity 26feb06_Link_100416 2010 Transmission General Ledger Balance" xfId="687"/>
    <cellStyle name="_shellfish equity 26feb06_Link_100416 2010 Transmission General Ledger Balance_F-zero" xfId="688"/>
    <cellStyle name="_shellfish equity 26feb06_Link_105 BIF June 2009 TEA v5" xfId="689"/>
    <cellStyle name="_shellfish equity 26feb06_Link_105 BIF June 2009 TEA v5_F-zero" xfId="690"/>
    <cellStyle name="_shellfish equity 26feb06_Link_145 PIE June 2009 TEAv2" xfId="691"/>
    <cellStyle name="_shellfish equity 26feb06_Link_145 PIE June 2009 TEAv2_F-zero" xfId="692"/>
    <cellStyle name="_shellfish equity 26feb06_Link_156 BBI US Investments June 2009 TEA v4" xfId="693"/>
    <cellStyle name="_shellfish equity 26feb06_Link_156 BBI US Investments June 2009 TEA v4_F-zero" xfId="694"/>
    <cellStyle name="_shellfish equity 26feb06_Link_AETD Quarter forecast template" xfId="695"/>
    <cellStyle name="_shellfish equity 26feb06_Link_AETD Quarter forecast template_F-zero" xfId="696"/>
    <cellStyle name="_shellfish equity 26feb06_Link_AMP" xfId="697"/>
    <cellStyle name="_shellfish equity 26feb06_Link_AMP_AMP" xfId="698"/>
    <cellStyle name="_shellfish equity 26feb06_Link_AMP_AMP_F-zero" xfId="699"/>
    <cellStyle name="_shellfish equity 26feb06_Link_AMP_Debt" xfId="700"/>
    <cellStyle name="_shellfish equity 26feb06_Link_AMP_Debt_F-zero" xfId="701"/>
    <cellStyle name="_shellfish equity 26feb06_Link_AMP_F-zero" xfId="702"/>
    <cellStyle name="_shellfish equity 26feb06_Link_Assumptions book" xfId="703"/>
    <cellStyle name="_shellfish equity 26feb06_Link_Assumptions book_AMP" xfId="704"/>
    <cellStyle name="_shellfish equity 26feb06_Link_Assumptions book_AMP_F-zero" xfId="705"/>
    <cellStyle name="_shellfish equity 26feb06_Link_Assumptions book_Assumptions book" xfId="706"/>
    <cellStyle name="_shellfish equity 26feb06_Link_Assumptions book_Assumptions book_F-zero" xfId="707"/>
    <cellStyle name="_shellfish equity 26feb06_Link_Assumptions book_Debt" xfId="708"/>
    <cellStyle name="_shellfish equity 26feb06_Link_Assumptions book_Debt_F-zero" xfId="709"/>
    <cellStyle name="_shellfish equity 26feb06_Link_Assumptions book_F-zero" xfId="710"/>
    <cellStyle name="_shellfish equity 26feb06_Link_Audit tab" xfId="711"/>
    <cellStyle name="_shellfish equity 26feb06_Link_Audit tab 2" xfId="712"/>
    <cellStyle name="_shellfish equity 26feb06_Link_Audit tab 2_F-zero" xfId="713"/>
    <cellStyle name="_shellfish equity 26feb06_Link_Audit tab_F-zero" xfId="714"/>
    <cellStyle name="_shellfish equity 26feb06_Link_BBI PAG (TGN) Subsidiary Reporting Template to 260209 (2) (2)" xfId="715"/>
    <cellStyle name="_shellfish equity 26feb06_Link_BBI PAG (TGN) Subsidiary Reporting Template to 260209 (2) (2)_F-zero" xfId="716"/>
    <cellStyle name="_shellfish equity 26feb06_Link_BBI PAG (TGN) Subsidiary Reporting Template to 270209 to 300609 (050809)" xfId="717"/>
    <cellStyle name="_shellfish equity 26feb06_Link_BBI PAG (TGN) Subsidiary Reporting Template to 270209 to 300609 (050809)_F-zero" xfId="718"/>
    <cellStyle name="_shellfish equity 26feb06_Link_BBI PAG (TGN) Subsidiary Reporting Template to 270209 to 300609 FINAL" xfId="719"/>
    <cellStyle name="_shellfish equity 26feb06_Link_BBI PAG (TGN) Subsidiary Reporting Template to 270209 to 300609 FINAL_F-zero" xfId="720"/>
    <cellStyle name="_shellfish equity 26feb06_Link_BBI SPAIN  PORT HOLDINGS Reporting Template 30 June 2009 - v3" xfId="721"/>
    <cellStyle name="_shellfish equity 26feb06_Link_BBI SPAIN  PORT HOLDINGS Reporting Template 30 June 2009 - v3_F-zero" xfId="722"/>
    <cellStyle name="_shellfish equity 26feb06_Link_BBI US Holdings Subsidiary Reporting Template 30 June 2009 - v 3" xfId="723"/>
    <cellStyle name="_shellfish equity 26feb06_Link_BBI US Holdings Subsidiary Reporting Template 30 June 2009 - v 3_F-zero" xfId="724"/>
    <cellStyle name="_shellfish equity 26feb06_Link_BBIFUK Subsidiary Reporting Template 30 June 2009 version 2" xfId="725"/>
    <cellStyle name="_shellfish equity 26feb06_Link_BBIFUK Subsidiary Reporting Template 30 June 2009 version 2_F-zero" xfId="726"/>
    <cellStyle name="_shellfish equity 26feb06_Link_BBINNZ Subsidiary Reporting Template 30 June 2009 v3 FINAL" xfId="727"/>
    <cellStyle name="_shellfish equity 26feb06_Link_BBINNZ Subsidiary Reporting Template 30 June 2009 v3 FINAL_F-zero" xfId="728"/>
    <cellStyle name="_shellfish equity 26feb06_Link_BBIPAL Subsidiary Reporting Template 30 June 2009 (280609) version 2" xfId="729"/>
    <cellStyle name="_shellfish equity 26feb06_Link_BBIPAL Subsidiary Reporting Template 30 June 2009 (280609) version 2_F-zero" xfId="730"/>
    <cellStyle name="_shellfish equity 26feb06_Link_Book1" xfId="731"/>
    <cellStyle name="_shellfish equity 26feb06_Link_Book1_F-zero" xfId="732"/>
    <cellStyle name="_shellfish equity 26feb06_Link_Book1_Q2-10 Forecast - Corporate Eliminations" xfId="733"/>
    <cellStyle name="_shellfish equity 26feb06_Link_Book1_Q2-10 Forecast - Corporate Eliminations_F-zero" xfId="734"/>
    <cellStyle name="_shellfish equity 26feb06_Link_Book1_RP#2 - Preliminary Reporting - Q2-10 MASTER" xfId="735"/>
    <cellStyle name="_shellfish equity 26feb06_Link_Book1_RP#2 - Preliminary Reporting - Q2-10 MASTER_F-zero" xfId="736"/>
    <cellStyle name="_shellfish equity 26feb06_Link_Budget Report Jan 10 FINAL" xfId="737"/>
    <cellStyle name="_shellfish equity 26feb06_Link_Budget Report Jan 10 FINAL_F-zero" xfId="738"/>
    <cellStyle name="_shellfish equity 26feb06_Link_Budget Report Jan 10 FINAL_Q2-10 Forecast - Corporate Eliminations" xfId="739"/>
    <cellStyle name="_shellfish equity 26feb06_Link_Budget Report Jan 10 FINAL_Q2-10 Forecast - Corporate Eliminations_F-zero" xfId="740"/>
    <cellStyle name="_shellfish equity 26feb06_Link_Budget Report Jan 10 FINAL_RP#2 - Preliminary Reporting - Q2-10 MASTER" xfId="741"/>
    <cellStyle name="_shellfish equity 26feb06_Link_Budget Report Jan 10 FINAL_RP#2 - Preliminary Reporting - Q2-10 MASTER_F-zero" xfId="742"/>
    <cellStyle name="_shellfish equity 26feb06_Link_CORP IS" xfId="743"/>
    <cellStyle name="_shellfish equity 26feb06_Link_CORP IS_F-zero" xfId="744"/>
    <cellStyle name="_shellfish equity 26feb06_Link_CSC Quarter forecast template" xfId="745"/>
    <cellStyle name="_shellfish equity 26feb06_Link_CSC Quarter forecast template_F-zero" xfId="746"/>
    <cellStyle name="_shellfish equity 26feb06_Link_DBCT - Tax Journals YE 30 June 2009" xfId="747"/>
    <cellStyle name="_shellfish equity 26feb06_Link_DBCT - Tax Journals YE 30 June 2009_F-zero" xfId="748"/>
    <cellStyle name="_shellfish equity 26feb06_Link_DBCT Budget workings 2009 - 10 V1" xfId="749"/>
    <cellStyle name="_shellfish equity 26feb06_Link_DBCT Budget workings 2009 - 10 V1_F-zero" xfId="750"/>
    <cellStyle name="_shellfish equity 26feb06_Link_DBCT Budget workings 2009 - 10 V1_Q2-10 Forecast - Corporate Eliminations" xfId="751"/>
    <cellStyle name="_shellfish equity 26feb06_Link_DBCT Budget workings 2009 - 10 V1_Q2-10 Forecast - Corporate Eliminations_F-zero" xfId="752"/>
    <cellStyle name="_shellfish equity 26feb06_Link_DBCT Budget workings 2009 - 10 V1_RP#2 - Preliminary Reporting - Q2-10 MASTER" xfId="753"/>
    <cellStyle name="_shellfish equity 26feb06_Link_DBCT Budget workings 2009 - 10 V1_RP#2 - Preliminary Reporting - Q2-10 MASTER_F-zero" xfId="754"/>
    <cellStyle name="_shellfish equity 26feb06_Link_DBCT PPE &amp; Intangibles (adj for IFRIC12)" xfId="755"/>
    <cellStyle name="_shellfish equity 26feb06_Link_DBCT PPE &amp; Intangibles (adj for IFRIC12)_F-zero" xfId="756"/>
    <cellStyle name="_shellfish equity 26feb06_Link_DBCT Subsidiary Reporting Template 30 June 2009 V10 FINAL" xfId="757"/>
    <cellStyle name="_shellfish equity 26feb06_Link_DBCT Subsidiary Reporting Template 30 June 2009 V10 FINAL AUDITED" xfId="758"/>
    <cellStyle name="_shellfish equity 26feb06_Link_DBCT Subsidiary Reporting Template 30 June 2009 V10 FINAL AUDITED_F-zero" xfId="759"/>
    <cellStyle name="_shellfish equity 26feb06_Link_DBCT Subsidiary Reporting Template 30 June 2009 V10 FINAL_F-zero" xfId="760"/>
    <cellStyle name="_shellfish equity 26feb06_Link_FinRepsConsol" xfId="761"/>
    <cellStyle name="_shellfish equity 26feb06_Link_FinRepsConsol_F-zero" xfId="762"/>
    <cellStyle name="_shellfish equity 26feb06_Link_Fixed Asset values sources+ Int -Update to 26 02 09 (2)" xfId="763"/>
    <cellStyle name="_shellfish equity 26feb06_Link_Fixed Asset values sources+ Int -Update to 26 02 09 (2)_F-zero" xfId="764"/>
    <cellStyle name="_shellfish equity 26feb06_Link_Forecast - Q2-10 - MASTERv5 - Gross for Each Asset" xfId="765"/>
    <cellStyle name="_shellfish equity 26feb06_Link_Forecast - Q2-10 - MASTERv5 - Gross for Each Asset_F-zero" xfId="766"/>
    <cellStyle name="_shellfish equity 26feb06_Link_Forecast FY10- Final" xfId="767"/>
    <cellStyle name="_shellfish equity 26feb06_Link_Forecast FY10- Final_F-zero" xfId="768"/>
    <cellStyle name="_shellfish equity 26feb06_Link_Forecast Template - Q2-10 - MASTERv5" xfId="769"/>
    <cellStyle name="_shellfish equity 26feb06_Link_Forecast Template - Q2-10 - MASTERv5_F-zero" xfId="770"/>
    <cellStyle name="_shellfish equity 26feb06_Link_F-zero" xfId="771"/>
    <cellStyle name="_shellfish equity 26feb06_Link_GL Journal Templates" xfId="772"/>
    <cellStyle name="_shellfish equity 26feb06_Link_GL Journal Templates_F-zero" xfId="773"/>
    <cellStyle name="_shellfish equity 26feb06_Link_IEG Quarter forecast template" xfId="774"/>
    <cellStyle name="_shellfish equity 26feb06_Link_IEG Quarter forecast template_F-zero" xfId="775"/>
    <cellStyle name="_shellfish equity 26feb06_Link_IEG Reporting Template - 1 mth to Dec 2009 8 1 10 (2)" xfId="776"/>
    <cellStyle name="_shellfish equity 26feb06_Link_IEG Reporting Template - 1 mth to Dec 2009 8 1 10 (2)_F-zero" xfId="777"/>
    <cellStyle name="_shellfish equity 26feb06_Link_IEG Subsidiary Reporting Template 30 June 2009-final (9)" xfId="778"/>
    <cellStyle name="_shellfish equity 26feb06_Link_IEG Subsidiary Reporting Template 30 June 2009-final (9)_F-zero" xfId="779"/>
    <cellStyle name="_shellfish equity 26feb06_Link_InputSheet (2)" xfId="780"/>
    <cellStyle name="_shellfish equity 26feb06_Link_InputSheet (2)_Accounts Gas" xfId="781"/>
    <cellStyle name="_shellfish equity 26feb06_Link_InputSheet (2)_Accounts Gas_F-zero" xfId="782"/>
    <cellStyle name="_shellfish equity 26feb06_Link_InputSheet (2)_F-zero" xfId="783"/>
    <cellStyle name="_shellfish equity 26feb06_Link_Journal" xfId="784"/>
    <cellStyle name="_shellfish equity 26feb06_Link_Journal 2" xfId="785"/>
    <cellStyle name="_shellfish equity 26feb06_Link_Journal 2_F-zero" xfId="786"/>
    <cellStyle name="_shellfish equity 26feb06_Link_Journal_AMP" xfId="787"/>
    <cellStyle name="_shellfish equity 26feb06_Link_Journal_AMP_AMP" xfId="788"/>
    <cellStyle name="_shellfish equity 26feb06_Link_Journal_AMP_AMP_F-zero" xfId="789"/>
    <cellStyle name="_shellfish equity 26feb06_Link_Journal_AMP_Debt" xfId="790"/>
    <cellStyle name="_shellfish equity 26feb06_Link_Journal_AMP_Debt_F-zero" xfId="791"/>
    <cellStyle name="_shellfish equity 26feb06_Link_Journal_AMP_F-zero" xfId="792"/>
    <cellStyle name="_shellfish equity 26feb06_Link_Journal_F-zero" xfId="793"/>
    <cellStyle name="_shellfish equity 26feb06_Link_Journal_Model" xfId="794"/>
    <cellStyle name="_shellfish equity 26feb06_Link_Journal_Model_F-zero" xfId="795"/>
    <cellStyle name="_shellfish equity 26feb06_Link_Journal_Treasury Month End 31-01-11" xfId="796"/>
    <cellStyle name="_shellfish equity 26feb06_Link_Journal_Treasury Month End 31-01-11_F-zero" xfId="797"/>
    <cellStyle name="_shellfish equity 26feb06_Link_Lead Schedule 30-06-2010" xfId="798"/>
    <cellStyle name="_shellfish equity 26feb06_Link_Lead Schedule 30-06-2010_F-zero" xfId="799"/>
    <cellStyle name="_shellfish equity 26feb06_Link_Madrid Financial Model v9 Seacastle" xfId="800"/>
    <cellStyle name="_shellfish equity 26feb06_Link_Madrid Financial Model v9 Seacastle_F-zero" xfId="801"/>
    <cellStyle name="_shellfish equity 26feb06_Link_Master Asset IS_BS summary Mar Qtr 10 (version 1)" xfId="802"/>
    <cellStyle name="_shellfish equity 26feb06_Link_Master Asset IS_BS summary Mar Qtr 10 (version 1)_F-zero" xfId="803"/>
    <cellStyle name="_shellfish equity 26feb06_Link_Model" xfId="804"/>
    <cellStyle name="_shellfish equity 26feb06_Link_Model_F-zero" xfId="805"/>
    <cellStyle name="_shellfish equity 26feb06_Link_mParentStatCashflow" xfId="806"/>
    <cellStyle name="_shellfish equity 26feb06_Link_mParentStatCashflow 2" xfId="807"/>
    <cellStyle name="_shellfish equity 26feb06_Link_mParentStatCashflow 2_F-zero" xfId="808"/>
    <cellStyle name="_shellfish equity 26feb06_Link_mParentStatCashflow_F-zero" xfId="809"/>
    <cellStyle name="_shellfish equity 26feb06_Link_Myria Quarter forecast template" xfId="810"/>
    <cellStyle name="_shellfish equity 26feb06_Link_Myria Quarter forecast template_F-zero" xfId="811"/>
    <cellStyle name="_shellfish equity 26feb06_Link_Myria Reporting Template 31 December 2009 29 Jan" xfId="812"/>
    <cellStyle name="_shellfish equity 26feb06_Link_Myria Reporting Template 31 December 2009 29 Jan_F-zero" xfId="813"/>
    <cellStyle name="_shellfish equity 26feb06_Link_PDP Subsidiary Reporting Template 30 June 2009 reported 4 August" xfId="814"/>
    <cellStyle name="_shellfish equity 26feb06_Link_PDP Subsidiary Reporting Template 30 June 2009 reported 4 August_F-zero" xfId="815"/>
    <cellStyle name="_shellfish equity 26feb06_Link_PNZH Quarter forecast template Mar Qtr" xfId="816"/>
    <cellStyle name="_shellfish equity 26feb06_Link_PNZH Quarter forecast template Mar Qtr_F-zero" xfId="817"/>
    <cellStyle name="_shellfish equity 26feb06_Link_Quarter forecast template - DBCT V2 (2)" xfId="818"/>
    <cellStyle name="_shellfish equity 26feb06_Link_Quarter forecast template - DBCT V2 (2)_F-zero" xfId="819"/>
    <cellStyle name="_shellfish equity 26feb06_Link_Quarter forecast template (3)" xfId="820"/>
    <cellStyle name="_shellfish equity 26feb06_Link_Quarter forecast template (3)_F-zero" xfId="821"/>
    <cellStyle name="_shellfish equity 26feb06_Link_Reconcilations DBCT Dec 09 YTD" xfId="822"/>
    <cellStyle name="_shellfish equity 26feb06_Link_Reconcilations DBCT Dec 09 YTD_F-zero" xfId="823"/>
    <cellStyle name="_shellfish equity 26feb06_Link_Reconcilations DBCT Nov 09 YTD" xfId="824"/>
    <cellStyle name="_shellfish equity 26feb06_Link_Reconcilations DBCT Nov 09 YTD_F-zero" xfId="825"/>
    <cellStyle name="_shellfish equity 26feb06_Link_rGroupBS (Corp)" xfId="826"/>
    <cellStyle name="_shellfish equity 26feb06_Link_rGroupBS (Corp)_F-zero" xfId="827"/>
    <cellStyle name="_shellfish equity 26feb06_Link_rGroupCashflowSummary (819)" xfId="828"/>
    <cellStyle name="_shellfish equity 26feb06_Link_rGroupCashflowSummary (819)_F-zero" xfId="829"/>
    <cellStyle name="_shellfish equity 26feb06_Link_rGroupCashflowSummary (Corp)" xfId="830"/>
    <cellStyle name="_shellfish equity 26feb06_Link_rGroupCashflowSummary (Corp)_F-zero" xfId="831"/>
    <cellStyle name="_shellfish equity 26feb06_Link_rGroupFinancials" xfId="832"/>
    <cellStyle name="_shellfish equity 26feb06_Link_rGroupFinancials 2" xfId="833"/>
    <cellStyle name="_shellfish equity 26feb06_Link_rGroupFinancials 2_F-zero" xfId="834"/>
    <cellStyle name="_shellfish equity 26feb06_Link_rGroupFinancials_1" xfId="835"/>
    <cellStyle name="_shellfish equity 26feb06_Link_rGroupFinancials_1 2" xfId="836"/>
    <cellStyle name="_shellfish equity 26feb06_Link_rGroupFinancials_1 2_F-zero" xfId="837"/>
    <cellStyle name="_shellfish equity 26feb06_Link_rGroupFinancials_1_F-zero" xfId="838"/>
    <cellStyle name="_shellfish equity 26feb06_Link_rGroupFinancials_FinRepsConsol" xfId="839"/>
    <cellStyle name="_shellfish equity 26feb06_Link_rGroupFinancials_FinRepsConsol 2" xfId="840"/>
    <cellStyle name="_shellfish equity 26feb06_Link_rGroupFinancials_FinRepsConsol 2_F-zero" xfId="841"/>
    <cellStyle name="_shellfish equity 26feb06_Link_rGroupFinancials_FinRepsConsol vEMT " xfId="842"/>
    <cellStyle name="_shellfish equity 26feb06_Link_rGroupFinancials_FinRepsConsol vEMT _F-zero" xfId="843"/>
    <cellStyle name="_shellfish equity 26feb06_Link_rGroupFinancials_FinRepsConsol_F-zero" xfId="844"/>
    <cellStyle name="_shellfish equity 26feb06_Link_rGroupFinancials_F-zero" xfId="845"/>
    <cellStyle name="_shellfish equity 26feb06_Link_rGroupFinancials_mGroupStatCashflow" xfId="846"/>
    <cellStyle name="_shellfish equity 26feb06_Link_rGroupFinancials_mGroupStatCashflow 2" xfId="847"/>
    <cellStyle name="_shellfish equity 26feb06_Link_rGroupFinancials_mGroupStatCashflow 2_F-zero" xfId="848"/>
    <cellStyle name="_shellfish equity 26feb06_Link_rGroupFinancials_mGroupStatCashflow_F-zero" xfId="849"/>
    <cellStyle name="_shellfish equity 26feb06_Link_rGroupFinancials_rGroupBS" xfId="850"/>
    <cellStyle name="_shellfish equity 26feb06_Link_rGroupFinancials_rGroupBS (Corp)" xfId="851"/>
    <cellStyle name="_shellfish equity 26feb06_Link_rGroupFinancials_rGroupBS (Corp)_F-zero" xfId="852"/>
    <cellStyle name="_shellfish equity 26feb06_Link_rGroupFinancials_rGroupBS_F-zero" xfId="853"/>
    <cellStyle name="_shellfish equity 26feb06_Link_rGroupFinancials_rGroupBudget" xfId="854"/>
    <cellStyle name="_shellfish equity 26feb06_Link_rGroupFinancials_rGroupBudget_F-zero" xfId="855"/>
    <cellStyle name="_shellfish equity 26feb06_Link_rGroupFinancials_rGroupCashflowSummary" xfId="856"/>
    <cellStyle name="_shellfish equity 26feb06_Link_rGroupFinancials_rGroupCashflowSummary_F-zero" xfId="857"/>
    <cellStyle name="_shellfish equity 26feb06_Link_rGroupFinancials_rPNZHLConsol11" xfId="858"/>
    <cellStyle name="_shellfish equity 26feb06_Link_rGroupFinancials_rPNZHLConsol11 2" xfId="859"/>
    <cellStyle name="_shellfish equity 26feb06_Link_rGroupFinancials_rPNZHLConsol11 2_F-zero" xfId="860"/>
    <cellStyle name="_shellfish equity 26feb06_Link_rGroupFinancials_rPNZHLConsol11_F-zero" xfId="861"/>
    <cellStyle name="_shellfish equity 26feb06_Link_rGroupFinancials_rPowercoAnalysis" xfId="862"/>
    <cellStyle name="_shellfish equity 26feb06_Link_rGroupFinancials_rPowercoAnalysis (2)" xfId="863"/>
    <cellStyle name="_shellfish equity 26feb06_Link_rGroupFinancials_rPowercoAnalysis (2)_F-zero" xfId="864"/>
    <cellStyle name="_shellfish equity 26feb06_Link_rGroupFinancials_rPowercoAnalysis_F-zero" xfId="865"/>
    <cellStyle name="_shellfish equity 26feb06_Link_rGroupFinancials_rPowercoConsol11" xfId="866"/>
    <cellStyle name="_shellfish equity 26feb06_Link_rGroupFinancials_rPowercoConsol11 2" xfId="867"/>
    <cellStyle name="_shellfish equity 26feb06_Link_rGroupFinancials_rPowercoConsol11 2_F-zero" xfId="868"/>
    <cellStyle name="_shellfish equity 26feb06_Link_rGroupFinancials_rPowercoConsol11_F-zero" xfId="869"/>
    <cellStyle name="_shellfish equity 26feb06_Link_rGroupP&amp;LSummary" xfId="870"/>
    <cellStyle name="_shellfish equity 26feb06_Link_rGroupP&amp;LSummary (Corp Detail)" xfId="871"/>
    <cellStyle name="_shellfish equity 26feb06_Link_rGroupP&amp;LSummary (Corp Detail)_F-zero" xfId="872"/>
    <cellStyle name="_shellfish equity 26feb06_Link_rGroupP&amp;LSummary_F-zero" xfId="873"/>
    <cellStyle name="_shellfish equity 26feb06_Link_rGroupStatCashflow" xfId="874"/>
    <cellStyle name="_shellfish equity 26feb06_Link_rGroupStatCashflow 2" xfId="875"/>
    <cellStyle name="_shellfish equity 26feb06_Link_rGroupStatCashflow 2_F-zero" xfId="876"/>
    <cellStyle name="_shellfish equity 26feb06_Link_rGroupStatCashflow_F-zero" xfId="877"/>
    <cellStyle name="_shellfish equity 26feb06_Link_Rostock Subsidiary Reporting Template 30 June 2009- (PPA version) version 3" xfId="878"/>
    <cellStyle name="_shellfish equity 26feb06_Link_Rostock Subsidiary Reporting Template 30 June 2009- (PPA version) version 3_F-zero" xfId="879"/>
    <cellStyle name="_shellfish equity 26feb06_Link_RP #3 - Financial Reporting - Q2-10 MASTER" xfId="880"/>
    <cellStyle name="_shellfish equity 26feb06_Link_RP #3 - Financial Reporting - Q2-10 MASTER_F-zero" xfId="881"/>
    <cellStyle name="_shellfish equity 26feb06_Link_RP #4 - Notes and MD&amp;A" xfId="882"/>
    <cellStyle name="_shellfish equity 26feb06_Link_RP #4 - Notes and MD&amp;A_F-zero" xfId="883"/>
    <cellStyle name="_shellfish equity 26feb06_Link_RP #4 - Notes and MDA - Q409 MASTER" xfId="884"/>
    <cellStyle name="_shellfish equity 26feb06_Link_RP #4 - Notes and MDA - Q409 MASTER_F-zero" xfId="885"/>
    <cellStyle name="_shellfish equity 26feb06_Link_RP#2 - Preliminary Reporting - FINAL" xfId="886"/>
    <cellStyle name="_shellfish equity 26feb06_Link_RP#2 - Preliminary Reporting - FINAL - With remapped P&amp;L" xfId="887"/>
    <cellStyle name="_shellfish equity 26feb06_Link_RP#2 - Preliminary Reporting - FINAL - With remapped P&amp;L_F-zero" xfId="888"/>
    <cellStyle name="_shellfish equity 26feb06_Link_RP#2 - Preliminary Reporting - FINAL_F-zero" xfId="889"/>
    <cellStyle name="_shellfish equity 26feb06_Link_RP#2 - Preliminary Reporting - Q2-10 MASTER" xfId="890"/>
    <cellStyle name="_shellfish equity 26feb06_Link_RP#2 - Preliminary Reporting - Q2-10 MASTER_F-zero" xfId="891"/>
    <cellStyle name="_shellfish equity 26feb06_Link_RP#2 - Preliminary Reporting - Q2-10 MASTER-FINAL" xfId="892"/>
    <cellStyle name="_shellfish equity 26feb06_Link_RP#2 - Preliminary Reporting - Q2-10 MASTER-FINAL 7-7-10" xfId="893"/>
    <cellStyle name="_shellfish equity 26feb06_Link_RP#2 - Preliminary Reporting - Q2-10 MASTER-FINAL 7-7-10_F-zero" xfId="894"/>
    <cellStyle name="_shellfish equity 26feb06_Link_RP#2 - Preliminary Reporting - Q2-10 MASTER-FINAL_F-zero" xfId="895"/>
    <cellStyle name="_shellfish equity 26feb06_Link_RP#2 - Preliminary Reporting - Q3-10-MASTER" xfId="896"/>
    <cellStyle name="_shellfish equity 26feb06_Link_RP#2 - Preliminary Reporting - Q3-10-MASTER_F-zero" xfId="897"/>
    <cellStyle name="_shellfish equity 26feb06_Link_RP#3 - Financial Reporting - Q409 MASTER 290110v2" xfId="898"/>
    <cellStyle name="_shellfish equity 26feb06_Link_RP#3 - Financial Reporting - Q409 MASTER 290110v2_F-zero" xfId="899"/>
    <cellStyle name="_shellfish equity 26feb06_Link_rPowercoConsol11" xfId="900"/>
    <cellStyle name="_shellfish equity 26feb06_Link_rPowercoConsol11_F-zero" xfId="901"/>
    <cellStyle name="_shellfish equity 26feb06_Link_rStatCashflow" xfId="902"/>
    <cellStyle name="_shellfish equity 26feb06_Link_rStatCashflow 2" xfId="903"/>
    <cellStyle name="_shellfish equity 26feb06_Link_rStatCashflow 2_F-zero" xfId="904"/>
    <cellStyle name="_shellfish equity 26feb06_Link_rStatCashflow_F-zero" xfId="905"/>
    <cellStyle name="_shellfish equity 26feb06_Link_Sheet1" xfId="906"/>
    <cellStyle name="_shellfish equity 26feb06_Link_Sheet1_F-zero" xfId="907"/>
    <cellStyle name="_shellfish equity 26feb06_Link_Subs" xfId="908"/>
    <cellStyle name="_shellfish equity 26feb06_Link_Subs_AMP" xfId="909"/>
    <cellStyle name="_shellfish equity 26feb06_Link_Subs_AMP_F-zero" xfId="910"/>
    <cellStyle name="_shellfish equity 26feb06_Link_Subs_Debt" xfId="911"/>
    <cellStyle name="_shellfish equity 26feb06_Link_Subs_Debt_F-zero" xfId="912"/>
    <cellStyle name="_shellfish equity 26feb06_Link_Subs_F-zero" xfId="913"/>
    <cellStyle name="_shellfish equity 26feb06_Link_Subsidiary Reporting Template 31 December 2009 (Consolidated) BBIFP" xfId="914"/>
    <cellStyle name="_shellfish equity 26feb06_Link_Subsidiary Reporting Template 31 December 2009 (Consolidated) BBIFP_F-zero" xfId="915"/>
    <cellStyle name="_shellfish equity 26feb06_Link_Subsidiary Reporting Template 31 December 2009 (TPS)(180110)xls" xfId="916"/>
    <cellStyle name="_shellfish equity 26feb06_Link_Subsidiary Reporting Template 31 December 2009 (TPS)(180110)xls_F-zero" xfId="917"/>
    <cellStyle name="_shellfish equity 26feb06_Link_Subsidiary Reporting Template 31 December 2009 (Warehouse) (190110)" xfId="918"/>
    <cellStyle name="_shellfish equity 26feb06_Link_Subsidiary Reporting Template 31 December 2009 (Warehouse) (190110)_F-zero" xfId="919"/>
    <cellStyle name="_shellfish equity 26feb06_Link_Subsidiary Reporting Template 31 December 2009 FINAL (BBIPAL)" xfId="920"/>
    <cellStyle name="_shellfish equity 26feb06_Link_Subsidiary Reporting Template 31 December 2009 FINAL (BBIPAL)_F-zero" xfId="921"/>
    <cellStyle name="_shellfish equity 26feb06_Link_Subsidiary Reporting Template 31 December 2009 FINAL (Euroports holdco) final with tax" xfId="922"/>
    <cellStyle name="_shellfish equity 26feb06_Link_Subsidiary Reporting Template 31 December 2009 FINAL (Euroports holdco) final with tax_F-zero" xfId="923"/>
    <cellStyle name="_shellfish equity 26feb06_Link_Subsidiary Reporting Template 31 December 2009 FINAL (SHRU - excl PPA)" xfId="924"/>
    <cellStyle name="_shellfish equity 26feb06_Link_Subsidiary Reporting Template 31 December 2009 FINAL (SHRU - excl PPA)_F-zero" xfId="925"/>
    <cellStyle name="_shellfish equity 26feb06_Link_Subsidiary Reporting Template 31 December 2009 FINAL TRI (200110)" xfId="926"/>
    <cellStyle name="_shellfish equity 26feb06_Link_Subsidiary Reporting Template 31 December 2009 FINAL TRI (200110)_F-zero" xfId="927"/>
    <cellStyle name="_shellfish equity 26feb06_Link_Tas Gas Holdings Mar09 Quarter forecast template" xfId="928"/>
    <cellStyle name="_shellfish equity 26feb06_Link_Tas Gas Holdings Mar09 Quarter forecast template_F-zero" xfId="929"/>
    <cellStyle name="_shellfish equity 26feb06_Link_Tax Note consolidation - Masterv2" xfId="930"/>
    <cellStyle name="_shellfish equity 26feb06_Link_Tax Note consolidation - Masterv2_F-zero" xfId="931"/>
    <cellStyle name="_shellfish equity 26feb06_Link_TB" xfId="932"/>
    <cellStyle name="_shellfish equity 26feb06_Link_TB_F-zero" xfId="933"/>
    <cellStyle name="_shellfish equity 26feb06_Link_Te Rere Finance Lease (agreed with Aileen)" xfId="934"/>
    <cellStyle name="_shellfish equity 26feb06_Link_Te Rere Finance Lease (agreed with Aileen) 2" xfId="935"/>
    <cellStyle name="_shellfish equity 26feb06_Link_Te Rere Finance Lease (agreed with Aileen) 2_F-zero" xfId="936"/>
    <cellStyle name="_shellfish equity 26feb06_Link_Te Rere Finance Lease (agreed with Aileen)_AMP" xfId="937"/>
    <cellStyle name="_shellfish equity 26feb06_Link_Te Rere Finance Lease (agreed with Aileen)_AMP_F-zero" xfId="938"/>
    <cellStyle name="_shellfish equity 26feb06_Link_Te Rere Finance Lease (agreed with Aileen)_Assumptions book" xfId="939"/>
    <cellStyle name="_shellfish equity 26feb06_Link_Te Rere Finance Lease (agreed with Aileen)_Assumptions book_F-zero" xfId="940"/>
    <cellStyle name="_shellfish equity 26feb06_Link_Te Rere Finance Lease (agreed with Aileen)_Debt" xfId="941"/>
    <cellStyle name="_shellfish equity 26feb06_Link_Te Rere Finance Lease (agreed with Aileen)_Debt_F-zero" xfId="942"/>
    <cellStyle name="_shellfish equity 26feb06_Link_Te Rere Finance Lease (agreed with Aileen)_F-zero" xfId="943"/>
    <cellStyle name="_shellfish equity 26feb06_Link_TPS Subsidiary Reporting Template 30 June 2009- Draft 13(FINAL)" xfId="944"/>
    <cellStyle name="_shellfish equity 26feb06_Link_TPS Subsidiary Reporting Template 30 June 2009- Draft 13(FINAL)_F-zero" xfId="945"/>
    <cellStyle name="_shellfish equity 26feb06_Link_Treasury Month End 31-01-11" xfId="946"/>
    <cellStyle name="_shellfish equity 26feb06_Link_Treasury Month End 31-01-11_F-zero" xfId="947"/>
    <cellStyle name="_shellfish equity 26feb06_Link_TRI Subsidiary Reporting Template 30 June 2009- version 4" xfId="948"/>
    <cellStyle name="_shellfish equity 26feb06_Link_TRI Subsidiary Reporting Template 30 June 2009- version 4_F-zero" xfId="949"/>
    <cellStyle name="_shellfish equity 26feb06_Link_Westerlund Subsidiary Reporting Template 30 June 2009- 31072009 version 2" xfId="950"/>
    <cellStyle name="_shellfish equity 26feb06_Link_Westerlund Subsidiary Reporting Template 30 June 2009- 31072009 version 2_F-zero" xfId="951"/>
    <cellStyle name="_shellfish equity 26feb06_Link_WNE Subsidiary Reporting Template 30 June 2009-final" xfId="952"/>
    <cellStyle name="_shellfish equity 26feb06_Link_WNE Subsidiary Reporting Template 30 June 2009-final_F-zero" xfId="953"/>
    <cellStyle name="_shellfish equity 26feb06_Link_WNR Quarter forecast - Mar10" xfId="954"/>
    <cellStyle name="_shellfish equity 26feb06_Link_WNR Quarter forecast - Mar10_F-zero" xfId="955"/>
    <cellStyle name="_shellfish equity 26feb06_Link_WNR Subsidiary Reporting Template 30 June 2009 FINAL 4.8.09" xfId="956"/>
    <cellStyle name="_shellfish equity 26feb06_Link_WNR Subsidiary Reporting Template 30 June 2009 FINAL 4.8.09_F-zero" xfId="957"/>
    <cellStyle name="_shellfish equity 26feb06_Link_Workings" xfId="958"/>
    <cellStyle name="_shellfish equity 26feb06_Link_Workings_Accounts Gas" xfId="959"/>
    <cellStyle name="_shellfish equity 26feb06_Link_Workings_Accounts Gas_F-zero" xfId="960"/>
    <cellStyle name="_shellfish equity 26feb06_Link_Workings_F-zero" xfId="961"/>
    <cellStyle name="_SubHeading" xfId="962"/>
    <cellStyle name="_SubHeading 2" xfId="963"/>
    <cellStyle name="_SubHeading_1 month cash flow template" xfId="964"/>
    <cellStyle name="_SubHeading_100416 2010 Transmission General Ledger Balance" xfId="965"/>
    <cellStyle name="_SubHeading_105 BIF June 2009 TEA v5" xfId="966"/>
    <cellStyle name="_SubHeading_1269486_1" xfId="967"/>
    <cellStyle name="_SubHeading_145 PIE June 2009 TEAv2" xfId="968"/>
    <cellStyle name="_SubHeading_156 BBI US Investments June 2009 TEA v4" xfId="969"/>
    <cellStyle name="_SubHeading_A3 GStyle Excel_Version 3" xfId="970"/>
    <cellStyle name="_SubHeading_A3 GStyle Excel_Version 3_1 month cash flow template" xfId="971"/>
    <cellStyle name="_SubHeading_A3 GStyle Excel_Version 3_105 BIF June 2009 TEA v5" xfId="972"/>
    <cellStyle name="_SubHeading_A3 GStyle Excel_Version 3_145 PIE June 2009 TEAv2" xfId="973"/>
    <cellStyle name="_SubHeading_A3 GStyle Excel_Version 3_156 BBI US Investments June 2009 TEA v4" xfId="974"/>
    <cellStyle name="_SubHeading_A3 GStyle Excel_Version 3_2011 WIP TRansfer" xfId="975"/>
    <cellStyle name="_SubHeading_A3 GStyle Excel_Version 3_Accounts Gas" xfId="976"/>
    <cellStyle name="_SubHeading_A3 GStyle Excel_Version 3_AMP" xfId="977"/>
    <cellStyle name="_SubHeading_A3 GStyle Excel_Version 3_Assumptions book" xfId="978"/>
    <cellStyle name="_SubHeading_A3 GStyle Excel_Version 3_Audit tab" xfId="979"/>
    <cellStyle name="_SubHeading_A3 GStyle Excel_Version 3_Budget" xfId="980"/>
    <cellStyle name="_SubHeading_A3 GStyle Excel_Version 3_Copy of Te Rere Finance Lease (Final 10pm)" xfId="981"/>
    <cellStyle name="_SubHeading_A3 GStyle Excel_Version 3_Debt" xfId="982"/>
    <cellStyle name="_SubHeading_A3 GStyle Excel_Version 3_Elimination Adj" xfId="983"/>
    <cellStyle name="_SubHeading_A3 GStyle Excel_Version 3_Elimination Journals (2)" xfId="984"/>
    <cellStyle name="_SubHeading_A3 GStyle Excel_Version 3_FinRepsConsol" xfId="985"/>
    <cellStyle name="_SubHeading_A3 GStyle Excel_Version 3_Journal" xfId="986"/>
    <cellStyle name="_SubHeading_A3 GStyle Excel_Version 3_Journal_AMP" xfId="987"/>
    <cellStyle name="_SubHeading_A3 GStyle Excel_Version 3_Journal_Assumptions book" xfId="988"/>
    <cellStyle name="_SubHeading_A3 GStyle Excel_Version 3_Journal_Debt" xfId="989"/>
    <cellStyle name="_SubHeading_A3 GStyle Excel_Version 3_Journal_Model" xfId="990"/>
    <cellStyle name="_SubHeading_A3 GStyle Excel_Version 3_Journal_Treasury Month End 31-01-11" xfId="991"/>
    <cellStyle name="_SubHeading_A3 GStyle Excel_Version 3_Model" xfId="992"/>
    <cellStyle name="_SubHeading_A3 GStyle Excel_Version 3_mParentStatCashflow" xfId="993"/>
    <cellStyle name="_SubHeading_A3 GStyle Excel_Version 3_rGroupBS (Corp)" xfId="994"/>
    <cellStyle name="_SubHeading_A3 GStyle Excel_Version 3_rGroupCashflowSummary (819)" xfId="995"/>
    <cellStyle name="_SubHeading_A3 GStyle Excel_Version 3_rGroupCashflowSummary (Corp)" xfId="996"/>
    <cellStyle name="_SubHeading_A3 GStyle Excel_Version 3_rGroupFinancials" xfId="997"/>
    <cellStyle name="_SubHeading_A3 GStyle Excel_Version 3_rGroupFinancials_1" xfId="998"/>
    <cellStyle name="_SubHeading_A3 GStyle Excel_Version 3_rGroupFinancials_FinRepsConsol" xfId="999"/>
    <cellStyle name="_SubHeading_A3 GStyle Excel_Version 3_rGroupFinancials_FinRepsConsol vEMT " xfId="1000"/>
    <cellStyle name="_SubHeading_A3 GStyle Excel_Version 3_rGroupFinancials_mGroupStatCashflow" xfId="1001"/>
    <cellStyle name="_SubHeading_A3 GStyle Excel_Version 3_rGroupFinancials_rGroupBS" xfId="1002"/>
    <cellStyle name="_SubHeading_A3 GStyle Excel_Version 3_rGroupFinancials_rGroupBS (Corp)" xfId="1003"/>
    <cellStyle name="_SubHeading_A3 GStyle Excel_Version 3_rGroupFinancials_rGroupBudget" xfId="1004"/>
    <cellStyle name="_SubHeading_A3 GStyle Excel_Version 3_rGroupFinancials_rGroupCashflowSummary" xfId="1005"/>
    <cellStyle name="_SubHeading_A3 GStyle Excel_Version 3_rGroupFinancials_rPNZHLConsol11" xfId="1006"/>
    <cellStyle name="_SubHeading_A3 GStyle Excel_Version 3_rGroupFinancials_rPowercoAnalysis" xfId="1007"/>
    <cellStyle name="_SubHeading_A3 GStyle Excel_Version 3_rGroupFinancials_rPowercoAnalysis (2)" xfId="1008"/>
    <cellStyle name="_SubHeading_A3 GStyle Excel_Version 3_rGroupFinancials_rPowercoConsol11" xfId="1009"/>
    <cellStyle name="_SubHeading_A3 GStyle Excel_Version 3_rGroupP&amp;LSummary" xfId="1010"/>
    <cellStyle name="_SubHeading_A3 GStyle Excel_Version 3_rGroupP&amp;LSummary (Corp Detail)" xfId="1011"/>
    <cellStyle name="_SubHeading_A3 GStyle Excel_Version 3_rGroupStatCashflow" xfId="1012"/>
    <cellStyle name="_SubHeading_A3 GStyle Excel_Version 3_rPowercoConsol11" xfId="1013"/>
    <cellStyle name="_SubHeading_A3 GStyle Excel_Version 3_rStatCashflow" xfId="1014"/>
    <cellStyle name="_SubHeading_A3 GStyle Excel_Version 3_Sheet1" xfId="1015"/>
    <cellStyle name="_SubHeading_A3 GStyle Excel_Version 3_Tax Note consolidation - Masterv2" xfId="1016"/>
    <cellStyle name="_SubHeading_A3 GStyle Excel_Version 3_Te Rere Finance Lease (11pm)" xfId="1017"/>
    <cellStyle name="_SubHeading_A3 GStyle Excel_Version 3_Te Rere Finance Lease (Adjusted December 09)" xfId="1018"/>
    <cellStyle name="_SubHeading_A3 GStyle Excel_Version 3_Te Rere Finance Lease (agreed with Aileen)" xfId="1019"/>
    <cellStyle name="_SubHeading_A3 GStyle Excel_Version 3_Te Rere Finance Lease (agreed with Aileen)_AMP" xfId="1020"/>
    <cellStyle name="_SubHeading_A3 GStyle Excel_Version 3_Te Rere Finance Lease (agreed with Aileen)_Assumptions book" xfId="1021"/>
    <cellStyle name="_SubHeading_A3 GStyle Excel_Version 3_Te Rere Finance Lease (agreed with Aileen)_Debt" xfId="1022"/>
    <cellStyle name="_SubHeading_A3 GStyle Excel_Version 3_Te Rere Finance Lease (agreed with Aileen)_Model" xfId="1023"/>
    <cellStyle name="_SubHeading_A3 GStyle Excel_Version 3_Te Rere Finance Lease (agreed with Aileen)_Treasury Month End 31-01-11" xfId="1024"/>
    <cellStyle name="_SubHeading_A3 GStyle Excel_Version 3_Te Rere Finance Lease (April)" xfId="1025"/>
    <cellStyle name="_SubHeading_A3 GStyle Excel_Version 3_Te Rere Finance Lease (Audit)" xfId="1026"/>
    <cellStyle name="_SubHeading_A3 GStyle Excel_Version 3_Te Rere Finance Lease (Final)" xfId="1027"/>
    <cellStyle name="_SubHeading_A3 GStyle Excel_Version 3_Te Rere Finance Lease (Final) email to Garry" xfId="1028"/>
    <cellStyle name="_SubHeading_A3 GStyle Excel_Version 3_Te Rere Finance Lease (Final) email to Garry (9am)" xfId="1029"/>
    <cellStyle name="_SubHeading_A3 GStyle Excel_Version 3_Te Rere Finance Lease (June)" xfId="1030"/>
    <cellStyle name="_SubHeading_A3 GStyle Excel_Version 3_Te Rere Finance Lease (May)" xfId="1031"/>
    <cellStyle name="_SubHeading_A3 GStyle Excel_Version 3_Te Rere Finance Lease (November) 9pm" xfId="1032"/>
    <cellStyle name="_SubHeading_A3 GStyle Excel_Version 3_Treasury Month End 31-01-11" xfId="1033"/>
    <cellStyle name="_SubHeading_A3 GStyle Excel_Version 3_Workings" xfId="1034"/>
    <cellStyle name="_SubHeading_AMP" xfId="1035"/>
    <cellStyle name="_SubHeading_AMP_AMP" xfId="1036"/>
    <cellStyle name="_SubHeading_AMP_Debt" xfId="1037"/>
    <cellStyle name="_SubHeading_Assumptions book" xfId="1038"/>
    <cellStyle name="_SubHeading_Assumptions book_AMP" xfId="1039"/>
    <cellStyle name="_SubHeading_Assumptions book_Assumptions book" xfId="1040"/>
    <cellStyle name="_SubHeading_Assumptions book_Debt" xfId="1041"/>
    <cellStyle name="_SubHeading_Assumptions book_Model" xfId="1042"/>
    <cellStyle name="_SubHeading_Assumptions book_Treasury Month End 31-01-11" xfId="1043"/>
    <cellStyle name="_SubHeading_Audit tab" xfId="1044"/>
    <cellStyle name="_SubHeading_BBI SPAIN  PORT HOLDINGS Reporting Template 30 June 2009 - v3" xfId="1045"/>
    <cellStyle name="_SubHeading_BBIFUK Subsidiary Reporting Template 30 June 2009 version 2" xfId="1046"/>
    <cellStyle name="_SubHeading_Book1" xfId="1047"/>
    <cellStyle name="_SubHeading_Budget Report Jan 10 FINAL" xfId="1048"/>
    <cellStyle name="_SubHeading_Cat Model 2 - 2007 02 23 - Tamar Valley Power" xfId="1049"/>
    <cellStyle name="_SubHeading_Cat Model 2 - 2007 02 23 - Tamar Valley Power_1 month cash flow template" xfId="1050"/>
    <cellStyle name="_SubHeading_Cat Model 2 - 2007 02 23 - Tamar Valley Power_105 BIF June 2009 TEA v5" xfId="1051"/>
    <cellStyle name="_SubHeading_Cat Model 2 - 2007 02 23 - Tamar Valley Power_145 PIE June 2009 TEAv2" xfId="1052"/>
    <cellStyle name="_SubHeading_Cat Model 2 - 2007 02 23 - Tamar Valley Power_156 BBI US Investments June 2009 TEA v4" xfId="1053"/>
    <cellStyle name="_SubHeading_Cat Model 2 - 2007 02 23 - Tamar Valley Power_2011 WIP TRansfer" xfId="1054"/>
    <cellStyle name="_SubHeading_Cat Model 2 - 2007 02 23 - Tamar Valley Power_Accounts Gas" xfId="1055"/>
    <cellStyle name="_SubHeading_Cat Model 2 - 2007 02 23 - Tamar Valley Power_AMP" xfId="1056"/>
    <cellStyle name="_SubHeading_Cat Model 2 - 2007 02 23 - Tamar Valley Power_Assumptions book" xfId="1057"/>
    <cellStyle name="_SubHeading_Cat Model 2 - 2007 02 23 - Tamar Valley Power_Audit tab" xfId="1058"/>
    <cellStyle name="_SubHeading_Cat Model 2 - 2007 02 23 - Tamar Valley Power_Budget" xfId="1059"/>
    <cellStyle name="_SubHeading_Cat Model 2 - 2007 02 23 - Tamar Valley Power_Copy of Te Rere Finance Lease (Final 10pm)" xfId="1060"/>
    <cellStyle name="_SubHeading_Cat Model 2 - 2007 02 23 - Tamar Valley Power_Debt" xfId="1061"/>
    <cellStyle name="_SubHeading_Cat Model 2 - 2007 02 23 - Tamar Valley Power_Elimination Adj" xfId="1062"/>
    <cellStyle name="_SubHeading_Cat Model 2 - 2007 02 23 - Tamar Valley Power_Elimination Journals (2)" xfId="1063"/>
    <cellStyle name="_SubHeading_Cat Model 2 - 2007 02 23 - Tamar Valley Power_FinRepsConsol" xfId="1064"/>
    <cellStyle name="_SubHeading_Cat Model 2 - 2007 02 23 - Tamar Valley Power_Journal" xfId="1065"/>
    <cellStyle name="_SubHeading_Cat Model 2 - 2007 02 23 - Tamar Valley Power_Journal_AMP" xfId="1066"/>
    <cellStyle name="_SubHeading_Cat Model 2 - 2007 02 23 - Tamar Valley Power_Journal_Assumptions book" xfId="1067"/>
    <cellStyle name="_SubHeading_Cat Model 2 - 2007 02 23 - Tamar Valley Power_Journal_Debt" xfId="1068"/>
    <cellStyle name="_SubHeading_Cat Model 2 - 2007 02 23 - Tamar Valley Power_Journal_Model" xfId="1069"/>
    <cellStyle name="_SubHeading_Cat Model 2 - 2007 02 23 - Tamar Valley Power_Journal_Treasury Month End 31-01-11" xfId="1070"/>
    <cellStyle name="_SubHeading_Cat Model 2 - 2007 02 23 - Tamar Valley Power_Model" xfId="1071"/>
    <cellStyle name="_SubHeading_Cat Model 2 - 2007 02 23 - Tamar Valley Power_mParentStatCashflow" xfId="1072"/>
    <cellStyle name="_SubHeading_Cat Model 2 - 2007 02 23 - Tamar Valley Power_rGroupBS (Corp)" xfId="1073"/>
    <cellStyle name="_SubHeading_Cat Model 2 - 2007 02 23 - Tamar Valley Power_rGroupCashflowSummary (819)" xfId="1074"/>
    <cellStyle name="_SubHeading_Cat Model 2 - 2007 02 23 - Tamar Valley Power_rGroupCashflowSummary (Corp)" xfId="1075"/>
    <cellStyle name="_SubHeading_Cat Model 2 - 2007 02 23 - Tamar Valley Power_rGroupFinancials" xfId="1076"/>
    <cellStyle name="_SubHeading_Cat Model 2 - 2007 02 23 - Tamar Valley Power_rGroupFinancials_1" xfId="1077"/>
    <cellStyle name="_SubHeading_Cat Model 2 - 2007 02 23 - Tamar Valley Power_rGroupFinancials_FinRepsConsol" xfId="1078"/>
    <cellStyle name="_SubHeading_Cat Model 2 - 2007 02 23 - Tamar Valley Power_rGroupFinancials_FinRepsConsol vEMT " xfId="1079"/>
    <cellStyle name="_SubHeading_Cat Model 2 - 2007 02 23 - Tamar Valley Power_rGroupFinancials_mGroupStatCashflow" xfId="1080"/>
    <cellStyle name="_SubHeading_Cat Model 2 - 2007 02 23 - Tamar Valley Power_rGroupFinancials_rGroupBS" xfId="1081"/>
    <cellStyle name="_SubHeading_Cat Model 2 - 2007 02 23 - Tamar Valley Power_rGroupFinancials_rGroupBS (Corp)" xfId="1082"/>
    <cellStyle name="_SubHeading_Cat Model 2 - 2007 02 23 - Tamar Valley Power_rGroupFinancials_rGroupBudget" xfId="1083"/>
    <cellStyle name="_SubHeading_Cat Model 2 - 2007 02 23 - Tamar Valley Power_rGroupFinancials_rGroupCashflowSummary" xfId="1084"/>
    <cellStyle name="_SubHeading_Cat Model 2 - 2007 02 23 - Tamar Valley Power_rGroupFinancials_rPNZHLConsol11" xfId="1085"/>
    <cellStyle name="_SubHeading_Cat Model 2 - 2007 02 23 - Tamar Valley Power_rGroupFinancials_rPowercoAnalysis" xfId="1086"/>
    <cellStyle name="_SubHeading_Cat Model 2 - 2007 02 23 - Tamar Valley Power_rGroupFinancials_rPowercoAnalysis (2)" xfId="1087"/>
    <cellStyle name="_SubHeading_Cat Model 2 - 2007 02 23 - Tamar Valley Power_rGroupFinancials_rPowercoConsol11" xfId="1088"/>
    <cellStyle name="_SubHeading_Cat Model 2 - 2007 02 23 - Tamar Valley Power_rGroupP&amp;LSummary" xfId="1089"/>
    <cellStyle name="_SubHeading_Cat Model 2 - 2007 02 23 - Tamar Valley Power_rGroupP&amp;LSummary (Corp Detail)" xfId="1090"/>
    <cellStyle name="_SubHeading_Cat Model 2 - 2007 02 23 - Tamar Valley Power_rGroupStatCashflow" xfId="1091"/>
    <cellStyle name="_SubHeading_Cat Model 2 - 2007 02 23 - Tamar Valley Power_rPowercoConsol11" xfId="1092"/>
    <cellStyle name="_SubHeading_Cat Model 2 - 2007 02 23 - Tamar Valley Power_rStatCashflow" xfId="1093"/>
    <cellStyle name="_SubHeading_Cat Model 2 - 2007 02 23 - Tamar Valley Power_Sheet1" xfId="1094"/>
    <cellStyle name="_SubHeading_Cat Model 2 - 2007 02 23 - Tamar Valley Power_Tax Note consolidation - Masterv2" xfId="1095"/>
    <cellStyle name="_SubHeading_Cat Model 2 - 2007 02 23 - Tamar Valley Power_Te Rere Finance Lease (11pm)" xfId="1096"/>
    <cellStyle name="_SubHeading_Cat Model 2 - 2007 02 23 - Tamar Valley Power_Te Rere Finance Lease (Adjusted December 09)" xfId="1097"/>
    <cellStyle name="_SubHeading_Cat Model 2 - 2007 02 23 - Tamar Valley Power_Te Rere Finance Lease (agreed with Aileen)" xfId="1098"/>
    <cellStyle name="_SubHeading_Cat Model 2 - 2007 02 23 - Tamar Valley Power_Te Rere Finance Lease (agreed with Aileen)_AMP" xfId="1099"/>
    <cellStyle name="_SubHeading_Cat Model 2 - 2007 02 23 - Tamar Valley Power_Te Rere Finance Lease (agreed with Aileen)_Assumptions book" xfId="1100"/>
    <cellStyle name="_SubHeading_Cat Model 2 - 2007 02 23 - Tamar Valley Power_Te Rere Finance Lease (agreed with Aileen)_Debt" xfId="1101"/>
    <cellStyle name="_SubHeading_Cat Model 2 - 2007 02 23 - Tamar Valley Power_Te Rere Finance Lease (agreed with Aileen)_Model" xfId="1102"/>
    <cellStyle name="_SubHeading_Cat Model 2 - 2007 02 23 - Tamar Valley Power_Te Rere Finance Lease (agreed with Aileen)_Treasury Month End 31-01-11" xfId="1103"/>
    <cellStyle name="_SubHeading_Cat Model 2 - 2007 02 23 - Tamar Valley Power_Te Rere Finance Lease (April)" xfId="1104"/>
    <cellStyle name="_SubHeading_Cat Model 2 - 2007 02 23 - Tamar Valley Power_Te Rere Finance Lease (Audit)" xfId="1105"/>
    <cellStyle name="_SubHeading_Cat Model 2 - 2007 02 23 - Tamar Valley Power_Te Rere Finance Lease (Final)" xfId="1106"/>
    <cellStyle name="_SubHeading_Cat Model 2 - 2007 02 23 - Tamar Valley Power_Te Rere Finance Lease (Final) email to Garry" xfId="1107"/>
    <cellStyle name="_SubHeading_Cat Model 2 - 2007 02 23 - Tamar Valley Power_Te Rere Finance Lease (Final) email to Garry (9am)" xfId="1108"/>
    <cellStyle name="_SubHeading_Cat Model 2 - 2007 02 23 - Tamar Valley Power_Te Rere Finance Lease (June)" xfId="1109"/>
    <cellStyle name="_SubHeading_Cat Model 2 - 2007 02 23 - Tamar Valley Power_Te Rere Finance Lease (May)" xfId="1110"/>
    <cellStyle name="_SubHeading_Cat Model 2 - 2007 02 23 - Tamar Valley Power_Te Rere Finance Lease (November) 9pm" xfId="1111"/>
    <cellStyle name="_SubHeading_Cat Model 2 - 2007 02 23 - Tamar Valley Power_Treasury Month End 31-01-11" xfId="1112"/>
    <cellStyle name="_SubHeading_Cat Model 2 - 2007 02 23 - Tamar Valley Power_Workings" xfId="1113"/>
    <cellStyle name="_SubHeading_CORP IS" xfId="1114"/>
    <cellStyle name="_SubHeading_DBCT - Tax Journals YE 30 June 2009" xfId="1115"/>
    <cellStyle name="_SubHeading_DBCT Budget workings 2009 - 10 V1" xfId="1116"/>
    <cellStyle name="_SubHeading_DBCT&gt;Link" xfId="1117"/>
    <cellStyle name="_SubHeading_FinRepsConsol" xfId="1118"/>
    <cellStyle name="_SubHeading_IEG Reporting Template - 1 mth to Dec 2009 8 1 10 (2)" xfId="1119"/>
    <cellStyle name="_SubHeading_IEG Subsidiary Reporting Template 30 June 2009-final (9)" xfId="1120"/>
    <cellStyle name="_SubHeading_Income Statement" xfId="1121"/>
    <cellStyle name="_SubHeading_InputSheet (2)" xfId="1122"/>
    <cellStyle name="_SubHeading_InputSheet (2)_Accounts Gas" xfId="1123"/>
    <cellStyle name="_SubHeading_Journal" xfId="1124"/>
    <cellStyle name="_SubHeading_Journal_AMP" xfId="1125"/>
    <cellStyle name="_SubHeading_Journal_AMP_AMP" xfId="1126"/>
    <cellStyle name="_SubHeading_Journal_AMP_Debt" xfId="1127"/>
    <cellStyle name="_SubHeading_mParentStatCashflow" xfId="1128"/>
    <cellStyle name="_SubHeading_Myria Reporting Template 31 December 2009 29 Jan" xfId="1129"/>
    <cellStyle name="_SubHeading_PDP Subsidiary Reporting Template 30 June 2009 reported 4 August" xfId="1130"/>
    <cellStyle name="_SubHeading_rGroupBS (Corp)" xfId="1131"/>
    <cellStyle name="_SubHeading_rGroupCashflowSummary (819)" xfId="1132"/>
    <cellStyle name="_SubHeading_rGroupCashflowSummary (Corp)" xfId="1133"/>
    <cellStyle name="_SubHeading_rGroupFinancials" xfId="1134"/>
    <cellStyle name="_SubHeading_rGroupP&amp;LSummary" xfId="1135"/>
    <cellStyle name="_SubHeading_rGroupP&amp;LSummary (Corp Detail)" xfId="1136"/>
    <cellStyle name="_SubHeading_rGroupStatCashflow" xfId="1137"/>
    <cellStyle name="_SubHeading_RP #4 - Notes and MD&amp;A" xfId="1138"/>
    <cellStyle name="_SubHeading_RP #4 - Notes and MDA - Q409 MASTER" xfId="1139"/>
    <cellStyle name="_SubHeading_rPowercoConsol11" xfId="1140"/>
    <cellStyle name="_SubHeading_rStatCashflow" xfId="1141"/>
    <cellStyle name="_SubHeading_Sheet1" xfId="1142"/>
    <cellStyle name="_SubHeading_Subs" xfId="1143"/>
    <cellStyle name="_SubHeading_Subs_AMP" xfId="1144"/>
    <cellStyle name="_SubHeading_Subs_Debt" xfId="1145"/>
    <cellStyle name="_SubHeading_Subs_Model" xfId="1146"/>
    <cellStyle name="_SubHeading_Subs_Treasury Month End 31-01-11" xfId="1147"/>
    <cellStyle name="_SubHeading_Subsidiary Reporting Template 31 December 2009 (Consolidated) BBIFP" xfId="1148"/>
    <cellStyle name="_SubHeading_Subsidiary Reporting Template 31 December 2009 (TPS)(180110)xls" xfId="1149"/>
    <cellStyle name="_SubHeading_Subsidiary Reporting Template 31 December 2009 (Warehouse) (190110)" xfId="1150"/>
    <cellStyle name="_SubHeading_Subsidiary Reporting Template 31 December 2009 FINAL (BBIPAL)" xfId="1151"/>
    <cellStyle name="_SubHeading_Subsidiary Reporting Template 31 December 2009 FINAL (Euroports holdco) final with tax" xfId="1152"/>
    <cellStyle name="_SubHeading_Subsidiary Reporting Template 31 December 2009 FINAL (SHRU - excl PPA)" xfId="1153"/>
    <cellStyle name="_SubHeading_Subsidiary Reporting Template 31 December 2009 FINAL TRI (200110)" xfId="1154"/>
    <cellStyle name="_SubHeading_Tax Note consolidation - Masterv2" xfId="1155"/>
    <cellStyle name="_SubHeading_Te Rere Finance Lease (agreed with Aileen)" xfId="1156"/>
    <cellStyle name="_SubHeading_Te Rere Finance Lease (agreed with Aileen)_AMP" xfId="1157"/>
    <cellStyle name="_SubHeading_Te Rere Finance Lease (agreed with Aileen)_Assumptions book" xfId="1158"/>
    <cellStyle name="_SubHeading_Te Rere Finance Lease (agreed with Aileen)_Debt" xfId="1159"/>
    <cellStyle name="_SubHeading_Te Rere Finance Lease (agreed with Aileen)_Model" xfId="1160"/>
    <cellStyle name="_SubHeading_Te Rere Finance Lease (agreed with Aileen)_Treasury Month End 31-01-11" xfId="1161"/>
    <cellStyle name="_SubHeading_TPS Subsidiary Reporting Template 30 June 2009- Draft 13(FINAL)" xfId="1162"/>
    <cellStyle name="_SubHeading_TRI Subsidiary Reporting Template 30 June 2009- version 4" xfId="1163"/>
    <cellStyle name="_SubHeading_WNR Subsidiary Reporting Template 30 June 2009 FINAL 4.8.09" xfId="1164"/>
    <cellStyle name="_SubHeading_Workings" xfId="1165"/>
    <cellStyle name="_SubHeading_Workings_Accounts Gas" xfId="1166"/>
    <cellStyle name="_Table" xfId="1167"/>
    <cellStyle name="_Table_2010 Powerco Electricity Model - Final" xfId="1168"/>
    <cellStyle name="_Table_AETD Quarter forecast template" xfId="1169"/>
    <cellStyle name="_Table_AETD Quarter forecast template_Q2-10 Forecast - Corporate Eliminations" xfId="1170"/>
    <cellStyle name="_Table_AETD Quarter forecast template_RP#2 - Preliminary Reporting - Q2-10 MASTER" xfId="1171"/>
    <cellStyle name="_Table_CORP IS" xfId="1172"/>
    <cellStyle name="_Table_CORP IS_Q2-10 Forecast - Corporate Eliminations" xfId="1173"/>
    <cellStyle name="_Table_CORP IS_RP#2 - Preliminary Reporting - Q2-10 MASTER" xfId="1174"/>
    <cellStyle name="_Table_CSC Quarter forecast template" xfId="1175"/>
    <cellStyle name="_Table_CSC Quarter forecast template_Q2-10 Forecast - Corporate Eliminations" xfId="1176"/>
    <cellStyle name="_Table_CSC Quarter forecast template_RP#2 - Preliminary Reporting - Q2-10 MASTER" xfId="1177"/>
    <cellStyle name="_Table_FinRepsConsol" xfId="1178"/>
    <cellStyle name="_Table_IEG Quarter forecast template" xfId="1179"/>
    <cellStyle name="_Table_IEG Quarter forecast template_Q2-10 Forecast - Corporate Eliminations" xfId="1180"/>
    <cellStyle name="_Table_IEG Quarter forecast template_RP#2 - Preliminary Reporting - Q2-10 MASTER" xfId="1181"/>
    <cellStyle name="_Table_Income Statement" xfId="1182"/>
    <cellStyle name="_Table_Model" xfId="1183"/>
    <cellStyle name="_Table_mParentStatCashflow" xfId="1184"/>
    <cellStyle name="_Table_Myria Holdings Walkacross 12 31 09 - US GAAP" xfId="1185"/>
    <cellStyle name="_Table_Myria Holdings Walkacross 12 31 09 - US GAAP_CORP IS" xfId="1186"/>
    <cellStyle name="_Table_Myria Holdings Walkacross 12 31 09 - US GAAP_CORP IS_Q2-10 Forecast - Corporate Eliminations" xfId="1187"/>
    <cellStyle name="_Table_Myria Holdings Walkacross 12 31 09 - US GAAP_CORP IS_RP#2 - Preliminary Reporting - Q2-10 MASTER" xfId="1188"/>
    <cellStyle name="_Table_Myria Holdings Walkacross 12 31 09 - US GAAP_Forecast - Q2-10 - MASTERv5 - Gross for Each Asset" xfId="1189"/>
    <cellStyle name="_Table_Myria Holdings Walkacross 12 31 09 - US GAAP_Forecast Template - Q2-10 - MASTERv5" xfId="1190"/>
    <cellStyle name="_Table_Myria Holdings Walkacross 12 31 09 - US GAAP_Master Asset IS_BS summary Mar Qtr 10 (version 1)" xfId="1191"/>
    <cellStyle name="_Table_Myria Holdings Walkacross 12 31 09 - US GAAP_Master Asset IS_BS summary Mar Qtr 10 (version 1)_Q2-10 Forecast - Corporate Eliminations" xfId="1192"/>
    <cellStyle name="_Table_Myria Holdings Walkacross 12 31 09 - US GAAP_Master Asset IS_BS summary Mar Qtr 10 (version 1)_RP#2 - Preliminary Reporting - Q2-10 MASTER" xfId="1193"/>
    <cellStyle name="_Table_Myria Holdings Walkacross 12 31 09 - US GAAP_RP #3 - Financial Reporting - Q2-10 MASTER" xfId="1194"/>
    <cellStyle name="_Table_Myria Holdings Walkacross 12 31 09 - US GAAP_RP#2 - Preliminary Reporting - FINAL" xfId="1195"/>
    <cellStyle name="_Table_Myria Holdings Walkacross 12 31 09 - US GAAP_RP#2 - Preliminary Reporting - FINAL - With remapped P&amp;L" xfId="1196"/>
    <cellStyle name="_Table_Myria Holdings Walkacross 12 31 09 - US GAAP_RP#2 - Preliminary Reporting - FINAL - With remapped P&amp;L_Q2-10 Forecast - Corporate Eliminations" xfId="1197"/>
    <cellStyle name="_Table_Myria Holdings Walkacross 12 31 09 - US GAAP_RP#2 - Preliminary Reporting - FINAL - With remapped P&amp;L_RP#2 - Preliminary Reporting - Q2-10 MASTER" xfId="1198"/>
    <cellStyle name="_Table_Myria Holdings Walkacross 12 31 09 - US GAAP_RP#2 - Preliminary Reporting - FINAL_Q2-10 Forecast - Corporate Eliminations" xfId="1199"/>
    <cellStyle name="_Table_Myria Holdings Walkacross 12 31 09 - US GAAP_RP#2 - Preliminary Reporting - FINAL_RP#2 - Preliminary Reporting - Q2-10 MASTER" xfId="1200"/>
    <cellStyle name="_Table_Myria Holdings Walkacross 12 31 09 - US GAAP_RP#2 - Preliminary Reporting - Q2-10 MASTER" xfId="1201"/>
    <cellStyle name="_Table_Myria Holdings Walkacross 12 31 09 - US GAAP_RP#2 - Preliminary Reporting - Q2-10 MASTER_1" xfId="1202"/>
    <cellStyle name="_Table_Myria Holdings Walkacross 12 31 09 - US GAAP_RP#2 - Preliminary Reporting - Q2-10 MASTER_Q2-10 Forecast - Corporate Eliminations" xfId="1203"/>
    <cellStyle name="_Table_Myria Holdings Walkacross 12 31 09 - US GAAP_RP#2 - Preliminary Reporting - Q2-10 MASTER-FINAL" xfId="1204"/>
    <cellStyle name="_Table_Myria Holdings Walkacross 12 31 09 - US GAAP_RP#2 - Preliminary Reporting - Q2-10 MASTER-FINAL 7-7-10" xfId="1205"/>
    <cellStyle name="_Table_Myria Holdings Walkacross 12 31 09 - US GAAP_RP#2 - Preliminary Reporting - Q3-10-MASTER" xfId="1206"/>
    <cellStyle name="_Table_Myria Holdings Walkacross 12 31 09 - US GAAP_RP#3 - Financial Reporting - Q409 MASTER 290110v2" xfId="1207"/>
    <cellStyle name="_Table_Myria Quarter forecast template" xfId="1208"/>
    <cellStyle name="_Table_Myria Quarter forecast template_Q2-10 Forecast - Corporate Eliminations" xfId="1209"/>
    <cellStyle name="_Table_Myria Quarter forecast template_RP#2 - Preliminary Reporting - Q2-10 MASTER" xfId="1210"/>
    <cellStyle name="_Table_PNZH Quarter forecast template Mar Qtr" xfId="1211"/>
    <cellStyle name="_Table_PNZH Quarter forecast template Mar Qtr_Q2-10 Forecast - Corporate Eliminations" xfId="1212"/>
    <cellStyle name="_Table_PNZH Quarter forecast template Mar Qtr_RP#2 - Preliminary Reporting - Q2-10 MASTER" xfId="1213"/>
    <cellStyle name="_Table_Quarter forecast template - DBCT V2 (2)" xfId="1214"/>
    <cellStyle name="_Table_Quarter forecast template - DBCT V2 (2)_Q2-10 Forecast - Corporate Eliminations" xfId="1215"/>
    <cellStyle name="_Table_Quarter forecast template - DBCT V2 (2)_RP#2 - Preliminary Reporting - Q2-10 MASTER" xfId="1216"/>
    <cellStyle name="_Table_Quarter forecast template (3)" xfId="1217"/>
    <cellStyle name="_Table_Quarter forecast template (3)_Q2-10 Forecast - Corporate Eliminations" xfId="1218"/>
    <cellStyle name="_Table_Quarter forecast template (3)_RP#2 - Preliminary Reporting - Q2-10 MASTER" xfId="1219"/>
    <cellStyle name="_Table_rGroupBS (Corp)" xfId="1220"/>
    <cellStyle name="_Table_rGroupCashflowSummary (819)" xfId="1221"/>
    <cellStyle name="_Table_rGroupCashflowSummary (Corp)" xfId="1222"/>
    <cellStyle name="_Table_rGroupFinancials" xfId="1223"/>
    <cellStyle name="_Table_rGroupP&amp;LSummary" xfId="1224"/>
    <cellStyle name="_Table_rGroupP&amp;LSummary (Corp Detail)" xfId="1225"/>
    <cellStyle name="_Table_rGroupStatCashflow" xfId="1226"/>
    <cellStyle name="_Table_RP #4 - Notes and MDA - Q409 MASTER" xfId="1227"/>
    <cellStyle name="_Table_RP #4 - Notes and MDA - Q409 MASTER_CORP IS" xfId="1228"/>
    <cellStyle name="_Table_RP #4 - Notes and MDA - Q409 MASTER_Income Statement" xfId="1229"/>
    <cellStyle name="_Table_RP #4 - Notes and MDA - Q409 MASTER_Income Statement_Q2-10 Forecast - Corporate Eliminations" xfId="1230"/>
    <cellStyle name="_Table_RP #4 - Notes and MDA - Q409 MASTER_Income Statement_RP#2 - Preliminary Reporting - Q2-10 MASTER" xfId="1231"/>
    <cellStyle name="_Table_RP #4 - Notes and MDA - Q409 MASTER_Q2-10 Forecast - Corporate Eliminations" xfId="1232"/>
    <cellStyle name="_Table_RP #4 - Notes and MDA - Q409 MASTER_RP#2 - Preliminary Reporting - Q2-10 MASTER" xfId="1233"/>
    <cellStyle name="_Table_rPowercoConsol11" xfId="1234"/>
    <cellStyle name="_Table_rStatCashflow" xfId="1235"/>
    <cellStyle name="_Table_Sheet1" xfId="1236"/>
    <cellStyle name="_Table_Tas Gas Holdings Mar09 Quarter forecast template" xfId="1237"/>
    <cellStyle name="_Table_Tas Gas Holdings Mar09 Quarter forecast template_Q2-10 Forecast - Corporate Eliminations" xfId="1238"/>
    <cellStyle name="_Table_Tas Gas Holdings Mar09 Quarter forecast template_RP#2 - Preliminary Reporting - Q2-10 MASTER" xfId="1239"/>
    <cellStyle name="_Table_Updated" xfId="1240"/>
    <cellStyle name="_Table_WNR Quarter forecast - Mar10" xfId="1241"/>
    <cellStyle name="_Table_WNR Quarter forecast - Mar10_Q2-10 Forecast - Corporate Eliminations" xfId="1242"/>
    <cellStyle name="_Table_WNR Quarter forecast - Mar10_RP#2 - Preliminary Reporting - Q2-10 MASTER" xfId="1243"/>
    <cellStyle name="_Table_WNR Subsidiary Reporting Template 30 June 2009 FINAL 4.8.09" xfId="1244"/>
    <cellStyle name="_Table_WNR Subsidiary Reporting Template 30 June 2009 FINAL 4.8.09_CORP IS" xfId="1245"/>
    <cellStyle name="_Table_WNR Subsidiary Reporting Template 30 June 2009 FINAL 4.8.09_CORP IS_Q2-10 Forecast - Corporate Eliminations" xfId="1246"/>
    <cellStyle name="_Table_WNR Subsidiary Reporting Template 30 June 2009 FINAL 4.8.09_CORP IS_RP#2 - Preliminary Reporting - Q2-10 MASTER" xfId="1247"/>
    <cellStyle name="_Table_WNR Subsidiary Reporting Template 30 June 2009 FINAL 4.8.09_Forecast - Q2-10 - MASTERv5 - Gross for Each Asset" xfId="1248"/>
    <cellStyle name="_Table_WNR Subsidiary Reporting Template 30 June 2009 FINAL 4.8.09_Forecast Template - Q2-10 - MASTERv5" xfId="1249"/>
    <cellStyle name="_Table_WNR Subsidiary Reporting Template 30 June 2009 FINAL 4.8.09_Master Asset IS_BS summary Mar Qtr 10 (version 1)" xfId="1250"/>
    <cellStyle name="_Table_WNR Subsidiary Reporting Template 30 June 2009 FINAL 4.8.09_Master Asset IS_BS summary Mar Qtr 10 (version 1)_Q2-10 Forecast - Corporate Eliminations" xfId="1251"/>
    <cellStyle name="_Table_WNR Subsidiary Reporting Template 30 June 2009 FINAL 4.8.09_Master Asset IS_BS summary Mar Qtr 10 (version 1)_RP#2 - Preliminary Reporting - Q2-10 MASTER" xfId="1252"/>
    <cellStyle name="_Table_WNR Subsidiary Reporting Template 30 June 2009 FINAL 4.8.09_RP #3 - Financial Reporting - Q2-10 MASTER" xfId="1253"/>
    <cellStyle name="_Table_WNR Subsidiary Reporting Template 30 June 2009 FINAL 4.8.09_RP#2 - Preliminary Reporting - FINAL" xfId="1254"/>
    <cellStyle name="_Table_WNR Subsidiary Reporting Template 30 June 2009 FINAL 4.8.09_RP#2 - Preliminary Reporting - FINAL - With remapped P&amp;L" xfId="1255"/>
    <cellStyle name="_Table_WNR Subsidiary Reporting Template 30 June 2009 FINAL 4.8.09_RP#2 - Preliminary Reporting - FINAL - With remapped P&amp;L_Q2-10 Forecast - Corporate Eliminations" xfId="1256"/>
    <cellStyle name="_Table_WNR Subsidiary Reporting Template 30 June 2009 FINAL 4.8.09_RP#2 - Preliminary Reporting - FINAL - With remapped P&amp;L_RP#2 - Preliminary Reporting - Q2-10 MASTER" xfId="1257"/>
    <cellStyle name="_Table_WNR Subsidiary Reporting Template 30 June 2009 FINAL 4.8.09_RP#2 - Preliminary Reporting - FINAL_Q2-10 Forecast - Corporate Eliminations" xfId="1258"/>
    <cellStyle name="_Table_WNR Subsidiary Reporting Template 30 June 2009 FINAL 4.8.09_RP#2 - Preliminary Reporting - FINAL_RP#2 - Preliminary Reporting - Q2-10 MASTER" xfId="1259"/>
    <cellStyle name="_Table_WNR Subsidiary Reporting Template 30 June 2009 FINAL 4.8.09_RP#2 - Preliminary Reporting - Q2-10 MASTER" xfId="1260"/>
    <cellStyle name="_Table_WNR Subsidiary Reporting Template 30 June 2009 FINAL 4.8.09_RP#2 - Preliminary Reporting - Q2-10 MASTER_1" xfId="1261"/>
    <cellStyle name="_Table_WNR Subsidiary Reporting Template 30 June 2009 FINAL 4.8.09_RP#2 - Preliminary Reporting - Q2-10 MASTER_Q2-10 Forecast - Corporate Eliminations" xfId="1262"/>
    <cellStyle name="_Table_WNR Subsidiary Reporting Template 30 June 2009 FINAL 4.8.09_RP#2 - Preliminary Reporting - Q2-10 MASTER-FINAL" xfId="1263"/>
    <cellStyle name="_Table_WNR Subsidiary Reporting Template 30 June 2009 FINAL 4.8.09_RP#2 - Preliminary Reporting - Q2-10 MASTER-FINAL 7-7-10" xfId="1264"/>
    <cellStyle name="_Table_WNR Subsidiary Reporting Template 30 June 2009 FINAL 4.8.09_RP#2 - Preliminary Reporting - Q3-10-MASTER" xfId="1265"/>
    <cellStyle name="_Table_WNR Subsidiary Reporting Template 30 June 2009 FINAL 4.8.09_RP#3 - Financial Reporting - Q409 MASTER 290110v2" xfId="1266"/>
    <cellStyle name="_Table_Workings" xfId="1267"/>
    <cellStyle name="_TableHead" xfId="1268"/>
    <cellStyle name="_TableHead_2010 Powerco Electricity Model - Final" xfId="1269"/>
    <cellStyle name="_TableHead_AETD Quarter forecast template" xfId="1270"/>
    <cellStyle name="_TableHead_AETD Quarter forecast template_Q2-10 Forecast - Corporate Eliminations" xfId="1271"/>
    <cellStyle name="_TableHead_AETD Quarter forecast template_RP#2 - Preliminary Reporting - Q2-10 MASTER" xfId="1272"/>
    <cellStyle name="_TableHead_CORP IS" xfId="1273"/>
    <cellStyle name="_TableHead_CORP IS_Q2-10 Forecast - Corporate Eliminations" xfId="1274"/>
    <cellStyle name="_TableHead_CORP IS_RP#2 - Preliminary Reporting - Q2-10 MASTER" xfId="1275"/>
    <cellStyle name="_TableHead_CSC Quarter forecast template" xfId="1276"/>
    <cellStyle name="_TableHead_CSC Quarter forecast template_Q2-10 Forecast - Corporate Eliminations" xfId="1277"/>
    <cellStyle name="_TableHead_CSC Quarter forecast template_RP#2 - Preliminary Reporting - Q2-10 MASTER" xfId="1278"/>
    <cellStyle name="_TableHead_FinRepsConsol" xfId="1279"/>
    <cellStyle name="_TableHead_IEG Quarter forecast template" xfId="1280"/>
    <cellStyle name="_TableHead_IEG Quarter forecast template_Q2-10 Forecast - Corporate Eliminations" xfId="1281"/>
    <cellStyle name="_TableHead_IEG Quarter forecast template_RP#2 - Preliminary Reporting - Q2-10 MASTER" xfId="1282"/>
    <cellStyle name="_TableHead_Income Statement" xfId="1283"/>
    <cellStyle name="_TableHead_Model" xfId="1284"/>
    <cellStyle name="_TableHead_mParentStatCashflow" xfId="1285"/>
    <cellStyle name="_TableHead_Myria Holdings Walkacross 12 31 09 - US GAAP" xfId="1286"/>
    <cellStyle name="_TableHead_Myria Holdings Walkacross 12 31 09 - US GAAP_CORP IS" xfId="1287"/>
    <cellStyle name="_TableHead_Myria Holdings Walkacross 12 31 09 - US GAAP_CORP IS_Q2-10 Forecast - Corporate Eliminations" xfId="1288"/>
    <cellStyle name="_TableHead_Myria Holdings Walkacross 12 31 09 - US GAAP_CORP IS_RP#2 - Preliminary Reporting - Q2-10 MASTER" xfId="1289"/>
    <cellStyle name="_TableHead_Myria Holdings Walkacross 12 31 09 - US GAAP_Forecast - Q2-10 - MASTERv5 - Gross for Each Asset" xfId="1290"/>
    <cellStyle name="_TableHead_Myria Holdings Walkacross 12 31 09 - US GAAP_Forecast Template - Q2-10 - MASTERv5" xfId="1291"/>
    <cellStyle name="_TableHead_Myria Holdings Walkacross 12 31 09 - US GAAP_Master Asset IS_BS summary Mar Qtr 10 (version 1)" xfId="1292"/>
    <cellStyle name="_TableHead_Myria Holdings Walkacross 12 31 09 - US GAAP_Master Asset IS_BS summary Mar Qtr 10 (version 1)_Q2-10 Forecast - Corporate Eliminations" xfId="1293"/>
    <cellStyle name="_TableHead_Myria Holdings Walkacross 12 31 09 - US GAAP_Master Asset IS_BS summary Mar Qtr 10 (version 1)_RP#2 - Preliminary Reporting - Q2-10 MASTER" xfId="1294"/>
    <cellStyle name="_TableHead_Myria Holdings Walkacross 12 31 09 - US GAAP_RP #3 - Financial Reporting - Q2-10 MASTER" xfId="1295"/>
    <cellStyle name="_TableHead_Myria Holdings Walkacross 12 31 09 - US GAAP_RP#2 - Preliminary Reporting - FINAL" xfId="1296"/>
    <cellStyle name="_TableHead_Myria Holdings Walkacross 12 31 09 - US GAAP_RP#2 - Preliminary Reporting - FINAL - With remapped P&amp;L" xfId="1297"/>
    <cellStyle name="_TableHead_Myria Holdings Walkacross 12 31 09 - US GAAP_RP#2 - Preliminary Reporting - FINAL - With remapped P&amp;L_Q2-10 Forecast - Corporate Eliminations" xfId="1298"/>
    <cellStyle name="_TableHead_Myria Holdings Walkacross 12 31 09 - US GAAP_RP#2 - Preliminary Reporting - FINAL - With remapped P&amp;L_RP#2 - Preliminary Reporting - Q2-10 MASTER" xfId="1299"/>
    <cellStyle name="_TableHead_Myria Holdings Walkacross 12 31 09 - US GAAP_RP#2 - Preliminary Reporting - FINAL_Q2-10 Forecast - Corporate Eliminations" xfId="1300"/>
    <cellStyle name="_TableHead_Myria Holdings Walkacross 12 31 09 - US GAAP_RP#2 - Preliminary Reporting - FINAL_RP#2 - Preliminary Reporting - Q2-10 MASTER" xfId="1301"/>
    <cellStyle name="_TableHead_Myria Holdings Walkacross 12 31 09 - US GAAP_RP#2 - Preliminary Reporting - Q2-10 MASTER" xfId="1302"/>
    <cellStyle name="_TableHead_Myria Holdings Walkacross 12 31 09 - US GAAP_RP#2 - Preliminary Reporting - Q2-10 MASTER_1" xfId="1303"/>
    <cellStyle name="_TableHead_Myria Holdings Walkacross 12 31 09 - US GAAP_RP#2 - Preliminary Reporting - Q2-10 MASTER_Q2-10 Forecast - Corporate Eliminations" xfId="1304"/>
    <cellStyle name="_TableHead_Myria Holdings Walkacross 12 31 09 - US GAAP_RP#2 - Preliminary Reporting - Q2-10 MASTER-FINAL" xfId="1305"/>
    <cellStyle name="_TableHead_Myria Holdings Walkacross 12 31 09 - US GAAP_RP#2 - Preliminary Reporting - Q2-10 MASTER-FINAL 7-7-10" xfId="1306"/>
    <cellStyle name="_TableHead_Myria Holdings Walkacross 12 31 09 - US GAAP_RP#2 - Preliminary Reporting - Q3-10-MASTER" xfId="1307"/>
    <cellStyle name="_TableHead_Myria Holdings Walkacross 12 31 09 - US GAAP_RP#3 - Financial Reporting - Q409 MASTER 290110v2" xfId="1308"/>
    <cellStyle name="_TableHead_Myria Quarter forecast template" xfId="1309"/>
    <cellStyle name="_TableHead_Myria Quarter forecast template_Q2-10 Forecast - Corporate Eliminations" xfId="1310"/>
    <cellStyle name="_TableHead_Myria Quarter forecast template_RP#2 - Preliminary Reporting - Q2-10 MASTER" xfId="1311"/>
    <cellStyle name="_TableHead_PNZH Quarter forecast template Mar Qtr" xfId="1312"/>
    <cellStyle name="_TableHead_PNZH Quarter forecast template Mar Qtr_Q2-10 Forecast - Corporate Eliminations" xfId="1313"/>
    <cellStyle name="_TableHead_PNZH Quarter forecast template Mar Qtr_RP#2 - Preliminary Reporting - Q2-10 MASTER" xfId="1314"/>
    <cellStyle name="_TableHead_Quarter forecast template - DBCT V2 (2)" xfId="1315"/>
    <cellStyle name="_TableHead_Quarter forecast template - DBCT V2 (2)_Q2-10 Forecast - Corporate Eliminations" xfId="1316"/>
    <cellStyle name="_TableHead_Quarter forecast template - DBCT V2 (2)_RP#2 - Preliminary Reporting - Q2-10 MASTER" xfId="1317"/>
    <cellStyle name="_TableHead_Quarter forecast template (3)" xfId="1318"/>
    <cellStyle name="_TableHead_Quarter forecast template (3)_Q2-10 Forecast - Corporate Eliminations" xfId="1319"/>
    <cellStyle name="_TableHead_Quarter forecast template (3)_RP#2 - Preliminary Reporting - Q2-10 MASTER" xfId="1320"/>
    <cellStyle name="_TableHead_rGroupBS (Corp)" xfId="1321"/>
    <cellStyle name="_TableHead_rGroupCashflowSummary (819)" xfId="1322"/>
    <cellStyle name="_TableHead_rGroupCashflowSummary (Corp)" xfId="1323"/>
    <cellStyle name="_TableHead_rGroupFinancials" xfId="1324"/>
    <cellStyle name="_TableHead_rGroupP&amp;LSummary" xfId="1325"/>
    <cellStyle name="_TableHead_rGroupP&amp;LSummary (Corp Detail)" xfId="1326"/>
    <cellStyle name="_TableHead_rGroupStatCashflow" xfId="1327"/>
    <cellStyle name="_TableHead_RP #4 - Notes and MDA - Q409 MASTER" xfId="1328"/>
    <cellStyle name="_TableHead_RP #4 - Notes and MDA - Q409 MASTER_CORP IS" xfId="1329"/>
    <cellStyle name="_TableHead_RP #4 - Notes and MDA - Q409 MASTER_Income Statement" xfId="1330"/>
    <cellStyle name="_TableHead_RP #4 - Notes and MDA - Q409 MASTER_Income Statement_Q2-10 Forecast - Corporate Eliminations" xfId="1331"/>
    <cellStyle name="_TableHead_RP #4 - Notes and MDA - Q409 MASTER_Income Statement_RP#2 - Preliminary Reporting - Q2-10 MASTER" xfId="1332"/>
    <cellStyle name="_TableHead_RP #4 - Notes and MDA - Q409 MASTER_Q2-10 Forecast - Corporate Eliminations" xfId="1333"/>
    <cellStyle name="_TableHead_RP #4 - Notes and MDA - Q409 MASTER_RP#2 - Preliminary Reporting - Q2-10 MASTER" xfId="1334"/>
    <cellStyle name="_TableHead_rPowercoConsol11" xfId="1335"/>
    <cellStyle name="_TableHead_rStatCashflow" xfId="1336"/>
    <cellStyle name="_TableHead_Sheet1" xfId="1337"/>
    <cellStyle name="_TableHead_Tas Gas Holdings Mar09 Quarter forecast template" xfId="1338"/>
    <cellStyle name="_TableHead_Tas Gas Holdings Mar09 Quarter forecast template_Q2-10 Forecast - Corporate Eliminations" xfId="1339"/>
    <cellStyle name="_TableHead_Tas Gas Holdings Mar09 Quarter forecast template_RP#2 - Preliminary Reporting - Q2-10 MASTER" xfId="1340"/>
    <cellStyle name="_TableHead_Updated" xfId="1341"/>
    <cellStyle name="_TableHead_WNR Quarter forecast - Mar10" xfId="1342"/>
    <cellStyle name="_TableHead_WNR Quarter forecast - Mar10_Q2-10 Forecast - Corporate Eliminations" xfId="1343"/>
    <cellStyle name="_TableHead_WNR Quarter forecast - Mar10_RP#2 - Preliminary Reporting - Q2-10 MASTER" xfId="1344"/>
    <cellStyle name="_TableHead_WNR Subsidiary Reporting Template 30 June 2009 FINAL 4.8.09" xfId="1345"/>
    <cellStyle name="_TableHead_WNR Subsidiary Reporting Template 30 June 2009 FINAL 4.8.09_CORP IS" xfId="1346"/>
    <cellStyle name="_TableHead_WNR Subsidiary Reporting Template 30 June 2009 FINAL 4.8.09_CORP IS_Q2-10 Forecast - Corporate Eliminations" xfId="1347"/>
    <cellStyle name="_TableHead_WNR Subsidiary Reporting Template 30 June 2009 FINAL 4.8.09_CORP IS_RP#2 - Preliminary Reporting - Q2-10 MASTER" xfId="1348"/>
    <cellStyle name="_TableHead_WNR Subsidiary Reporting Template 30 June 2009 FINAL 4.8.09_Forecast - Q2-10 - MASTERv5 - Gross for Each Asset" xfId="1349"/>
    <cellStyle name="_TableHead_WNR Subsidiary Reporting Template 30 June 2009 FINAL 4.8.09_Forecast Template - Q2-10 - MASTERv5" xfId="1350"/>
    <cellStyle name="_TableHead_WNR Subsidiary Reporting Template 30 June 2009 FINAL 4.8.09_Master Asset IS_BS summary Mar Qtr 10 (version 1)" xfId="1351"/>
    <cellStyle name="_TableHead_WNR Subsidiary Reporting Template 30 June 2009 FINAL 4.8.09_Master Asset IS_BS summary Mar Qtr 10 (version 1)_Q2-10 Forecast - Corporate Eliminations" xfId="1352"/>
    <cellStyle name="_TableHead_WNR Subsidiary Reporting Template 30 June 2009 FINAL 4.8.09_Master Asset IS_BS summary Mar Qtr 10 (version 1)_RP#2 - Preliminary Reporting - Q2-10 MASTER" xfId="1353"/>
    <cellStyle name="_TableHead_WNR Subsidiary Reporting Template 30 June 2009 FINAL 4.8.09_RP #3 - Financial Reporting - Q2-10 MASTER" xfId="1354"/>
    <cellStyle name="_TableHead_WNR Subsidiary Reporting Template 30 June 2009 FINAL 4.8.09_RP#2 - Preliminary Reporting - FINAL" xfId="1355"/>
    <cellStyle name="_TableHead_WNR Subsidiary Reporting Template 30 June 2009 FINAL 4.8.09_RP#2 - Preliminary Reporting - FINAL - With remapped P&amp;L" xfId="1356"/>
    <cellStyle name="_TableHead_WNR Subsidiary Reporting Template 30 June 2009 FINAL 4.8.09_RP#2 - Preliminary Reporting - FINAL - With remapped P&amp;L_Q2-10 Forecast - Corporate Eliminations" xfId="1357"/>
    <cellStyle name="_TableHead_WNR Subsidiary Reporting Template 30 June 2009 FINAL 4.8.09_RP#2 - Preliminary Reporting - FINAL - With remapped P&amp;L_RP#2 - Preliminary Reporting - Q2-10 MASTER" xfId="1358"/>
    <cellStyle name="_TableHead_WNR Subsidiary Reporting Template 30 June 2009 FINAL 4.8.09_RP#2 - Preliminary Reporting - FINAL_Q2-10 Forecast - Corporate Eliminations" xfId="1359"/>
    <cellStyle name="_TableHead_WNR Subsidiary Reporting Template 30 June 2009 FINAL 4.8.09_RP#2 - Preliminary Reporting - FINAL_RP#2 - Preliminary Reporting - Q2-10 MASTER" xfId="1360"/>
    <cellStyle name="_TableHead_WNR Subsidiary Reporting Template 30 June 2009 FINAL 4.8.09_RP#2 - Preliminary Reporting - Q2-10 MASTER" xfId="1361"/>
    <cellStyle name="_TableHead_WNR Subsidiary Reporting Template 30 June 2009 FINAL 4.8.09_RP#2 - Preliminary Reporting - Q2-10 MASTER_1" xfId="1362"/>
    <cellStyle name="_TableHead_WNR Subsidiary Reporting Template 30 June 2009 FINAL 4.8.09_RP#2 - Preliminary Reporting - Q2-10 MASTER_Q2-10 Forecast - Corporate Eliminations" xfId="1363"/>
    <cellStyle name="_TableHead_WNR Subsidiary Reporting Template 30 June 2009 FINAL 4.8.09_RP#2 - Preliminary Reporting - Q2-10 MASTER-FINAL" xfId="1364"/>
    <cellStyle name="_TableHead_WNR Subsidiary Reporting Template 30 June 2009 FINAL 4.8.09_RP#2 - Preliminary Reporting - Q2-10 MASTER-FINAL 7-7-10" xfId="1365"/>
    <cellStyle name="_TableHead_WNR Subsidiary Reporting Template 30 June 2009 FINAL 4.8.09_RP#2 - Preliminary Reporting - Q3-10-MASTER" xfId="1366"/>
    <cellStyle name="_TableHead_WNR Subsidiary Reporting Template 30 June 2009 FINAL 4.8.09_RP#3 - Financial Reporting - Q409 MASTER 290110v2" xfId="1367"/>
    <cellStyle name="_TableHead_Workings" xfId="1368"/>
    <cellStyle name="_TableRowHead" xfId="1369"/>
    <cellStyle name="_TableRowHead_FinRepsConsol" xfId="1370"/>
    <cellStyle name="_TableRowHead_mParentStatCashflow" xfId="1371"/>
    <cellStyle name="_TableRowHead_rGroupBS (Corp)" xfId="1372"/>
    <cellStyle name="_TableRowHead_rGroupCashflowSummary (819)" xfId="1373"/>
    <cellStyle name="_TableRowHead_rGroupCashflowSummary (Corp)" xfId="1374"/>
    <cellStyle name="_TableRowHead_rGroupFinancials" xfId="1375"/>
    <cellStyle name="_TableRowHead_rGroupP&amp;LSummary" xfId="1376"/>
    <cellStyle name="_TableRowHead_rGroupP&amp;LSummary (Corp Detail)" xfId="1377"/>
    <cellStyle name="_TableRowHead_rGroupStatCashflow" xfId="1378"/>
    <cellStyle name="_TableRowHead_rPowercoConsol11" xfId="1379"/>
    <cellStyle name="_TableRowHead_rStatCashflow" xfId="1380"/>
    <cellStyle name="_TableRowHead_Sheet1" xfId="1381"/>
    <cellStyle name="_TableRowHead_Workings" xfId="1382"/>
    <cellStyle name="_TableSuperHead" xfId="1383"/>
    <cellStyle name="_TableSuperHead_FinRepsConsol" xfId="1384"/>
    <cellStyle name="_TableSuperHead_mParentStatCashflow" xfId="1385"/>
    <cellStyle name="_TableSuperHead_rGroupBS (Corp)" xfId="1386"/>
    <cellStyle name="_TableSuperHead_rGroupCashflowSummary (819)" xfId="1387"/>
    <cellStyle name="_TableSuperHead_rGroupCashflowSummary (Corp)" xfId="1388"/>
    <cellStyle name="_TableSuperHead_rGroupFinancials" xfId="1389"/>
    <cellStyle name="_TableSuperHead_rGroupP&amp;LSummary" xfId="1390"/>
    <cellStyle name="_TableSuperHead_rGroupP&amp;LSummary (Corp Detail)" xfId="1391"/>
    <cellStyle name="_TableSuperHead_rGroupStatCashflow" xfId="1392"/>
    <cellStyle name="_TableSuperHead_rPowercoConsol11" xfId="1393"/>
    <cellStyle name="_TableSuperHead_rStatCashflow" xfId="1394"/>
    <cellStyle name="_TableSuperHead_Sheet1" xfId="1395"/>
    <cellStyle name="_TableSuperHead_Workings" xfId="1396"/>
    <cellStyle name="_Tintin 2610NWv1_linked v02" xfId="1397"/>
    <cellStyle name="_Tintin 2610NWv1_linked v02_F-zero" xfId="1398"/>
    <cellStyle name="_TPS_Ops_(LINK)_(E&amp;Yresponse)17Nov(Case1)" xfId="1399"/>
    <cellStyle name="_TRH 1" xfId="1400"/>
    <cellStyle name="_TRH 1_F-zero" xfId="1401"/>
    <cellStyle name="_TRH 2" xfId="1402"/>
    <cellStyle name="_TRH 2_F-zero" xfId="1403"/>
    <cellStyle name="_Waterfall graph" xfId="1404"/>
    <cellStyle name="_Waterfall graph_F-zero" xfId="1405"/>
    <cellStyle name="_William OD (draft - MBL) 25Jul07 (3)" xfId="1406"/>
    <cellStyle name="_William OD (draft - MBL) 25Jul07 (3)_F-zero" xfId="1407"/>
    <cellStyle name="£ BP" xfId="1408"/>
    <cellStyle name="_x0004_¥" xfId="1409"/>
    <cellStyle name="¥ JY" xfId="1410"/>
    <cellStyle name="_x0004_¥_F-zero" xfId="1411"/>
    <cellStyle name="=C:\WINNT\SYSTEM32\COMMAND.COM" xfId="1412"/>
    <cellStyle name="=C:\WINNT\SYSTEM32\COMMAND.COM 2" xfId="1413"/>
    <cellStyle name="=C:\WINNT\SYSTEM32\COMMAND.COM 3" xfId="1414"/>
    <cellStyle name="=C:\WINNT\SYSTEM32\COMMAND.COM_F-zero" xfId="1415"/>
    <cellStyle name="=C:\WINNT35\SYSTEM32\COMMAND.COM" xfId="1416"/>
    <cellStyle name="•\Ž¦Ï‚Ý‚ÌƒnƒCƒp[ƒŠƒ“ƒN" xfId="1417"/>
    <cellStyle name="•W€_GE 3 MINIMUM" xfId="1418"/>
    <cellStyle name="\¦ÏÝÌnCp[N" xfId="1419"/>
    <cellStyle name="nCp[N" xfId="1420"/>
    <cellStyle name="0" xfId="1421"/>
    <cellStyle name="0%" xfId="1422"/>
    <cellStyle name="0% 2" xfId="1423"/>
    <cellStyle name="0.0" xfId="1424"/>
    <cellStyle name="0.0%" xfId="1425"/>
    <cellStyle name="0.0_Anglo American Model" xfId="1426"/>
    <cellStyle name="0.00" xfId="1427"/>
    <cellStyle name="0.00%" xfId="1428"/>
    <cellStyle name="0.00% 2" xfId="1429"/>
    <cellStyle name="0_bs" xfId="1430"/>
    <cellStyle name="0_bs_F-zero" xfId="1431"/>
    <cellStyle name="0_Conso-inc" xfId="1432"/>
    <cellStyle name="0_Conso-inc_F-zero" xfId="1433"/>
    <cellStyle name="0_F-zero" xfId="1434"/>
    <cellStyle name="0_Lonmin_request" xfId="1435"/>
    <cellStyle name="0_Lonmin_request_F-zero" xfId="1436"/>
    <cellStyle name="0_Rio_main" xfId="1437"/>
    <cellStyle name="0DP" xfId="1438"/>
    <cellStyle name="1" xfId="1439"/>
    <cellStyle name="14" xfId="1440"/>
    <cellStyle name="1brac" xfId="1441"/>
    <cellStyle name="1Decimal" xfId="1442"/>
    <cellStyle name="1dp" xfId="1443"/>
    <cellStyle name="2" xfId="1444"/>
    <cellStyle name="2_NOTES" xfId="1445"/>
    <cellStyle name="2_PERFORMANCE &amp; POSITION" xfId="1446"/>
    <cellStyle name="2_PTS_ITS Tax Depn" xfId="1447"/>
    <cellStyle name="2_rGroupBS" xfId="1448"/>
    <cellStyle name="2_rGroupFinancials" xfId="1449"/>
    <cellStyle name="2_rGroupFinancials_NOTES" xfId="1450"/>
    <cellStyle name="2_rGroupFinancials_PERFORMANCE &amp; POSITION" xfId="1451"/>
    <cellStyle name="2_rGroupFinancials_Sheet1" xfId="1452"/>
    <cellStyle name="2_rGroupP&amp;LSummary" xfId="1453"/>
    <cellStyle name="2_rGroupP&amp;LSummary_NOTES" xfId="1454"/>
    <cellStyle name="2_rGroupP&amp;LSummary_PERFORMANCE &amp; POSITION" xfId="1455"/>
    <cellStyle name="2_rGroupP&amp;LSummary_PTS_ITS Tax Depn" xfId="1456"/>
    <cellStyle name="2_rGroupP&amp;LSummary_Sheet1" xfId="1457"/>
    <cellStyle name="2_rGroupTables" xfId="1458"/>
    <cellStyle name="2_Sheet1" xfId="1459"/>
    <cellStyle name="20% - Accent1 2" xfId="112"/>
    <cellStyle name="20% - Accent1 2 2" xfId="1460"/>
    <cellStyle name="20% - Accent1 2 2 2" xfId="1461"/>
    <cellStyle name="20% - Accent1 2 2 2 2" xfId="1462"/>
    <cellStyle name="20% - Accent1 2 2 2 3" xfId="1463"/>
    <cellStyle name="20% - Accent1 2 2 3" xfId="1464"/>
    <cellStyle name="20% - Accent1 2 2 3 2" xfId="1465"/>
    <cellStyle name="20% - Accent1 2 2 3 3" xfId="1466"/>
    <cellStyle name="20% - Accent1 2 2 3 3 2" xfId="1467"/>
    <cellStyle name="20% - Accent1 2 2 3 3 3" xfId="1468"/>
    <cellStyle name="20% - Accent1 2 2 3 4" xfId="1469"/>
    <cellStyle name="20% - Accent1 2 2 3 5" xfId="1470"/>
    <cellStyle name="20% - Accent1 2 2 3 6" xfId="1471"/>
    <cellStyle name="20% - Accent1 2 2 4" xfId="1472"/>
    <cellStyle name="20% - Accent1 2 2 4 2" xfId="1473"/>
    <cellStyle name="20% - Accent1 2 2 4 3" xfId="1474"/>
    <cellStyle name="20% - Accent1 2 2 4 4" xfId="1475"/>
    <cellStyle name="20% - Accent1 2 2 5" xfId="1476"/>
    <cellStyle name="20% - Accent1 2 3" xfId="1477"/>
    <cellStyle name="20% - Accent1 2 3 2" xfId="1478"/>
    <cellStyle name="20% - Accent1 2 3 2 2" xfId="1479"/>
    <cellStyle name="20% - Accent1 2 3 2 3" xfId="1480"/>
    <cellStyle name="20% - Accent1 2 3 2 3 2" xfId="1481"/>
    <cellStyle name="20% - Accent1 2 3 2 3 3" xfId="1482"/>
    <cellStyle name="20% - Accent1 2 3 2 4" xfId="1483"/>
    <cellStyle name="20% - Accent1 2 3 2 5" xfId="1484"/>
    <cellStyle name="20% - Accent1 2 3 2 6" xfId="1485"/>
    <cellStyle name="20% - Accent1 2 3 3" xfId="1486"/>
    <cellStyle name="20% - Accent1 2 3 4" xfId="1487"/>
    <cellStyle name="20% - Accent1 2 4" xfId="1488"/>
    <cellStyle name="20% - Accent1 2 4 2" xfId="1489"/>
    <cellStyle name="20% - Accent1 2 4 2 2" xfId="1490"/>
    <cellStyle name="20% - Accent1 2 4 2 3" xfId="1491"/>
    <cellStyle name="20% - Accent1 2 4 2 3 2" xfId="1492"/>
    <cellStyle name="20% - Accent1 2 4 2 3 3" xfId="1493"/>
    <cellStyle name="20% - Accent1 2 4 2 4" xfId="1494"/>
    <cellStyle name="20% - Accent1 2 4 2 5" xfId="1495"/>
    <cellStyle name="20% - Accent1 2 4 2 6" xfId="1496"/>
    <cellStyle name="20% - Accent1 2 4 3" xfId="1497"/>
    <cellStyle name="20% - Accent1 2 4 4" xfId="1498"/>
    <cellStyle name="20% - Accent1 2 5" xfId="1499"/>
    <cellStyle name="20% - Accent1 2 5 2" xfId="1500"/>
    <cellStyle name="20% - Accent1 2 5 3" xfId="1501"/>
    <cellStyle name="20% - Accent1 2 5 4" xfId="1502"/>
    <cellStyle name="20% - Accent1 2 6" xfId="1503"/>
    <cellStyle name="20% - Accent1 2 6 2" xfId="1504"/>
    <cellStyle name="20% - Accent1 2 6 3" xfId="1505"/>
    <cellStyle name="20% - Accent1 2 6 4" xfId="1506"/>
    <cellStyle name="20% - Accent1 2 7" xfId="1507"/>
    <cellStyle name="20% - Accent1 3" xfId="1508"/>
    <cellStyle name="20% - Accent1 3 2" xfId="1509"/>
    <cellStyle name="20% - Accent1 3 2 2" xfId="1510"/>
    <cellStyle name="20% - Accent1 3 2 3" xfId="1511"/>
    <cellStyle name="20% - Accent1 3 2 4" xfId="1512"/>
    <cellStyle name="20% - Accent1 3 2_CPI" xfId="1513"/>
    <cellStyle name="20% - Accent1 3 3" xfId="1514"/>
    <cellStyle name="20% - Accent1 3 3 2" xfId="1515"/>
    <cellStyle name="20% - Accent1 3 3 3" xfId="1516"/>
    <cellStyle name="20% - Accent1 3 3_CPI" xfId="1517"/>
    <cellStyle name="20% - Accent1 3 4" xfId="1518"/>
    <cellStyle name="20% - Accent1 3 4 2" xfId="1519"/>
    <cellStyle name="20% - Accent1 3_CPI" xfId="1520"/>
    <cellStyle name="20% - Accent1 4" xfId="1521"/>
    <cellStyle name="20% - Accent1 4 2" xfId="1522"/>
    <cellStyle name="20% - Accent1 4 2 2" xfId="1523"/>
    <cellStyle name="20% - Accent1 4 2 3" xfId="1524"/>
    <cellStyle name="20% - Accent1 4 2 4" xfId="1525"/>
    <cellStyle name="20% - Accent1 4 3" xfId="1526"/>
    <cellStyle name="20% - Accent1 4 3 2" xfId="1527"/>
    <cellStyle name="20% - Accent1 4 3 3" xfId="1528"/>
    <cellStyle name="20% - Accent1 4 4" xfId="1529"/>
    <cellStyle name="20% - Accent1 4 4 2" xfId="1530"/>
    <cellStyle name="20% - Accent1 5" xfId="1531"/>
    <cellStyle name="20% - Accent1 5 2" xfId="1532"/>
    <cellStyle name="20% - Accent1 5 2 2" xfId="1533"/>
    <cellStyle name="20% - Accent1 5 3" xfId="1534"/>
    <cellStyle name="20% - Accent1 6" xfId="1535"/>
    <cellStyle name="20% - Accent1 6 2" xfId="1536"/>
    <cellStyle name="20% - Accent1 6 2 2" xfId="1537"/>
    <cellStyle name="20% - Accent1 6 3" xfId="1538"/>
    <cellStyle name="20% - Accent1 7" xfId="1539"/>
    <cellStyle name="20% - Accent1 7 2" xfId="1540"/>
    <cellStyle name="20% - Accent1 7 2 2" xfId="1541"/>
    <cellStyle name="20% - Accent1 7 3" xfId="1542"/>
    <cellStyle name="20% - Accent1 8" xfId="1543"/>
    <cellStyle name="20% - Accent1 8 2" xfId="1544"/>
    <cellStyle name="20% - Accent1 8 2 2" xfId="1545"/>
    <cellStyle name="20% - Accent1 8 3" xfId="1546"/>
    <cellStyle name="20% - Accent1 9" xfId="1547"/>
    <cellStyle name="20% - Accent1 9 2" xfId="1548"/>
    <cellStyle name="20% - Accent2 2" xfId="113"/>
    <cellStyle name="20% - Accent2 2 2" xfId="1549"/>
    <cellStyle name="20% - Accent2 2 2 2" xfId="1550"/>
    <cellStyle name="20% - Accent2 2 2 2 2" xfId="1551"/>
    <cellStyle name="20% - Accent2 2 2 2 3" xfId="1552"/>
    <cellStyle name="20% - Accent2 2 2 3" xfId="1553"/>
    <cellStyle name="20% - Accent2 2 2 3 2" xfId="1554"/>
    <cellStyle name="20% - Accent2 2 2 3 3" xfId="1555"/>
    <cellStyle name="20% - Accent2 2 2 3 3 2" xfId="1556"/>
    <cellStyle name="20% - Accent2 2 2 3 3 3" xfId="1557"/>
    <cellStyle name="20% - Accent2 2 2 3 4" xfId="1558"/>
    <cellStyle name="20% - Accent2 2 2 3 5" xfId="1559"/>
    <cellStyle name="20% - Accent2 2 2 3 6" xfId="1560"/>
    <cellStyle name="20% - Accent2 2 2 4" xfId="1561"/>
    <cellStyle name="20% - Accent2 2 2 4 2" xfId="1562"/>
    <cellStyle name="20% - Accent2 2 2 4 3" xfId="1563"/>
    <cellStyle name="20% - Accent2 2 2 4 4" xfId="1564"/>
    <cellStyle name="20% - Accent2 2 2 5" xfId="1565"/>
    <cellStyle name="20% - Accent2 2 3" xfId="1566"/>
    <cellStyle name="20% - Accent2 2 3 2" xfId="1567"/>
    <cellStyle name="20% - Accent2 2 3 2 2" xfId="1568"/>
    <cellStyle name="20% - Accent2 2 3 2 3" xfId="1569"/>
    <cellStyle name="20% - Accent2 2 3 2 3 2" xfId="1570"/>
    <cellStyle name="20% - Accent2 2 3 2 3 3" xfId="1571"/>
    <cellStyle name="20% - Accent2 2 3 2 4" xfId="1572"/>
    <cellStyle name="20% - Accent2 2 3 2 5" xfId="1573"/>
    <cellStyle name="20% - Accent2 2 3 2 6" xfId="1574"/>
    <cellStyle name="20% - Accent2 2 3 3" xfId="1575"/>
    <cellStyle name="20% - Accent2 2 3 4" xfId="1576"/>
    <cellStyle name="20% - Accent2 2 4" xfId="1577"/>
    <cellStyle name="20% - Accent2 2 4 2" xfId="1578"/>
    <cellStyle name="20% - Accent2 2 4 2 2" xfId="1579"/>
    <cellStyle name="20% - Accent2 2 4 2 3" xfId="1580"/>
    <cellStyle name="20% - Accent2 2 4 2 3 2" xfId="1581"/>
    <cellStyle name="20% - Accent2 2 4 2 3 3" xfId="1582"/>
    <cellStyle name="20% - Accent2 2 4 2 4" xfId="1583"/>
    <cellStyle name="20% - Accent2 2 4 2 5" xfId="1584"/>
    <cellStyle name="20% - Accent2 2 4 2 6" xfId="1585"/>
    <cellStyle name="20% - Accent2 2 4 3" xfId="1586"/>
    <cellStyle name="20% - Accent2 2 4 4" xfId="1587"/>
    <cellStyle name="20% - Accent2 2 5" xfId="1588"/>
    <cellStyle name="20% - Accent2 2 5 2" xfId="1589"/>
    <cellStyle name="20% - Accent2 2 5 3" xfId="1590"/>
    <cellStyle name="20% - Accent2 2 5 4" xfId="1591"/>
    <cellStyle name="20% - Accent2 2 6" xfId="1592"/>
    <cellStyle name="20% - Accent2 2 6 2" xfId="1593"/>
    <cellStyle name="20% - Accent2 2 6 3" xfId="1594"/>
    <cellStyle name="20% - Accent2 2 6 4" xfId="1595"/>
    <cellStyle name="20% - Accent2 2 7" xfId="1596"/>
    <cellStyle name="20% - Accent2 3" xfId="1597"/>
    <cellStyle name="20% - Accent2 3 2" xfId="1598"/>
    <cellStyle name="20% - Accent2 3 2 2" xfId="1599"/>
    <cellStyle name="20% - Accent2 3 2 3" xfId="1600"/>
    <cellStyle name="20% - Accent2 3 2 4" xfId="1601"/>
    <cellStyle name="20% - Accent2 3 2_CPI" xfId="1602"/>
    <cellStyle name="20% - Accent2 3 3" xfId="1603"/>
    <cellStyle name="20% - Accent2 3 3 2" xfId="1604"/>
    <cellStyle name="20% - Accent2 3 3 3" xfId="1605"/>
    <cellStyle name="20% - Accent2 3 3_CPI" xfId="1606"/>
    <cellStyle name="20% - Accent2 3 4" xfId="1607"/>
    <cellStyle name="20% - Accent2 3 4 2" xfId="1608"/>
    <cellStyle name="20% - Accent2 3_CPI" xfId="1609"/>
    <cellStyle name="20% - Accent2 4" xfId="1610"/>
    <cellStyle name="20% - Accent2 4 2" xfId="1611"/>
    <cellStyle name="20% - Accent2 4 2 2" xfId="1612"/>
    <cellStyle name="20% - Accent2 4 2 3" xfId="1613"/>
    <cellStyle name="20% - Accent2 4 2 4" xfId="1614"/>
    <cellStyle name="20% - Accent2 4 3" xfId="1615"/>
    <cellStyle name="20% - Accent2 4 3 2" xfId="1616"/>
    <cellStyle name="20% - Accent2 4 3 3" xfId="1617"/>
    <cellStyle name="20% - Accent2 4 4" xfId="1618"/>
    <cellStyle name="20% - Accent2 4 4 2" xfId="1619"/>
    <cellStyle name="20% - Accent2 5" xfId="1620"/>
    <cellStyle name="20% - Accent2 5 2" xfId="1621"/>
    <cellStyle name="20% - Accent2 5 2 2" xfId="1622"/>
    <cellStyle name="20% - Accent2 5 3" xfId="1623"/>
    <cellStyle name="20% - Accent2 6" xfId="1624"/>
    <cellStyle name="20% - Accent2 6 2" xfId="1625"/>
    <cellStyle name="20% - Accent2 6 2 2" xfId="1626"/>
    <cellStyle name="20% - Accent2 6 3" xfId="1627"/>
    <cellStyle name="20% - Accent2 7" xfId="1628"/>
    <cellStyle name="20% - Accent2 7 2" xfId="1629"/>
    <cellStyle name="20% - Accent2 7 2 2" xfId="1630"/>
    <cellStyle name="20% - Accent2 7 3" xfId="1631"/>
    <cellStyle name="20% - Accent2 8" xfId="1632"/>
    <cellStyle name="20% - Accent2 8 2" xfId="1633"/>
    <cellStyle name="20% - Accent2 8 2 2" xfId="1634"/>
    <cellStyle name="20% - Accent2 8 3" xfId="1635"/>
    <cellStyle name="20% - Accent2 9" xfId="1636"/>
    <cellStyle name="20% - Accent2 9 2" xfId="1637"/>
    <cellStyle name="20% - Accent3 2" xfId="114"/>
    <cellStyle name="20% - Accent3 2 2" xfId="1638"/>
    <cellStyle name="20% - Accent3 2 2 2" xfId="1639"/>
    <cellStyle name="20% - Accent3 2 2 2 2" xfId="1640"/>
    <cellStyle name="20% - Accent3 2 2 2 3" xfId="1641"/>
    <cellStyle name="20% - Accent3 2 2 3" xfId="1642"/>
    <cellStyle name="20% - Accent3 2 2 3 2" xfId="1643"/>
    <cellStyle name="20% - Accent3 2 2 3 3" xfId="1644"/>
    <cellStyle name="20% - Accent3 2 2 3 3 2" xfId="1645"/>
    <cellStyle name="20% - Accent3 2 2 3 3 3" xfId="1646"/>
    <cellStyle name="20% - Accent3 2 2 3 4" xfId="1647"/>
    <cellStyle name="20% - Accent3 2 2 3 5" xfId="1648"/>
    <cellStyle name="20% - Accent3 2 2 3 6" xfId="1649"/>
    <cellStyle name="20% - Accent3 2 2 4" xfId="1650"/>
    <cellStyle name="20% - Accent3 2 2 4 2" xfId="1651"/>
    <cellStyle name="20% - Accent3 2 2 4 3" xfId="1652"/>
    <cellStyle name="20% - Accent3 2 2 4 4" xfId="1653"/>
    <cellStyle name="20% - Accent3 2 2 5" xfId="1654"/>
    <cellStyle name="20% - Accent3 2 3" xfId="1655"/>
    <cellStyle name="20% - Accent3 2 3 2" xfId="1656"/>
    <cellStyle name="20% - Accent3 2 3 2 2" xfId="1657"/>
    <cellStyle name="20% - Accent3 2 3 2 3" xfId="1658"/>
    <cellStyle name="20% - Accent3 2 3 2 3 2" xfId="1659"/>
    <cellStyle name="20% - Accent3 2 3 2 3 3" xfId="1660"/>
    <cellStyle name="20% - Accent3 2 3 2 4" xfId="1661"/>
    <cellStyle name="20% - Accent3 2 3 2 5" xfId="1662"/>
    <cellStyle name="20% - Accent3 2 3 2 6" xfId="1663"/>
    <cellStyle name="20% - Accent3 2 3 3" xfId="1664"/>
    <cellStyle name="20% - Accent3 2 3 4" xfId="1665"/>
    <cellStyle name="20% - Accent3 2 4" xfId="1666"/>
    <cellStyle name="20% - Accent3 2 4 2" xfId="1667"/>
    <cellStyle name="20% - Accent3 2 4 2 2" xfId="1668"/>
    <cellStyle name="20% - Accent3 2 4 2 3" xfId="1669"/>
    <cellStyle name="20% - Accent3 2 4 2 3 2" xfId="1670"/>
    <cellStyle name="20% - Accent3 2 4 2 3 3" xfId="1671"/>
    <cellStyle name="20% - Accent3 2 4 2 4" xfId="1672"/>
    <cellStyle name="20% - Accent3 2 4 2 5" xfId="1673"/>
    <cellStyle name="20% - Accent3 2 4 2 6" xfId="1674"/>
    <cellStyle name="20% - Accent3 2 4 3" xfId="1675"/>
    <cellStyle name="20% - Accent3 2 4 4" xfId="1676"/>
    <cellStyle name="20% - Accent3 2 5" xfId="1677"/>
    <cellStyle name="20% - Accent3 2 5 2" xfId="1678"/>
    <cellStyle name="20% - Accent3 2 5 3" xfId="1679"/>
    <cellStyle name="20% - Accent3 2 5 4" xfId="1680"/>
    <cellStyle name="20% - Accent3 2 6" xfId="1681"/>
    <cellStyle name="20% - Accent3 2 6 2" xfId="1682"/>
    <cellStyle name="20% - Accent3 2 6 3" xfId="1683"/>
    <cellStyle name="20% - Accent3 2 6 4" xfId="1684"/>
    <cellStyle name="20% - Accent3 2 7" xfId="1685"/>
    <cellStyle name="20% - Accent3 3" xfId="1686"/>
    <cellStyle name="20% - Accent3 3 2" xfId="1687"/>
    <cellStyle name="20% - Accent3 3 2 2" xfId="1688"/>
    <cellStyle name="20% - Accent3 3 2 3" xfId="1689"/>
    <cellStyle name="20% - Accent3 3 2 4" xfId="1690"/>
    <cellStyle name="20% - Accent3 3 2_CPI" xfId="1691"/>
    <cellStyle name="20% - Accent3 3 3" xfId="1692"/>
    <cellStyle name="20% - Accent3 3 3 2" xfId="1693"/>
    <cellStyle name="20% - Accent3 3 3 3" xfId="1694"/>
    <cellStyle name="20% - Accent3 3 3_CPI" xfId="1695"/>
    <cellStyle name="20% - Accent3 3 4" xfId="1696"/>
    <cellStyle name="20% - Accent3 3 4 2" xfId="1697"/>
    <cellStyle name="20% - Accent3 3_CPI" xfId="1698"/>
    <cellStyle name="20% - Accent3 4" xfId="1699"/>
    <cellStyle name="20% - Accent3 4 2" xfId="1700"/>
    <cellStyle name="20% - Accent3 4 2 2" xfId="1701"/>
    <cellStyle name="20% - Accent3 4 2 3" xfId="1702"/>
    <cellStyle name="20% - Accent3 4 2 4" xfId="1703"/>
    <cellStyle name="20% - Accent3 4 3" xfId="1704"/>
    <cellStyle name="20% - Accent3 4 3 2" xfId="1705"/>
    <cellStyle name="20% - Accent3 4 3 3" xfId="1706"/>
    <cellStyle name="20% - Accent3 4 4" xfId="1707"/>
    <cellStyle name="20% - Accent3 4 4 2" xfId="1708"/>
    <cellStyle name="20% - Accent3 5" xfId="1709"/>
    <cellStyle name="20% - Accent3 5 2" xfId="1710"/>
    <cellStyle name="20% - Accent3 5 2 2" xfId="1711"/>
    <cellStyle name="20% - Accent3 5 3" xfId="1712"/>
    <cellStyle name="20% - Accent3 6" xfId="1713"/>
    <cellStyle name="20% - Accent3 6 2" xfId="1714"/>
    <cellStyle name="20% - Accent3 6 2 2" xfId="1715"/>
    <cellStyle name="20% - Accent3 6 3" xfId="1716"/>
    <cellStyle name="20% - Accent3 7" xfId="1717"/>
    <cellStyle name="20% - Accent3 7 2" xfId="1718"/>
    <cellStyle name="20% - Accent3 7 2 2" xfId="1719"/>
    <cellStyle name="20% - Accent3 7 3" xfId="1720"/>
    <cellStyle name="20% - Accent3 8" xfId="1721"/>
    <cellStyle name="20% - Accent3 8 2" xfId="1722"/>
    <cellStyle name="20% - Accent3 8 2 2" xfId="1723"/>
    <cellStyle name="20% - Accent3 8 3" xfId="1724"/>
    <cellStyle name="20% - Accent3 9" xfId="1725"/>
    <cellStyle name="20% - Accent3 9 2" xfId="1726"/>
    <cellStyle name="20% - Accent4 2" xfId="115"/>
    <cellStyle name="20% - Accent4 2 2" xfId="1727"/>
    <cellStyle name="20% - Accent4 2 2 2" xfId="1728"/>
    <cellStyle name="20% - Accent4 2 2 2 2" xfId="1729"/>
    <cellStyle name="20% - Accent4 2 2 2 3" xfId="1730"/>
    <cellStyle name="20% - Accent4 2 2 3" xfId="1731"/>
    <cellStyle name="20% - Accent4 2 2 3 2" xfId="1732"/>
    <cellStyle name="20% - Accent4 2 2 3 3" xfId="1733"/>
    <cellStyle name="20% - Accent4 2 2 3 3 2" xfId="1734"/>
    <cellStyle name="20% - Accent4 2 2 3 3 3" xfId="1735"/>
    <cellStyle name="20% - Accent4 2 2 3 4" xfId="1736"/>
    <cellStyle name="20% - Accent4 2 2 3 5" xfId="1737"/>
    <cellStyle name="20% - Accent4 2 2 3 6" xfId="1738"/>
    <cellStyle name="20% - Accent4 2 2 4" xfId="1739"/>
    <cellStyle name="20% - Accent4 2 2 4 2" xfId="1740"/>
    <cellStyle name="20% - Accent4 2 2 4 3" xfId="1741"/>
    <cellStyle name="20% - Accent4 2 2 4 4" xfId="1742"/>
    <cellStyle name="20% - Accent4 2 2 5" xfId="1743"/>
    <cellStyle name="20% - Accent4 2 3" xfId="1744"/>
    <cellStyle name="20% - Accent4 2 3 2" xfId="1745"/>
    <cellStyle name="20% - Accent4 2 3 2 2" xfId="1746"/>
    <cellStyle name="20% - Accent4 2 3 2 3" xfId="1747"/>
    <cellStyle name="20% - Accent4 2 3 2 3 2" xfId="1748"/>
    <cellStyle name="20% - Accent4 2 3 2 3 3" xfId="1749"/>
    <cellStyle name="20% - Accent4 2 3 2 4" xfId="1750"/>
    <cellStyle name="20% - Accent4 2 3 2 5" xfId="1751"/>
    <cellStyle name="20% - Accent4 2 3 2 6" xfId="1752"/>
    <cellStyle name="20% - Accent4 2 3 3" xfId="1753"/>
    <cellStyle name="20% - Accent4 2 3 4" xfId="1754"/>
    <cellStyle name="20% - Accent4 2 4" xfId="1755"/>
    <cellStyle name="20% - Accent4 2 4 2" xfId="1756"/>
    <cellStyle name="20% - Accent4 2 4 2 2" xfId="1757"/>
    <cellStyle name="20% - Accent4 2 4 2 3" xfId="1758"/>
    <cellStyle name="20% - Accent4 2 4 2 3 2" xfId="1759"/>
    <cellStyle name="20% - Accent4 2 4 2 3 3" xfId="1760"/>
    <cellStyle name="20% - Accent4 2 4 2 4" xfId="1761"/>
    <cellStyle name="20% - Accent4 2 4 2 5" xfId="1762"/>
    <cellStyle name="20% - Accent4 2 4 2 6" xfId="1763"/>
    <cellStyle name="20% - Accent4 2 4 3" xfId="1764"/>
    <cellStyle name="20% - Accent4 2 4 4" xfId="1765"/>
    <cellStyle name="20% - Accent4 2 5" xfId="1766"/>
    <cellStyle name="20% - Accent4 2 5 2" xfId="1767"/>
    <cellStyle name="20% - Accent4 2 5 3" xfId="1768"/>
    <cellStyle name="20% - Accent4 2 5 4" xfId="1769"/>
    <cellStyle name="20% - Accent4 2 6" xfId="1770"/>
    <cellStyle name="20% - Accent4 2 6 2" xfId="1771"/>
    <cellStyle name="20% - Accent4 2 6 3" xfId="1772"/>
    <cellStyle name="20% - Accent4 2 6 4" xfId="1773"/>
    <cellStyle name="20% - Accent4 2 7" xfId="1774"/>
    <cellStyle name="20% - Accent4 3" xfId="1775"/>
    <cellStyle name="20% - Accent4 3 2" xfId="1776"/>
    <cellStyle name="20% - Accent4 3 2 2" xfId="1777"/>
    <cellStyle name="20% - Accent4 3 2 3" xfId="1778"/>
    <cellStyle name="20% - Accent4 3 2 4" xfId="1779"/>
    <cellStyle name="20% - Accent4 3 2_CPI" xfId="1780"/>
    <cellStyle name="20% - Accent4 3 3" xfId="1781"/>
    <cellStyle name="20% - Accent4 3 3 2" xfId="1782"/>
    <cellStyle name="20% - Accent4 3 3 3" xfId="1783"/>
    <cellStyle name="20% - Accent4 3 3_CPI" xfId="1784"/>
    <cellStyle name="20% - Accent4 3 4" xfId="1785"/>
    <cellStyle name="20% - Accent4 3 4 2" xfId="1786"/>
    <cellStyle name="20% - Accent4 3_CPI" xfId="1787"/>
    <cellStyle name="20% - Accent4 4" xfId="1788"/>
    <cellStyle name="20% - Accent4 4 2" xfId="1789"/>
    <cellStyle name="20% - Accent4 4 2 2" xfId="1790"/>
    <cellStyle name="20% - Accent4 4 2 3" xfId="1791"/>
    <cellStyle name="20% - Accent4 4 2 4" xfId="1792"/>
    <cellStyle name="20% - Accent4 4 3" xfId="1793"/>
    <cellStyle name="20% - Accent4 4 3 2" xfId="1794"/>
    <cellStyle name="20% - Accent4 4 3 3" xfId="1795"/>
    <cellStyle name="20% - Accent4 4 4" xfId="1796"/>
    <cellStyle name="20% - Accent4 4 4 2" xfId="1797"/>
    <cellStyle name="20% - Accent4 5" xfId="1798"/>
    <cellStyle name="20% - Accent4 5 2" xfId="1799"/>
    <cellStyle name="20% - Accent4 5 2 2" xfId="1800"/>
    <cellStyle name="20% - Accent4 5 3" xfId="1801"/>
    <cellStyle name="20% - Accent4 6" xfId="1802"/>
    <cellStyle name="20% - Accent4 6 2" xfId="1803"/>
    <cellStyle name="20% - Accent4 6 2 2" xfId="1804"/>
    <cellStyle name="20% - Accent4 6 3" xfId="1805"/>
    <cellStyle name="20% - Accent4 7" xfId="1806"/>
    <cellStyle name="20% - Accent4 7 2" xfId="1807"/>
    <cellStyle name="20% - Accent4 7 2 2" xfId="1808"/>
    <cellStyle name="20% - Accent4 7 3" xfId="1809"/>
    <cellStyle name="20% - Accent4 8" xfId="1810"/>
    <cellStyle name="20% - Accent4 8 2" xfId="1811"/>
    <cellStyle name="20% - Accent4 8 2 2" xfId="1812"/>
    <cellStyle name="20% - Accent4 8 3" xfId="1813"/>
    <cellStyle name="20% - Accent4 9" xfId="1814"/>
    <cellStyle name="20% - Accent4 9 2" xfId="1815"/>
    <cellStyle name="20% - Accent5 2" xfId="116"/>
    <cellStyle name="20% - Accent5 2 2" xfId="1816"/>
    <cellStyle name="20% - Accent5 2 2 2" xfId="1817"/>
    <cellStyle name="20% - Accent5 2 2 2 2" xfId="1818"/>
    <cellStyle name="20% - Accent5 2 2 2 3" xfId="1819"/>
    <cellStyle name="20% - Accent5 2 2 3" xfId="1820"/>
    <cellStyle name="20% - Accent5 2 2 3 2" xfId="1821"/>
    <cellStyle name="20% - Accent5 2 2 3 3" xfId="1822"/>
    <cellStyle name="20% - Accent5 2 2 3 3 2" xfId="1823"/>
    <cellStyle name="20% - Accent5 2 2 3 3 3" xfId="1824"/>
    <cellStyle name="20% - Accent5 2 2 3 4" xfId="1825"/>
    <cellStyle name="20% - Accent5 2 2 3 5" xfId="1826"/>
    <cellStyle name="20% - Accent5 2 2 3 6" xfId="1827"/>
    <cellStyle name="20% - Accent5 2 2 4" xfId="1828"/>
    <cellStyle name="20% - Accent5 2 2 4 2" xfId="1829"/>
    <cellStyle name="20% - Accent5 2 2 4 3" xfId="1830"/>
    <cellStyle name="20% - Accent5 2 2 4 4" xfId="1831"/>
    <cellStyle name="20% - Accent5 2 2 5" xfId="1832"/>
    <cellStyle name="20% - Accent5 2 3" xfId="1833"/>
    <cellStyle name="20% - Accent5 2 3 2" xfId="1834"/>
    <cellStyle name="20% - Accent5 2 3 2 2" xfId="1835"/>
    <cellStyle name="20% - Accent5 2 3 2 3" xfId="1836"/>
    <cellStyle name="20% - Accent5 2 3 2 3 2" xfId="1837"/>
    <cellStyle name="20% - Accent5 2 3 2 3 3" xfId="1838"/>
    <cellStyle name="20% - Accent5 2 3 2 4" xfId="1839"/>
    <cellStyle name="20% - Accent5 2 3 2 5" xfId="1840"/>
    <cellStyle name="20% - Accent5 2 3 2 6" xfId="1841"/>
    <cellStyle name="20% - Accent5 2 3 3" xfId="1842"/>
    <cellStyle name="20% - Accent5 2 3 4" xfId="1843"/>
    <cellStyle name="20% - Accent5 2 4" xfId="1844"/>
    <cellStyle name="20% - Accent5 2 4 2" xfId="1845"/>
    <cellStyle name="20% - Accent5 2 4 2 2" xfId="1846"/>
    <cellStyle name="20% - Accent5 2 4 2 3" xfId="1847"/>
    <cellStyle name="20% - Accent5 2 4 2 3 2" xfId="1848"/>
    <cellStyle name="20% - Accent5 2 4 2 3 3" xfId="1849"/>
    <cellStyle name="20% - Accent5 2 4 2 4" xfId="1850"/>
    <cellStyle name="20% - Accent5 2 4 2 5" xfId="1851"/>
    <cellStyle name="20% - Accent5 2 4 2 6" xfId="1852"/>
    <cellStyle name="20% - Accent5 2 4 3" xfId="1853"/>
    <cellStyle name="20% - Accent5 2 4 4" xfId="1854"/>
    <cellStyle name="20% - Accent5 2 5" xfId="1855"/>
    <cellStyle name="20% - Accent5 2 5 2" xfId="1856"/>
    <cellStyle name="20% - Accent5 2 5 3" xfId="1857"/>
    <cellStyle name="20% - Accent5 2 5 4" xfId="1858"/>
    <cellStyle name="20% - Accent5 2 6" xfId="1859"/>
    <cellStyle name="20% - Accent5 2 7" xfId="1860"/>
    <cellStyle name="20% - Accent5 3" xfId="1861"/>
    <cellStyle name="20% - Accent5 3 2" xfId="1862"/>
    <cellStyle name="20% - Accent5 3 2 2" xfId="1863"/>
    <cellStyle name="20% - Accent5 3 2 3" xfId="1864"/>
    <cellStyle name="20% - Accent5 3 2 4" xfId="1865"/>
    <cellStyle name="20% - Accent5 3 3" xfId="1866"/>
    <cellStyle name="20% - Accent5 3 3 2" xfId="1867"/>
    <cellStyle name="20% - Accent5 3 3 3" xfId="1868"/>
    <cellStyle name="20% - Accent5 3 4" xfId="1869"/>
    <cellStyle name="20% - Accent5 3 4 2" xfId="1870"/>
    <cellStyle name="20% - Accent5 4" xfId="1871"/>
    <cellStyle name="20% - Accent5 4 2" xfId="1872"/>
    <cellStyle name="20% - Accent5 4 4" xfId="1873"/>
    <cellStyle name="20% - Accent5 4 4 2" xfId="1874"/>
    <cellStyle name="20% - Accent5 4_CPI" xfId="1875"/>
    <cellStyle name="20% - Accent5 5" xfId="1876"/>
    <cellStyle name="20% - Accent5 5 2" xfId="1877"/>
    <cellStyle name="20% - Accent5 5 2 2" xfId="1878"/>
    <cellStyle name="20% - Accent5 5 3" xfId="1879"/>
    <cellStyle name="20% - Accent5 6" xfId="1880"/>
    <cellStyle name="20% - Accent5 6 2" xfId="1881"/>
    <cellStyle name="20% - Accent5 6 2 2" xfId="1882"/>
    <cellStyle name="20% - Accent5 6 3" xfId="1883"/>
    <cellStyle name="20% - Accent5 7" xfId="1884"/>
    <cellStyle name="20% - Accent5 7 2" xfId="1885"/>
    <cellStyle name="20% - Accent5 7 2 2" xfId="1886"/>
    <cellStyle name="20% - Accent5 7 3" xfId="1887"/>
    <cellStyle name="20% - Accent5 8" xfId="1888"/>
    <cellStyle name="20% - Accent5 8 2" xfId="1889"/>
    <cellStyle name="20% - Accent5 8 2 2" xfId="1890"/>
    <cellStyle name="20% - Accent5 8 3" xfId="1891"/>
    <cellStyle name="20% - Accent5 9" xfId="1892"/>
    <cellStyle name="20% - Accent5 9 2" xfId="1893"/>
    <cellStyle name="20% - Accent6 2" xfId="117"/>
    <cellStyle name="20% - Accent6 2 2" xfId="1894"/>
    <cellStyle name="20% - Accent6 2 2 2" xfId="1895"/>
    <cellStyle name="20% - Accent6 2 2 2 2" xfId="1896"/>
    <cellStyle name="20% - Accent6 2 2 2 3" xfId="1897"/>
    <cellStyle name="20% - Accent6 2 2 3" xfId="1898"/>
    <cellStyle name="20% - Accent6 2 2 3 2" xfId="1899"/>
    <cellStyle name="20% - Accent6 2 2 3 3" xfId="1900"/>
    <cellStyle name="20% - Accent6 2 2 3 3 2" xfId="1901"/>
    <cellStyle name="20% - Accent6 2 2 3 3 3" xfId="1902"/>
    <cellStyle name="20% - Accent6 2 2 3 4" xfId="1903"/>
    <cellStyle name="20% - Accent6 2 2 3 5" xfId="1904"/>
    <cellStyle name="20% - Accent6 2 2 3 6" xfId="1905"/>
    <cellStyle name="20% - Accent6 2 2 4" xfId="1906"/>
    <cellStyle name="20% - Accent6 2 2 4 2" xfId="1907"/>
    <cellStyle name="20% - Accent6 2 2 4 3" xfId="1908"/>
    <cellStyle name="20% - Accent6 2 2 4 4" xfId="1909"/>
    <cellStyle name="20% - Accent6 2 2 5" xfId="1910"/>
    <cellStyle name="20% - Accent6 2 3" xfId="1911"/>
    <cellStyle name="20% - Accent6 2 3 2" xfId="1912"/>
    <cellStyle name="20% - Accent6 2 3 2 2" xfId="1913"/>
    <cellStyle name="20% - Accent6 2 3 2 3" xfId="1914"/>
    <cellStyle name="20% - Accent6 2 3 2 3 2" xfId="1915"/>
    <cellStyle name="20% - Accent6 2 3 2 3 3" xfId="1916"/>
    <cellStyle name="20% - Accent6 2 3 2 4" xfId="1917"/>
    <cellStyle name="20% - Accent6 2 3 2 5" xfId="1918"/>
    <cellStyle name="20% - Accent6 2 3 2 6" xfId="1919"/>
    <cellStyle name="20% - Accent6 2 3 3" xfId="1920"/>
    <cellStyle name="20% - Accent6 2 3 4" xfId="1921"/>
    <cellStyle name="20% - Accent6 2 4" xfId="1922"/>
    <cellStyle name="20% - Accent6 2 4 2" xfId="1923"/>
    <cellStyle name="20% - Accent6 2 4 2 2" xfId="1924"/>
    <cellStyle name="20% - Accent6 2 4 2 3" xfId="1925"/>
    <cellStyle name="20% - Accent6 2 4 2 3 2" xfId="1926"/>
    <cellStyle name="20% - Accent6 2 4 2 3 3" xfId="1927"/>
    <cellStyle name="20% - Accent6 2 4 2 4" xfId="1928"/>
    <cellStyle name="20% - Accent6 2 4 2 5" xfId="1929"/>
    <cellStyle name="20% - Accent6 2 4 2 6" xfId="1930"/>
    <cellStyle name="20% - Accent6 2 4 3" xfId="1931"/>
    <cellStyle name="20% - Accent6 2 4 4" xfId="1932"/>
    <cellStyle name="20% - Accent6 2 5" xfId="1933"/>
    <cellStyle name="20% - Accent6 2 5 2" xfId="1934"/>
    <cellStyle name="20% - Accent6 2 5 3" xfId="1935"/>
    <cellStyle name="20% - Accent6 2 5 4" xfId="1936"/>
    <cellStyle name="20% - Accent6 2 6" xfId="1937"/>
    <cellStyle name="20% - Accent6 2 6 2" xfId="1938"/>
    <cellStyle name="20% - Accent6 2 6 3" xfId="1939"/>
    <cellStyle name="20% - Accent6 2 6 4" xfId="1940"/>
    <cellStyle name="20% - Accent6 2 7" xfId="1941"/>
    <cellStyle name="20% - Accent6 3" xfId="1942"/>
    <cellStyle name="20% - Accent6 3 2" xfId="1943"/>
    <cellStyle name="20% - Accent6 3 2 2" xfId="1944"/>
    <cellStyle name="20% - Accent6 3 2 3" xfId="1945"/>
    <cellStyle name="20% - Accent6 3 2 4" xfId="1946"/>
    <cellStyle name="20% - Accent6 3 2_CPI" xfId="1947"/>
    <cellStyle name="20% - Accent6 3 3" xfId="1948"/>
    <cellStyle name="20% - Accent6 3 3 2" xfId="1949"/>
    <cellStyle name="20% - Accent6 3 3 3" xfId="1950"/>
    <cellStyle name="20% - Accent6 3 3_CPI" xfId="1951"/>
    <cellStyle name="20% - Accent6 3 4" xfId="1952"/>
    <cellStyle name="20% - Accent6 3 4 2" xfId="1953"/>
    <cellStyle name="20% - Accent6 3_CPI" xfId="1954"/>
    <cellStyle name="20% - Accent6 4" xfId="1955"/>
    <cellStyle name="20% - Accent6 4 2" xfId="1956"/>
    <cellStyle name="20% - Accent6 4 2 2" xfId="1957"/>
    <cellStyle name="20% - Accent6 4 2 3" xfId="1958"/>
    <cellStyle name="20% - Accent6 4 2 4" xfId="1959"/>
    <cellStyle name="20% - Accent6 4 3" xfId="1960"/>
    <cellStyle name="20% - Accent6 4 3 2" xfId="1961"/>
    <cellStyle name="20% - Accent6 4 3 3" xfId="1962"/>
    <cellStyle name="20% - Accent6 4 4" xfId="1963"/>
    <cellStyle name="20% - Accent6 4 4 2" xfId="1964"/>
    <cellStyle name="20% - Accent6 5" xfId="1965"/>
    <cellStyle name="20% - Accent6 5 2" xfId="1966"/>
    <cellStyle name="20% - Accent6 5 2 2" xfId="1967"/>
    <cellStyle name="20% - Accent6 5 3" xfId="1968"/>
    <cellStyle name="20% - Accent6 6" xfId="1969"/>
    <cellStyle name="20% - Accent6 6 2" xfId="1970"/>
    <cellStyle name="20% - Accent6 6 2 2" xfId="1971"/>
    <cellStyle name="20% - Accent6 6 3" xfId="1972"/>
    <cellStyle name="20% - Accent6 7" xfId="1973"/>
    <cellStyle name="20% - Accent6 7 2" xfId="1974"/>
    <cellStyle name="20% - Accent6 7 2 2" xfId="1975"/>
    <cellStyle name="20% - Accent6 7 3" xfId="1976"/>
    <cellStyle name="20% - Accent6 8" xfId="1977"/>
    <cellStyle name="20% - Accent6 8 2" xfId="1978"/>
    <cellStyle name="20% - Accent6 8 2 2" xfId="1979"/>
    <cellStyle name="20% - Accent6 8 3" xfId="1980"/>
    <cellStyle name="20% - Accent6 9" xfId="1981"/>
    <cellStyle name="20% - Accent6 9 2" xfId="1982"/>
    <cellStyle name="20% - Colore 1" xfId="1983"/>
    <cellStyle name="20% - Colore 2" xfId="1984"/>
    <cellStyle name="20% - Colore 3" xfId="1985"/>
    <cellStyle name="20% - Colore 4" xfId="1986"/>
    <cellStyle name="20% - Colore 5" xfId="1987"/>
    <cellStyle name="20% - Colore 6" xfId="1988"/>
    <cellStyle name="20% - Énfasis1" xfId="1989"/>
    <cellStyle name="20% - Énfasis2" xfId="1990"/>
    <cellStyle name="20% - Énfasis3" xfId="1991"/>
    <cellStyle name="20% - Énfasis4" xfId="1992"/>
    <cellStyle name="20% - Énfasis5" xfId="1993"/>
    <cellStyle name="20% - Énfasis6" xfId="1994"/>
    <cellStyle name="2bra" xfId="1995"/>
    <cellStyle name="2DecimalPercent" xfId="1996"/>
    <cellStyle name="2Decimals" xfId="1997"/>
    <cellStyle name="2dp" xfId="1998"/>
    <cellStyle name="3" xfId="1999"/>
    <cellStyle name="3brac" xfId="2000"/>
    <cellStyle name="3dp" xfId="2001"/>
    <cellStyle name="40% - Accent1 2" xfId="118"/>
    <cellStyle name="40% - Accent1 2 2" xfId="2002"/>
    <cellStyle name="40% - Accent1 2 2 2" xfId="2003"/>
    <cellStyle name="40% - Accent1 2 2 2 2" xfId="2004"/>
    <cellStyle name="40% - Accent1 2 2 2 3" xfId="2005"/>
    <cellStyle name="40% - Accent1 2 2 3" xfId="2006"/>
    <cellStyle name="40% - Accent1 2 2 3 2" xfId="2007"/>
    <cellStyle name="40% - Accent1 2 2 3 3" xfId="2008"/>
    <cellStyle name="40% - Accent1 2 2 3 3 2" xfId="2009"/>
    <cellStyle name="40% - Accent1 2 2 3 3 3" xfId="2010"/>
    <cellStyle name="40% - Accent1 2 2 3 4" xfId="2011"/>
    <cellStyle name="40% - Accent1 2 2 3 5" xfId="2012"/>
    <cellStyle name="40% - Accent1 2 2 3 6" xfId="2013"/>
    <cellStyle name="40% - Accent1 2 2 4" xfId="2014"/>
    <cellStyle name="40% - Accent1 2 2 4 2" xfId="2015"/>
    <cellStyle name="40% - Accent1 2 2 4 3" xfId="2016"/>
    <cellStyle name="40% - Accent1 2 2 4 4" xfId="2017"/>
    <cellStyle name="40% - Accent1 2 2 5" xfId="2018"/>
    <cellStyle name="40% - Accent1 2 3" xfId="2019"/>
    <cellStyle name="40% - Accent1 2 3 2" xfId="2020"/>
    <cellStyle name="40% - Accent1 2 3 2 2" xfId="2021"/>
    <cellStyle name="40% - Accent1 2 3 2 3" xfId="2022"/>
    <cellStyle name="40% - Accent1 2 3 2 3 2" xfId="2023"/>
    <cellStyle name="40% - Accent1 2 3 2 3 3" xfId="2024"/>
    <cellStyle name="40% - Accent1 2 3 2 4" xfId="2025"/>
    <cellStyle name="40% - Accent1 2 3 2 5" xfId="2026"/>
    <cellStyle name="40% - Accent1 2 3 2 6" xfId="2027"/>
    <cellStyle name="40% - Accent1 2 3 3" xfId="2028"/>
    <cellStyle name="40% - Accent1 2 3 4" xfId="2029"/>
    <cellStyle name="40% - Accent1 2 4" xfId="2030"/>
    <cellStyle name="40% - Accent1 2 4 2" xfId="2031"/>
    <cellStyle name="40% - Accent1 2 4 2 2" xfId="2032"/>
    <cellStyle name="40% - Accent1 2 4 2 3" xfId="2033"/>
    <cellStyle name="40% - Accent1 2 4 2 3 2" xfId="2034"/>
    <cellStyle name="40% - Accent1 2 4 2 3 3" xfId="2035"/>
    <cellStyle name="40% - Accent1 2 4 2 4" xfId="2036"/>
    <cellStyle name="40% - Accent1 2 4 2 5" xfId="2037"/>
    <cellStyle name="40% - Accent1 2 4 2 6" xfId="2038"/>
    <cellStyle name="40% - Accent1 2 4 3" xfId="2039"/>
    <cellStyle name="40% - Accent1 2 4 4" xfId="2040"/>
    <cellStyle name="40% - Accent1 2 5" xfId="2041"/>
    <cellStyle name="40% - Accent1 2 5 2" xfId="2042"/>
    <cellStyle name="40% - Accent1 2 5 3" xfId="2043"/>
    <cellStyle name="40% - Accent1 2 5 4" xfId="2044"/>
    <cellStyle name="40% - Accent1 2 6" xfId="2045"/>
    <cellStyle name="40% - Accent1 2 6 2" xfId="2046"/>
    <cellStyle name="40% - Accent1 2 6 3" xfId="2047"/>
    <cellStyle name="40% - Accent1 2 6 4" xfId="2048"/>
    <cellStyle name="40% - Accent1 2 7" xfId="2049"/>
    <cellStyle name="40% - Accent1 3" xfId="2050"/>
    <cellStyle name="40% - Accent1 3 2" xfId="2051"/>
    <cellStyle name="40% - Accent1 3 2 2" xfId="2052"/>
    <cellStyle name="40% - Accent1 3 2 3" xfId="2053"/>
    <cellStyle name="40% - Accent1 3 2 4" xfId="2054"/>
    <cellStyle name="40% - Accent1 3 2_CPI" xfId="2055"/>
    <cellStyle name="40% - Accent1 3 3" xfId="2056"/>
    <cellStyle name="40% - Accent1 3 3 2" xfId="2057"/>
    <cellStyle name="40% - Accent1 3 3 3" xfId="2058"/>
    <cellStyle name="40% - Accent1 3 3_CPI" xfId="2059"/>
    <cellStyle name="40% - Accent1 3 4" xfId="2060"/>
    <cellStyle name="40% - Accent1 3 4 2" xfId="2061"/>
    <cellStyle name="40% - Accent1 3_CPI" xfId="2062"/>
    <cellStyle name="40% - Accent1 4" xfId="2063"/>
    <cellStyle name="40% - Accent1 4 2" xfId="2064"/>
    <cellStyle name="40% - Accent1 4 2 2" xfId="2065"/>
    <cellStyle name="40% - Accent1 4 2 3" xfId="2066"/>
    <cellStyle name="40% - Accent1 4 2 4" xfId="2067"/>
    <cellStyle name="40% - Accent1 4 3" xfId="2068"/>
    <cellStyle name="40% - Accent1 4 3 2" xfId="2069"/>
    <cellStyle name="40% - Accent1 4 3 3" xfId="2070"/>
    <cellStyle name="40% - Accent1 4 4" xfId="2071"/>
    <cellStyle name="40% - Accent1 4 4 2" xfId="2072"/>
    <cellStyle name="40% - Accent1 5" xfId="2073"/>
    <cellStyle name="40% - Accent1 5 2" xfId="2074"/>
    <cellStyle name="40% - Accent1 5 2 2" xfId="2075"/>
    <cellStyle name="40% - Accent1 5 3" xfId="2076"/>
    <cellStyle name="40% - Accent1 6" xfId="2077"/>
    <cellStyle name="40% - Accent1 6 2" xfId="2078"/>
    <cellStyle name="40% - Accent1 6 2 2" xfId="2079"/>
    <cellStyle name="40% - Accent1 6 3" xfId="2080"/>
    <cellStyle name="40% - Accent1 7" xfId="2081"/>
    <cellStyle name="40% - Accent1 7 2" xfId="2082"/>
    <cellStyle name="40% - Accent1 7 2 2" xfId="2083"/>
    <cellStyle name="40% - Accent1 7 3" xfId="2084"/>
    <cellStyle name="40% - Accent1 8" xfId="2085"/>
    <cellStyle name="40% - Accent1 8 2" xfId="2086"/>
    <cellStyle name="40% - Accent1 8 2 2" xfId="2087"/>
    <cellStyle name="40% - Accent1 8 3" xfId="2088"/>
    <cellStyle name="40% - Accent1 9" xfId="2089"/>
    <cellStyle name="40% - Accent1 9 2" xfId="2090"/>
    <cellStyle name="40% - Accent2 2" xfId="119"/>
    <cellStyle name="40% - Accent2 2 2" xfId="2091"/>
    <cellStyle name="40% - Accent2 2 2 2" xfId="2092"/>
    <cellStyle name="40% - Accent2 2 2 2 2" xfId="2093"/>
    <cellStyle name="40% - Accent2 2 2 2 3" xfId="2094"/>
    <cellStyle name="40% - Accent2 2 2 3" xfId="2095"/>
    <cellStyle name="40% - Accent2 2 2 3 2" xfId="2096"/>
    <cellStyle name="40% - Accent2 2 2 3 3" xfId="2097"/>
    <cellStyle name="40% - Accent2 2 2 3 3 2" xfId="2098"/>
    <cellStyle name="40% - Accent2 2 2 3 3 3" xfId="2099"/>
    <cellStyle name="40% - Accent2 2 2 3 4" xfId="2100"/>
    <cellStyle name="40% - Accent2 2 2 3 5" xfId="2101"/>
    <cellStyle name="40% - Accent2 2 2 3 6" xfId="2102"/>
    <cellStyle name="40% - Accent2 2 2 4" xfId="2103"/>
    <cellStyle name="40% - Accent2 2 2 4 2" xfId="2104"/>
    <cellStyle name="40% - Accent2 2 2 4 3" xfId="2105"/>
    <cellStyle name="40% - Accent2 2 2 4 4" xfId="2106"/>
    <cellStyle name="40% - Accent2 2 2 5" xfId="2107"/>
    <cellStyle name="40% - Accent2 2 3" xfId="2108"/>
    <cellStyle name="40% - Accent2 2 3 2" xfId="2109"/>
    <cellStyle name="40% - Accent2 2 3 2 2" xfId="2110"/>
    <cellStyle name="40% - Accent2 2 3 2 3" xfId="2111"/>
    <cellStyle name="40% - Accent2 2 3 2 3 2" xfId="2112"/>
    <cellStyle name="40% - Accent2 2 3 2 3 3" xfId="2113"/>
    <cellStyle name="40% - Accent2 2 3 2 4" xfId="2114"/>
    <cellStyle name="40% - Accent2 2 3 2 5" xfId="2115"/>
    <cellStyle name="40% - Accent2 2 3 2 6" xfId="2116"/>
    <cellStyle name="40% - Accent2 2 3 3" xfId="2117"/>
    <cellStyle name="40% - Accent2 2 3 4" xfId="2118"/>
    <cellStyle name="40% - Accent2 2 4" xfId="2119"/>
    <cellStyle name="40% - Accent2 2 4 2" xfId="2120"/>
    <cellStyle name="40% - Accent2 2 4 2 2" xfId="2121"/>
    <cellStyle name="40% - Accent2 2 4 2 3" xfId="2122"/>
    <cellStyle name="40% - Accent2 2 4 2 3 2" xfId="2123"/>
    <cellStyle name="40% - Accent2 2 4 2 3 3" xfId="2124"/>
    <cellStyle name="40% - Accent2 2 4 2 4" xfId="2125"/>
    <cellStyle name="40% - Accent2 2 4 2 5" xfId="2126"/>
    <cellStyle name="40% - Accent2 2 4 2 6" xfId="2127"/>
    <cellStyle name="40% - Accent2 2 4 3" xfId="2128"/>
    <cellStyle name="40% - Accent2 2 4 4" xfId="2129"/>
    <cellStyle name="40% - Accent2 2 5" xfId="2130"/>
    <cellStyle name="40% - Accent2 2 5 2" xfId="2131"/>
    <cellStyle name="40% - Accent2 2 5 3" xfId="2132"/>
    <cellStyle name="40% - Accent2 2 5 4" xfId="2133"/>
    <cellStyle name="40% - Accent2 2 6" xfId="2134"/>
    <cellStyle name="40% - Accent2 2 7" xfId="2135"/>
    <cellStyle name="40% - Accent2 3" xfId="2136"/>
    <cellStyle name="40% - Accent2 3 2" xfId="2137"/>
    <cellStyle name="40% - Accent2 3 2 2" xfId="2138"/>
    <cellStyle name="40% - Accent2 3 2 3" xfId="2139"/>
    <cellStyle name="40% - Accent2 3 2 4" xfId="2140"/>
    <cellStyle name="40% - Accent2 3 3" xfId="2141"/>
    <cellStyle name="40% - Accent2 3 3 2" xfId="2142"/>
    <cellStyle name="40% - Accent2 3 3 3" xfId="2143"/>
    <cellStyle name="40% - Accent2 3 4" xfId="2144"/>
    <cellStyle name="40% - Accent2 3 4 2" xfId="2145"/>
    <cellStyle name="40% - Accent2 4" xfId="2146"/>
    <cellStyle name="40% - Accent2 4 2" xfId="2147"/>
    <cellStyle name="40% - Accent2 4 4" xfId="2148"/>
    <cellStyle name="40% - Accent2 4 4 2" xfId="2149"/>
    <cellStyle name="40% - Accent2 4_CPI" xfId="2150"/>
    <cellStyle name="40% - Accent2 5" xfId="2151"/>
    <cellStyle name="40% - Accent2 5 2" xfId="2152"/>
    <cellStyle name="40% - Accent2 5 2 2" xfId="2153"/>
    <cellStyle name="40% - Accent2 5 3" xfId="2154"/>
    <cellStyle name="40% - Accent2 6" xfId="2155"/>
    <cellStyle name="40% - Accent2 6 2" xfId="2156"/>
    <cellStyle name="40% - Accent2 6 2 2" xfId="2157"/>
    <cellStyle name="40% - Accent2 6 3" xfId="2158"/>
    <cellStyle name="40% - Accent2 7" xfId="2159"/>
    <cellStyle name="40% - Accent2 7 2" xfId="2160"/>
    <cellStyle name="40% - Accent2 7 2 2" xfId="2161"/>
    <cellStyle name="40% - Accent2 7 3" xfId="2162"/>
    <cellStyle name="40% - Accent2 8" xfId="2163"/>
    <cellStyle name="40% - Accent2 8 2" xfId="2164"/>
    <cellStyle name="40% - Accent2 8 2 2" xfId="2165"/>
    <cellStyle name="40% - Accent2 8 3" xfId="2166"/>
    <cellStyle name="40% - Accent2 9" xfId="2167"/>
    <cellStyle name="40% - Accent2 9 2" xfId="2168"/>
    <cellStyle name="40% - Accent3 2" xfId="120"/>
    <cellStyle name="40% - Accent3 2 2" xfId="2169"/>
    <cellStyle name="40% - Accent3 2 2 2" xfId="2170"/>
    <cellStyle name="40% - Accent3 2 2 2 2" xfId="2171"/>
    <cellStyle name="40% - Accent3 2 2 2 3" xfId="2172"/>
    <cellStyle name="40% - Accent3 2 2 3" xfId="2173"/>
    <cellStyle name="40% - Accent3 2 2 3 2" xfId="2174"/>
    <cellStyle name="40% - Accent3 2 2 3 3" xfId="2175"/>
    <cellStyle name="40% - Accent3 2 2 3 3 2" xfId="2176"/>
    <cellStyle name="40% - Accent3 2 2 3 3 3" xfId="2177"/>
    <cellStyle name="40% - Accent3 2 2 3 4" xfId="2178"/>
    <cellStyle name="40% - Accent3 2 2 3 5" xfId="2179"/>
    <cellStyle name="40% - Accent3 2 2 3 6" xfId="2180"/>
    <cellStyle name="40% - Accent3 2 2 4" xfId="2181"/>
    <cellStyle name="40% - Accent3 2 2 4 2" xfId="2182"/>
    <cellStyle name="40% - Accent3 2 2 4 3" xfId="2183"/>
    <cellStyle name="40% - Accent3 2 2 4 4" xfId="2184"/>
    <cellStyle name="40% - Accent3 2 2 5" xfId="2185"/>
    <cellStyle name="40% - Accent3 2 3" xfId="2186"/>
    <cellStyle name="40% - Accent3 2 3 2" xfId="2187"/>
    <cellStyle name="40% - Accent3 2 3 2 2" xfId="2188"/>
    <cellStyle name="40% - Accent3 2 3 2 3" xfId="2189"/>
    <cellStyle name="40% - Accent3 2 3 2 3 2" xfId="2190"/>
    <cellStyle name="40% - Accent3 2 3 2 3 3" xfId="2191"/>
    <cellStyle name="40% - Accent3 2 3 2 4" xfId="2192"/>
    <cellStyle name="40% - Accent3 2 3 2 5" xfId="2193"/>
    <cellStyle name="40% - Accent3 2 3 2 6" xfId="2194"/>
    <cellStyle name="40% - Accent3 2 3 3" xfId="2195"/>
    <cellStyle name="40% - Accent3 2 3 4" xfId="2196"/>
    <cellStyle name="40% - Accent3 2 4" xfId="2197"/>
    <cellStyle name="40% - Accent3 2 4 2" xfId="2198"/>
    <cellStyle name="40% - Accent3 2 4 2 2" xfId="2199"/>
    <cellStyle name="40% - Accent3 2 4 2 3" xfId="2200"/>
    <cellStyle name="40% - Accent3 2 4 2 3 2" xfId="2201"/>
    <cellStyle name="40% - Accent3 2 4 2 3 3" xfId="2202"/>
    <cellStyle name="40% - Accent3 2 4 2 4" xfId="2203"/>
    <cellStyle name="40% - Accent3 2 4 2 5" xfId="2204"/>
    <cellStyle name="40% - Accent3 2 4 2 6" xfId="2205"/>
    <cellStyle name="40% - Accent3 2 4 3" xfId="2206"/>
    <cellStyle name="40% - Accent3 2 4 4" xfId="2207"/>
    <cellStyle name="40% - Accent3 2 5" xfId="2208"/>
    <cellStyle name="40% - Accent3 2 5 2" xfId="2209"/>
    <cellStyle name="40% - Accent3 2 5 3" xfId="2210"/>
    <cellStyle name="40% - Accent3 2 5 4" xfId="2211"/>
    <cellStyle name="40% - Accent3 2 6" xfId="2212"/>
    <cellStyle name="40% - Accent3 2 6 2" xfId="2213"/>
    <cellStyle name="40% - Accent3 2 6 3" xfId="2214"/>
    <cellStyle name="40% - Accent3 2 6 4" xfId="2215"/>
    <cellStyle name="40% - Accent3 2 7" xfId="2216"/>
    <cellStyle name="40% - Accent3 3" xfId="2217"/>
    <cellStyle name="40% - Accent3 3 2" xfId="2218"/>
    <cellStyle name="40% - Accent3 3 2 2" xfId="2219"/>
    <cellStyle name="40% - Accent3 3 2 3" xfId="2220"/>
    <cellStyle name="40% - Accent3 3 2 4" xfId="2221"/>
    <cellStyle name="40% - Accent3 3 2_CPI" xfId="2222"/>
    <cellStyle name="40% - Accent3 3 3" xfId="2223"/>
    <cellStyle name="40% - Accent3 3 3 2" xfId="2224"/>
    <cellStyle name="40% - Accent3 3 3 3" xfId="2225"/>
    <cellStyle name="40% - Accent3 3 3_CPI" xfId="2226"/>
    <cellStyle name="40% - Accent3 3 4" xfId="2227"/>
    <cellStyle name="40% - Accent3 3 4 2" xfId="2228"/>
    <cellStyle name="40% - Accent3 3_CPI" xfId="2229"/>
    <cellStyle name="40% - Accent3 4" xfId="2230"/>
    <cellStyle name="40% - Accent3 4 2" xfId="2231"/>
    <cellStyle name="40% - Accent3 4 2 2" xfId="2232"/>
    <cellStyle name="40% - Accent3 4 2 3" xfId="2233"/>
    <cellStyle name="40% - Accent3 4 2 4" xfId="2234"/>
    <cellStyle name="40% - Accent3 4 3" xfId="2235"/>
    <cellStyle name="40% - Accent3 4 3 2" xfId="2236"/>
    <cellStyle name="40% - Accent3 4 3 3" xfId="2237"/>
    <cellStyle name="40% - Accent3 4 4" xfId="2238"/>
    <cellStyle name="40% - Accent3 4 4 2" xfId="2239"/>
    <cellStyle name="40% - Accent3 5" xfId="2240"/>
    <cellStyle name="40% - Accent3 5 2" xfId="2241"/>
    <cellStyle name="40% - Accent3 5 2 2" xfId="2242"/>
    <cellStyle name="40% - Accent3 5 3" xfId="2243"/>
    <cellStyle name="40% - Accent3 6" xfId="2244"/>
    <cellStyle name="40% - Accent3 6 2" xfId="2245"/>
    <cellStyle name="40% - Accent3 6 2 2" xfId="2246"/>
    <cellStyle name="40% - Accent3 6 3" xfId="2247"/>
    <cellStyle name="40% - Accent3 7" xfId="2248"/>
    <cellStyle name="40% - Accent3 7 2" xfId="2249"/>
    <cellStyle name="40% - Accent3 7 2 2" xfId="2250"/>
    <cellStyle name="40% - Accent3 7 3" xfId="2251"/>
    <cellStyle name="40% - Accent3 8" xfId="2252"/>
    <cellStyle name="40% - Accent3 8 2" xfId="2253"/>
    <cellStyle name="40% - Accent3 8 2 2" xfId="2254"/>
    <cellStyle name="40% - Accent3 8 3" xfId="2255"/>
    <cellStyle name="40% - Accent3 9" xfId="2256"/>
    <cellStyle name="40% - Accent3 9 2" xfId="2257"/>
    <cellStyle name="40% - Accent4 2" xfId="121"/>
    <cellStyle name="40% - Accent4 2 2" xfId="2258"/>
    <cellStyle name="40% - Accent4 2 2 2" xfId="2259"/>
    <cellStyle name="40% - Accent4 2 2 2 2" xfId="2260"/>
    <cellStyle name="40% - Accent4 2 2 2 3" xfId="2261"/>
    <cellStyle name="40% - Accent4 2 2 3" xfId="2262"/>
    <cellStyle name="40% - Accent4 2 2 3 2" xfId="2263"/>
    <cellStyle name="40% - Accent4 2 2 3 3" xfId="2264"/>
    <cellStyle name="40% - Accent4 2 2 3 3 2" xfId="2265"/>
    <cellStyle name="40% - Accent4 2 2 3 3 3" xfId="2266"/>
    <cellStyle name="40% - Accent4 2 2 3 4" xfId="2267"/>
    <cellStyle name="40% - Accent4 2 2 3 5" xfId="2268"/>
    <cellStyle name="40% - Accent4 2 2 3 6" xfId="2269"/>
    <cellStyle name="40% - Accent4 2 2 4" xfId="2270"/>
    <cellStyle name="40% - Accent4 2 2 4 2" xfId="2271"/>
    <cellStyle name="40% - Accent4 2 2 4 3" xfId="2272"/>
    <cellStyle name="40% - Accent4 2 2 4 4" xfId="2273"/>
    <cellStyle name="40% - Accent4 2 2 5" xfId="2274"/>
    <cellStyle name="40% - Accent4 2 3" xfId="2275"/>
    <cellStyle name="40% - Accent4 2 3 2" xfId="2276"/>
    <cellStyle name="40% - Accent4 2 3 2 2" xfId="2277"/>
    <cellStyle name="40% - Accent4 2 3 2 3" xfId="2278"/>
    <cellStyle name="40% - Accent4 2 3 2 3 2" xfId="2279"/>
    <cellStyle name="40% - Accent4 2 3 2 3 3" xfId="2280"/>
    <cellStyle name="40% - Accent4 2 3 2 4" xfId="2281"/>
    <cellStyle name="40% - Accent4 2 3 2 5" xfId="2282"/>
    <cellStyle name="40% - Accent4 2 3 2 6" xfId="2283"/>
    <cellStyle name="40% - Accent4 2 3 3" xfId="2284"/>
    <cellStyle name="40% - Accent4 2 3 4" xfId="2285"/>
    <cellStyle name="40% - Accent4 2 4" xfId="2286"/>
    <cellStyle name="40% - Accent4 2 4 2" xfId="2287"/>
    <cellStyle name="40% - Accent4 2 4 2 2" xfId="2288"/>
    <cellStyle name="40% - Accent4 2 4 2 3" xfId="2289"/>
    <cellStyle name="40% - Accent4 2 4 2 3 2" xfId="2290"/>
    <cellStyle name="40% - Accent4 2 4 2 3 3" xfId="2291"/>
    <cellStyle name="40% - Accent4 2 4 2 4" xfId="2292"/>
    <cellStyle name="40% - Accent4 2 4 2 5" xfId="2293"/>
    <cellStyle name="40% - Accent4 2 4 2 6" xfId="2294"/>
    <cellStyle name="40% - Accent4 2 4 3" xfId="2295"/>
    <cellStyle name="40% - Accent4 2 4 4" xfId="2296"/>
    <cellStyle name="40% - Accent4 2 5" xfId="2297"/>
    <cellStyle name="40% - Accent4 2 5 2" xfId="2298"/>
    <cellStyle name="40% - Accent4 2 5 3" xfId="2299"/>
    <cellStyle name="40% - Accent4 2 5 4" xfId="2300"/>
    <cellStyle name="40% - Accent4 2 6" xfId="2301"/>
    <cellStyle name="40% - Accent4 2 6 2" xfId="2302"/>
    <cellStyle name="40% - Accent4 2 6 3" xfId="2303"/>
    <cellStyle name="40% - Accent4 2 6 4" xfId="2304"/>
    <cellStyle name="40% - Accent4 2 7" xfId="2305"/>
    <cellStyle name="40% - Accent4 3" xfId="2306"/>
    <cellStyle name="40% - Accent4 3 2" xfId="2307"/>
    <cellStyle name="40% - Accent4 3 2 2" xfId="2308"/>
    <cellStyle name="40% - Accent4 3 2 3" xfId="2309"/>
    <cellStyle name="40% - Accent4 3 2 4" xfId="2310"/>
    <cellStyle name="40% - Accent4 3 2_CPI" xfId="2311"/>
    <cellStyle name="40% - Accent4 3 3" xfId="2312"/>
    <cellStyle name="40% - Accent4 3 3 2" xfId="2313"/>
    <cellStyle name="40% - Accent4 3 3 3" xfId="2314"/>
    <cellStyle name="40% - Accent4 3 3_CPI" xfId="2315"/>
    <cellStyle name="40% - Accent4 3 4" xfId="2316"/>
    <cellStyle name="40% - Accent4 3 4 2" xfId="2317"/>
    <cellStyle name="40% - Accent4 3_CPI" xfId="2318"/>
    <cellStyle name="40% - Accent4 4" xfId="2319"/>
    <cellStyle name="40% - Accent4 4 2" xfId="2320"/>
    <cellStyle name="40% - Accent4 4 2 2" xfId="2321"/>
    <cellStyle name="40% - Accent4 4 2 3" xfId="2322"/>
    <cellStyle name="40% - Accent4 4 2 4" xfId="2323"/>
    <cellStyle name="40% - Accent4 4 3" xfId="2324"/>
    <cellStyle name="40% - Accent4 4 3 2" xfId="2325"/>
    <cellStyle name="40% - Accent4 4 3 3" xfId="2326"/>
    <cellStyle name="40% - Accent4 4 4" xfId="2327"/>
    <cellStyle name="40% - Accent4 4 4 2" xfId="2328"/>
    <cellStyle name="40% - Accent4 5" xfId="2329"/>
    <cellStyle name="40% - Accent4 5 2" xfId="2330"/>
    <cellStyle name="40% - Accent4 5 2 2" xfId="2331"/>
    <cellStyle name="40% - Accent4 5 3" xfId="2332"/>
    <cellStyle name="40% - Accent4 6" xfId="2333"/>
    <cellStyle name="40% - Accent4 6 2" xfId="2334"/>
    <cellStyle name="40% - Accent4 6 2 2" xfId="2335"/>
    <cellStyle name="40% - Accent4 6 3" xfId="2336"/>
    <cellStyle name="40% - Accent4 7" xfId="2337"/>
    <cellStyle name="40% - Accent4 7 2" xfId="2338"/>
    <cellStyle name="40% - Accent4 7 2 2" xfId="2339"/>
    <cellStyle name="40% - Accent4 7 3" xfId="2340"/>
    <cellStyle name="40% - Accent4 8" xfId="2341"/>
    <cellStyle name="40% - Accent4 8 2" xfId="2342"/>
    <cellStyle name="40% - Accent4 8 2 2" xfId="2343"/>
    <cellStyle name="40% - Accent4 8 3" xfId="2344"/>
    <cellStyle name="40% - Accent4 9" xfId="2345"/>
    <cellStyle name="40% - Accent4 9 2" xfId="2346"/>
    <cellStyle name="40% - Accent5 2" xfId="122"/>
    <cellStyle name="40% - Accent5 2 2" xfId="2347"/>
    <cellStyle name="40% - Accent5 2 2 2" xfId="2348"/>
    <cellStyle name="40% - Accent5 2 2 2 2" xfId="2349"/>
    <cellStyle name="40% - Accent5 2 2 2 3" xfId="2350"/>
    <cellStyle name="40% - Accent5 2 2 3" xfId="2351"/>
    <cellStyle name="40% - Accent5 2 2 3 2" xfId="2352"/>
    <cellStyle name="40% - Accent5 2 2 3 3" xfId="2353"/>
    <cellStyle name="40% - Accent5 2 2 3 3 2" xfId="2354"/>
    <cellStyle name="40% - Accent5 2 2 3 3 3" xfId="2355"/>
    <cellStyle name="40% - Accent5 2 2 3 4" xfId="2356"/>
    <cellStyle name="40% - Accent5 2 2 3 5" xfId="2357"/>
    <cellStyle name="40% - Accent5 2 2 3 6" xfId="2358"/>
    <cellStyle name="40% - Accent5 2 2 4" xfId="2359"/>
    <cellStyle name="40% - Accent5 2 2 4 2" xfId="2360"/>
    <cellStyle name="40% - Accent5 2 2 4 3" xfId="2361"/>
    <cellStyle name="40% - Accent5 2 2 4 4" xfId="2362"/>
    <cellStyle name="40% - Accent5 2 2 5" xfId="2363"/>
    <cellStyle name="40% - Accent5 2 3" xfId="2364"/>
    <cellStyle name="40% - Accent5 2 3 2" xfId="2365"/>
    <cellStyle name="40% - Accent5 2 3 2 2" xfId="2366"/>
    <cellStyle name="40% - Accent5 2 3 2 3" xfId="2367"/>
    <cellStyle name="40% - Accent5 2 3 2 3 2" xfId="2368"/>
    <cellStyle name="40% - Accent5 2 3 2 3 3" xfId="2369"/>
    <cellStyle name="40% - Accent5 2 3 2 4" xfId="2370"/>
    <cellStyle name="40% - Accent5 2 3 2 5" xfId="2371"/>
    <cellStyle name="40% - Accent5 2 3 2 6" xfId="2372"/>
    <cellStyle name="40% - Accent5 2 3 3" xfId="2373"/>
    <cellStyle name="40% - Accent5 2 3 4" xfId="2374"/>
    <cellStyle name="40% - Accent5 2 4" xfId="2375"/>
    <cellStyle name="40% - Accent5 2 4 2" xfId="2376"/>
    <cellStyle name="40% - Accent5 2 4 2 2" xfId="2377"/>
    <cellStyle name="40% - Accent5 2 4 2 3" xfId="2378"/>
    <cellStyle name="40% - Accent5 2 4 2 3 2" xfId="2379"/>
    <cellStyle name="40% - Accent5 2 4 2 3 3" xfId="2380"/>
    <cellStyle name="40% - Accent5 2 4 2 4" xfId="2381"/>
    <cellStyle name="40% - Accent5 2 4 2 5" xfId="2382"/>
    <cellStyle name="40% - Accent5 2 4 2 6" xfId="2383"/>
    <cellStyle name="40% - Accent5 2 4 3" xfId="2384"/>
    <cellStyle name="40% - Accent5 2 4 4" xfId="2385"/>
    <cellStyle name="40% - Accent5 2 5" xfId="2386"/>
    <cellStyle name="40% - Accent5 2 5 2" xfId="2387"/>
    <cellStyle name="40% - Accent5 2 5 3" xfId="2388"/>
    <cellStyle name="40% - Accent5 2 5 4" xfId="2389"/>
    <cellStyle name="40% - Accent5 2 6" xfId="2390"/>
    <cellStyle name="40% - Accent5 2 6 2" xfId="2391"/>
    <cellStyle name="40% - Accent5 2 6 3" xfId="2392"/>
    <cellStyle name="40% - Accent5 2 6 4" xfId="2393"/>
    <cellStyle name="40% - Accent5 2 7" xfId="2394"/>
    <cellStyle name="40% - Accent5 3" xfId="2395"/>
    <cellStyle name="40% - Accent5 3 2" xfId="2396"/>
    <cellStyle name="40% - Accent5 3 2 2" xfId="2397"/>
    <cellStyle name="40% - Accent5 3 2 3" xfId="2398"/>
    <cellStyle name="40% - Accent5 3 2 4" xfId="2399"/>
    <cellStyle name="40% - Accent5 3 2_CPI" xfId="2400"/>
    <cellStyle name="40% - Accent5 3 3" xfId="2401"/>
    <cellStyle name="40% - Accent5 3 3 2" xfId="2402"/>
    <cellStyle name="40% - Accent5 3 3 3" xfId="2403"/>
    <cellStyle name="40% - Accent5 3 3_CPI" xfId="2404"/>
    <cellStyle name="40% - Accent5 3 4" xfId="2405"/>
    <cellStyle name="40% - Accent5 3 4 2" xfId="2406"/>
    <cellStyle name="40% - Accent5 3_CPI" xfId="2407"/>
    <cellStyle name="40% - Accent5 4" xfId="2408"/>
    <cellStyle name="40% - Accent5 4 2" xfId="2409"/>
    <cellStyle name="40% - Accent5 4 2 2" xfId="2410"/>
    <cellStyle name="40% - Accent5 4 2 3" xfId="2411"/>
    <cellStyle name="40% - Accent5 4 2 4" xfId="2412"/>
    <cellStyle name="40% - Accent5 4 3" xfId="2413"/>
    <cellStyle name="40% - Accent5 4 3 2" xfId="2414"/>
    <cellStyle name="40% - Accent5 4 3 3" xfId="2415"/>
    <cellStyle name="40% - Accent5 4 4" xfId="2416"/>
    <cellStyle name="40% - Accent5 4 4 2" xfId="2417"/>
    <cellStyle name="40% - Accent5 5" xfId="2418"/>
    <cellStyle name="40% - Accent5 5 2" xfId="2419"/>
    <cellStyle name="40% - Accent5 5 2 2" xfId="2420"/>
    <cellStyle name="40% - Accent5 5 3" xfId="2421"/>
    <cellStyle name="40% - Accent5 6" xfId="2422"/>
    <cellStyle name="40% - Accent5 6 2" xfId="2423"/>
    <cellStyle name="40% - Accent5 6 2 2" xfId="2424"/>
    <cellStyle name="40% - Accent5 6 3" xfId="2425"/>
    <cellStyle name="40% - Accent5 7" xfId="2426"/>
    <cellStyle name="40% - Accent5 7 2" xfId="2427"/>
    <cellStyle name="40% - Accent5 7 2 2" xfId="2428"/>
    <cellStyle name="40% - Accent5 7 3" xfId="2429"/>
    <cellStyle name="40% - Accent5 8" xfId="2430"/>
    <cellStyle name="40% - Accent5 8 2" xfId="2431"/>
    <cellStyle name="40% - Accent5 8 2 2" xfId="2432"/>
    <cellStyle name="40% - Accent5 8 3" xfId="2433"/>
    <cellStyle name="40% - Accent5 9" xfId="2434"/>
    <cellStyle name="40% - Accent5 9 2" xfId="2435"/>
    <cellStyle name="40% - Accent6 2" xfId="123"/>
    <cellStyle name="40% - Accent6 2 2" xfId="2436"/>
    <cellStyle name="40% - Accent6 2 2 2" xfId="2437"/>
    <cellStyle name="40% - Accent6 2 2 2 2" xfId="2438"/>
    <cellStyle name="40% - Accent6 2 2 2 3" xfId="2439"/>
    <cellStyle name="40% - Accent6 2 2 3" xfId="2440"/>
    <cellStyle name="40% - Accent6 2 2 3 2" xfId="2441"/>
    <cellStyle name="40% - Accent6 2 2 3 3" xfId="2442"/>
    <cellStyle name="40% - Accent6 2 2 3 3 2" xfId="2443"/>
    <cellStyle name="40% - Accent6 2 2 3 3 3" xfId="2444"/>
    <cellStyle name="40% - Accent6 2 2 3 4" xfId="2445"/>
    <cellStyle name="40% - Accent6 2 2 3 5" xfId="2446"/>
    <cellStyle name="40% - Accent6 2 2 3 6" xfId="2447"/>
    <cellStyle name="40% - Accent6 2 2 4" xfId="2448"/>
    <cellStyle name="40% - Accent6 2 2 4 2" xfId="2449"/>
    <cellStyle name="40% - Accent6 2 2 4 3" xfId="2450"/>
    <cellStyle name="40% - Accent6 2 2 4 4" xfId="2451"/>
    <cellStyle name="40% - Accent6 2 2 5" xfId="2452"/>
    <cellStyle name="40% - Accent6 2 3" xfId="2453"/>
    <cellStyle name="40% - Accent6 2 3 2" xfId="2454"/>
    <cellStyle name="40% - Accent6 2 3 2 2" xfId="2455"/>
    <cellStyle name="40% - Accent6 2 3 2 3" xfId="2456"/>
    <cellStyle name="40% - Accent6 2 3 2 3 2" xfId="2457"/>
    <cellStyle name="40% - Accent6 2 3 2 3 3" xfId="2458"/>
    <cellStyle name="40% - Accent6 2 3 2 4" xfId="2459"/>
    <cellStyle name="40% - Accent6 2 3 2 5" xfId="2460"/>
    <cellStyle name="40% - Accent6 2 3 2 6" xfId="2461"/>
    <cellStyle name="40% - Accent6 2 3 3" xfId="2462"/>
    <cellStyle name="40% - Accent6 2 3 4" xfId="2463"/>
    <cellStyle name="40% - Accent6 2 4" xfId="2464"/>
    <cellStyle name="40% - Accent6 2 4 2" xfId="2465"/>
    <cellStyle name="40% - Accent6 2 4 2 2" xfId="2466"/>
    <cellStyle name="40% - Accent6 2 4 2 3" xfId="2467"/>
    <cellStyle name="40% - Accent6 2 4 2 3 2" xfId="2468"/>
    <cellStyle name="40% - Accent6 2 4 2 3 3" xfId="2469"/>
    <cellStyle name="40% - Accent6 2 4 2 4" xfId="2470"/>
    <cellStyle name="40% - Accent6 2 4 2 5" xfId="2471"/>
    <cellStyle name="40% - Accent6 2 4 2 6" xfId="2472"/>
    <cellStyle name="40% - Accent6 2 4 3" xfId="2473"/>
    <cellStyle name="40% - Accent6 2 4 4" xfId="2474"/>
    <cellStyle name="40% - Accent6 2 5" xfId="2475"/>
    <cellStyle name="40% - Accent6 2 5 2" xfId="2476"/>
    <cellStyle name="40% - Accent6 2 5 3" xfId="2477"/>
    <cellStyle name="40% - Accent6 2 5 4" xfId="2478"/>
    <cellStyle name="40% - Accent6 2 6" xfId="2479"/>
    <cellStyle name="40% - Accent6 2 6 2" xfId="2480"/>
    <cellStyle name="40% - Accent6 2 6 3" xfId="2481"/>
    <cellStyle name="40% - Accent6 2 6 4" xfId="2482"/>
    <cellStyle name="40% - Accent6 2 7" xfId="2483"/>
    <cellStyle name="40% - Accent6 3" xfId="2484"/>
    <cellStyle name="40% - Accent6 3 2" xfId="2485"/>
    <cellStyle name="40% - Accent6 3 2 2" xfId="2486"/>
    <cellStyle name="40% - Accent6 3 2 3" xfId="2487"/>
    <cellStyle name="40% - Accent6 3 2 4" xfId="2488"/>
    <cellStyle name="40% - Accent6 3 2_CPI" xfId="2489"/>
    <cellStyle name="40% - Accent6 3 3" xfId="2490"/>
    <cellStyle name="40% - Accent6 3 3 2" xfId="2491"/>
    <cellStyle name="40% - Accent6 3 3 3" xfId="2492"/>
    <cellStyle name="40% - Accent6 3 3_CPI" xfId="2493"/>
    <cellStyle name="40% - Accent6 3 4" xfId="2494"/>
    <cellStyle name="40% - Accent6 3 4 2" xfId="2495"/>
    <cellStyle name="40% - Accent6 3_CPI" xfId="2496"/>
    <cellStyle name="40% - Accent6 4" xfId="2497"/>
    <cellStyle name="40% - Accent6 4 2" xfId="2498"/>
    <cellStyle name="40% - Accent6 4 2 2" xfId="2499"/>
    <cellStyle name="40% - Accent6 4 2 3" xfId="2500"/>
    <cellStyle name="40% - Accent6 4 2 4" xfId="2501"/>
    <cellStyle name="40% - Accent6 4 3" xfId="2502"/>
    <cellStyle name="40% - Accent6 4 3 2" xfId="2503"/>
    <cellStyle name="40% - Accent6 4 3 3" xfId="2504"/>
    <cellStyle name="40% - Accent6 4 4" xfId="2505"/>
    <cellStyle name="40% - Accent6 4 4 2" xfId="2506"/>
    <cellStyle name="40% - Accent6 5" xfId="2507"/>
    <cellStyle name="40% - Accent6 5 2" xfId="2508"/>
    <cellStyle name="40% - Accent6 5 2 2" xfId="2509"/>
    <cellStyle name="40% - Accent6 5 3" xfId="2510"/>
    <cellStyle name="40% - Accent6 6" xfId="2511"/>
    <cellStyle name="40% - Accent6 6 2" xfId="2512"/>
    <cellStyle name="40% - Accent6 6 2 2" xfId="2513"/>
    <cellStyle name="40% - Accent6 6 3" xfId="2514"/>
    <cellStyle name="40% - Accent6 7" xfId="2515"/>
    <cellStyle name="40% - Accent6 7 2" xfId="2516"/>
    <cellStyle name="40% - Accent6 7 2 2" xfId="2517"/>
    <cellStyle name="40% - Accent6 7 3" xfId="2518"/>
    <cellStyle name="40% - Accent6 8" xfId="2519"/>
    <cellStyle name="40% - Accent6 8 2" xfId="2520"/>
    <cellStyle name="40% - Accent6 8 2 2" xfId="2521"/>
    <cellStyle name="40% - Accent6 8 3" xfId="2522"/>
    <cellStyle name="40% - Accent6 9" xfId="2523"/>
    <cellStyle name="40% - Accent6 9 2" xfId="2524"/>
    <cellStyle name="40% - Colore 1" xfId="2525"/>
    <cellStyle name="40% - Colore 2" xfId="2526"/>
    <cellStyle name="40% - Colore 3" xfId="2527"/>
    <cellStyle name="40% - Colore 4" xfId="2528"/>
    <cellStyle name="40% - Colore 5" xfId="2529"/>
    <cellStyle name="40% - Colore 6" xfId="2530"/>
    <cellStyle name="40% - Énfasis1" xfId="2531"/>
    <cellStyle name="40% - Énfasis2" xfId="2532"/>
    <cellStyle name="40% - Énfasis3" xfId="2533"/>
    <cellStyle name="40% - Énfasis4" xfId="2534"/>
    <cellStyle name="40% - Énfasis5" xfId="2535"/>
    <cellStyle name="40% - Énfasis6" xfId="2536"/>
    <cellStyle name="6_x0002__x0002__x0008__x0001_" xfId="2537"/>
    <cellStyle name="6%*_x0005_6" xfId="2538"/>
    <cellStyle name="6_x0002__x0002__x0008__x0001__F-zero" xfId="2539"/>
    <cellStyle name="60% - Accent1 2" xfId="124"/>
    <cellStyle name="60% - Accent1 2 2" xfId="2540"/>
    <cellStyle name="60% - Accent1 2 2 2" xfId="2541"/>
    <cellStyle name="60% - Accent1 2 2 2 2" xfId="2542"/>
    <cellStyle name="60% - Accent1 2 2 2 3" xfId="2543"/>
    <cellStyle name="60% - Accent1 2 2 2 3 2" xfId="2544"/>
    <cellStyle name="60% - Accent1 2 2 2 3 3" xfId="2545"/>
    <cellStyle name="60% - Accent1 2 2 2 4" xfId="2546"/>
    <cellStyle name="60% - Accent1 2 2 2 5" xfId="2547"/>
    <cellStyle name="60% - Accent1 2 2 2 6" xfId="2548"/>
    <cellStyle name="60% - Accent1 2 2 3" xfId="2549"/>
    <cellStyle name="60% - Accent1 2 2 3 2" xfId="2550"/>
    <cellStyle name="60% - Accent1 2 2 3 3" xfId="2551"/>
    <cellStyle name="60% - Accent1 2 2 3 4" xfId="2552"/>
    <cellStyle name="60% - Accent1 2 2 4" xfId="2553"/>
    <cellStyle name="60% - Accent1 2 3" xfId="2554"/>
    <cellStyle name="60% - Accent1 2 3 2" xfId="2555"/>
    <cellStyle name="60% - Accent1 2 3 3" xfId="2556"/>
    <cellStyle name="60% - Accent1 2 4" xfId="2557"/>
    <cellStyle name="60% - Accent1 2 4 2" xfId="2558"/>
    <cellStyle name="60% - Accent1 2 4 3" xfId="2559"/>
    <cellStyle name="60% - Accent1 2 5" xfId="2560"/>
    <cellStyle name="60% - Accent1 2 5 2" xfId="2561"/>
    <cellStyle name="60% - Accent1 2 5 3" xfId="2562"/>
    <cellStyle name="60% - Accent1 2 5_CPI" xfId="2563"/>
    <cellStyle name="60% - Accent1 2 6" xfId="2564"/>
    <cellStyle name="60% - Accent1 2 6 2" xfId="2565"/>
    <cellStyle name="60% - Accent1 2 6 3" xfId="2566"/>
    <cellStyle name="60% - Accent1 2 6 4" xfId="2567"/>
    <cellStyle name="60% - Accent1 2 7" xfId="2568"/>
    <cellStyle name="60% - Accent1 3" xfId="2569"/>
    <cellStyle name="60% - Accent1 3 2" xfId="2570"/>
    <cellStyle name="60% - Accent1 3 2 2" xfId="2571"/>
    <cellStyle name="60% - Accent1 3 2 3" xfId="2572"/>
    <cellStyle name="60% - Accent1 3 2 4" xfId="2573"/>
    <cellStyle name="60% - Accent1 3 2_CPI" xfId="2574"/>
    <cellStyle name="60% - Accent1 3 3" xfId="2575"/>
    <cellStyle name="60% - Accent1 3_CPI" xfId="2576"/>
    <cellStyle name="60% - Accent1 4" xfId="2577"/>
    <cellStyle name="60% - Accent1 4 2" xfId="2578"/>
    <cellStyle name="60% - Accent1 4 3" xfId="2579"/>
    <cellStyle name="60% - Accent1 5" xfId="2580"/>
    <cellStyle name="60% - Accent1 6" xfId="2581"/>
    <cellStyle name="60% - Accent1 7" xfId="2582"/>
    <cellStyle name="60% - Accent1 8" xfId="2583"/>
    <cellStyle name="60% - Accent2 2" xfId="125"/>
    <cellStyle name="60% - Accent2 2 2" xfId="2584"/>
    <cellStyle name="60% - Accent2 2 2 2" xfId="2585"/>
    <cellStyle name="60% - Accent2 2 2 2 2" xfId="2586"/>
    <cellStyle name="60% - Accent2 2 2 2 3" xfId="2587"/>
    <cellStyle name="60% - Accent2 2 2 2 3 2" xfId="2588"/>
    <cellStyle name="60% - Accent2 2 2 2 3 3" xfId="2589"/>
    <cellStyle name="60% - Accent2 2 2 2 4" xfId="2590"/>
    <cellStyle name="60% - Accent2 2 2 2 5" xfId="2591"/>
    <cellStyle name="60% - Accent2 2 2 2 6" xfId="2592"/>
    <cellStyle name="60% - Accent2 2 2 3" xfId="2593"/>
    <cellStyle name="60% - Accent2 2 2 3 2" xfId="2594"/>
    <cellStyle name="60% - Accent2 2 2 3 3" xfId="2595"/>
    <cellStyle name="60% - Accent2 2 2 3 4" xfId="2596"/>
    <cellStyle name="60% - Accent2 2 2 4" xfId="2597"/>
    <cellStyle name="60% - Accent2 2 3" xfId="2598"/>
    <cellStyle name="60% - Accent2 2 3 2" xfId="2599"/>
    <cellStyle name="60% - Accent2 2 3 3" xfId="2600"/>
    <cellStyle name="60% - Accent2 2 4" xfId="2601"/>
    <cellStyle name="60% - Accent2 2 4 2" xfId="2602"/>
    <cellStyle name="60% - Accent2 2 4 3" xfId="2603"/>
    <cellStyle name="60% - Accent2 2 5" xfId="2604"/>
    <cellStyle name="60% - Accent2 2 5 2" xfId="2605"/>
    <cellStyle name="60% - Accent2 2 5 3" xfId="2606"/>
    <cellStyle name="60% - Accent2 2 5_CPI" xfId="2607"/>
    <cellStyle name="60% - Accent2 2 6" xfId="2608"/>
    <cellStyle name="60% - Accent2 2 6 2" xfId="2609"/>
    <cellStyle name="60% - Accent2 2 6 3" xfId="2610"/>
    <cellStyle name="60% - Accent2 2 6 4" xfId="2611"/>
    <cellStyle name="60% - Accent2 2 7" xfId="2612"/>
    <cellStyle name="60% - Accent2 3" xfId="2613"/>
    <cellStyle name="60% - Accent2 3 2" xfId="2614"/>
    <cellStyle name="60% - Accent2 3 2 2" xfId="2615"/>
    <cellStyle name="60% - Accent2 3 2 3" xfId="2616"/>
    <cellStyle name="60% - Accent2 3 2 4" xfId="2617"/>
    <cellStyle name="60% - Accent2 3 2_CPI" xfId="2618"/>
    <cellStyle name="60% - Accent2 3 3" xfId="2619"/>
    <cellStyle name="60% - Accent2 3_CPI" xfId="2620"/>
    <cellStyle name="60% - Accent2 4" xfId="2621"/>
    <cellStyle name="60% - Accent2 4 2" xfId="2622"/>
    <cellStyle name="60% - Accent2 4 3" xfId="2623"/>
    <cellStyle name="60% - Accent2 5" xfId="2624"/>
    <cellStyle name="60% - Accent2 6" xfId="2625"/>
    <cellStyle name="60% - Accent2 7" xfId="2626"/>
    <cellStyle name="60% - Accent2 8" xfId="2627"/>
    <cellStyle name="60% - Accent3 2" xfId="126"/>
    <cellStyle name="60% - Accent3 2 2" xfId="2628"/>
    <cellStyle name="60% - Accent3 2 2 2" xfId="2629"/>
    <cellStyle name="60% - Accent3 2 2 2 2" xfId="2630"/>
    <cellStyle name="60% - Accent3 2 2 2 3" xfId="2631"/>
    <cellStyle name="60% - Accent3 2 2 2 3 2" xfId="2632"/>
    <cellStyle name="60% - Accent3 2 2 2 3 3" xfId="2633"/>
    <cellStyle name="60% - Accent3 2 2 2 4" xfId="2634"/>
    <cellStyle name="60% - Accent3 2 2 2 5" xfId="2635"/>
    <cellStyle name="60% - Accent3 2 2 2 6" xfId="2636"/>
    <cellStyle name="60% - Accent3 2 2 3" xfId="2637"/>
    <cellStyle name="60% - Accent3 2 2 3 2" xfId="2638"/>
    <cellStyle name="60% - Accent3 2 2 3 3" xfId="2639"/>
    <cellStyle name="60% - Accent3 2 2 3 4" xfId="2640"/>
    <cellStyle name="60% - Accent3 2 2 4" xfId="2641"/>
    <cellStyle name="60% - Accent3 2 3" xfId="2642"/>
    <cellStyle name="60% - Accent3 2 3 2" xfId="2643"/>
    <cellStyle name="60% - Accent3 2 3 3" xfId="2644"/>
    <cellStyle name="60% - Accent3 2 4" xfId="2645"/>
    <cellStyle name="60% - Accent3 2 4 2" xfId="2646"/>
    <cellStyle name="60% - Accent3 2 4 3" xfId="2647"/>
    <cellStyle name="60% - Accent3 2 5" xfId="2648"/>
    <cellStyle name="60% - Accent3 2 5 2" xfId="2649"/>
    <cellStyle name="60% - Accent3 2 5 3" xfId="2650"/>
    <cellStyle name="60% - Accent3 2 5_CPI" xfId="2651"/>
    <cellStyle name="60% - Accent3 2 6" xfId="2652"/>
    <cellStyle name="60% - Accent3 2 6 2" xfId="2653"/>
    <cellStyle name="60% - Accent3 2 6 3" xfId="2654"/>
    <cellStyle name="60% - Accent3 2 6 4" xfId="2655"/>
    <cellStyle name="60% - Accent3 2 7" xfId="2656"/>
    <cellStyle name="60% - Accent3 3" xfId="2657"/>
    <cellStyle name="60% - Accent3 3 2" xfId="2658"/>
    <cellStyle name="60% - Accent3 3 2 2" xfId="2659"/>
    <cellStyle name="60% - Accent3 3 2 3" xfId="2660"/>
    <cellStyle name="60% - Accent3 3 2 4" xfId="2661"/>
    <cellStyle name="60% - Accent3 3 2_CPI" xfId="2662"/>
    <cellStyle name="60% - Accent3 3 3" xfId="2663"/>
    <cellStyle name="60% - Accent3 3_CPI" xfId="2664"/>
    <cellStyle name="60% - Accent3 4" xfId="2665"/>
    <cellStyle name="60% - Accent3 4 2" xfId="2666"/>
    <cellStyle name="60% - Accent3 4 3" xfId="2667"/>
    <cellStyle name="60% - Accent3 5" xfId="2668"/>
    <cellStyle name="60% - Accent3 6" xfId="2669"/>
    <cellStyle name="60% - Accent3 7" xfId="2670"/>
    <cellStyle name="60% - Accent3 8" xfId="2671"/>
    <cellStyle name="60% - Accent4 2" xfId="127"/>
    <cellStyle name="60% - Accent4 2 2" xfId="2672"/>
    <cellStyle name="60% - Accent4 2 2 2" xfId="2673"/>
    <cellStyle name="60% - Accent4 2 2 2 2" xfId="2674"/>
    <cellStyle name="60% - Accent4 2 2 2 3" xfId="2675"/>
    <cellStyle name="60% - Accent4 2 2 2 3 2" xfId="2676"/>
    <cellStyle name="60% - Accent4 2 2 2 3 3" xfId="2677"/>
    <cellStyle name="60% - Accent4 2 2 2 4" xfId="2678"/>
    <cellStyle name="60% - Accent4 2 2 2 5" xfId="2679"/>
    <cellStyle name="60% - Accent4 2 2 2 6" xfId="2680"/>
    <cellStyle name="60% - Accent4 2 2 3" xfId="2681"/>
    <cellStyle name="60% - Accent4 2 2 3 2" xfId="2682"/>
    <cellStyle name="60% - Accent4 2 2 3 3" xfId="2683"/>
    <cellStyle name="60% - Accent4 2 2 3 4" xfId="2684"/>
    <cellStyle name="60% - Accent4 2 2 4" xfId="2685"/>
    <cellStyle name="60% - Accent4 2 3" xfId="2686"/>
    <cellStyle name="60% - Accent4 2 3 2" xfId="2687"/>
    <cellStyle name="60% - Accent4 2 3 3" xfId="2688"/>
    <cellStyle name="60% - Accent4 2 4" xfId="2689"/>
    <cellStyle name="60% - Accent4 2 4 2" xfId="2690"/>
    <cellStyle name="60% - Accent4 2 4 3" xfId="2691"/>
    <cellStyle name="60% - Accent4 2 5" xfId="2692"/>
    <cellStyle name="60% - Accent4 2 5 2" xfId="2693"/>
    <cellStyle name="60% - Accent4 2 5 3" xfId="2694"/>
    <cellStyle name="60% - Accent4 2 5_CPI" xfId="2695"/>
    <cellStyle name="60% - Accent4 2 6" xfId="2696"/>
    <cellStyle name="60% - Accent4 2 6 2" xfId="2697"/>
    <cellStyle name="60% - Accent4 2 6 3" xfId="2698"/>
    <cellStyle name="60% - Accent4 2 6 4" xfId="2699"/>
    <cellStyle name="60% - Accent4 2 7" xfId="2700"/>
    <cellStyle name="60% - Accent4 3" xfId="2701"/>
    <cellStyle name="60% - Accent4 3 2" xfId="2702"/>
    <cellStyle name="60% - Accent4 3 2 2" xfId="2703"/>
    <cellStyle name="60% - Accent4 3 2 3" xfId="2704"/>
    <cellStyle name="60% - Accent4 3 2 4" xfId="2705"/>
    <cellStyle name="60% - Accent4 3 2_CPI" xfId="2706"/>
    <cellStyle name="60% - Accent4 3 3" xfId="2707"/>
    <cellStyle name="60% - Accent4 3_CPI" xfId="2708"/>
    <cellStyle name="60% - Accent4 4" xfId="2709"/>
    <cellStyle name="60% - Accent4 4 2" xfId="2710"/>
    <cellStyle name="60% - Accent4 4 3" xfId="2711"/>
    <cellStyle name="60% - Accent4 5" xfId="2712"/>
    <cellStyle name="60% - Accent4 6" xfId="2713"/>
    <cellStyle name="60% - Accent4 7" xfId="2714"/>
    <cellStyle name="60% - Accent4 8" xfId="2715"/>
    <cellStyle name="60% - Accent5 2" xfId="128"/>
    <cellStyle name="60% - Accent5 2 2" xfId="2716"/>
    <cellStyle name="60% - Accent5 2 2 2" xfId="2717"/>
    <cellStyle name="60% - Accent5 2 2 2 2" xfId="2718"/>
    <cellStyle name="60% - Accent5 2 2 2 3" xfId="2719"/>
    <cellStyle name="60% - Accent5 2 2 2 3 2" xfId="2720"/>
    <cellStyle name="60% - Accent5 2 2 2 3 3" xfId="2721"/>
    <cellStyle name="60% - Accent5 2 2 2 4" xfId="2722"/>
    <cellStyle name="60% - Accent5 2 2 2 5" xfId="2723"/>
    <cellStyle name="60% - Accent5 2 2 2 6" xfId="2724"/>
    <cellStyle name="60% - Accent5 2 2 3" xfId="2725"/>
    <cellStyle name="60% - Accent5 2 2 3 2" xfId="2726"/>
    <cellStyle name="60% - Accent5 2 2 3 3" xfId="2727"/>
    <cellStyle name="60% - Accent5 2 2 3 4" xfId="2728"/>
    <cellStyle name="60% - Accent5 2 2 4" xfId="2729"/>
    <cellStyle name="60% - Accent5 2 3" xfId="2730"/>
    <cellStyle name="60% - Accent5 2 3 2" xfId="2731"/>
    <cellStyle name="60% - Accent5 2 3 3" xfId="2732"/>
    <cellStyle name="60% - Accent5 2 4" xfId="2733"/>
    <cellStyle name="60% - Accent5 2 4 2" xfId="2734"/>
    <cellStyle name="60% - Accent5 2 4 3" xfId="2735"/>
    <cellStyle name="60% - Accent5 2 5" xfId="2736"/>
    <cellStyle name="60% - Accent5 2 5 2" xfId="2737"/>
    <cellStyle name="60% - Accent5 2 5 3" xfId="2738"/>
    <cellStyle name="60% - Accent5 2 5_CPI" xfId="2739"/>
    <cellStyle name="60% - Accent5 2 6" xfId="2740"/>
    <cellStyle name="60% - Accent5 2 6 2" xfId="2741"/>
    <cellStyle name="60% - Accent5 2 6 3" xfId="2742"/>
    <cellStyle name="60% - Accent5 2 6 4" xfId="2743"/>
    <cellStyle name="60% - Accent5 2 7" xfId="2744"/>
    <cellStyle name="60% - Accent5 3" xfId="2745"/>
    <cellStyle name="60% - Accent5 3 2" xfId="2746"/>
    <cellStyle name="60% - Accent5 3 2 2" xfId="2747"/>
    <cellStyle name="60% - Accent5 3 2 3" xfId="2748"/>
    <cellStyle name="60% - Accent5 3 2 4" xfId="2749"/>
    <cellStyle name="60% - Accent5 3 2_CPI" xfId="2750"/>
    <cellStyle name="60% - Accent5 3 3" xfId="2751"/>
    <cellStyle name="60% - Accent5 3_CPI" xfId="2752"/>
    <cellStyle name="60% - Accent5 4" xfId="2753"/>
    <cellStyle name="60% - Accent5 4 2" xfId="2754"/>
    <cellStyle name="60% - Accent5 4 3" xfId="2755"/>
    <cellStyle name="60% - Accent5 5" xfId="2756"/>
    <cellStyle name="60% - Accent5 6" xfId="2757"/>
    <cellStyle name="60% - Accent5 7" xfId="2758"/>
    <cellStyle name="60% - Accent5 8" xfId="2759"/>
    <cellStyle name="60% - Accent6 2" xfId="129"/>
    <cellStyle name="60% - Accent6 2 2" xfId="2760"/>
    <cellStyle name="60% - Accent6 2 2 2" xfId="2761"/>
    <cellStyle name="60% - Accent6 2 2 2 2" xfId="2762"/>
    <cellStyle name="60% - Accent6 2 2 2 3" xfId="2763"/>
    <cellStyle name="60% - Accent6 2 2 2 3 2" xfId="2764"/>
    <cellStyle name="60% - Accent6 2 2 2 3 3" xfId="2765"/>
    <cellStyle name="60% - Accent6 2 2 2 4" xfId="2766"/>
    <cellStyle name="60% - Accent6 2 2 2 5" xfId="2767"/>
    <cellStyle name="60% - Accent6 2 2 2 6" xfId="2768"/>
    <cellStyle name="60% - Accent6 2 2 3" xfId="2769"/>
    <cellStyle name="60% - Accent6 2 2 3 2" xfId="2770"/>
    <cellStyle name="60% - Accent6 2 2 3 3" xfId="2771"/>
    <cellStyle name="60% - Accent6 2 2 3 4" xfId="2772"/>
    <cellStyle name="60% - Accent6 2 2 4" xfId="2773"/>
    <cellStyle name="60% - Accent6 2 3" xfId="2774"/>
    <cellStyle name="60% - Accent6 2 3 2" xfId="2775"/>
    <cellStyle name="60% - Accent6 2 3 3" xfId="2776"/>
    <cellStyle name="60% - Accent6 2 4" xfId="2777"/>
    <cellStyle name="60% - Accent6 2 4 2" xfId="2778"/>
    <cellStyle name="60% - Accent6 2 4 3" xfId="2779"/>
    <cellStyle name="60% - Accent6 2 5" xfId="2780"/>
    <cellStyle name="60% - Accent6 2 5 2" xfId="2781"/>
    <cellStyle name="60% - Accent6 2 5 3" xfId="2782"/>
    <cellStyle name="60% - Accent6 2 5_CPI" xfId="2783"/>
    <cellStyle name="60% - Accent6 2 6" xfId="2784"/>
    <cellStyle name="60% - Accent6 2 6 2" xfId="2785"/>
    <cellStyle name="60% - Accent6 2 6 3" xfId="2786"/>
    <cellStyle name="60% - Accent6 2 6 4" xfId="2787"/>
    <cellStyle name="60% - Accent6 2 7" xfId="2788"/>
    <cellStyle name="60% - Accent6 3" xfId="2789"/>
    <cellStyle name="60% - Accent6 3 2" xfId="2790"/>
    <cellStyle name="60% - Accent6 3 2 2" xfId="2791"/>
    <cellStyle name="60% - Accent6 3 2 3" xfId="2792"/>
    <cellStyle name="60% - Accent6 3 2 4" xfId="2793"/>
    <cellStyle name="60% - Accent6 3 2_CPI" xfId="2794"/>
    <cellStyle name="60% - Accent6 3 3" xfId="2795"/>
    <cellStyle name="60% - Accent6 3_CPI" xfId="2796"/>
    <cellStyle name="60% - Accent6 4" xfId="2797"/>
    <cellStyle name="60% - Accent6 4 2" xfId="2798"/>
    <cellStyle name="60% - Accent6 4 3" xfId="2799"/>
    <cellStyle name="60% - Accent6 5" xfId="2800"/>
    <cellStyle name="60% - Accent6 6" xfId="2801"/>
    <cellStyle name="60% - Accent6 7" xfId="2802"/>
    <cellStyle name="60% - Accent6 8" xfId="2803"/>
    <cellStyle name="60% - Colore 1" xfId="2804"/>
    <cellStyle name="60% - Colore 2" xfId="2805"/>
    <cellStyle name="60% - Colore 3" xfId="2806"/>
    <cellStyle name="60% - Colore 4" xfId="2807"/>
    <cellStyle name="60% - Colore 5" xfId="2808"/>
    <cellStyle name="60% - Colore 6" xfId="2809"/>
    <cellStyle name="60% - Énfasis1" xfId="2810"/>
    <cellStyle name="60% - Énfasis2" xfId="2811"/>
    <cellStyle name="60% - Énfasis3" xfId="2812"/>
    <cellStyle name="60% - Énfasis4" xfId="2813"/>
    <cellStyle name="60% - Énfasis5" xfId="2814"/>
    <cellStyle name="60% - Énfasis6" xfId="2815"/>
    <cellStyle name="63;_x0004_6" xfId="2816"/>
    <cellStyle name="6_x0015__x001f__x0005_6" xfId="2817"/>
    <cellStyle name="_x0010__x0005_6_x0015__x001f__x0005_6%*_x0005_6." xfId="2818"/>
    <cellStyle name="6_x0015__x001f__x0005_6_F-zero" xfId="2819"/>
    <cellStyle name="6df_x0005_6" xfId="2820"/>
    <cellStyle name="6R[_x0005_6" xfId="2821"/>
    <cellStyle name="752131" xfId="2822"/>
    <cellStyle name="A_Block Space" xfId="2823"/>
    <cellStyle name="A_Block Space_20021020 Diageo ROIC criteria" xfId="2824"/>
    <cellStyle name="A_BlueLine" xfId="2825"/>
    <cellStyle name="A_BlueLine_F-zero" xfId="2826"/>
    <cellStyle name="A_Do not Change" xfId="2827"/>
    <cellStyle name="A_Estimate" xfId="2828"/>
    <cellStyle name="A_Memo" xfId="2829"/>
    <cellStyle name="A_Memo_20011001 FGL Merger v2.xls RTN_R20C16" xfId="2830"/>
    <cellStyle name="A_Memo_20011001 FGL Merger v2.xls RTN_R35C16" xfId="2831"/>
    <cellStyle name="A_Memo_20011001 FGL Merger v2.xls RTN_R50C16" xfId="2832"/>
    <cellStyle name="A_Memo_20011001 FGL Merger v2.xls RTN_R65C16" xfId="2833"/>
    <cellStyle name="A_Memo_20021020 Diageo ROIC criteria" xfId="2834"/>
    <cellStyle name="A_Normal" xfId="2835"/>
    <cellStyle name="A_Normal Forecast" xfId="2836"/>
    <cellStyle name="A_Normal Historical" xfId="2837"/>
    <cellStyle name="A_Normal_20011001 FGL Merger v2.xls RTN_R20C16" xfId="2838"/>
    <cellStyle name="A_Normal_20011001 FGL Merger v2.xls RTN_R35C16" xfId="2839"/>
    <cellStyle name="A_Normal_20011001 FGL Merger v2.xls RTN_R50C16" xfId="2840"/>
    <cellStyle name="A_Normal_20011001 FGL Merger v2.xls RTN_R65C16" xfId="2841"/>
    <cellStyle name="A_Normal_20021020 Diageo ROIC criteria" xfId="2842"/>
    <cellStyle name="A_Rate_Data" xfId="2843"/>
    <cellStyle name="A_Rate_Data Historical" xfId="2844"/>
    <cellStyle name="A_Rate_Data Historical_20021020 Diageo ROIC criteria" xfId="2845"/>
    <cellStyle name="A_Rate_Data Historical_20021020 Diageo ROIC criteria_F-zero" xfId="2846"/>
    <cellStyle name="A_Rate_Data Historical_F-zero" xfId="2847"/>
    <cellStyle name="A_Rate_Data_20021020 Diageo ROIC criteria" xfId="2848"/>
    <cellStyle name="A_Rate_Data_20021020 Diageo ROIC criteria_F-zero" xfId="2849"/>
    <cellStyle name="A_Rate_Data_F-zero" xfId="2850"/>
    <cellStyle name="A_Rate_Title" xfId="2851"/>
    <cellStyle name="A_Rate_Title_20011001 FGL Merger v2.xls RTN_R20C16" xfId="2852"/>
    <cellStyle name="A_Rate_Title_20011001 FGL Merger v2.xls RTN_R20C16_F-zero" xfId="2853"/>
    <cellStyle name="A_Rate_Title_20011001 FGL Merger v2.xls RTN_R20C16_Master Template" xfId="2854"/>
    <cellStyle name="A_Rate_Title_20011001 FGL Merger v2.xls RTN_R35C16" xfId="2855"/>
    <cellStyle name="A_Rate_Title_20011001 FGL Merger v2.xls RTN_R35C16_F-zero" xfId="2856"/>
    <cellStyle name="A_Rate_Title_20011001 FGL Merger v2.xls RTN_R35C16_Master Template" xfId="2857"/>
    <cellStyle name="A_Rate_Title_20011001 FGL Merger v2.xls RTN_R50C16" xfId="2858"/>
    <cellStyle name="A_Rate_Title_20011001 FGL Merger v2.xls RTN_R50C16_F-zero" xfId="2859"/>
    <cellStyle name="A_Rate_Title_20011001 FGL Merger v2.xls RTN_R50C16_Master Template" xfId="2860"/>
    <cellStyle name="A_Rate_Title_20011001 FGL Merger v2.xls RTN_R65C16" xfId="2861"/>
    <cellStyle name="A_Rate_Title_20011001 FGL Merger v2.xls RTN_R65C16_F-zero" xfId="2862"/>
    <cellStyle name="A_Rate_Title_20011001 FGL Merger v2.xls RTN_R65C16_Master Template" xfId="2863"/>
    <cellStyle name="A_Rate_Title_20021020 Diageo ROIC criteria" xfId="2864"/>
    <cellStyle name="A_Rate_Title_20021020 Diageo ROIC criteria_F-zero" xfId="2865"/>
    <cellStyle name="A_Rate_Title_20021020 Diageo ROIC criteria_Master Template" xfId="2866"/>
    <cellStyle name="A_Rate_Title_F-zero" xfId="2867"/>
    <cellStyle name="A_Rate_Title_Master Template" xfId="2868"/>
    <cellStyle name="A_Simple Title" xfId="2869"/>
    <cellStyle name="A_Simple Title_20011001 FGL Merger v2.xls RTN_R20C16" xfId="2870"/>
    <cellStyle name="A_Simple Title_20011001 FGL Merger v2.xls RTN_R35C16" xfId="2871"/>
    <cellStyle name="A_Simple Title_20011001 FGL Merger v2.xls RTN_R50C16" xfId="2872"/>
    <cellStyle name="A_Simple Title_20011001 FGL Merger v2.xls RTN_R65C16" xfId="2873"/>
    <cellStyle name="A_Simple Title_20021020 Diageo ROIC criteria" xfId="2874"/>
    <cellStyle name="A_Sum" xfId="2875"/>
    <cellStyle name="A_SUM_Row Major" xfId="2876"/>
    <cellStyle name="A_SUM_Row Minor" xfId="2877"/>
    <cellStyle name="A_Title" xfId="2878"/>
    <cellStyle name="A_Title_20011001 FGL Merger v2.xls RTN_R20C16" xfId="2879"/>
    <cellStyle name="A_Title_20011001 FGL Merger v2.xls RTN_R35C16" xfId="2880"/>
    <cellStyle name="A_Title_20011001 FGL Merger v2.xls RTN_R50C16" xfId="2881"/>
    <cellStyle name="A_Title_20011001 FGL Merger v2.xls RTN_R65C16" xfId="2882"/>
    <cellStyle name="A_Title_20021020 Diageo ROIC criteria" xfId="2883"/>
    <cellStyle name="A_YearHeadings" xfId="2884"/>
    <cellStyle name="A_YearHeadings_F-zero" xfId="2885"/>
    <cellStyle name="AAA-Date" xfId="2886"/>
    <cellStyle name="AAA-Input" xfId="2887"/>
    <cellStyle name="AA-ArrayN" xfId="2888"/>
    <cellStyle name="AAA-SigOutput" xfId="2889"/>
    <cellStyle name="AAA-SoftInput" xfId="2890"/>
    <cellStyle name="AA-Heading" xfId="2891"/>
    <cellStyle name="AA-Heading 2" xfId="2892"/>
    <cellStyle name="AA-Heading 3" xfId="2893"/>
    <cellStyle name="AA-Heading_rPNZHLConsol11 Stacey" xfId="2894"/>
    <cellStyle name="AA-Input" xfId="2895"/>
    <cellStyle name="AA-Input-Scenario" xfId="2896"/>
    <cellStyle name="AA-Input-Scenario 2" xfId="2897"/>
    <cellStyle name="AA-Input-Scenario_2011 WIP TRansfer" xfId="2898"/>
    <cellStyle name="AA-Input-Soft" xfId="2899"/>
    <cellStyle name="AA-Input-Soft 2" xfId="2900"/>
    <cellStyle name="AA-SigOutput" xfId="2901"/>
    <cellStyle name="AA-SigOutput 2" xfId="2902"/>
    <cellStyle name="Accent1 2" xfId="130"/>
    <cellStyle name="Accent1 2 2" xfId="2903"/>
    <cellStyle name="Accent1 2 2 2" xfId="2904"/>
    <cellStyle name="Accent1 2 2 2 2" xfId="2905"/>
    <cellStyle name="Accent1 2 2 2 3" xfId="2906"/>
    <cellStyle name="Accent1 2 2 2 3 2" xfId="2907"/>
    <cellStyle name="Accent1 2 2 2 3 3" xfId="2908"/>
    <cellStyle name="Accent1 2 2 2 4" xfId="2909"/>
    <cellStyle name="Accent1 2 2 2 5" xfId="2910"/>
    <cellStyle name="Accent1 2 2 2 6" xfId="2911"/>
    <cellStyle name="Accent1 2 2 3" xfId="2912"/>
    <cellStyle name="Accent1 2 2 3 2" xfId="2913"/>
    <cellStyle name="Accent1 2 2 3 3" xfId="2914"/>
    <cellStyle name="Accent1 2 2 3 4" xfId="2915"/>
    <cellStyle name="Accent1 2 2 4" xfId="2916"/>
    <cellStyle name="Accent1 2 3" xfId="2917"/>
    <cellStyle name="Accent1 2 3 2" xfId="2918"/>
    <cellStyle name="Accent1 2 3 3" xfId="2919"/>
    <cellStyle name="Accent1 2 4" xfId="2920"/>
    <cellStyle name="Accent1 2 4 2" xfId="2921"/>
    <cellStyle name="Accent1 2 4 3" xfId="2922"/>
    <cellStyle name="Accent1 2 5" xfId="2923"/>
    <cellStyle name="Accent1 2 5 2" xfId="2924"/>
    <cellStyle name="Accent1 2 5 3" xfId="2925"/>
    <cellStyle name="Accent1 2 5_CPI" xfId="2926"/>
    <cellStyle name="Accent1 2 6" xfId="2927"/>
    <cellStyle name="Accent1 2 6 2" xfId="2928"/>
    <cellStyle name="Accent1 2 6 3" xfId="2929"/>
    <cellStyle name="Accent1 2 6 4" xfId="2930"/>
    <cellStyle name="Accent1 2 7" xfId="2931"/>
    <cellStyle name="Accent1 3" xfId="2932"/>
    <cellStyle name="Accent1 3 2" xfId="2933"/>
    <cellStyle name="Accent1 3 2 2" xfId="2934"/>
    <cellStyle name="Accent1 3 2 3" xfId="2935"/>
    <cellStyle name="Accent1 3 2 4" xfId="2936"/>
    <cellStyle name="Accent1 3 2_CPI" xfId="2937"/>
    <cellStyle name="Accent1 3 3" xfId="2938"/>
    <cellStyle name="Accent1 3_CPI" xfId="2939"/>
    <cellStyle name="Accent1 4" xfId="2940"/>
    <cellStyle name="Accent1 4 2" xfId="2941"/>
    <cellStyle name="Accent1 4 3" xfId="2942"/>
    <cellStyle name="Accent1 5" xfId="2943"/>
    <cellStyle name="Accent1 6" xfId="2944"/>
    <cellStyle name="Accent1 7" xfId="2945"/>
    <cellStyle name="Accent1 8" xfId="2946"/>
    <cellStyle name="Accent2 2" xfId="131"/>
    <cellStyle name="Accent2 2 2" xfId="2947"/>
    <cellStyle name="Accent2 2 2 2" xfId="2948"/>
    <cellStyle name="Accent2 2 2 2 2" xfId="2949"/>
    <cellStyle name="Accent2 2 2 2 3" xfId="2950"/>
    <cellStyle name="Accent2 2 2 2 3 2" xfId="2951"/>
    <cellStyle name="Accent2 2 2 2 3 3" xfId="2952"/>
    <cellStyle name="Accent2 2 2 2 4" xfId="2953"/>
    <cellStyle name="Accent2 2 2 2 5" xfId="2954"/>
    <cellStyle name="Accent2 2 2 2 6" xfId="2955"/>
    <cellStyle name="Accent2 2 2 3" xfId="2956"/>
    <cellStyle name="Accent2 2 2 3 2" xfId="2957"/>
    <cellStyle name="Accent2 2 2 3 3" xfId="2958"/>
    <cellStyle name="Accent2 2 2 3 4" xfId="2959"/>
    <cellStyle name="Accent2 2 2 4" xfId="2960"/>
    <cellStyle name="Accent2 2 3" xfId="2961"/>
    <cellStyle name="Accent2 2 3 2" xfId="2962"/>
    <cellStyle name="Accent2 2 3 3" xfId="2963"/>
    <cellStyle name="Accent2 2 4" xfId="2964"/>
    <cellStyle name="Accent2 2 4 2" xfId="2965"/>
    <cellStyle name="Accent2 2 4 3" xfId="2966"/>
    <cellStyle name="Accent2 2 5" xfId="2967"/>
    <cellStyle name="Accent2 2 5 2" xfId="2968"/>
    <cellStyle name="Accent2 2 5 3" xfId="2969"/>
    <cellStyle name="Accent2 2 5_CPI" xfId="2970"/>
    <cellStyle name="Accent2 2 6" xfId="2971"/>
    <cellStyle name="Accent2 2 6 2" xfId="2972"/>
    <cellStyle name="Accent2 2 6 3" xfId="2973"/>
    <cellStyle name="Accent2 2 6 4" xfId="2974"/>
    <cellStyle name="Accent2 2 7" xfId="2975"/>
    <cellStyle name="Accent2 3" xfId="2976"/>
    <cellStyle name="Accent2 3 2" xfId="2977"/>
    <cellStyle name="Accent2 3 2 2" xfId="2978"/>
    <cellStyle name="Accent2 3 2 3" xfId="2979"/>
    <cellStyle name="Accent2 3 2 4" xfId="2980"/>
    <cellStyle name="Accent2 3 2_CPI" xfId="2981"/>
    <cellStyle name="Accent2 3 3" xfId="2982"/>
    <cellStyle name="Accent2 3_CPI" xfId="2983"/>
    <cellStyle name="Accent2 4" xfId="2984"/>
    <cellStyle name="Accent2 4 2" xfId="2985"/>
    <cellStyle name="Accent2 4 3" xfId="2986"/>
    <cellStyle name="Accent2 5" xfId="2987"/>
    <cellStyle name="Accent2 6" xfId="2988"/>
    <cellStyle name="Accent2 7" xfId="2989"/>
    <cellStyle name="Accent2 8" xfId="2990"/>
    <cellStyle name="Accent3 2" xfId="132"/>
    <cellStyle name="Accent3 2 2" xfId="2991"/>
    <cellStyle name="Accent3 2 2 2" xfId="2992"/>
    <cellStyle name="Accent3 2 2 2 2" xfId="2993"/>
    <cellStyle name="Accent3 2 2 2 3" xfId="2994"/>
    <cellStyle name="Accent3 2 2 2 3 2" xfId="2995"/>
    <cellStyle name="Accent3 2 2 2 3 3" xfId="2996"/>
    <cellStyle name="Accent3 2 2 2 4" xfId="2997"/>
    <cellStyle name="Accent3 2 2 2 5" xfId="2998"/>
    <cellStyle name="Accent3 2 2 2 6" xfId="2999"/>
    <cellStyle name="Accent3 2 2 3" xfId="3000"/>
    <cellStyle name="Accent3 2 2 3 2" xfId="3001"/>
    <cellStyle name="Accent3 2 2 3 3" xfId="3002"/>
    <cellStyle name="Accent3 2 2 3 4" xfId="3003"/>
    <cellStyle name="Accent3 2 2 4" xfId="3004"/>
    <cellStyle name="Accent3 2 3" xfId="3005"/>
    <cellStyle name="Accent3 2 3 2" xfId="3006"/>
    <cellStyle name="Accent3 2 3 3" xfId="3007"/>
    <cellStyle name="Accent3 2 4" xfId="3008"/>
    <cellStyle name="Accent3 2 4 2" xfId="3009"/>
    <cellStyle name="Accent3 2 4 3" xfId="3010"/>
    <cellStyle name="Accent3 2 5" xfId="3011"/>
    <cellStyle name="Accent3 2 5 2" xfId="3012"/>
    <cellStyle name="Accent3 2 5 3" xfId="3013"/>
    <cellStyle name="Accent3 2 5_CPI" xfId="3014"/>
    <cellStyle name="Accent3 2 6" xfId="3015"/>
    <cellStyle name="Accent3 2 6 2" xfId="3016"/>
    <cellStyle name="Accent3 2 6 3" xfId="3017"/>
    <cellStyle name="Accent3 2 6 4" xfId="3018"/>
    <cellStyle name="Accent3 2 7" xfId="3019"/>
    <cellStyle name="Accent3 3" xfId="3020"/>
    <cellStyle name="Accent3 3 2" xfId="3021"/>
    <cellStyle name="Accent3 3 2 2" xfId="3022"/>
    <cellStyle name="Accent3 3 2 3" xfId="3023"/>
    <cellStyle name="Accent3 3 2 4" xfId="3024"/>
    <cellStyle name="Accent3 3 2_CPI" xfId="3025"/>
    <cellStyle name="Accent3 3 3" xfId="3026"/>
    <cellStyle name="Accent3 3_CPI" xfId="3027"/>
    <cellStyle name="Accent3 4" xfId="3028"/>
    <cellStyle name="Accent3 4 2" xfId="3029"/>
    <cellStyle name="Accent3 4 3" xfId="3030"/>
    <cellStyle name="Accent3 5" xfId="3031"/>
    <cellStyle name="Accent3 6" xfId="3032"/>
    <cellStyle name="Accent3 7" xfId="3033"/>
    <cellStyle name="Accent3 8" xfId="3034"/>
    <cellStyle name="Accent4 2" xfId="133"/>
    <cellStyle name="Accent4 2 2" xfId="3035"/>
    <cellStyle name="Accent4 2 2 2" xfId="3036"/>
    <cellStyle name="Accent4 2 2 2 2" xfId="3037"/>
    <cellStyle name="Accent4 2 2 2 3" xfId="3038"/>
    <cellStyle name="Accent4 2 2 2 3 2" xfId="3039"/>
    <cellStyle name="Accent4 2 2 2 3 3" xfId="3040"/>
    <cellStyle name="Accent4 2 2 2 4" xfId="3041"/>
    <cellStyle name="Accent4 2 2 2 5" xfId="3042"/>
    <cellStyle name="Accent4 2 2 2 6" xfId="3043"/>
    <cellStyle name="Accent4 2 2 3" xfId="3044"/>
    <cellStyle name="Accent4 2 2 3 2" xfId="3045"/>
    <cellStyle name="Accent4 2 2 3 3" xfId="3046"/>
    <cellStyle name="Accent4 2 2 3 4" xfId="3047"/>
    <cellStyle name="Accent4 2 2 4" xfId="3048"/>
    <cellStyle name="Accent4 2 3" xfId="3049"/>
    <cellStyle name="Accent4 2 3 2" xfId="3050"/>
    <cellStyle name="Accent4 2 3 3" xfId="3051"/>
    <cellStyle name="Accent4 2 4" xfId="3052"/>
    <cellStyle name="Accent4 2 4 2" xfId="3053"/>
    <cellStyle name="Accent4 2 4 3" xfId="3054"/>
    <cellStyle name="Accent4 2 5" xfId="3055"/>
    <cellStyle name="Accent4 2 5 2" xfId="3056"/>
    <cellStyle name="Accent4 2 5 3" xfId="3057"/>
    <cellStyle name="Accent4 2 5_CPI" xfId="3058"/>
    <cellStyle name="Accent4 2 6" xfId="3059"/>
    <cellStyle name="Accent4 2 6 2" xfId="3060"/>
    <cellStyle name="Accent4 2 6 3" xfId="3061"/>
    <cellStyle name="Accent4 2 6 4" xfId="3062"/>
    <cellStyle name="Accent4 2 7" xfId="3063"/>
    <cellStyle name="Accent4 3" xfId="3064"/>
    <cellStyle name="Accent4 3 2" xfId="3065"/>
    <cellStyle name="Accent4 3 2 2" xfId="3066"/>
    <cellStyle name="Accent4 3 2 3" xfId="3067"/>
    <cellStyle name="Accent4 3 2 4" xfId="3068"/>
    <cellStyle name="Accent4 3 2_CPI" xfId="3069"/>
    <cellStyle name="Accent4 3 3" xfId="3070"/>
    <cellStyle name="Accent4 3_CPI" xfId="3071"/>
    <cellStyle name="Accent4 4" xfId="3072"/>
    <cellStyle name="Accent4 4 2" xfId="3073"/>
    <cellStyle name="Accent4 4 3" xfId="3074"/>
    <cellStyle name="Accent4 5" xfId="3075"/>
    <cellStyle name="Accent4 6" xfId="3076"/>
    <cellStyle name="Accent4 7" xfId="3077"/>
    <cellStyle name="Accent4 8" xfId="3078"/>
    <cellStyle name="Accent5 2" xfId="134"/>
    <cellStyle name="Accent5 2 2" xfId="3079"/>
    <cellStyle name="Accent5 2 2 2" xfId="3080"/>
    <cellStyle name="Accent5 2 2 2 2" xfId="3081"/>
    <cellStyle name="Accent5 2 2 2 3" xfId="3082"/>
    <cellStyle name="Accent5 2 2 2 3 2" xfId="3083"/>
    <cellStyle name="Accent5 2 2 2 3 3" xfId="3084"/>
    <cellStyle name="Accent5 2 2 2 4" xfId="3085"/>
    <cellStyle name="Accent5 2 2 2 5" xfId="3086"/>
    <cellStyle name="Accent5 2 2 2 6" xfId="3087"/>
    <cellStyle name="Accent5 2 2 3" xfId="3088"/>
    <cellStyle name="Accent5 2 2 3 2" xfId="3089"/>
    <cellStyle name="Accent5 2 2 3 3" xfId="3090"/>
    <cellStyle name="Accent5 2 2 3 4" xfId="3091"/>
    <cellStyle name="Accent5 2 2 4" xfId="3092"/>
    <cellStyle name="Accent5 2 3" xfId="3093"/>
    <cellStyle name="Accent5 2 3 2" xfId="3094"/>
    <cellStyle name="Accent5 2 3 3" xfId="3095"/>
    <cellStyle name="Accent5 2 4" xfId="3096"/>
    <cellStyle name="Accent5 2 4 2" xfId="3097"/>
    <cellStyle name="Accent5 2 4 3" xfId="3098"/>
    <cellStyle name="Accent5 2 5" xfId="3099"/>
    <cellStyle name="Accent5 2 5 2" xfId="3100"/>
    <cellStyle name="Accent5 2 5 3" xfId="3101"/>
    <cellStyle name="Accent5 2 5_CPI" xfId="3102"/>
    <cellStyle name="Accent5 2 6" xfId="3103"/>
    <cellStyle name="Accent5 2 7" xfId="3104"/>
    <cellStyle name="Accent5 3" xfId="3105"/>
    <cellStyle name="Accent5 3 2" xfId="3106"/>
    <cellStyle name="Accent5 3 2 2" xfId="3107"/>
    <cellStyle name="Accent5 3 2 3" xfId="3108"/>
    <cellStyle name="Accent5 3 2 4" xfId="3109"/>
    <cellStyle name="Accent5 3 3" xfId="3110"/>
    <cellStyle name="Accent5 4" xfId="3111"/>
    <cellStyle name="Accent5 5" xfId="3112"/>
    <cellStyle name="Accent5 6" xfId="3113"/>
    <cellStyle name="Accent5 7" xfId="3114"/>
    <cellStyle name="Accent5 8" xfId="3115"/>
    <cellStyle name="Accent6 2" xfId="135"/>
    <cellStyle name="Accent6 2 2" xfId="3116"/>
    <cellStyle name="Accent6 2 2 2" xfId="3117"/>
    <cellStyle name="Accent6 2 2 2 2" xfId="3118"/>
    <cellStyle name="Accent6 2 2 2 3" xfId="3119"/>
    <cellStyle name="Accent6 2 2 2 3 2" xfId="3120"/>
    <cellStyle name="Accent6 2 2 2 3 3" xfId="3121"/>
    <cellStyle name="Accent6 2 2 2 4" xfId="3122"/>
    <cellStyle name="Accent6 2 2 2 5" xfId="3123"/>
    <cellStyle name="Accent6 2 2 2 6" xfId="3124"/>
    <cellStyle name="Accent6 2 2 3" xfId="3125"/>
    <cellStyle name="Accent6 2 2 3 2" xfId="3126"/>
    <cellStyle name="Accent6 2 2 3 3" xfId="3127"/>
    <cellStyle name="Accent6 2 2 3 4" xfId="3128"/>
    <cellStyle name="Accent6 2 2 4" xfId="3129"/>
    <cellStyle name="Accent6 2 3" xfId="3130"/>
    <cellStyle name="Accent6 2 3 2" xfId="3131"/>
    <cellStyle name="Accent6 2 3 3" xfId="3132"/>
    <cellStyle name="Accent6 2 4" xfId="3133"/>
    <cellStyle name="Accent6 2 4 2" xfId="3134"/>
    <cellStyle name="Accent6 2 4 3" xfId="3135"/>
    <cellStyle name="Accent6 2 5" xfId="3136"/>
    <cellStyle name="Accent6 2 5 2" xfId="3137"/>
    <cellStyle name="Accent6 2 5 3" xfId="3138"/>
    <cellStyle name="Accent6 2 5_CPI" xfId="3139"/>
    <cellStyle name="Accent6 2 6" xfId="3140"/>
    <cellStyle name="Accent6 2 6 2" xfId="3141"/>
    <cellStyle name="Accent6 2 6 3" xfId="3142"/>
    <cellStyle name="Accent6 2 6 4" xfId="3143"/>
    <cellStyle name="Accent6 2 7" xfId="3144"/>
    <cellStyle name="Accent6 3" xfId="3145"/>
    <cellStyle name="Accent6 3 2" xfId="3146"/>
    <cellStyle name="Accent6 3 2 2" xfId="3147"/>
    <cellStyle name="Accent6 3 2 3" xfId="3148"/>
    <cellStyle name="Accent6 3 2 4" xfId="3149"/>
    <cellStyle name="Accent6 3 2_CPI" xfId="3150"/>
    <cellStyle name="Accent6 3 3" xfId="3151"/>
    <cellStyle name="Accent6 3_CPI" xfId="3152"/>
    <cellStyle name="Accent6 4" xfId="3153"/>
    <cellStyle name="Accent6 4 2" xfId="3154"/>
    <cellStyle name="Accent6 4 3" xfId="3155"/>
    <cellStyle name="Accent6 5" xfId="3156"/>
    <cellStyle name="Accent6 6" xfId="3157"/>
    <cellStyle name="Accent6 7" xfId="3158"/>
    <cellStyle name="Accent6 8" xfId="3159"/>
    <cellStyle name="Act_%1" xfId="3160"/>
    <cellStyle name="Activity" xfId="3161"/>
    <cellStyle name="Actual Date" xfId="3162"/>
    <cellStyle name="AFE" xfId="3163"/>
    <cellStyle name="AFE 2" xfId="3164"/>
    <cellStyle name="AFE 2 2" xfId="3165"/>
    <cellStyle name="AFE 2_F-zero" xfId="3166"/>
    <cellStyle name="AFE 3" xfId="3167"/>
    <cellStyle name="AFE_2011 WIP TRansfer" xfId="3168"/>
    <cellStyle name="Agara" xfId="3169"/>
    <cellStyle name="Alignment - Nuku" xfId="3170"/>
    <cellStyle name="AM Standard" xfId="3171"/>
    <cellStyle name="AM Standard 2" xfId="3172"/>
    <cellStyle name="AM Standard_F-zero" xfId="3173"/>
    <cellStyle name="AMN" xfId="3174"/>
    <cellStyle name="annee semestre" xfId="3175"/>
    <cellStyle name="annee semestre 2" xfId="3176"/>
    <cellStyle name="annee semestre 2 2" xfId="3177"/>
    <cellStyle name="annee semestre 2 2 2" xfId="3178"/>
    <cellStyle name="annee semestre 2 2 2 2" xfId="3179"/>
    <cellStyle name="annee semestre 2 2 2_F-zero" xfId="3180"/>
    <cellStyle name="annee semestre 2 2 3" xfId="3181"/>
    <cellStyle name="annee semestre 2 2 3 2" xfId="3182"/>
    <cellStyle name="annee semestre 2 2 3_CPI" xfId="3183"/>
    <cellStyle name="annee semestre 2 2 4" xfId="3184"/>
    <cellStyle name="annee semestre 2 2_F-zero" xfId="3185"/>
    <cellStyle name="annee semestre 2 3" xfId="3186"/>
    <cellStyle name="annee semestre 2 3 2" xfId="3187"/>
    <cellStyle name="annee semestre 2 3_F-zero" xfId="3188"/>
    <cellStyle name="annee semestre 2 4" xfId="3189"/>
    <cellStyle name="annee semestre 2 4 2" xfId="3190"/>
    <cellStyle name="annee semestre 2 4_CPI" xfId="3191"/>
    <cellStyle name="annee semestre 2 5" xfId="3192"/>
    <cellStyle name="annee semestre 2_F-zero" xfId="3193"/>
    <cellStyle name="annee semestre 3" xfId="3194"/>
    <cellStyle name="annee semestre 3 2" xfId="3195"/>
    <cellStyle name="annee semestre 3 2 2" xfId="3196"/>
    <cellStyle name="annee semestre 3 2_F-zero" xfId="3197"/>
    <cellStyle name="annee semestre 3 3" xfId="3198"/>
    <cellStyle name="annee semestre 3 3 2" xfId="3199"/>
    <cellStyle name="annee semestre 3 3_CPI" xfId="3200"/>
    <cellStyle name="annee semestre 3 4" xfId="3201"/>
    <cellStyle name="annee semestre 3_F-zero" xfId="3202"/>
    <cellStyle name="annee semestre 4" xfId="3203"/>
    <cellStyle name="annee semestre 4 2" xfId="3204"/>
    <cellStyle name="annee semestre 4_F-zero" xfId="3205"/>
    <cellStyle name="annee semestre 5" xfId="3206"/>
    <cellStyle name="annee semestre 5 2" xfId="3207"/>
    <cellStyle name="annee semestre 5_CPI" xfId="3208"/>
    <cellStyle name="annee semestre 6" xfId="3209"/>
    <cellStyle name="annee semestre_F-zero" xfId="3210"/>
    <cellStyle name="Assumption" xfId="3211"/>
    <cellStyle name="Assumption [# - 0]" xfId="3212"/>
    <cellStyle name="Assumption [# - 00]" xfId="3213"/>
    <cellStyle name="Assumption [#]" xfId="3214"/>
    <cellStyle name="assumption 1" xfId="3215"/>
    <cellStyle name="Assumption 2" xfId="3216"/>
    <cellStyle name="Assumption 3" xfId="3217"/>
    <cellStyle name="Assumption Date" xfId="3218"/>
    <cellStyle name="Assumptions Center Currency" xfId="3219"/>
    <cellStyle name="Assumptions Center Date" xfId="3220"/>
    <cellStyle name="Assumptions Center Multiple" xfId="3221"/>
    <cellStyle name="Assumptions Center Number" xfId="3222"/>
    <cellStyle name="Assumptions Center Percentage" xfId="3223"/>
    <cellStyle name="Assumptions Center Year" xfId="3224"/>
    <cellStyle name="Assumptions Heading" xfId="3225"/>
    <cellStyle name="Assumptions Right Currency" xfId="3226"/>
    <cellStyle name="Assumptions Right Date" xfId="3227"/>
    <cellStyle name="Assumptions Right Multiple" xfId="3228"/>
    <cellStyle name="Assumptions Right Number" xfId="3229"/>
    <cellStyle name="Assumptions Right Percentage" xfId="3230"/>
    <cellStyle name="Assumptions Right Year" xfId="3231"/>
    <cellStyle name="AUD" xfId="3232"/>
    <cellStyle name="b" xfId="3233"/>
    <cellStyle name="Background" xfId="3234"/>
    <cellStyle name="Bad 2" xfId="136"/>
    <cellStyle name="Bad 2 2" xfId="3235"/>
    <cellStyle name="Bad 2 2 2" xfId="3236"/>
    <cellStyle name="Bad 2 2 2 2" xfId="3237"/>
    <cellStyle name="Bad 2 2 2 3" xfId="3238"/>
    <cellStyle name="Bad 2 2 2 3 2" xfId="3239"/>
    <cellStyle name="Bad 2 2 2 3 3" xfId="3240"/>
    <cellStyle name="Bad 2 2 2 4" xfId="3241"/>
    <cellStyle name="Bad 2 2 2 5" xfId="3242"/>
    <cellStyle name="Bad 2 2 2 6" xfId="3243"/>
    <cellStyle name="Bad 2 2 3" xfId="3244"/>
    <cellStyle name="Bad 2 2 3 2" xfId="3245"/>
    <cellStyle name="Bad 2 2 3 3" xfId="3246"/>
    <cellStyle name="Bad 2 2 3 4" xfId="3247"/>
    <cellStyle name="Bad 2 2 4" xfId="3248"/>
    <cellStyle name="Bad 2 3" xfId="3249"/>
    <cellStyle name="Bad 2 3 2" xfId="3250"/>
    <cellStyle name="Bad 2 3 3" xfId="3251"/>
    <cellStyle name="Bad 2 4" xfId="3252"/>
    <cellStyle name="Bad 2 4 2" xfId="3253"/>
    <cellStyle name="Bad 2 4 3" xfId="3254"/>
    <cellStyle name="Bad 2 5" xfId="3255"/>
    <cellStyle name="Bad 2 5 2" xfId="3256"/>
    <cellStyle name="Bad 2 5 3" xfId="3257"/>
    <cellStyle name="Bad 2 5_CPI" xfId="3258"/>
    <cellStyle name="Bad 2 6" xfId="3259"/>
    <cellStyle name="Bad 2 6 2" xfId="3260"/>
    <cellStyle name="Bad 2 6 3" xfId="3261"/>
    <cellStyle name="Bad 2 6 4" xfId="3262"/>
    <cellStyle name="Bad 2 7" xfId="3263"/>
    <cellStyle name="Bad 3" xfId="3264"/>
    <cellStyle name="Bad 3 2" xfId="3265"/>
    <cellStyle name="Bad 3 2 2" xfId="3266"/>
    <cellStyle name="Bad 3 2 3" xfId="3267"/>
    <cellStyle name="Bad 3 2 4" xfId="3268"/>
    <cellStyle name="Bad 3 2_CPI" xfId="3269"/>
    <cellStyle name="Bad 3 3" xfId="3270"/>
    <cellStyle name="Bad 3_CPI" xfId="3271"/>
    <cellStyle name="Bad 4" xfId="3272"/>
    <cellStyle name="Bad 4 2" xfId="3273"/>
    <cellStyle name="Bad 4 3" xfId="3274"/>
    <cellStyle name="Bad 5" xfId="3275"/>
    <cellStyle name="Bad 6" xfId="3276"/>
    <cellStyle name="Bad 7" xfId="3277"/>
    <cellStyle name="Bad 8" xfId="3278"/>
    <cellStyle name="Bé" xfId="3279"/>
    <cellStyle name="Berekening" xfId="3280"/>
    <cellStyle name="Besuchter Hyperlink" xfId="3281"/>
    <cellStyle name="Bground" xfId="3282"/>
    <cellStyle name="Big Multi-Column Header" xfId="3283"/>
    <cellStyle name="bl" xfId="3284"/>
    <cellStyle name="black - Style1" xfId="3285"/>
    <cellStyle name="Blank" xfId="3286"/>
    <cellStyle name="Blank[,]" xfId="3287"/>
    <cellStyle name="Blue" xfId="3288"/>
    <cellStyle name="Blue 2" xfId="3289"/>
    <cellStyle name="Blue 2 2" xfId="3290"/>
    <cellStyle name="Blue 3" xfId="3291"/>
    <cellStyle name="Blue 3 2" xfId="3292"/>
    <cellStyle name="Body" xfId="3293"/>
    <cellStyle name="Bold/Border" xfId="3294"/>
    <cellStyle name="Border" xfId="3295"/>
    <cellStyle name="Border Heavy" xfId="3296"/>
    <cellStyle name="Border Thin" xfId="3297"/>
    <cellStyle name="Border_101 BBIL 31-12-08 TEA v2" xfId="3298"/>
    <cellStyle name="BorderHeading" xfId="3299"/>
    <cellStyle name="Bracket $'000 calc" xfId="3300"/>
    <cellStyle name="Bracket $'000 total" xfId="3301"/>
    <cellStyle name="Bracket 0 Decimal calc" xfId="3302"/>
    <cellStyle name="Bracket 0 Decimal Input" xfId="3303"/>
    <cellStyle name="Bracket 0 Decimal Total" xfId="3304"/>
    <cellStyle name="Bracket 1 Decimal Input" xfId="3305"/>
    <cellStyle name="Bracket 2 Decimal calc" xfId="3306"/>
    <cellStyle name="Bracket 2 Decimal input" xfId="3307"/>
    <cellStyle name="Bracket 2 Decimal total" xfId="3308"/>
    <cellStyle name="Brand Align Left Text" xfId="3309"/>
    <cellStyle name="Brand Default" xfId="3310"/>
    <cellStyle name="Brand Default 2" xfId="3311"/>
    <cellStyle name="Brand Default 3" xfId="3312"/>
    <cellStyle name="Brand Default 4" xfId="3313"/>
    <cellStyle name="Brand Default 5" xfId="3314"/>
    <cellStyle name="Brand Default 6" xfId="3315"/>
    <cellStyle name="Brand Default 7" xfId="3316"/>
    <cellStyle name="Brand Default 8" xfId="3317"/>
    <cellStyle name="Brand Default_Financial figures November MP" xfId="3318"/>
    <cellStyle name="Brand Percent" xfId="3319"/>
    <cellStyle name="Brand Source" xfId="3320"/>
    <cellStyle name="Brand Subtitle with Underline" xfId="3321"/>
    <cellStyle name="Brand Subtitle with Underline 2" xfId="3322"/>
    <cellStyle name="Brand Subtitle with Underline_Financial figures November MP" xfId="3323"/>
    <cellStyle name="Brand Subtitle without Underline" xfId="3324"/>
    <cellStyle name="Brand Title" xfId="3325"/>
    <cellStyle name="Brand Title 2" xfId="3326"/>
    <cellStyle name="Brand Title_Financial figures November MP" xfId="3327"/>
    <cellStyle name="Bridget" xfId="3328"/>
    <cellStyle name="bt" xfId="3329"/>
    <cellStyle name="Bullet" xfId="3330"/>
    <cellStyle name="c" xfId="3331"/>
    <cellStyle name="c_DBCT&gt;Link" xfId="3332"/>
    <cellStyle name="c_DBCT&gt;Link_F-zero" xfId="3333"/>
    <cellStyle name="c_HardInc " xfId="3334"/>
    <cellStyle name="c_HardInc  2" xfId="3335"/>
    <cellStyle name="c_HardInc  2_F-zero" xfId="3336"/>
    <cellStyle name="c_HardInc _F-zero" xfId="3337"/>
    <cellStyle name="c_HardInc _rGroupBS" xfId="3338"/>
    <cellStyle name="c_HardInc _rGroupBS_F-zero" xfId="3339"/>
    <cellStyle name="c_HardInc _rGroupFinancials" xfId="3340"/>
    <cellStyle name="c_HardInc _rGroupFinancials_F-zero" xfId="3341"/>
    <cellStyle name="c_HardInc _rGroupP&amp;LSummary" xfId="3342"/>
    <cellStyle name="c_HardInc _rGroupP&amp;LSummary_F-zero" xfId="3343"/>
    <cellStyle name="c_HardInc _rGroupTables" xfId="3344"/>
    <cellStyle name="c_HardInc _rGroupTables_F-zero" xfId="3345"/>
    <cellStyle name="c_HardInc _rPNZHLConsol11" xfId="3346"/>
    <cellStyle name="c_HardInc _rPNZHLConsol11_F-zero" xfId="3347"/>
    <cellStyle name="c_rGroupBS (Corp)" xfId="3348"/>
    <cellStyle name="c_rGroupCashflowSummary (Corp)" xfId="3349"/>
    <cellStyle name="c_rGroupP&amp;LSummary" xfId="3350"/>
    <cellStyle name="c_rGroupP&amp;LSummary (Corp Detail)" xfId="3351"/>
    <cellStyle name="c_rPowercoConsol11" xfId="3352"/>
    <cellStyle name="C00A" xfId="3353"/>
    <cellStyle name="C00B" xfId="3354"/>
    <cellStyle name="C00L" xfId="3355"/>
    <cellStyle name="C01A" xfId="3356"/>
    <cellStyle name="C01B" xfId="3357"/>
    <cellStyle name="C01B 2" xfId="3358"/>
    <cellStyle name="C01B_F-zero" xfId="3359"/>
    <cellStyle name="C01H" xfId="3360"/>
    <cellStyle name="C01L" xfId="3361"/>
    <cellStyle name="C02A" xfId="3362"/>
    <cellStyle name="C02B" xfId="3363"/>
    <cellStyle name="C02B 2" xfId="3364"/>
    <cellStyle name="C02H" xfId="3365"/>
    <cellStyle name="C02L" xfId="3366"/>
    <cellStyle name="C03A" xfId="3367"/>
    <cellStyle name="C03B" xfId="3368"/>
    <cellStyle name="C03H" xfId="3369"/>
    <cellStyle name="C03L" xfId="3370"/>
    <cellStyle name="C04A" xfId="3371"/>
    <cellStyle name="C04B" xfId="3372"/>
    <cellStyle name="C04H" xfId="3373"/>
    <cellStyle name="C04L" xfId="3374"/>
    <cellStyle name="C05A" xfId="3375"/>
    <cellStyle name="C05B" xfId="3376"/>
    <cellStyle name="C05H" xfId="3377"/>
    <cellStyle name="C05L" xfId="3378"/>
    <cellStyle name="C06A" xfId="3379"/>
    <cellStyle name="C06B" xfId="3380"/>
    <cellStyle name="C06H" xfId="3381"/>
    <cellStyle name="C06L" xfId="3382"/>
    <cellStyle name="C07A" xfId="3383"/>
    <cellStyle name="C07B" xfId="3384"/>
    <cellStyle name="C07H" xfId="3385"/>
    <cellStyle name="C07L" xfId="3386"/>
    <cellStyle name="c2" xfId="3387"/>
    <cellStyle name="Calc" xfId="3388"/>
    <cellStyle name="Calc Currency (0)" xfId="3389"/>
    <cellStyle name="Calc_AUD" xfId="3390"/>
    <cellStyle name="Calcolo" xfId="3391"/>
    <cellStyle name="Càlcul" xfId="3392"/>
    <cellStyle name="Calculate" xfId="3393"/>
    <cellStyle name="Calculated" xfId="3394"/>
    <cellStyle name="Calculation 2" xfId="106"/>
    <cellStyle name="Calculation 2 2" xfId="3396"/>
    <cellStyle name="Calculation 2 3" xfId="3397"/>
    <cellStyle name="Calculation 2_Inputs" xfId="3395"/>
    <cellStyle name="Calculation 3" xfId="3398"/>
    <cellStyle name="Calculation 4" xfId="3399"/>
    <cellStyle name="Calculation 5" xfId="3400"/>
    <cellStyle name="Calculation 6" xfId="3401"/>
    <cellStyle name="Calculation 7" xfId="3402"/>
    <cellStyle name="Calculation 8" xfId="3403"/>
    <cellStyle name="Callum" xfId="3404"/>
    <cellStyle name="Case_Selector" xfId="3405"/>
    <cellStyle name="Cat title white end" xfId="3406"/>
    <cellStyle name="category" xfId="3407"/>
    <cellStyle name="cc0 -CalComma" xfId="3408"/>
    <cellStyle name="cc0 -CalComma 2" xfId="3409"/>
    <cellStyle name="cc0 -CalComma 3" xfId="3410"/>
    <cellStyle name="cc0 -CalComma 4" xfId="3411"/>
    <cellStyle name="cc0 -CalComma 5" xfId="3412"/>
    <cellStyle name="cc0 -CalComma_2011 WIP TRansfer" xfId="3413"/>
    <cellStyle name="cc0b -CalComma" xfId="3414"/>
    <cellStyle name="cc0b-CalCommaB" xfId="3415"/>
    <cellStyle name="cc0b-CalCommaB 2" xfId="3416"/>
    <cellStyle name="cc0b-CalCommaB_Assets FY 2012" xfId="3417"/>
    <cellStyle name="cc0k -CalCommaThousand" xfId="3418"/>
    <cellStyle name="cc0kb-CalCommaThousandB" xfId="3419"/>
    <cellStyle name="cc0m -CalCommaMillion" xfId="3420"/>
    <cellStyle name="cc1 -CalComma" xfId="3421"/>
    <cellStyle name="cc1 -CalComma 2" xfId="3422"/>
    <cellStyle name="cc1 -CalComma_2011 WIP TRansfer" xfId="3423"/>
    <cellStyle name="cc1k -CalCommaThousand" xfId="3424"/>
    <cellStyle name="cc2 -CalComma" xfId="3425"/>
    <cellStyle name="cc2 -CalComma 2" xfId="3426"/>
    <cellStyle name="cc2 -CalComma 3" xfId="3427"/>
    <cellStyle name="cc2 -CalComma_2011 WIP TRansfer" xfId="3428"/>
    <cellStyle name="cc2k -CalCommaThousand" xfId="3429"/>
    <cellStyle name="cc3 -CalComma" xfId="3430"/>
    <cellStyle name="cc3 -CalComma 2" xfId="3431"/>
    <cellStyle name="cc3 -CalComma_2011 WIP TRansfer" xfId="3432"/>
    <cellStyle name="cc3k -CalCommaThousand" xfId="3433"/>
    <cellStyle name="cc3kb-CalCommaThousandB" xfId="3434"/>
    <cellStyle name="cc4 -CalComma" xfId="3435"/>
    <cellStyle name="cc4 -CalComma 2" xfId="3436"/>
    <cellStyle name="cc4 -CalComma_2011 WIP TRansfer" xfId="3437"/>
    <cellStyle name="cc4k -CalCommaThousand" xfId="3438"/>
    <cellStyle name="cc5 -CalComma" xfId="3439"/>
    <cellStyle name="cc6 -CalComma" xfId="3440"/>
    <cellStyle name="cc7 -CalComma" xfId="3441"/>
    <cellStyle name="cc8 -CalComma" xfId="3442"/>
    <cellStyle name="cc9 -CalComma" xfId="3443"/>
    <cellStyle name="cdDMM -CalDate" xfId="3444"/>
    <cellStyle name="cdDMMY -CalDate" xfId="3445"/>
    <cellStyle name="cdDMMY -CalDate 2" xfId="3446"/>
    <cellStyle name="cdDMMY -CalDate_2011 WIP TRansfer" xfId="3447"/>
    <cellStyle name="cdDMMYHM -CalDateTime" xfId="3448"/>
    <cellStyle name="cdDMMYHM -CalDateTime 2" xfId="3449"/>
    <cellStyle name="cdDMMYHM -CalDateTime 2 2" xfId="3450"/>
    <cellStyle name="cdDMMYHM -CalDateTime 2_Accounts Gas" xfId="3451"/>
    <cellStyle name="cdDMMYHM -CalDateTime 3" xfId="3452"/>
    <cellStyle name="cdDMMYHM -CalDateTime 3 2" xfId="3453"/>
    <cellStyle name="cdDMMYHM -CalDateTime 3_Accounts Gas" xfId="3454"/>
    <cellStyle name="cdDMMYHM -CalDateTime 4" xfId="3455"/>
    <cellStyle name="cdDMMYHM -CalDateTime_2011 WIP TRansfer" xfId="3456"/>
    <cellStyle name="cdDMY -CalDate" xfId="3457"/>
    <cellStyle name="cdDMY -CalDate 2" xfId="3458"/>
    <cellStyle name="cdDMY -CalDate_2011 WIP TRansfer" xfId="3459"/>
    <cellStyle name="cdMDY -CalDate" xfId="3460"/>
    <cellStyle name="cdMDY -CalDate 2" xfId="3461"/>
    <cellStyle name="cdMDY -CalDate_2011 WIP TRansfer" xfId="3462"/>
    <cellStyle name="cdMMY -CalDate" xfId="3463"/>
    <cellStyle name="cdMMY -CalDate 2" xfId="3464"/>
    <cellStyle name="cdMMY -CalDate_2011 WIP TRansfer" xfId="3465"/>
    <cellStyle name="cdMMYb-CalDateB" xfId="3466"/>
    <cellStyle name="cdMMYc-CalDateC" xfId="3467"/>
    <cellStyle name="cdMMYc-CalDateC 2" xfId="3468"/>
    <cellStyle name="cdMMYc-CalDateC_2011 WIP TRansfer" xfId="3469"/>
    <cellStyle name="Cel·la de comprovació" xfId="3470"/>
    <cellStyle name="Cel·la enllaçada" xfId="3471"/>
    <cellStyle name="Cell Link" xfId="3472"/>
    <cellStyle name="Cella collegata" xfId="3473"/>
    <cellStyle name="Cella da controllare" xfId="3474"/>
    <cellStyle name="Center Currency" xfId="3475"/>
    <cellStyle name="Center Date" xfId="3476"/>
    <cellStyle name="Center Multiple" xfId="3477"/>
    <cellStyle name="Center Number" xfId="3478"/>
    <cellStyle name="Center Percentage" xfId="3479"/>
    <cellStyle name="Center Year" xfId="3480"/>
    <cellStyle name="Centre" xfId="3481"/>
    <cellStyle name="cf0 -CalFixed" xfId="3482"/>
    <cellStyle name="cf0 -CalFixed 2" xfId="3483"/>
    <cellStyle name="cf0 -CalFixed 3" xfId="3484"/>
    <cellStyle name="cf0 -CalFixed_2011 WIP TRansfer" xfId="3485"/>
    <cellStyle name="Changeable" xfId="3486"/>
    <cellStyle name="Check" xfId="3487"/>
    <cellStyle name="Check Cell 2" xfId="137"/>
    <cellStyle name="Check Cell 2 2" xfId="3488"/>
    <cellStyle name="Check Cell 3" xfId="3489"/>
    <cellStyle name="Check Cell 4" xfId="3490"/>
    <cellStyle name="Check Cell 5" xfId="3491"/>
    <cellStyle name="Check Cell 6" xfId="3492"/>
    <cellStyle name="Check Cell 7" xfId="3493"/>
    <cellStyle name="Check Cell 8" xfId="3494"/>
    <cellStyle name="ClearZero&amp;Red-ve" xfId="3495"/>
    <cellStyle name="cmHM  -CalTime" xfId="3496"/>
    <cellStyle name="cmHM  -CalTime 2" xfId="3497"/>
    <cellStyle name="cmHM  -CalTime 2 2" xfId="3498"/>
    <cellStyle name="cmHM  -CalTime 2_Accounts Gas" xfId="3499"/>
    <cellStyle name="cmHM  -CalTime 3" xfId="3500"/>
    <cellStyle name="cmHM  -CalTime 3 2" xfId="3501"/>
    <cellStyle name="cmHM  -CalTime 3_Accounts Gas" xfId="3502"/>
    <cellStyle name="cmHM  -CalTime 4" xfId="3503"/>
    <cellStyle name="cmHM  -CalTime_2011 WIP TRansfer" xfId="3504"/>
    <cellStyle name="cmHM24+ -CalTime" xfId="3505"/>
    <cellStyle name="cmHM24+ -CalTime 2" xfId="3506"/>
    <cellStyle name="cmHM24+ -CalTime_2011 WIP TRansfer" xfId="3507"/>
    <cellStyle name="Col head bold" xfId="3508"/>
    <cellStyle name="Col head light" xfId="3509"/>
    <cellStyle name="Col title" xfId="3510"/>
    <cellStyle name="Col title dates (m-y)" xfId="3511"/>
    <cellStyle name="Col title percent" xfId="3512"/>
    <cellStyle name="Col title_F-zero" xfId="3513"/>
    <cellStyle name="Colore 1" xfId="3514"/>
    <cellStyle name="Colore 2" xfId="3515"/>
    <cellStyle name="Colore 3" xfId="3516"/>
    <cellStyle name="Colore 4" xfId="3517"/>
    <cellStyle name="Colore 5" xfId="3518"/>
    <cellStyle name="Colore 6" xfId="3519"/>
    <cellStyle name="ColumnHeader" xfId="3520"/>
    <cellStyle name="ColumnHeader 10" xfId="3521"/>
    <cellStyle name="ColumnHeader 11" xfId="3522"/>
    <cellStyle name="ColumnHeader 12" xfId="3523"/>
    <cellStyle name="ColumnHeader 13" xfId="3524"/>
    <cellStyle name="ColumnHeader 14" xfId="3525"/>
    <cellStyle name="ColumnHeader 2" xfId="3526"/>
    <cellStyle name="ColumnHeader 3" xfId="3527"/>
    <cellStyle name="ColumnHeader 4" xfId="3528"/>
    <cellStyle name="ColumnHeader 5" xfId="3529"/>
    <cellStyle name="ColumnHeader 6" xfId="3530"/>
    <cellStyle name="ColumnHeader 7" xfId="3531"/>
    <cellStyle name="ColumnHeader 8" xfId="3532"/>
    <cellStyle name="ColumnHeader 9" xfId="3533"/>
    <cellStyle name="ColumnHeader_AETD Quarter forecast template" xfId="3534"/>
    <cellStyle name="Comma" xfId="5" builtinId="3"/>
    <cellStyle name="Comma  - Style1" xfId="3535"/>
    <cellStyle name="Comma  - Style2" xfId="3536"/>
    <cellStyle name="Comma  - Style3" xfId="3537"/>
    <cellStyle name="Comma  - Style4" xfId="3538"/>
    <cellStyle name="Comma  - Style5" xfId="3539"/>
    <cellStyle name="Comma  - Style6" xfId="3540"/>
    <cellStyle name="Comma  - Style7" xfId="3541"/>
    <cellStyle name="Comma  - Style8" xfId="3542"/>
    <cellStyle name="Comma - ntj" xfId="3543"/>
    <cellStyle name="Comma - ntj 2" xfId="3544"/>
    <cellStyle name="Comma - nuku" xfId="3545"/>
    <cellStyle name="Comma [0] - ntj" xfId="3546"/>
    <cellStyle name="Comma [0] - nuku" xfId="3547"/>
    <cellStyle name="Comma [0] 10" xfId="3548"/>
    <cellStyle name="Comma [0] 2" xfId="7"/>
    <cellStyle name="Comma [0] 2 2" xfId="3549"/>
    <cellStyle name="Comma [0] 2 2 2" xfId="3550"/>
    <cellStyle name="Comma [0] 2 3" xfId="3551"/>
    <cellStyle name="Comma [0] 2 3 2" xfId="3552"/>
    <cellStyle name="Comma [0] 2 4" xfId="3553"/>
    <cellStyle name="Comma [0] 2 4 2" xfId="3554"/>
    <cellStyle name="Comma [0] 2 5" xfId="3555"/>
    <cellStyle name="Comma [0] 2 5 2" xfId="3556"/>
    <cellStyle name="Comma [0] 3" xfId="3557"/>
    <cellStyle name="Comma [0] 3 2" xfId="3558"/>
    <cellStyle name="Comma [0] 3 2 2" xfId="3559"/>
    <cellStyle name="Comma [0] 4" xfId="3560"/>
    <cellStyle name="Comma [0] 4 2" xfId="3561"/>
    <cellStyle name="Comma [0] 5" xfId="3562"/>
    <cellStyle name="Comma [0] 5 2" xfId="3563"/>
    <cellStyle name="Comma [0] 6" xfId="3564"/>
    <cellStyle name="Comma [0] 7" xfId="3565"/>
    <cellStyle name="Comma [0] 7 2" xfId="3566"/>
    <cellStyle name="Comma [0] 8" xfId="3567"/>
    <cellStyle name="Comma [0] 8 2" xfId="3568"/>
    <cellStyle name="Comma [0] 9" xfId="3569"/>
    <cellStyle name="Comma [0] 9 2" xfId="3570"/>
    <cellStyle name="Comma [1]" xfId="8"/>
    <cellStyle name="Comma [1] 2" xfId="9"/>
    <cellStyle name="Comma [2]" xfId="10"/>
    <cellStyle name="Comma [2] 2" xfId="11"/>
    <cellStyle name="Comma [3]" xfId="3571"/>
    <cellStyle name="Comma [4]" xfId="12"/>
    <cellStyle name="Comma [4] 2" xfId="13"/>
    <cellStyle name="Comma 0" xfId="3572"/>
    <cellStyle name="Comma 0*" xfId="3573"/>
    <cellStyle name="Comma 0_BBI Application of WASP Proceeds" xfId="3574"/>
    <cellStyle name="Comma 10" xfId="3575"/>
    <cellStyle name="Comma 10 2" xfId="3576"/>
    <cellStyle name="Comma 10 2 2" xfId="3577"/>
    <cellStyle name="Comma 10 2 3" xfId="3578"/>
    <cellStyle name="Comma 10 3" xfId="3579"/>
    <cellStyle name="Comma 11" xfId="3580"/>
    <cellStyle name="Comma 11 2" xfId="3581"/>
    <cellStyle name="Comma 11 2 2" xfId="3582"/>
    <cellStyle name="Comma 11 3" xfId="3583"/>
    <cellStyle name="Comma 12" xfId="3584"/>
    <cellStyle name="Comma 12 2" xfId="3585"/>
    <cellStyle name="Comma 12_Corporate - March Qtr Actual" xfId="3586"/>
    <cellStyle name="Comma 127" xfId="3587"/>
    <cellStyle name="Comma 13" xfId="3588"/>
    <cellStyle name="Comma 14" xfId="3589"/>
    <cellStyle name="Comma 14 2" xfId="3590"/>
    <cellStyle name="Comma 15" xfId="3591"/>
    <cellStyle name="Comma 16" xfId="3592"/>
    <cellStyle name="Comma 16 2" xfId="3593"/>
    <cellStyle name="Comma 17" xfId="3594"/>
    <cellStyle name="Comma 18" xfId="3595"/>
    <cellStyle name="Comma 19" xfId="3596"/>
    <cellStyle name="Comma 19 2" xfId="3597"/>
    <cellStyle name="Comma 2" xfId="14"/>
    <cellStyle name="Comma 2 10" xfId="3598"/>
    <cellStyle name="Comma 2 11" xfId="3599"/>
    <cellStyle name="Comma 2 2" xfId="15"/>
    <cellStyle name="Comma 2 2 2" xfId="163"/>
    <cellStyle name="Comma 2 2 3" xfId="3600"/>
    <cellStyle name="Comma 2 2 4" xfId="3601"/>
    <cellStyle name="Comma 2 2 5" xfId="3602"/>
    <cellStyle name="Comma 2 3" xfId="79"/>
    <cellStyle name="Comma 2 3 2" xfId="164"/>
    <cellStyle name="Comma 2 3 3" xfId="3603"/>
    <cellStyle name="Comma 2 3 4" xfId="3604"/>
    <cellStyle name="Comma 2 4" xfId="3605"/>
    <cellStyle name="Comma 2 4 2" xfId="3606"/>
    <cellStyle name="Comma 2 4 3" xfId="3607"/>
    <cellStyle name="Comma 2 4 4" xfId="3608"/>
    <cellStyle name="Comma 2 4 5" xfId="3609"/>
    <cellStyle name="Comma 2 5" xfId="3610"/>
    <cellStyle name="Comma 2 5 2" xfId="3611"/>
    <cellStyle name="Comma 2 6" xfId="3612"/>
    <cellStyle name="Comma 2 7" xfId="3613"/>
    <cellStyle name="Comma 2 8" xfId="3614"/>
    <cellStyle name="Comma 2 8 2" xfId="3615"/>
    <cellStyle name="Comma 2 9" xfId="3616"/>
    <cellStyle name="Comma 2_Accounts Gas" xfId="3617"/>
    <cellStyle name="Comma 20" xfId="3618"/>
    <cellStyle name="Comma 20 2" xfId="3619"/>
    <cellStyle name="Comma 20_F-zero" xfId="3620"/>
    <cellStyle name="Comma 21" xfId="3621"/>
    <cellStyle name="Comma 22" xfId="3622"/>
    <cellStyle name="Comma 23" xfId="4459"/>
    <cellStyle name="Comma 233" xfId="4460"/>
    <cellStyle name="Comma 24" xfId="4814"/>
    <cellStyle name="Comma 29" xfId="3623"/>
    <cellStyle name="Comma 3" xfId="165"/>
    <cellStyle name="Comma 3 2" xfId="3624"/>
    <cellStyle name="Comma 3 2 2" xfId="3625"/>
    <cellStyle name="Comma 3 2 3" xfId="3626"/>
    <cellStyle name="Comma 3 2 4" xfId="3627"/>
    <cellStyle name="Comma 3 2 5" xfId="3628"/>
    <cellStyle name="Comma 3 3" xfId="3629"/>
    <cellStyle name="Comma 3 3 2" xfId="3630"/>
    <cellStyle name="Comma 3 3 3" xfId="3631"/>
    <cellStyle name="Comma 3 3 4" xfId="3632"/>
    <cellStyle name="Comma 3 4" xfId="3633"/>
    <cellStyle name="Comma 3 4 2" xfId="3634"/>
    <cellStyle name="Comma 3 4 3" xfId="3635"/>
    <cellStyle name="Comma 3 4 4" xfId="3636"/>
    <cellStyle name="Comma 3 5" xfId="3637"/>
    <cellStyle name="Comma 3 5 2" xfId="3638"/>
    <cellStyle name="Comma 3 6" xfId="3639"/>
    <cellStyle name="Comma 3 6 2" xfId="3640"/>
    <cellStyle name="Comma 3 7" xfId="3641"/>
    <cellStyle name="Comma 3 7 2" xfId="3642"/>
    <cellStyle name="Comma 3 8" xfId="3643"/>
    <cellStyle name="Comma 3_rGroupCashflowSummary (819)" xfId="3644"/>
    <cellStyle name="Comma 4" xfId="3645"/>
    <cellStyle name="Comma 4 2" xfId="3646"/>
    <cellStyle name="Comma 4 2 2" xfId="3647"/>
    <cellStyle name="Comma 4 2 2 2" xfId="3648"/>
    <cellStyle name="Comma 4 2 3" xfId="3649"/>
    <cellStyle name="Comma 4 3" xfId="3650"/>
    <cellStyle name="Comma 4 3 2" xfId="3651"/>
    <cellStyle name="Comma 4 3 3" xfId="3652"/>
    <cellStyle name="Comma 4 4" xfId="3653"/>
    <cellStyle name="Comma 4 5" xfId="3654"/>
    <cellStyle name="Comma 4 6" xfId="3655"/>
    <cellStyle name="Comma 4 7" xfId="3656"/>
    <cellStyle name="Comma 4 8" xfId="3657"/>
    <cellStyle name="Comma 4 9" xfId="3658"/>
    <cellStyle name="Comma 5" xfId="3659"/>
    <cellStyle name="Comma 5 2" xfId="3660"/>
    <cellStyle name="Comma 5 2 2" xfId="3661"/>
    <cellStyle name="Comma 5 2 3" xfId="3662"/>
    <cellStyle name="Comma 5 3" xfId="3663"/>
    <cellStyle name="Comma 5 3 2" xfId="3664"/>
    <cellStyle name="Comma 5 4" xfId="3665"/>
    <cellStyle name="Comma 5 4 2" xfId="3666"/>
    <cellStyle name="Comma 5 5" xfId="3667"/>
    <cellStyle name="Comma 6" xfId="3668"/>
    <cellStyle name="Comma 6 2" xfId="3669"/>
    <cellStyle name="Comma 6 2 2" xfId="3670"/>
    <cellStyle name="Comma 6 2 3" xfId="3671"/>
    <cellStyle name="Comma 6 3" xfId="3672"/>
    <cellStyle name="Comma 6 3 2" xfId="3673"/>
    <cellStyle name="Comma 6 4" xfId="3674"/>
    <cellStyle name="Comma 6 4 2" xfId="3675"/>
    <cellStyle name="Comma 6 5" xfId="3676"/>
    <cellStyle name="Comma 7" xfId="3677"/>
    <cellStyle name="Comma 7 10" xfId="3678"/>
    <cellStyle name="Comma 7 2" xfId="3679"/>
    <cellStyle name="Comma 7 2 2" xfId="3680"/>
    <cellStyle name="Comma 7 2 3" xfId="3681"/>
    <cellStyle name="Comma 7 3" xfId="3682"/>
    <cellStyle name="Comma 7 3 2" xfId="3683"/>
    <cellStyle name="Comma 7 4" xfId="3684"/>
    <cellStyle name="Comma 7 5" xfId="3685"/>
    <cellStyle name="Comma 8" xfId="3686"/>
    <cellStyle name="Comma 8 2" xfId="3687"/>
    <cellStyle name="Comma 8 2 2" xfId="3688"/>
    <cellStyle name="Comma 8 2 2 2" xfId="3689"/>
    <cellStyle name="Comma 8 2 3" xfId="3690"/>
    <cellStyle name="Comma 8 3" xfId="3691"/>
    <cellStyle name="Comma 9" xfId="3692"/>
    <cellStyle name="Comma 9 2" xfId="3693"/>
    <cellStyle name="Comma 9 3" xfId="3694"/>
    <cellStyle name="Comma 9 3 2" xfId="3695"/>
    <cellStyle name="Comma 9 4" xfId="3696"/>
    <cellStyle name="Comma(0)" xfId="3697"/>
    <cellStyle name="Comma(0) 2" xfId="3698"/>
    <cellStyle name="Comma(0)_F-zero" xfId="3699"/>
    <cellStyle name="Comma(2)" xfId="138"/>
    <cellStyle name="Comma(2) 2" xfId="3700"/>
    <cellStyle name="Comma(2)_F-zero" xfId="3701"/>
    <cellStyle name="Comma0" xfId="3702"/>
    <cellStyle name="Comment" xfId="139"/>
    <cellStyle name="Comment 2" xfId="3703"/>
    <cellStyle name="Comment Box" xfId="16"/>
    <cellStyle name="Comment Box 2" xfId="3704"/>
    <cellStyle name="Comment Box 3" xfId="3705"/>
    <cellStyle name="Comment Box 4" xfId="3706"/>
    <cellStyle name="Comment Box_F-zero" xfId="3707"/>
    <cellStyle name="Comment_F-zero" xfId="3708"/>
    <cellStyle name="Comments" xfId="3709"/>
    <cellStyle name="CommentWrap" xfId="3710"/>
    <cellStyle name="CommentWrap 2" xfId="3711"/>
    <cellStyle name="CommentWrap_F-zero" xfId="3712"/>
    <cellStyle name="Commm" xfId="3713"/>
    <cellStyle name="Company Name" xfId="140"/>
    <cellStyle name="Company Name 2" xfId="141"/>
    <cellStyle name="Company Name_F-zero" xfId="3714"/>
    <cellStyle name="CompanyName" xfId="3715"/>
    <cellStyle name="CompanyNum" xfId="3716"/>
    <cellStyle name="Content - Calculation" xfId="3717"/>
    <cellStyle name="Content - Historic Link" xfId="3718"/>
    <cellStyle name="Content - Input" xfId="3719"/>
    <cellStyle name="Content - Name" xfId="3720"/>
    <cellStyle name="Content - Unique" xfId="3721"/>
    <cellStyle name="ContentsHyperlink" xfId="188"/>
    <cellStyle name="Controlecel" xfId="3722"/>
    <cellStyle name="Copied" xfId="3723"/>
    <cellStyle name="Cover Date" xfId="3724"/>
    <cellStyle name="Cover presentation title" xfId="3725"/>
    <cellStyle name="Cover Subtitle" xfId="3726"/>
    <cellStyle name="Cover Title" xfId="3727"/>
    <cellStyle name="cp0 -CalPercent" xfId="3728"/>
    <cellStyle name="cp0 -CalPercent 2" xfId="3729"/>
    <cellStyle name="cp0 -CalPercent 3" xfId="3730"/>
    <cellStyle name="cp0 -CalPercent_2011 WIP TRansfer" xfId="3731"/>
    <cellStyle name="cp0b-CalPercentB" xfId="3732"/>
    <cellStyle name="cp1 -CalPercent" xfId="3733"/>
    <cellStyle name="cp1 -CalPercent 2" xfId="3734"/>
    <cellStyle name="cp1 -CalPercent_AMP" xfId="3735"/>
    <cellStyle name="cp2 -CalPercent" xfId="3736"/>
    <cellStyle name="cp2 -CalPercent 2" xfId="3737"/>
    <cellStyle name="cp2 -CalPercent_2011 WIP TRansfer" xfId="3738"/>
    <cellStyle name="cp2b-CalPercentB" xfId="3739"/>
    <cellStyle name="cp3 -CalPercent" xfId="3740"/>
    <cellStyle name="cp3 -CalPercent 2" xfId="3741"/>
    <cellStyle name="cp3 -CalPercent_2011 WIP TRansfer" xfId="3742"/>
    <cellStyle name="cr0 -CalCurr" xfId="3743"/>
    <cellStyle name="cr0 -CalCurr 2" xfId="3744"/>
    <cellStyle name="cr0 -CalCurr_2011 WIP TRansfer" xfId="3745"/>
    <cellStyle name="cr0k -CalCurrThousand" xfId="3746"/>
    <cellStyle name="cr0m -CalCurrMillion" xfId="3747"/>
    <cellStyle name="cr1 -CalCurr" xfId="3748"/>
    <cellStyle name="cr1 -CalCurr 2" xfId="3749"/>
    <cellStyle name="cr1 -CalCurr_2011 WIP TRansfer" xfId="3750"/>
    <cellStyle name="cr2 -CalCurr" xfId="3751"/>
    <cellStyle name="cr2 -CalCurr 2" xfId="3752"/>
    <cellStyle name="cr2 -CalCurr_2011 WIP TRansfer" xfId="3753"/>
    <cellStyle name="cr3 -CalCurr" xfId="3754"/>
    <cellStyle name="cr3 -CalCurr 2" xfId="3755"/>
    <cellStyle name="cr3 -CalCurr_2011 WIP TRansfer" xfId="3756"/>
    <cellStyle name="cr4 -CalCurr" xfId="3757"/>
    <cellStyle name="cr4 -CalCurr 2" xfId="3758"/>
    <cellStyle name="cr4 -CalCurr_2011 WIP TRansfer" xfId="3759"/>
    <cellStyle name="CrossChecked" xfId="3760"/>
    <cellStyle name="cTextB" xfId="166"/>
    <cellStyle name="cTextB 2" xfId="3761"/>
    <cellStyle name="cTextB_2011 WIP TRansfer" xfId="3762"/>
    <cellStyle name="cu" xfId="3763"/>
    <cellStyle name="Currency" xfId="4" builtinId="4"/>
    <cellStyle name="Currency ($)" xfId="3764"/>
    <cellStyle name="Currency [0] U" xfId="3765"/>
    <cellStyle name="Currency [2]" xfId="3766"/>
    <cellStyle name="Currency [2] U" xfId="3767"/>
    <cellStyle name="Currency [2]_310107_CI-Portugal Financing_Audited_Link" xfId="3768"/>
    <cellStyle name="Currency 0" xfId="3769"/>
    <cellStyle name="Currency 0.0" xfId="3770"/>
    <cellStyle name="Currency 2" xfId="17"/>
    <cellStyle name="Currency 2 10" xfId="3771"/>
    <cellStyle name="Currency 2 11" xfId="3772"/>
    <cellStyle name="Currency 2 2" xfId="18"/>
    <cellStyle name="Currency 2 2 2" xfId="3773"/>
    <cellStyle name="Currency 2 3" xfId="103"/>
    <cellStyle name="Currency 2 3 2" xfId="3774"/>
    <cellStyle name="Currency 2 4" xfId="111"/>
    <cellStyle name="Currency 2 4 2" xfId="3775"/>
    <cellStyle name="Currency 2 5" xfId="3776"/>
    <cellStyle name="Currency 2 6" xfId="3777"/>
    <cellStyle name="Currency 2 7" xfId="3778"/>
    <cellStyle name="Currency 2 8" xfId="3779"/>
    <cellStyle name="Currency 2 9" xfId="3780"/>
    <cellStyle name="Currency 2_rGroupBS (Corp)" xfId="3781"/>
    <cellStyle name="Currency 3" xfId="19"/>
    <cellStyle name="Currency 3 2" xfId="3782"/>
    <cellStyle name="Currency 3 3" xfId="3783"/>
    <cellStyle name="Currency 4" xfId="77"/>
    <cellStyle name="Currency 4 2" xfId="3784"/>
    <cellStyle name="Currency 4 3" xfId="3785"/>
    <cellStyle name="Currency 5" xfId="78"/>
    <cellStyle name="Currency 5 2" xfId="3786"/>
    <cellStyle name="Currency 6" xfId="3787"/>
    <cellStyle name="Currency 7" xfId="3788"/>
    <cellStyle name="Currency 8" xfId="3789"/>
    <cellStyle name="Currency 9" xfId="3790"/>
    <cellStyle name="Currency Euro" xfId="3791"/>
    <cellStyle name="Currency Pound" xfId="3792"/>
    <cellStyle name="Currency0" xfId="3793"/>
    <cellStyle name="Custom" xfId="3794"/>
    <cellStyle name="CustomH" xfId="3795"/>
    <cellStyle name="Dash" xfId="3796"/>
    <cellStyle name="data" xfId="3797"/>
    <cellStyle name="Data Entry Heavy Box" xfId="3798"/>
    <cellStyle name="Data Entry Heavy Box 2" xfId="3799"/>
    <cellStyle name="Data Entry Heavy Box_F-zero" xfId="3800"/>
    <cellStyle name="Data Input" xfId="20"/>
    <cellStyle name="Data Input 2" xfId="70"/>
    <cellStyle name="Data Input 3" xfId="3801"/>
    <cellStyle name="Data Input 4" xfId="3802"/>
    <cellStyle name="Data Input Centre" xfId="3803"/>
    <cellStyle name="Data Input Centre 2" xfId="3804"/>
    <cellStyle name="Data Input Centre_F-zero" xfId="3805"/>
    <cellStyle name="Data Input_F-zero" xfId="3806"/>
    <cellStyle name="Data Rows" xfId="21"/>
    <cellStyle name="Data Rows 2" xfId="3807"/>
    <cellStyle name="Data Rows 3" xfId="3808"/>
    <cellStyle name="Data Rows 4" xfId="3809"/>
    <cellStyle name="Data Rows 4 2" xfId="3810"/>
    <cellStyle name="Data Rows 4_F-zero" xfId="3811"/>
    <cellStyle name="Data Rows 5" xfId="3812"/>
    <cellStyle name="Data Rows 5 2" xfId="3813"/>
    <cellStyle name="Data Rows 5_F-zero" xfId="3814"/>
    <cellStyle name="Data Rows 6" xfId="3815"/>
    <cellStyle name="Data Rows 7" xfId="3816"/>
    <cellStyle name="Data Rows 8" xfId="3817"/>
    <cellStyle name="Data Rows_F-zero" xfId="3818"/>
    <cellStyle name="data top 2" xfId="3819"/>
    <cellStyle name="Date" xfId="22"/>
    <cellStyle name="Date (short)" xfId="23"/>
    <cellStyle name="Date (short) 2" xfId="24"/>
    <cellStyle name="Date (short) 3" xfId="3820"/>
    <cellStyle name="Date (short)_F-zero" xfId="3821"/>
    <cellStyle name="Date [1 Dec 01]" xfId="3822"/>
    <cellStyle name="Date [1 Dec 01] 2" xfId="3823"/>
    <cellStyle name="Date [1 Dec 01] 3" xfId="3824"/>
    <cellStyle name="Date [1 Dec 01]_Book1" xfId="3825"/>
    <cellStyle name="Date [31 Dec 2000]" xfId="3826"/>
    <cellStyle name="Date [31/12/02]" xfId="3827"/>
    <cellStyle name="Date [Dec 00]" xfId="3828"/>
    <cellStyle name="Date [Dec 00] 2" xfId="3829"/>
    <cellStyle name="Date [Dec 00] 3" xfId="3830"/>
    <cellStyle name="Date [Dec 00]_Subsidiary Reporting Template 31 December 2009 FINAL (SHRU - excl PPA)" xfId="3831"/>
    <cellStyle name="Date [d-mmm-yy]" xfId="3832"/>
    <cellStyle name="Date 10" xfId="3833"/>
    <cellStyle name="Date 11" xfId="3834"/>
    <cellStyle name="Date 12" xfId="3835"/>
    <cellStyle name="Date 13" xfId="3836"/>
    <cellStyle name="Date 14" xfId="3837"/>
    <cellStyle name="Date 15" xfId="3838"/>
    <cellStyle name="Date 16" xfId="3839"/>
    <cellStyle name="Date 2" xfId="3840"/>
    <cellStyle name="Date 3" xfId="3841"/>
    <cellStyle name="Date 4" xfId="3842"/>
    <cellStyle name="Date 5" xfId="3843"/>
    <cellStyle name="Date 6" xfId="3844"/>
    <cellStyle name="Date 7" xfId="3845"/>
    <cellStyle name="Date 8" xfId="3846"/>
    <cellStyle name="Date 9" xfId="3847"/>
    <cellStyle name="Date Aligned" xfId="3848"/>
    <cellStyle name="Date and Time" xfId="25"/>
    <cellStyle name="Date and Time 2" xfId="3849"/>
    <cellStyle name="Date and Time 3" xfId="3850"/>
    <cellStyle name="Date and Time 4" xfId="3851"/>
    <cellStyle name="Date and Time_F-zero" xfId="3852"/>
    <cellStyle name="Date Line" xfId="3853"/>
    <cellStyle name="Date Released" xfId="26"/>
    <cellStyle name="Date U" xfId="3854"/>
    <cellStyle name="Date, Long" xfId="3855"/>
    <cellStyle name="Date, Short" xfId="3856"/>
    <cellStyle name="Date_100416 2010 Transmission General Ledger Balance" xfId="3857"/>
    <cellStyle name="Date2" xfId="3858"/>
    <cellStyle name="DateHeading" xfId="3859"/>
    <cellStyle name="DateLong" xfId="3860"/>
    <cellStyle name="DateLong2" xfId="3861"/>
    <cellStyle name="DateMMMYY" xfId="3862"/>
    <cellStyle name="DateMonth" xfId="3863"/>
    <cellStyle name="Dates" xfId="3864"/>
    <cellStyle name="Datum-xx" xfId="3865"/>
    <cellStyle name="Datum-xxxx" xfId="3866"/>
    <cellStyle name="Days" xfId="3867"/>
    <cellStyle name="DBTemplate" xfId="3868"/>
    <cellStyle name="dd-mmm-yy" xfId="3869"/>
    <cellStyle name="Debt" xfId="3870"/>
    <cellStyle name="Dec places 2, millions" xfId="3871"/>
    <cellStyle name="Decimal [-]" xfId="3872"/>
    <cellStyle name="Decimal [0]" xfId="3873"/>
    <cellStyle name="Decimal [0] 10" xfId="3874"/>
    <cellStyle name="Decimal [0] 11" xfId="3875"/>
    <cellStyle name="Decimal [0] 12" xfId="3876"/>
    <cellStyle name="Decimal [0] 13" xfId="3877"/>
    <cellStyle name="Decimal [0] 14" xfId="3878"/>
    <cellStyle name="Decimal [0] 2" xfId="3879"/>
    <cellStyle name="Decimal [0] 3" xfId="3880"/>
    <cellStyle name="Decimal [0] 4" xfId="3881"/>
    <cellStyle name="Decimal [0] 5" xfId="3882"/>
    <cellStyle name="Decimal [0] 6" xfId="3883"/>
    <cellStyle name="Decimal [0] 7" xfId="3884"/>
    <cellStyle name="Decimal [0] 8" xfId="3885"/>
    <cellStyle name="Decimal [0] 9" xfId="3886"/>
    <cellStyle name="Decimal [2]" xfId="3887"/>
    <cellStyle name="Decimal [2] U" xfId="3888"/>
    <cellStyle name="Decimal [2]_310107_CI-Portugal Financing_Audited_Link" xfId="3889"/>
    <cellStyle name="Decimal [4]" xfId="3890"/>
    <cellStyle name="Decimal [4] U" xfId="3891"/>
    <cellStyle name="Decimal [4]_310107_CI-Portugal Financing_Audited_Link" xfId="3892"/>
    <cellStyle name="Dezimal [0]_Modul1" xfId="3893"/>
    <cellStyle name="Dezimal_ANL_SOND" xfId="3894"/>
    <cellStyle name="Disabled" xfId="3895"/>
    <cellStyle name="Disclosure Date" xfId="142"/>
    <cellStyle name="Disclosure Date 2" xfId="143"/>
    <cellStyle name="Disclosure Date_F-zero" xfId="3896"/>
    <cellStyle name="diskette" xfId="27"/>
    <cellStyle name="DM-Währung" xfId="3897"/>
    <cellStyle name="Dollar" xfId="3898"/>
    <cellStyle name="Dollars" xfId="3899"/>
    <cellStyle name="Dollars M" xfId="3900"/>
    <cellStyle name="Dollars_2008 Plan RTCA Model - 2007 11 19 (inc MOATI??_x0005_" xfId="3901"/>
    <cellStyle name="Dotted Line" xfId="3902"/>
    <cellStyle name="Downfoot" xfId="3903"/>
    <cellStyle name="DY" xfId="3904"/>
    <cellStyle name="Ed" xfId="3905"/>
    <cellStyle name="Element" xfId="3906"/>
    <cellStyle name="Empty_Cell" xfId="3907"/>
    <cellStyle name="Énfasis1" xfId="3908"/>
    <cellStyle name="Énfasis2" xfId="3909"/>
    <cellStyle name="Énfasis3" xfId="3910"/>
    <cellStyle name="Énfasis4" xfId="3911"/>
    <cellStyle name="Énfasis5" xfId="3912"/>
    <cellStyle name="Énfasis6" xfId="3913"/>
    <cellStyle name="Entered" xfId="3914"/>
    <cellStyle name="Entrada" xfId="3915"/>
    <cellStyle name="entry" xfId="3916"/>
    <cellStyle name="Entry 1A" xfId="28"/>
    <cellStyle name="Entry 1A 2" xfId="3917"/>
    <cellStyle name="Entry 1A 2 2" xfId="3918"/>
    <cellStyle name="Entry 1A 2_F-zero" xfId="3919"/>
    <cellStyle name="Entry 1A 3" xfId="3920"/>
    <cellStyle name="Entry 1A 4" xfId="3921"/>
    <cellStyle name="Entry 1A_F-zero" xfId="3922"/>
    <cellStyle name="Entry 1B" xfId="29"/>
    <cellStyle name="Entry 1B 2" xfId="3923"/>
    <cellStyle name="Entry 1B 2 2" xfId="3924"/>
    <cellStyle name="Entry 1B 2_F-zero" xfId="3925"/>
    <cellStyle name="Entry 1B 3" xfId="3926"/>
    <cellStyle name="Entry 1B 4" xfId="3927"/>
    <cellStyle name="Entry 1B 5" xfId="3928"/>
    <cellStyle name="Entry 1B_F-zero" xfId="3929"/>
    <cellStyle name="entry_F-zero" xfId="3930"/>
    <cellStyle name="EPS Forecast" xfId="3931"/>
    <cellStyle name="EPS History" xfId="3932"/>
    <cellStyle name="Equity" xfId="3933"/>
    <cellStyle name="Error" xfId="3934"/>
    <cellStyle name="Estil 1" xfId="3935"/>
    <cellStyle name="Estilo 1" xfId="3936"/>
    <cellStyle name="Euro" xfId="3937"/>
    <cellStyle name="Excel Built-in Normal" xfId="108"/>
    <cellStyle name="Excel Built-in Normal 2" xfId="3938"/>
    <cellStyle name="Excel Built-in Normal_F-zero" xfId="3939"/>
    <cellStyle name="Expense" xfId="3940"/>
    <cellStyle name="Explanatory Text 2" xfId="30"/>
    <cellStyle name="Explanatory Text 2 10" xfId="4525" hidden="1"/>
    <cellStyle name="Explanatory Text 2 11" xfId="4532" hidden="1"/>
    <cellStyle name="Explanatory Text 2 12" xfId="4541" hidden="1"/>
    <cellStyle name="Explanatory Text 2 13" xfId="4548" hidden="1"/>
    <cellStyle name="Explanatory Text 2 14" xfId="4556" hidden="1"/>
    <cellStyle name="Explanatory Text 2 15" xfId="4564" hidden="1"/>
    <cellStyle name="Explanatory Text 2 16" xfId="4573" hidden="1"/>
    <cellStyle name="Explanatory Text 2 17" xfId="4580" hidden="1"/>
    <cellStyle name="Explanatory Text 2 18" xfId="4588" hidden="1"/>
    <cellStyle name="Explanatory Text 2 19" xfId="4597" hidden="1"/>
    <cellStyle name="Explanatory Text 2 2" xfId="3941"/>
    <cellStyle name="Explanatory Text 2 20" xfId="4606" hidden="1"/>
    <cellStyle name="Explanatory Text 2 21" xfId="4613" hidden="1"/>
    <cellStyle name="Explanatory Text 2 22" xfId="4621" hidden="1"/>
    <cellStyle name="Explanatory Text 2 23" xfId="4628" hidden="1"/>
    <cellStyle name="Explanatory Text 2 24" xfId="4635" hidden="1"/>
    <cellStyle name="Explanatory Text 2 25" xfId="4643" hidden="1"/>
    <cellStyle name="Explanatory Text 2 26" xfId="4651" hidden="1"/>
    <cellStyle name="Explanatory Text 2 27" xfId="4658" hidden="1"/>
    <cellStyle name="Explanatory Text 2 28" xfId="4665" hidden="1"/>
    <cellStyle name="Explanatory Text 2 29" xfId="4673" hidden="1"/>
    <cellStyle name="Explanatory Text 2 3" xfId="3942"/>
    <cellStyle name="Explanatory Text 2 30" xfId="4681" hidden="1"/>
    <cellStyle name="Explanatory Text 2 31" xfId="4689" hidden="1"/>
    <cellStyle name="Explanatory Text 2 32" xfId="4698" hidden="1"/>
    <cellStyle name="Explanatory Text 2 33" xfId="4706" hidden="1"/>
    <cellStyle name="Explanatory Text 2 34" xfId="4714" hidden="1"/>
    <cellStyle name="Explanatory Text 2 35" xfId="4722" hidden="1"/>
    <cellStyle name="Explanatory Text 2 36" xfId="4730" hidden="1"/>
    <cellStyle name="Explanatory Text 2 37" xfId="4738" hidden="1"/>
    <cellStyle name="Explanatory Text 2 38" xfId="4746" hidden="1"/>
    <cellStyle name="Explanatory Text 2 39" xfId="4754" hidden="1"/>
    <cellStyle name="Explanatory Text 2 4" xfId="4477" hidden="1"/>
    <cellStyle name="Explanatory Text 2 40" xfId="4762" hidden="1"/>
    <cellStyle name="Explanatory Text 2 41" xfId="4770" hidden="1"/>
    <cellStyle name="Explanatory Text 2 42" xfId="4778" hidden="1"/>
    <cellStyle name="Explanatory Text 2 43" xfId="4786" hidden="1"/>
    <cellStyle name="Explanatory Text 2 44" xfId="4794" hidden="1"/>
    <cellStyle name="Explanatory Text 2 45" xfId="4801" hidden="1"/>
    <cellStyle name="Explanatory Text 2 46" xfId="4809" hidden="1"/>
    <cellStyle name="Explanatory Text 2 5" xfId="4484" hidden="1"/>
    <cellStyle name="Explanatory Text 2 6" xfId="4492" hidden="1"/>
    <cellStyle name="Explanatory Text 2 7" xfId="4499" hidden="1"/>
    <cellStyle name="Explanatory Text 2 8" xfId="4509" hidden="1"/>
    <cellStyle name="Explanatory Text 2 9" xfId="4516" hidden="1"/>
    <cellStyle name="Explanatory Text 2_F-zero" xfId="3943"/>
    <cellStyle name="Explanatory text 3" xfId="3944"/>
    <cellStyle name="Explanatory Text 4" xfId="3945"/>
    <cellStyle name="Explanatory Text 5" xfId="3946"/>
    <cellStyle name="Explanatory Text 6" xfId="3947"/>
    <cellStyle name="Explanatory Text 7" xfId="3948"/>
    <cellStyle name="Explanatory Text 8" xfId="3949"/>
    <cellStyle name="EY House" xfId="3950"/>
    <cellStyle name="EY0dp" xfId="3951"/>
    <cellStyle name="EYColumnHeading" xfId="3952"/>
    <cellStyle name="EYCurrency" xfId="3953"/>
    <cellStyle name="EYnumber" xfId="3954"/>
    <cellStyle name="EYSheetHeading" xfId="3955"/>
    <cellStyle name="EYSource" xfId="3956"/>
    <cellStyle name="EYtext" xfId="3957"/>
    <cellStyle name="f" xfId="3958"/>
    <cellStyle name="F2" xfId="3959"/>
    <cellStyle name="F3" xfId="3960"/>
    <cellStyle name="F4" xfId="3961"/>
    <cellStyle name="F5" xfId="3962"/>
    <cellStyle name="F6" xfId="3963"/>
    <cellStyle name="F7" xfId="3964"/>
    <cellStyle name="F8" xfId="3965"/>
    <cellStyle name="Fail" xfId="3966"/>
    <cellStyle name="Fill" xfId="3967"/>
    <cellStyle name="financial" xfId="3968"/>
    <cellStyle name="FiscalPeriod" xfId="3969"/>
    <cellStyle name="Fixed" xfId="3970"/>
    <cellStyle name="Flag" xfId="3971"/>
    <cellStyle name="ƒnƒCƒp[ƒŠƒ“ƒN" xfId="3972"/>
    <cellStyle name="fo]_x000d__x000a_UserName=Murat Zelef_x000d__x000a_UserCompany=Bumerang_x000d__x000a__x000d__x000a_[File Paths]_x000d__x000a_WorkingDirectory=C:\EQUIS\DLWIN_x000d__x000a_DownLoader=C" xfId="3973"/>
    <cellStyle name="folio" xfId="3974"/>
    <cellStyle name="Followed Hyperlink 2" xfId="3975"/>
    <cellStyle name="Font_Actual" xfId="3976"/>
    <cellStyle name="Footer SBILogo1" xfId="3977"/>
    <cellStyle name="Footer SBILogo2" xfId="3978"/>
    <cellStyle name="Footnote" xfId="3979"/>
    <cellStyle name="Footnote 2" xfId="144"/>
    <cellStyle name="Footnote Reference" xfId="3980"/>
    <cellStyle name="Footnote_F-zero" xfId="3981"/>
    <cellStyle name="Formula (,)" xfId="3982"/>
    <cellStyle name="Formula (,0)" xfId="3983"/>
    <cellStyle name="Fyear" xfId="3984"/>
    <cellStyle name="GC Times 10pt Nm" xfId="167"/>
    <cellStyle name="Gctimes 6pt" xfId="168"/>
    <cellStyle name="Gekoppelde cel" xfId="3985"/>
    <cellStyle name="General" xfId="3986"/>
    <cellStyle name="Gilsans" xfId="3987"/>
    <cellStyle name="Gilsansl" xfId="3988"/>
    <cellStyle name="Goed" xfId="3989"/>
    <cellStyle name="Good 2" xfId="145"/>
    <cellStyle name="Good 2 2" xfId="3990"/>
    <cellStyle name="Good 3" xfId="3991"/>
    <cellStyle name="Good 4" xfId="3992"/>
    <cellStyle name="Good 5" xfId="3993"/>
    <cellStyle name="Good 6" xfId="3994"/>
    <cellStyle name="Good 7" xfId="3995"/>
    <cellStyle name="Good 8" xfId="3996"/>
    <cellStyle name="Green Header" xfId="3997"/>
    <cellStyle name="Grey" xfId="3998"/>
    <cellStyle name="Grid" xfId="3999"/>
    <cellStyle name="Group" xfId="4000"/>
    <cellStyle name="Growth Factor" xfId="4001"/>
    <cellStyle name="h" xfId="4002"/>
    <cellStyle name="h0 -Heading" xfId="4003"/>
    <cellStyle name="h0 -Heading 2" xfId="4004"/>
    <cellStyle name="h0 -Heading_2011 WIP TRansfer" xfId="4005"/>
    <cellStyle name="h1" xfId="4006"/>
    <cellStyle name="h1 -Heading" xfId="4007"/>
    <cellStyle name="h1 -Heading 2" xfId="4008"/>
    <cellStyle name="h1 -Heading 3" xfId="4009"/>
    <cellStyle name="h1 -Heading 4" xfId="4010"/>
    <cellStyle name="h1 -Heading_2011 WIP TRansfer" xfId="4011"/>
    <cellStyle name="h1_F-zero" xfId="4012"/>
    <cellStyle name="h2" xfId="4013"/>
    <cellStyle name="h2 -Heading" xfId="4014"/>
    <cellStyle name="h2 -Heading 2" xfId="4015"/>
    <cellStyle name="h2 -Heading 2 2" xfId="4016"/>
    <cellStyle name="h2 -Heading 2_Accounts Gas" xfId="4017"/>
    <cellStyle name="h2 -Heading 3" xfId="4018"/>
    <cellStyle name="h2 -Heading_AMP" xfId="4019"/>
    <cellStyle name="h2_F-zero" xfId="4020"/>
    <cellStyle name="h3 -Heading" xfId="4021"/>
    <cellStyle name="h3 -Heading 2" xfId="4022"/>
    <cellStyle name="h3 -Heading 3" xfId="4023"/>
    <cellStyle name="h3 -Heading_AMP" xfId="4024"/>
    <cellStyle name="Hard Percent" xfId="4025"/>
    <cellStyle name="Hash Out" xfId="4026"/>
    <cellStyle name="Head 1" xfId="4027"/>
    <cellStyle name="Head 2" xfId="4028"/>
    <cellStyle name="Head 3" xfId="4029"/>
    <cellStyle name="Header" xfId="4030"/>
    <cellStyle name="Header 0 Top" xfId="4031"/>
    <cellStyle name="Header 1" xfId="146"/>
    <cellStyle name="Header 1 2" xfId="4032"/>
    <cellStyle name="Header 1_F-zero" xfId="4033"/>
    <cellStyle name="Header Company" xfId="147"/>
    <cellStyle name="Header Company 2" xfId="4034"/>
    <cellStyle name="Header Company_F-zero" xfId="4035"/>
    <cellStyle name="Header Draft Stamp" xfId="4036"/>
    <cellStyle name="Header Rows" xfId="148"/>
    <cellStyle name="Header Rows 2" xfId="4037"/>
    <cellStyle name="Header Rows_F-zero" xfId="4038"/>
    <cellStyle name="Header Text" xfId="149"/>
    <cellStyle name="Header Text 2" xfId="4039"/>
    <cellStyle name="Header Text_F-zero" xfId="4040"/>
    <cellStyle name="Header Version" xfId="150"/>
    <cellStyle name="Header Version 2" xfId="4041"/>
    <cellStyle name="Header Version_F-zero" xfId="4042"/>
    <cellStyle name="Header_1269486_1" xfId="4043"/>
    <cellStyle name="Header1" xfId="4044"/>
    <cellStyle name="Header2" xfId="4045"/>
    <cellStyle name="Header3" xfId="4046"/>
    <cellStyle name="Header4" xfId="4047"/>
    <cellStyle name="Heading" xfId="4048"/>
    <cellStyle name="Heading - Section" xfId="4049"/>
    <cellStyle name="Heading - Sheet" xfId="4050"/>
    <cellStyle name="Heading - Sub" xfId="4051"/>
    <cellStyle name="Heading - Totals" xfId="4052"/>
    <cellStyle name="Heading 0" xfId="4053"/>
    <cellStyle name="Heading 1 1" xfId="4054"/>
    <cellStyle name="Heading 1 2" xfId="31"/>
    <cellStyle name="Heading 1 2 10" xfId="4519" hidden="1"/>
    <cellStyle name="Heading 1 2 11" xfId="4528" hidden="1"/>
    <cellStyle name="Heading 1 2 12" xfId="4536" hidden="1"/>
    <cellStyle name="Heading 1 2 13" xfId="4544" hidden="1"/>
    <cellStyle name="Heading 1 2 14" xfId="4551" hidden="1"/>
    <cellStyle name="Heading 1 2 15" xfId="4560" hidden="1"/>
    <cellStyle name="Heading 1 2 16" xfId="4568" hidden="1"/>
    <cellStyle name="Heading 1 2 17" xfId="4576" hidden="1"/>
    <cellStyle name="Heading 1 2 18" xfId="4583" hidden="1"/>
    <cellStyle name="Heading 1 2 19" xfId="4593" hidden="1"/>
    <cellStyle name="Heading 1 2 2" xfId="4055"/>
    <cellStyle name="Heading 1 2 20" xfId="4601" hidden="1"/>
    <cellStyle name="Heading 1 2 21" xfId="4609" hidden="1"/>
    <cellStyle name="Heading 1 2 22" xfId="4616" hidden="1"/>
    <cellStyle name="Heading 1 2 23" xfId="4624" hidden="1"/>
    <cellStyle name="Heading 1 2 24" xfId="4631" hidden="1"/>
    <cellStyle name="Heading 1 2 25" xfId="4639" hidden="1"/>
    <cellStyle name="Heading 1 2 26" xfId="4646" hidden="1"/>
    <cellStyle name="Heading 1 2 27" xfId="4654" hidden="1"/>
    <cellStyle name="Heading 1 2 28" xfId="4661" hidden="1"/>
    <cellStyle name="Heading 1 2 29" xfId="4669" hidden="1"/>
    <cellStyle name="Heading 1 2 3" xfId="4056"/>
    <cellStyle name="Heading 1 2 30" xfId="4676" hidden="1"/>
    <cellStyle name="Heading 1 2 31" xfId="4685" hidden="1"/>
    <cellStyle name="Heading 1 2 32" xfId="4694" hidden="1"/>
    <cellStyle name="Heading 1 2 33" xfId="4702" hidden="1"/>
    <cellStyle name="Heading 1 2 34" xfId="4709" hidden="1"/>
    <cellStyle name="Heading 1 2 35" xfId="4718" hidden="1"/>
    <cellStyle name="Heading 1 2 36" xfId="4726" hidden="1"/>
    <cellStyle name="Heading 1 2 37" xfId="4734" hidden="1"/>
    <cellStyle name="Heading 1 2 38" xfId="4741" hidden="1"/>
    <cellStyle name="Heading 1 2 39" xfId="4750" hidden="1"/>
    <cellStyle name="Heading 1 2 4" xfId="4474" hidden="1"/>
    <cellStyle name="Heading 1 2 40" xfId="4758" hidden="1"/>
    <cellStyle name="Heading 1 2 41" xfId="4766" hidden="1"/>
    <cellStyle name="Heading 1 2 42" xfId="4773" hidden="1"/>
    <cellStyle name="Heading 1 2 43" xfId="4782" hidden="1"/>
    <cellStyle name="Heading 1 2 44" xfId="4790" hidden="1"/>
    <cellStyle name="Heading 1 2 45" xfId="4797" hidden="1"/>
    <cellStyle name="Heading 1 2 46" xfId="4805" hidden="1"/>
    <cellStyle name="Heading 1 2 5" xfId="4480" hidden="1"/>
    <cellStyle name="Heading 1 2 6" xfId="4487" hidden="1"/>
    <cellStyle name="Heading 1 2 7" xfId="4495" hidden="1"/>
    <cellStyle name="Heading 1 2 8" xfId="4504" hidden="1"/>
    <cellStyle name="Heading 1 2 9" xfId="4512" hidden="1"/>
    <cellStyle name="Heading 1 2_F-zero" xfId="4057"/>
    <cellStyle name="Heading 1 3" xfId="4058"/>
    <cellStyle name="Heading 1 3 2" xfId="4059"/>
    <cellStyle name="Heading 1 3_F-zero" xfId="4060"/>
    <cellStyle name="Heading 1 4" xfId="4061"/>
    <cellStyle name="Heading 1 5" xfId="4062"/>
    <cellStyle name="Heading 1 6" xfId="4063"/>
    <cellStyle name="Heading 1 7" xfId="4064"/>
    <cellStyle name="Heading 1 8" xfId="4065"/>
    <cellStyle name="Heading 1 Above" xfId="4066"/>
    <cellStyle name="Heading 1+" xfId="4067"/>
    <cellStyle name="Heading 1A" xfId="4068"/>
    <cellStyle name="Heading 1A 10" xfId="4069"/>
    <cellStyle name="Heading 1A 11" xfId="4070"/>
    <cellStyle name="Heading 1A 12" xfId="4071"/>
    <cellStyle name="Heading 1A 13" xfId="4072"/>
    <cellStyle name="Heading 1A 14" xfId="4073"/>
    <cellStyle name="Heading 1A 2" xfId="4074"/>
    <cellStyle name="Heading 1A 3" xfId="4075"/>
    <cellStyle name="Heading 1A 4" xfId="4076"/>
    <cellStyle name="Heading 1A 5" xfId="4077"/>
    <cellStyle name="Heading 1A 6" xfId="4078"/>
    <cellStyle name="Heading 1A 7" xfId="4079"/>
    <cellStyle name="Heading 1A 8" xfId="4080"/>
    <cellStyle name="Heading 1A 9" xfId="4081"/>
    <cellStyle name="Heading 1A_Book1" xfId="4082"/>
    <cellStyle name="Heading 1-noindex" xfId="32"/>
    <cellStyle name="Heading 1-noindex 2" xfId="4083"/>
    <cellStyle name="Heading 1-noindex 3" xfId="4084"/>
    <cellStyle name="Heading 1-noindex 4" xfId="4085"/>
    <cellStyle name="Heading 1-noindex 5" xfId="4086"/>
    <cellStyle name="Heading 1-noindex_F-zero" xfId="4087"/>
    <cellStyle name="Heading 2 2" xfId="33"/>
    <cellStyle name="Heading 2 2 10" xfId="4521" hidden="1"/>
    <cellStyle name="Heading 2 2 11" xfId="4534" hidden="1"/>
    <cellStyle name="Heading 2 2 12" xfId="4537" hidden="1"/>
    <cellStyle name="Heading 2 2 13" xfId="4552" hidden="1"/>
    <cellStyle name="Heading 2 2 14" xfId="4553" hidden="1"/>
    <cellStyle name="Heading 2 2 15" xfId="4566" hidden="1"/>
    <cellStyle name="Heading 2 2 16" xfId="4569" hidden="1"/>
    <cellStyle name="Heading 2 2 17" xfId="4584" hidden="1"/>
    <cellStyle name="Heading 2 2 18" xfId="4585" hidden="1"/>
    <cellStyle name="Heading 2 2 19" xfId="4599" hidden="1"/>
    <cellStyle name="Heading 2 2 2" xfId="4089"/>
    <cellStyle name="Heading 2 2 20" xfId="4602" hidden="1"/>
    <cellStyle name="Heading 2 2 21" xfId="4617" hidden="1"/>
    <cellStyle name="Heading 2 2 22" xfId="4618" hidden="1"/>
    <cellStyle name="Heading 2 2 23" xfId="4629" hidden="1"/>
    <cellStyle name="Heading 2 2 24" xfId="4632" hidden="1"/>
    <cellStyle name="Heading 2 2 25" xfId="4647" hidden="1"/>
    <cellStyle name="Heading 2 2 26" xfId="4648" hidden="1"/>
    <cellStyle name="Heading 2 2 27" xfId="4659" hidden="1"/>
    <cellStyle name="Heading 2 2 28" xfId="4662" hidden="1"/>
    <cellStyle name="Heading 2 2 29" xfId="4677" hidden="1"/>
    <cellStyle name="Heading 2 2 3" xfId="4472" hidden="1"/>
    <cellStyle name="Heading 2 2 30" xfId="4678" hidden="1"/>
    <cellStyle name="Heading 2 2 31" xfId="4692" hidden="1"/>
    <cellStyle name="Heading 2 2 32" xfId="4695" hidden="1"/>
    <cellStyle name="Heading 2 2 33" xfId="4710" hidden="1"/>
    <cellStyle name="Heading 2 2 34" xfId="4711" hidden="1"/>
    <cellStyle name="Heading 2 2 35" xfId="4724" hidden="1"/>
    <cellStyle name="Heading 2 2 36" xfId="4727" hidden="1"/>
    <cellStyle name="Heading 2 2 37" xfId="4742" hidden="1"/>
    <cellStyle name="Heading 2 2 38" xfId="4743" hidden="1"/>
    <cellStyle name="Heading 2 2 39" xfId="4756" hidden="1"/>
    <cellStyle name="Heading 2 2 4" xfId="4475" hidden="1"/>
    <cellStyle name="Heading 2 2 40" xfId="4759" hidden="1"/>
    <cellStyle name="Heading 2 2 41" xfId="4774" hidden="1"/>
    <cellStyle name="Heading 2 2 42" xfId="4775" hidden="1"/>
    <cellStyle name="Heading 2 2 43" xfId="4788" hidden="1"/>
    <cellStyle name="Heading 2 2 44" xfId="4791" hidden="1"/>
    <cellStyle name="Heading 2 2 45" xfId="4806" hidden="1"/>
    <cellStyle name="Heading 2 2 5" xfId="4488" hidden="1"/>
    <cellStyle name="Heading 2 2 6" xfId="4489" hidden="1"/>
    <cellStyle name="Heading 2 2 7" xfId="4502" hidden="1"/>
    <cellStyle name="Heading 2 2 8" xfId="4505" hidden="1"/>
    <cellStyle name="Heading 2 2 9" xfId="4520" hidden="1"/>
    <cellStyle name="Heading 2 2_Inputs" xfId="4088"/>
    <cellStyle name="Heading 2 3" xfId="4090"/>
    <cellStyle name="Heading 2 4" xfId="4091"/>
    <cellStyle name="Heading 2 5" xfId="4092"/>
    <cellStyle name="Heading 2 6" xfId="4093"/>
    <cellStyle name="Heading 2 7" xfId="4094"/>
    <cellStyle name="Heading 2 8" xfId="4095"/>
    <cellStyle name="Heading 2 Below" xfId="4096"/>
    <cellStyle name="Heading 2 Below 2" xfId="4097"/>
    <cellStyle name="Heading 2 Below 3" xfId="4098"/>
    <cellStyle name="Heading 2 Below_Accounts Gas" xfId="4099"/>
    <cellStyle name="Heading 2 lines" xfId="4100"/>
    <cellStyle name="Heading 2+" xfId="4101"/>
    <cellStyle name="Heading 3 2" xfId="99" hidden="1"/>
    <cellStyle name="Heading 3 2" xfId="4481" hidden="1"/>
    <cellStyle name="Heading 3 2" xfId="4485" hidden="1"/>
    <cellStyle name="Heading 3 2" xfId="4496" hidden="1"/>
    <cellStyle name="Heading 3 2" xfId="4501" hidden="1"/>
    <cellStyle name="Heading 3 2" xfId="4513" hidden="1"/>
    <cellStyle name="Heading 3 2" xfId="4517" hidden="1"/>
    <cellStyle name="Heading 3 2" xfId="4529" hidden="1"/>
    <cellStyle name="Heading 3 2" xfId="4469" hidden="1"/>
    <cellStyle name="Heading 3 2" xfId="4545" hidden="1"/>
    <cellStyle name="Heading 3 2" xfId="4549" hidden="1"/>
    <cellStyle name="Heading 3 2" xfId="4561" hidden="1"/>
    <cellStyle name="Heading 3 2" xfId="4500" hidden="1"/>
    <cellStyle name="Heading 3 2" xfId="4577" hidden="1"/>
    <cellStyle name="Heading 3 2" xfId="4581" hidden="1"/>
    <cellStyle name="Heading 3 2" xfId="4594" hidden="1"/>
    <cellStyle name="Heading 3 2" xfId="4533" hidden="1"/>
    <cellStyle name="Heading 3 2" xfId="4610" hidden="1"/>
    <cellStyle name="Heading 3 2" xfId="4614" hidden="1"/>
    <cellStyle name="Heading 3 2" xfId="4625" hidden="1"/>
    <cellStyle name="Heading 3 2" xfId="4565" hidden="1"/>
    <cellStyle name="Heading 3 2" xfId="4640" hidden="1"/>
    <cellStyle name="Heading 3 2" xfId="4644" hidden="1"/>
    <cellStyle name="Heading 3 2" xfId="4655" hidden="1"/>
    <cellStyle name="Heading 3 2" xfId="4598" hidden="1"/>
    <cellStyle name="Heading 3 2" xfId="4670" hidden="1"/>
    <cellStyle name="Heading 3 2" xfId="4674" hidden="1"/>
    <cellStyle name="Heading 3 2" xfId="4686" hidden="1"/>
    <cellStyle name="Heading 3 2" xfId="4690" hidden="1"/>
    <cellStyle name="Heading 3 2" xfId="4703" hidden="1"/>
    <cellStyle name="Heading 3 2" xfId="4707" hidden="1"/>
    <cellStyle name="Heading 3 2" xfId="4719" hidden="1"/>
    <cellStyle name="Heading 3 2" xfId="4691" hidden="1"/>
    <cellStyle name="Heading 3 2" xfId="4735" hidden="1"/>
    <cellStyle name="Heading 3 2" xfId="4739" hidden="1"/>
    <cellStyle name="Heading 3 2" xfId="4751" hidden="1"/>
    <cellStyle name="Heading 3 2" xfId="4755" hidden="1"/>
    <cellStyle name="Heading 3 2" xfId="4767" hidden="1"/>
    <cellStyle name="Heading 3 2" xfId="4771" hidden="1"/>
    <cellStyle name="Heading 3 2" xfId="4783" hidden="1"/>
    <cellStyle name="Heading 3 2" xfId="4723" hidden="1"/>
    <cellStyle name="Heading 3 2" xfId="4798" hidden="1"/>
    <cellStyle name="Heading 3 2" xfId="4803" hidden="1"/>
    <cellStyle name="Heading 3 2" xfId="4810" hidden="1"/>
    <cellStyle name="Heading 3 2" xfId="4802" hidden="1"/>
    <cellStyle name="Heading 3 2" xfId="4796" hidden="1"/>
    <cellStyle name="Heading 3 2" xfId="4787" hidden="1"/>
    <cellStyle name="Heading 3 2" xfId="4780" hidden="1"/>
    <cellStyle name="Heading 3 2" xfId="4765" hidden="1"/>
    <cellStyle name="Heading 3 2" xfId="4763" hidden="1"/>
    <cellStyle name="Heading 3 2" xfId="4749" hidden="1"/>
    <cellStyle name="Heading 3 2" xfId="4811" hidden="1"/>
    <cellStyle name="Heading 3 2" xfId="4733" hidden="1"/>
    <cellStyle name="Heading 3 2" xfId="4731" hidden="1"/>
    <cellStyle name="Heading 3 2" xfId="4717" hidden="1"/>
    <cellStyle name="Heading 3 2" xfId="4781" hidden="1"/>
    <cellStyle name="Heading 3 2" xfId="4701" hidden="1"/>
    <cellStyle name="Heading 3 2" xfId="4699" hidden="1"/>
    <cellStyle name="Heading 3 2" xfId="4684" hidden="1"/>
    <cellStyle name="Heading 3 2" xfId="4747" hidden="1"/>
    <cellStyle name="Heading 3 2" xfId="4668" hidden="1"/>
    <cellStyle name="Heading 3 2" xfId="4666" hidden="1"/>
    <cellStyle name="Heading 3 2" xfId="4653" hidden="1"/>
    <cellStyle name="Heading 3 2" xfId="4715" hidden="1"/>
    <cellStyle name="Heading 3 2" xfId="4638" hidden="1"/>
    <cellStyle name="Heading 3 2" xfId="4636" hidden="1"/>
    <cellStyle name="Heading 3 2" xfId="4623" hidden="1"/>
    <cellStyle name="Heading 3 2" xfId="4682" hidden="1"/>
    <cellStyle name="Heading 3 2" xfId="4608" hidden="1"/>
    <cellStyle name="Heading 3 2" xfId="4603" hidden="1"/>
    <cellStyle name="Heading 3 2" xfId="4592" hidden="1"/>
    <cellStyle name="Heading 3 2" xfId="4590" hidden="1"/>
    <cellStyle name="Heading 3 2" xfId="4575" hidden="1"/>
    <cellStyle name="Heading 3 2" xfId="4570" hidden="1"/>
    <cellStyle name="Heading 3 2" xfId="4559" hidden="1"/>
    <cellStyle name="Heading 3 2" xfId="4589" hidden="1"/>
    <cellStyle name="Heading 3 2" xfId="4543" hidden="1"/>
    <cellStyle name="Heading 3 2" xfId="4538" hidden="1"/>
    <cellStyle name="Heading 3 2" xfId="4527" hidden="1"/>
    <cellStyle name="Heading 3 2" xfId="4524" hidden="1"/>
    <cellStyle name="Heading 3 2" xfId="4511" hidden="1"/>
    <cellStyle name="Heading 3 2" xfId="4506" hidden="1"/>
    <cellStyle name="Heading 3 2" xfId="4494" hidden="1"/>
    <cellStyle name="Heading 3 2" xfId="4557" hidden="1"/>
    <cellStyle name="Heading 3 2" xfId="4479" hidden="1"/>
    <cellStyle name="Heading 3 2" xfId="4476" hidden="1"/>
    <cellStyle name="Heading 3 2 2" xfId="4102"/>
    <cellStyle name="Heading 3 2 3" xfId="4103"/>
    <cellStyle name="Heading 3 2_F-zero" xfId="4104"/>
    <cellStyle name="Heading 3 3" xfId="4105"/>
    <cellStyle name="Heading 3 4" xfId="4106"/>
    <cellStyle name="Heading 3 5" xfId="4107"/>
    <cellStyle name="Heading 3 6" xfId="4108"/>
    <cellStyle name="Heading 3 7" xfId="4109"/>
    <cellStyle name="Heading 3 8" xfId="4110"/>
    <cellStyle name="Heading 3 Centre 2" xfId="4111"/>
    <cellStyle name="Heading 3 Centre 2 2" xfId="4112"/>
    <cellStyle name="Heading 3 Centre 2_F-zero" xfId="4113"/>
    <cellStyle name="Heading 3+" xfId="4114"/>
    <cellStyle name="Heading 4 2" xfId="105"/>
    <cellStyle name="Heading 4 2 2" xfId="4115"/>
    <cellStyle name="Heading 4 2 3" xfId="4116"/>
    <cellStyle name="Heading 4 2 4" xfId="4117"/>
    <cellStyle name="Heading 4 2_F-zero" xfId="4118"/>
    <cellStyle name="Heading 4 3" xfId="4119"/>
    <cellStyle name="Heading 4 4" xfId="4120"/>
    <cellStyle name="Heading 4 5" xfId="4121"/>
    <cellStyle name="Heading 4 6" xfId="4122"/>
    <cellStyle name="Heading 4 7" xfId="4123"/>
    <cellStyle name="Heading 4 8" xfId="4124"/>
    <cellStyle name="Heading bar" xfId="4125"/>
    <cellStyle name="Heading No Underline" xfId="4126"/>
    <cellStyle name="Heading page" xfId="4127"/>
    <cellStyle name="Heading Section 2" xfId="4128"/>
    <cellStyle name="Heading Section 3" xfId="4129"/>
    <cellStyle name="Heading With Underline" xfId="4130"/>
    <cellStyle name="Heading(2)" xfId="4131"/>
    <cellStyle name="Heading(4)" xfId="4132"/>
    <cellStyle name="Heading1" xfId="4133"/>
    <cellStyle name="Heading1 2" xfId="151"/>
    <cellStyle name="Heading1_F-zero" xfId="4134"/>
    <cellStyle name="Heading2" xfId="4135"/>
    <cellStyle name="Heading2 2" xfId="152"/>
    <cellStyle name="Heading2 3" xfId="4136"/>
    <cellStyle name="Heading2_2011 WIP TRansfer" xfId="4137"/>
    <cellStyle name="Heading3" xfId="153"/>
    <cellStyle name="Heading3 2" xfId="4138"/>
    <cellStyle name="Heading3_F-zero" xfId="4139"/>
    <cellStyle name="Heading3Wraped" xfId="4140"/>
    <cellStyle name="Heading3Wraped 2" xfId="4141"/>
    <cellStyle name="Heading3Wraped_F-zero" xfId="4142"/>
    <cellStyle name="Heading3WrapLow" xfId="154"/>
    <cellStyle name="Heading3WrapLow 2" xfId="4143"/>
    <cellStyle name="Heading3WrapLow_F-zero" xfId="4144"/>
    <cellStyle name="Heading4" xfId="4145"/>
    <cellStyle name="Headings" xfId="4146"/>
    <cellStyle name="Heavy Box" xfId="34"/>
    <cellStyle name="Heavy Box 2" xfId="35"/>
    <cellStyle name="Heavy Box 2 2" xfId="4147"/>
    <cellStyle name="Heavy Box 2_F-zero" xfId="4148"/>
    <cellStyle name="Heavy Box 3" xfId="4149"/>
    <cellStyle name="Heavy Box 4" xfId="4150"/>
    <cellStyle name="Heavy Box 5" xfId="4151"/>
    <cellStyle name="Heavy Box 6" xfId="4152"/>
    <cellStyle name="Heavy Box_F-zero" xfId="4153"/>
    <cellStyle name="Hidden" xfId="4154"/>
    <cellStyle name="Highlight" xfId="4155"/>
    <cellStyle name="hlv14B" xfId="4156"/>
    <cellStyle name="hp0 -Hyperlink" xfId="4157"/>
    <cellStyle name="hp0 -Hyperlink 2" xfId="4158"/>
    <cellStyle name="hp0 -Hyperlink_AMP" xfId="4159"/>
    <cellStyle name="hp1 -Hyperlink" xfId="4160"/>
    <cellStyle name="hp1 -Hyperlink 2" xfId="4161"/>
    <cellStyle name="hp1 -Hyperlink_AMP" xfId="4162"/>
    <cellStyle name="hp2 -Hyperlink" xfId="4163"/>
    <cellStyle name="hp2 -Hyperlink 2" xfId="4164"/>
    <cellStyle name="hp2 -Hyperlink_AMP" xfId="4165"/>
    <cellStyle name="hp3 -Hyperlink" xfId="4166"/>
    <cellStyle name="hp3 -Hyperlink 2" xfId="4167"/>
    <cellStyle name="hp3 -Hyperlink_AMP" xfId="4168"/>
    <cellStyle name="Hyperlink" xfId="6" builtinId="8"/>
    <cellStyle name="Hyperlink 2" xfId="4169"/>
    <cellStyle name="Hyperlink 2 2" xfId="4170"/>
    <cellStyle name="Hyperlink 2 3" xfId="4171"/>
    <cellStyle name="Hyperlink 2_F-zero" xfId="4172"/>
    <cellStyle name="Hyperlink 3" xfId="4173"/>
    <cellStyle name="Hyperlink 3 2" xfId="4174"/>
    <cellStyle name="Hyperlink 3_F-zero" xfId="4175"/>
    <cellStyle name="Hyperlink 4" xfId="4176"/>
    <cellStyle name="Hyperlink 5" xfId="4177"/>
    <cellStyle name="Hyperlink 6" xfId="4178"/>
    <cellStyle name="Hyperlink 7" xfId="4464"/>
    <cellStyle name="Hyperlink 8" xfId="4812"/>
    <cellStyle name="Hyperlink Arrow" xfId="4179"/>
    <cellStyle name="Hyperlink Text" xfId="4180"/>
    <cellStyle name="ic0 -InpComma" xfId="4181"/>
    <cellStyle name="ic0 -InpComma 2" xfId="4182"/>
    <cellStyle name="ic0 -InpComma 3" xfId="4183"/>
    <cellStyle name="ic0 -InpComma_AMP" xfId="4184"/>
    <cellStyle name="ic0b-InpCommaB" xfId="4185"/>
    <cellStyle name="ic0b-InpCommaB 2" xfId="4186"/>
    <cellStyle name="ic0b-InpCommaB_FinRepsConsol" xfId="4187"/>
    <cellStyle name="ic0k -InpCommaThousand" xfId="4188"/>
    <cellStyle name="ic0m -InpCommaMillion" xfId="4189"/>
    <cellStyle name="ic1 -InpComma" xfId="4190"/>
    <cellStyle name="ic1 -InpComma 2" xfId="4191"/>
    <cellStyle name="ic1 -InpComma_AMP" xfId="4192"/>
    <cellStyle name="ic2 -InpComma" xfId="4193"/>
    <cellStyle name="ic2 -InpComma 2" xfId="4194"/>
    <cellStyle name="ic2 -InpComma_AMP" xfId="4195"/>
    <cellStyle name="ic3 -InpComma" xfId="4196"/>
    <cellStyle name="ic3 -InpComma 2" xfId="4197"/>
    <cellStyle name="ic3 -InpComma_AMP" xfId="4198"/>
    <cellStyle name="ic4 -InpComma" xfId="4199"/>
    <cellStyle name="ic4 -InpComma 2" xfId="4200"/>
    <cellStyle name="ic4 -InpComma_AMP" xfId="4201"/>
    <cellStyle name="idDMM -InpDate" xfId="4202"/>
    <cellStyle name="idDMMY -InpDate" xfId="4203"/>
    <cellStyle name="idDMMY -InpDate 2" xfId="4204"/>
    <cellStyle name="idDMMY -InpDate_AMP" xfId="4205"/>
    <cellStyle name="idDMMYHM -InpDateTime" xfId="4206"/>
    <cellStyle name="idDMMYHM -InpDateTime 2" xfId="4207"/>
    <cellStyle name="idDMMYHM -InpDateTime 2 2" xfId="4208"/>
    <cellStyle name="idDMMYHM -InpDateTime 2_Accounts Gas" xfId="4209"/>
    <cellStyle name="idDMMYHM -InpDateTime 3" xfId="4210"/>
    <cellStyle name="idDMMYHM -InpDateTime 3 2" xfId="4211"/>
    <cellStyle name="idDMMYHM -InpDateTime 3_Accounts Gas" xfId="4212"/>
    <cellStyle name="idDMMYHM -InpDateTime 4" xfId="4213"/>
    <cellStyle name="idDMMYHM -InpDateTime_2011 WIP TRansfer" xfId="4214"/>
    <cellStyle name="idDMY -InpDate" xfId="4215"/>
    <cellStyle name="idDMY -InpDate 2" xfId="4216"/>
    <cellStyle name="idDMY -InpDate_Consolidation Journals" xfId="4217"/>
    <cellStyle name="idMDY -InpDate" xfId="4218"/>
    <cellStyle name="idMDY -InpDate 2" xfId="4219"/>
    <cellStyle name="idMDY -InpDate_Consolidation Journals" xfId="4220"/>
    <cellStyle name="idMMY -InpDate" xfId="4221"/>
    <cellStyle name="idMMY -InpDate 2" xfId="4222"/>
    <cellStyle name="idMMY -InpDate_Consolidation Journals" xfId="4223"/>
    <cellStyle name="if0 -InpFixed" xfId="4224"/>
    <cellStyle name="if0 -InpFixed 2" xfId="4225"/>
    <cellStyle name="if0 -InpFixed_Consolidation Journals" xfId="4226"/>
    <cellStyle name="if0b-InpFixedB" xfId="4227"/>
    <cellStyle name="if0b-InpFixedB 2" xfId="4228"/>
    <cellStyle name="if0b-InpFixedB_Consolidation Journals" xfId="4229"/>
    <cellStyle name="if0-InpFixed" xfId="4230"/>
    <cellStyle name="if0-InpFixed 2" xfId="4231"/>
    <cellStyle name="if0-InpFixed_Consolidation Journals" xfId="4232"/>
    <cellStyle name="iln -InpTableTextNoWrap" xfId="4233"/>
    <cellStyle name="iln -InpTableTextNoWrap 2" xfId="4234"/>
    <cellStyle name="iln -InpTableTextNoWrap_F-zero" xfId="4235"/>
    <cellStyle name="ilnb-InpTableTextNoWrapB" xfId="4236"/>
    <cellStyle name="ilw -InpTableTextWrap" xfId="4237"/>
    <cellStyle name="imHM  -InpTime" xfId="4238"/>
    <cellStyle name="imHM  -InpTime 2" xfId="4239"/>
    <cellStyle name="imHM  -InpTime 2 2" xfId="4240"/>
    <cellStyle name="imHM  -InpTime 2_Accounts Gas" xfId="4241"/>
    <cellStyle name="imHM  -InpTime 3" xfId="4242"/>
    <cellStyle name="imHM  -InpTime 3 2" xfId="4243"/>
    <cellStyle name="imHM  -InpTime 3_Accounts Gas" xfId="4244"/>
    <cellStyle name="imHM  -InpTime 4" xfId="4245"/>
    <cellStyle name="imHM  -InpTime_2011 WIP TRansfer" xfId="4246"/>
    <cellStyle name="imHM24+ -InpTime" xfId="4247"/>
    <cellStyle name="imHM24+ -InpTime 2" xfId="4248"/>
    <cellStyle name="imHM24+ -InpTime_Consolidation Journals" xfId="4249"/>
    <cellStyle name="inc/dec" xfId="4250"/>
    <cellStyle name="Incorrecte" xfId="4251"/>
    <cellStyle name="Info" xfId="4252"/>
    <cellStyle name="Input" xfId="1" builtinId="20"/>
    <cellStyle name="Input - Comma" xfId="4253"/>
    <cellStyle name="Input - Comma [0]" xfId="4254"/>
    <cellStyle name="Input - Comma_101 BBIL 31-12-08 TEA v2" xfId="4255"/>
    <cellStyle name="Input - Date" xfId="4256"/>
    <cellStyle name="Input - Percent [2]" xfId="4257"/>
    <cellStyle name="Input (Date)" xfId="4258"/>
    <cellStyle name="Input (StyleA)" xfId="4259"/>
    <cellStyle name="Input [yellow]" xfId="4260"/>
    <cellStyle name="Input 2" xfId="36"/>
    <cellStyle name="Input 2 10" xfId="4539" hidden="1"/>
    <cellStyle name="Input 2 11" xfId="4546" hidden="1"/>
    <cellStyle name="Input 2 12" xfId="4554" hidden="1"/>
    <cellStyle name="Input 2 13" xfId="4562" hidden="1"/>
    <cellStyle name="Input 2 14" xfId="4571" hidden="1"/>
    <cellStyle name="Input 2 15" xfId="4578" hidden="1"/>
    <cellStyle name="Input 2 16" xfId="4586" hidden="1"/>
    <cellStyle name="Input 2 17" xfId="4595" hidden="1"/>
    <cellStyle name="Input 2 18" xfId="4604" hidden="1"/>
    <cellStyle name="Input 2 19" xfId="4611" hidden="1"/>
    <cellStyle name="Input 2 2" xfId="100" hidden="1"/>
    <cellStyle name="Input 2 2" xfId="4482" hidden="1"/>
    <cellStyle name="Input 2 2" xfId="4471"/>
    <cellStyle name="Input 2 20" xfId="4619" hidden="1"/>
    <cellStyle name="Input 2 21" xfId="4626" hidden="1"/>
    <cellStyle name="Input 2 22" xfId="4633" hidden="1"/>
    <cellStyle name="Input 2 23" xfId="4641" hidden="1"/>
    <cellStyle name="Input 2 24" xfId="4649" hidden="1"/>
    <cellStyle name="Input 2 25" xfId="4656" hidden="1"/>
    <cellStyle name="Input 2 26" xfId="4663" hidden="1"/>
    <cellStyle name="Input 2 27" xfId="4671" hidden="1"/>
    <cellStyle name="Input 2 28" xfId="4679" hidden="1"/>
    <cellStyle name="Input 2 29" xfId="4687" hidden="1"/>
    <cellStyle name="Input 2 3" xfId="4261"/>
    <cellStyle name="Input 2 30" xfId="4696" hidden="1"/>
    <cellStyle name="Input 2 31" xfId="4704" hidden="1"/>
    <cellStyle name="Input 2 32" xfId="4712" hidden="1"/>
    <cellStyle name="Input 2 33" xfId="4720" hidden="1"/>
    <cellStyle name="Input 2 34" xfId="4728" hidden="1"/>
    <cellStyle name="Input 2 35" xfId="4736" hidden="1"/>
    <cellStyle name="Input 2 36" xfId="4744" hidden="1"/>
    <cellStyle name="Input 2 37" xfId="4752" hidden="1"/>
    <cellStyle name="Input 2 38" xfId="4760" hidden="1"/>
    <cellStyle name="Input 2 39" xfId="4768" hidden="1"/>
    <cellStyle name="Input 2 4" xfId="4490" hidden="1"/>
    <cellStyle name="Input 2 40" xfId="4776" hidden="1"/>
    <cellStyle name="Input 2 41" xfId="4784" hidden="1"/>
    <cellStyle name="Input 2 42" xfId="4792" hidden="1"/>
    <cellStyle name="Input 2 43" xfId="4799" hidden="1"/>
    <cellStyle name="Input 2 44" xfId="4807" hidden="1"/>
    <cellStyle name="Input 2 5" xfId="4497" hidden="1"/>
    <cellStyle name="Input 2 6" xfId="4507" hidden="1"/>
    <cellStyle name="Input 2 7" xfId="4514" hidden="1"/>
    <cellStyle name="Input 2 8" xfId="4522" hidden="1"/>
    <cellStyle name="Input 2 9" xfId="4530" hidden="1"/>
    <cellStyle name="Input 2_F-zero" xfId="4262"/>
    <cellStyle name="Input 3" xfId="4263"/>
    <cellStyle name="Input 4" xfId="4264"/>
    <cellStyle name="Input 5" xfId="4265"/>
    <cellStyle name="Input 6" xfId="4266"/>
    <cellStyle name="Input 7" xfId="4267"/>
    <cellStyle name="Input 8" xfId="4268"/>
    <cellStyle name="input Cells" xfId="4269"/>
    <cellStyle name="Input dates" xfId="4270"/>
    <cellStyle name="Input multiple" xfId="4271"/>
    <cellStyle name="Input normal" xfId="4272"/>
    <cellStyle name="Input percent" xfId="4273"/>
    <cellStyle name="Input, 0 dec" xfId="4274"/>
    <cellStyle name="Input, 1 dec" xfId="4275"/>
    <cellStyle name="Input, 2 dec" xfId="4276"/>
    <cellStyle name="InputBlueFont" xfId="4277"/>
    <cellStyle name="InputBlueFontLocked" xfId="4278"/>
    <cellStyle name="InputCell" xfId="4279"/>
    <cellStyle name="Inputs" xfId="4280"/>
    <cellStyle name="Inputs2" xfId="4281"/>
    <cellStyle name="InSheet" xfId="4282"/>
    <cellStyle name="Integer" xfId="4283"/>
    <cellStyle name="Interface" xfId="4284"/>
    <cellStyle name="Invoer" xfId="4285"/>
    <cellStyle name="ip0 -InpPercent" xfId="4286"/>
    <cellStyle name="ip0 -InpPercent 2" xfId="4287"/>
    <cellStyle name="ip0 -InpPercent_Consolidation Journals" xfId="4288"/>
    <cellStyle name="ip1 -InpPercent" xfId="4289"/>
    <cellStyle name="ip1 -InpPercent 2" xfId="4290"/>
    <cellStyle name="ip1 -InpPercent_Consolidation Journals" xfId="4291"/>
    <cellStyle name="ip2 -InpPercent" xfId="4292"/>
    <cellStyle name="ip2 -InpPercent 2" xfId="4293"/>
    <cellStyle name="ip2 -InpPercent_Consolidation Journals" xfId="4294"/>
    <cellStyle name="ip3 -InpPercent" xfId="4295"/>
    <cellStyle name="ip3 -InpPercent 2" xfId="4296"/>
    <cellStyle name="ip3 -InpPercent_Consolidation Journals" xfId="4297"/>
    <cellStyle name="ir0 -InpCurr" xfId="4298"/>
    <cellStyle name="ir0 -InpCurr 2" xfId="4299"/>
    <cellStyle name="ir0 -InpCurr_Consolidation Journals" xfId="4300"/>
    <cellStyle name="ir0k -InpCurrThousand" xfId="4301"/>
    <cellStyle name="ir0m -InpCurrMillion" xfId="4302"/>
    <cellStyle name="ir1 -InpCurr" xfId="4303"/>
    <cellStyle name="ir1 -InpCurr 2" xfId="4304"/>
    <cellStyle name="ir1 -InpCurr_Consolidation Journals" xfId="4305"/>
    <cellStyle name="ir2 -InpCurr" xfId="4306"/>
    <cellStyle name="ir2 -InpCurr 2" xfId="4307"/>
    <cellStyle name="ir2 -InpCurr_Consolidation Journals" xfId="4308"/>
    <cellStyle name="ir3 -InpCurr" xfId="4309"/>
    <cellStyle name="ir3 -InpCurr 2" xfId="4310"/>
    <cellStyle name="ir3 -InpCurr_Consolidation Journals" xfId="4311"/>
    <cellStyle name="ir4 -InpCurr" xfId="4312"/>
    <cellStyle name="ir4 -InpCurr 2" xfId="4313"/>
    <cellStyle name="ir4 -InpCurr_Consolidation Journals" xfId="4314"/>
    <cellStyle name="is0 -InpSideText" xfId="4315"/>
    <cellStyle name="is1 -InpSideText" xfId="4316"/>
    <cellStyle name="is2 -InpSideText" xfId="4317"/>
    <cellStyle name="is3 -InpSideText" xfId="4318"/>
    <cellStyle name="is4 -InpSideText" xfId="4319"/>
    <cellStyle name="itn -InpTopTextNoWrap" xfId="4320"/>
    <cellStyle name="itw -InpTopTextWrap" xfId="4321"/>
    <cellStyle name="Komma_030916 SSM reguleringsmodel netbeheer TenneT" xfId="4322"/>
    <cellStyle name="Konto" xfId="4323"/>
    <cellStyle name="Kop 1" xfId="4324"/>
    <cellStyle name="Kop 2" xfId="4325"/>
    <cellStyle name="Kop 3" xfId="4326"/>
    <cellStyle name="Kop 4" xfId="4327"/>
    <cellStyle name="KPMG Heading 1" xfId="4328"/>
    <cellStyle name="KPMG Heading 2" xfId="4329"/>
    <cellStyle name="KPMG Heading 3" xfId="4330"/>
    <cellStyle name="KPMG Heading 4" xfId="4331"/>
    <cellStyle name="KPMG Normal" xfId="4332"/>
    <cellStyle name="KPMG Normal Text" xfId="4333"/>
    <cellStyle name="KPMG Normal_F-zero" xfId="4334"/>
    <cellStyle name="Label" xfId="37"/>
    <cellStyle name="Label 1" xfId="38"/>
    <cellStyle name="Label 1 2" xfId="4335"/>
    <cellStyle name="Label 1_F-zero" xfId="4336"/>
    <cellStyle name="Label 2a" xfId="39"/>
    <cellStyle name="Label 2a 2" xfId="4337"/>
    <cellStyle name="Label 2a 3" xfId="4338"/>
    <cellStyle name="Label 2a centre" xfId="40"/>
    <cellStyle name="Label 2a centre 2" xfId="4339"/>
    <cellStyle name="Label 2a centre 3" xfId="4340"/>
    <cellStyle name="Label 2a centre_F-zero" xfId="4341"/>
    <cellStyle name="Label 2a merge" xfId="41"/>
    <cellStyle name="Label 2a merge 2" xfId="4342"/>
    <cellStyle name="Label 2a merge 3" xfId="4343"/>
    <cellStyle name="Label 2a merge_F-zero" xfId="4344"/>
    <cellStyle name="Label 2a_F-zero" xfId="4345"/>
    <cellStyle name="Label 2b" xfId="42"/>
    <cellStyle name="Label 2b 2" xfId="4346"/>
    <cellStyle name="Label 2b 3" xfId="4347"/>
    <cellStyle name="Label 2b merged" xfId="43"/>
    <cellStyle name="Label 2b merged 2" xfId="4348"/>
    <cellStyle name="Label 2b merged_F-zero" xfId="4349"/>
    <cellStyle name="Label 2b_F-zero" xfId="4350"/>
    <cellStyle name="Label_F-zero" xfId="4351"/>
    <cellStyle name="Label2a Merge Centred" xfId="4352"/>
    <cellStyle name="Label2a Merge Centred 2" xfId="4353"/>
    <cellStyle name="Label2a Merge Centred_F-zero" xfId="4354"/>
    <cellStyle name="Line_ClosingBal" xfId="4355"/>
    <cellStyle name="Link" xfId="44"/>
    <cellStyle name="Link 2" xfId="45"/>
    <cellStyle name="Link 3" xfId="4356"/>
    <cellStyle name="Link 4" xfId="4357"/>
    <cellStyle name="Link_F-zero" xfId="4358"/>
    <cellStyle name="Linked Cell 2" xfId="155"/>
    <cellStyle name="Linked Cell 2 2" xfId="4359"/>
    <cellStyle name="Linked Cell 2_F-zero" xfId="4360"/>
    <cellStyle name="Linked Cell 3" xfId="4361"/>
    <cellStyle name="Linked Cell 4" xfId="4362"/>
    <cellStyle name="Linked Cell 5" xfId="4363"/>
    <cellStyle name="Linked Cell 6" xfId="4364"/>
    <cellStyle name="Linked Cell 7" xfId="4365"/>
    <cellStyle name="Linked Cell 8" xfId="4366"/>
    <cellStyle name="ListMat" xfId="4367"/>
    <cellStyle name="Locked" xfId="4368"/>
    <cellStyle name="LongDate" xfId="4369"/>
    <cellStyle name="Lookup" xfId="4370"/>
    <cellStyle name="Lookup Table Heading" xfId="4371"/>
    <cellStyle name="Lookup Table Label" xfId="4372"/>
    <cellStyle name="Lookup Table Number" xfId="4373"/>
    <cellStyle name="Lookup_BBI" xfId="4374"/>
    <cellStyle name="LookupInput" xfId="4375"/>
    <cellStyle name="ltn -TableTextNoWrap" xfId="4376"/>
    <cellStyle name="ltn -TableTextNoWrap 2" xfId="4377"/>
    <cellStyle name="ltn -TableTextNoWrap_2011 WIP TRansfer" xfId="4378"/>
    <cellStyle name="ltw -TableTextWrap" xfId="4379"/>
    <cellStyle name="maj-title" xfId="4380"/>
    <cellStyle name="MAND_x000a_CHECK.COMMAND_x000e_RENAME.COMMAND_x0008_SHOW.BAR_x000b_DELETE.MENU_x000e_DELETE.COMMAND_x000e_GET.CHA" xfId="4381"/>
    <cellStyle name="MetricLabel" xfId="4382"/>
    <cellStyle name="MetricLabelBlue" xfId="4383"/>
    <cellStyle name="MetricValue" xfId="4384"/>
    <cellStyle name="Migliaia (0)_IP Dial-up (ISDN) " xfId="4385"/>
    <cellStyle name="Migliaia_IP Dial-up (ISDN) " xfId="4386"/>
    <cellStyle name="Millares [0]_aportación a GF" xfId="4387"/>
    <cellStyle name="Millares_aportación a GF" xfId="4388"/>
    <cellStyle name="Milliers [0]_C&amp;SCALENDARFORECASTJAN" xfId="4389"/>
    <cellStyle name="Milliers_Aou.sep.oct.nov.dec.jan." xfId="4390"/>
    <cellStyle name="Millions" xfId="4391"/>
    <cellStyle name="MINOR ROW HEADING" xfId="4392"/>
    <cellStyle name="mmm" xfId="46"/>
    <cellStyle name="Model" xfId="4393"/>
    <cellStyle name="Model Name" xfId="4394"/>
    <cellStyle name="Model_AETD Quarter forecast template" xfId="4395"/>
    <cellStyle name="Moneda [0]_aportación a GF" xfId="4396"/>
    <cellStyle name="Moneda_aportación a GF" xfId="4397"/>
    <cellStyle name="Monetaire" xfId="4398"/>
    <cellStyle name="Monétaire [0]_C&amp;SCALENDARFORECASTJAN" xfId="4399"/>
    <cellStyle name="Monétaire_C&amp;SCALENDARFORECASTJAN" xfId="4400"/>
    <cellStyle name="Monetaire_F-zero" xfId="4401"/>
    <cellStyle name="MSprotect" xfId="4402"/>
    <cellStyle name="mt" xfId="4403"/>
    <cellStyle name="MthBrief" xfId="4404"/>
    <cellStyle name="Multi-Column Header" xfId="4405"/>
    <cellStyle name="Multiple" xfId="4406"/>
    <cellStyle name="Multiple, 1 dec" xfId="4407"/>
    <cellStyle name="Multiple, 2 dec" xfId="4408"/>
    <cellStyle name="Multiple_1269486_1" xfId="4409"/>
    <cellStyle name="Multiples" xfId="4410"/>
    <cellStyle name="n" xfId="4411"/>
    <cellStyle name="n_F-zero" xfId="4412"/>
    <cellStyle name="n_F-zero_1" xfId="4413"/>
    <cellStyle name="n_F-zero_F-zero" xfId="4414"/>
    <cellStyle name="Name" xfId="4415"/>
    <cellStyle name="Names" xfId="4416"/>
    <cellStyle name="Negative" xfId="4417"/>
    <cellStyle name="Negative[0]" xfId="4418"/>
    <cellStyle name="Negative_F-zero" xfId="4419"/>
    <cellStyle name="Neutraal" xfId="4420"/>
    <cellStyle name="Neutral 2" xfId="156"/>
    <cellStyle name="Neutral 2 2" xfId="4421"/>
    <cellStyle name="Neutral 2_F-zero" xfId="4422"/>
    <cellStyle name="Neutral 3" xfId="4423"/>
    <cellStyle name="Neutral 4" xfId="4424"/>
    <cellStyle name="Neutral 5" xfId="4425"/>
    <cellStyle name="Neutral 6" xfId="4426"/>
    <cellStyle name="Neutral 7" xfId="4427"/>
    <cellStyle name="Neutral 8" xfId="4428"/>
    <cellStyle name="Neutrale" xfId="4429"/>
    <cellStyle name="New" xfId="4430"/>
    <cellStyle name="NewAcct" xfId="4431"/>
    <cellStyle name="nImplode RB" xfId="4432"/>
    <cellStyle name="nImplode RC" xfId="4433"/>
    <cellStyle name="nImplode RD" xfId="4434"/>
    <cellStyle name="Normal" xfId="0" builtinId="0"/>
    <cellStyle name="Normal 10" xfId="80"/>
    <cellStyle name="Normal 11" xfId="81"/>
    <cellStyle name="Normal 12" xfId="71"/>
    <cellStyle name="Normal 126" xfId="4455"/>
    <cellStyle name="Normal 126 2" xfId="4461"/>
    <cellStyle name="Normal 127" xfId="4456"/>
    <cellStyle name="Normal 13" xfId="72"/>
    <cellStyle name="Normal 13 2" xfId="82"/>
    <cellStyle name="Normal 13_Inputs" xfId="4435"/>
    <cellStyle name="Normal 130" xfId="4457"/>
    <cellStyle name="Normal 133" xfId="4458"/>
    <cellStyle name="Normal 137" xfId="4463"/>
    <cellStyle name="Normal 139 3" xfId="4467"/>
    <cellStyle name="Normal 14" xfId="83"/>
    <cellStyle name="Normal 147" xfId="4465"/>
    <cellStyle name="Normal 15" xfId="84"/>
    <cellStyle name="Normal 16" xfId="85"/>
    <cellStyle name="Normal 17" xfId="86"/>
    <cellStyle name="Normal 18" xfId="87"/>
    <cellStyle name="Normal 19" xfId="88"/>
    <cellStyle name="Normal 2" xfId="47"/>
    <cellStyle name="Normal 2 2" xfId="48"/>
    <cellStyle name="Normal 2 2 2" xfId="89"/>
    <cellStyle name="Normal 2 2 3" xfId="90"/>
    <cellStyle name="Normal 2 2 4" xfId="73"/>
    <cellStyle name="Normal 2 2_Inputs" xfId="4437"/>
    <cellStyle name="Normal 2 3" xfId="91"/>
    <cellStyle name="Normal 2 4" xfId="102"/>
    <cellStyle name="Normal 2 5" xfId="110"/>
    <cellStyle name="Normal 2 6" xfId="4454"/>
    <cellStyle name="Normal 2 7" xfId="4815"/>
    <cellStyle name="Normal 2_Inputs" xfId="4436"/>
    <cellStyle name="Normal 20" xfId="101"/>
    <cellStyle name="Normal 21" xfId="4452"/>
    <cellStyle name="Normal 22" xfId="4816"/>
    <cellStyle name="Normal 23" xfId="4819"/>
    <cellStyle name="Normal 3" xfId="49"/>
    <cellStyle name="Normal 3 2" xfId="92"/>
    <cellStyle name="Normal 3_Inputs" xfId="4438"/>
    <cellStyle name="Normal 4" xfId="50"/>
    <cellStyle name="Normal 4 2" xfId="74"/>
    <cellStyle name="Normal 4 3" xfId="169"/>
    <cellStyle name="Normal 4 4" xfId="4468"/>
    <cellStyle name="Normal 4_Inputs" xfId="4439"/>
    <cellStyle name="Normal 44 2" xfId="4820"/>
    <cellStyle name="Normal 5" xfId="51"/>
    <cellStyle name="Normal 5 2" xfId="93"/>
    <cellStyle name="Normal 5 3" xfId="75"/>
    <cellStyle name="Normal 5 4" xfId="187"/>
    <cellStyle name="Normal 5_Inputs" xfId="4440"/>
    <cellStyle name="Normal 54 3" xfId="4466"/>
    <cellStyle name="Normal 6" xfId="52"/>
    <cellStyle name="Normal 6 2 4 3" xfId="4453"/>
    <cellStyle name="Normal 7" xfId="94"/>
    <cellStyle name="Normal 8" xfId="95"/>
    <cellStyle name="Normal 9" xfId="96"/>
    <cellStyle name="Note" xfId="2" builtinId="10"/>
    <cellStyle name="Note 2" xfId="157"/>
    <cellStyle name="Note 3" xfId="158"/>
    <cellStyle name="Output" xfId="3" builtinId="21"/>
    <cellStyle name="Output 2" xfId="53"/>
    <cellStyle name="Output 2 10" xfId="4547" hidden="1"/>
    <cellStyle name="Output 2 11" xfId="4555" hidden="1"/>
    <cellStyle name="Output 2 12" xfId="4563" hidden="1"/>
    <cellStyle name="Output 2 13" xfId="4572" hidden="1"/>
    <cellStyle name="Output 2 14" xfId="4579" hidden="1"/>
    <cellStyle name="Output 2 15" xfId="4587" hidden="1"/>
    <cellStyle name="Output 2 16" xfId="4596" hidden="1"/>
    <cellStyle name="Output 2 17" xfId="4605" hidden="1"/>
    <cellStyle name="Output 2 18" xfId="4612" hidden="1"/>
    <cellStyle name="Output 2 19" xfId="4620" hidden="1"/>
    <cellStyle name="Output 2 2" xfId="104" hidden="1"/>
    <cellStyle name="Output 2 2" xfId="4483" hidden="1"/>
    <cellStyle name="Output 2 2" xfId="4470"/>
    <cellStyle name="Output 2 20" xfId="4627" hidden="1"/>
    <cellStyle name="Output 2 21" xfId="4634" hidden="1"/>
    <cellStyle name="Output 2 22" xfId="4642" hidden="1"/>
    <cellStyle name="Output 2 23" xfId="4650" hidden="1"/>
    <cellStyle name="Output 2 24" xfId="4657" hidden="1"/>
    <cellStyle name="Output 2 25" xfId="4664" hidden="1"/>
    <cellStyle name="Output 2 26" xfId="4672" hidden="1"/>
    <cellStyle name="Output 2 27" xfId="4680" hidden="1"/>
    <cellStyle name="Output 2 28" xfId="4688" hidden="1"/>
    <cellStyle name="Output 2 29" xfId="4697" hidden="1"/>
    <cellStyle name="Output 2 3" xfId="4491" hidden="1"/>
    <cellStyle name="Output 2 30" xfId="4705" hidden="1"/>
    <cellStyle name="Output 2 31" xfId="4713" hidden="1"/>
    <cellStyle name="Output 2 32" xfId="4721" hidden="1"/>
    <cellStyle name="Output 2 33" xfId="4729" hidden="1"/>
    <cellStyle name="Output 2 34" xfId="4737" hidden="1"/>
    <cellStyle name="Output 2 35" xfId="4745" hidden="1"/>
    <cellStyle name="Output 2 36" xfId="4753" hidden="1"/>
    <cellStyle name="Output 2 37" xfId="4761" hidden="1"/>
    <cellStyle name="Output 2 38" xfId="4769" hidden="1"/>
    <cellStyle name="Output 2 39" xfId="4777" hidden="1"/>
    <cellStyle name="Output 2 4" xfId="4498" hidden="1"/>
    <cellStyle name="Output 2 40" xfId="4785" hidden="1"/>
    <cellStyle name="Output 2 41" xfId="4793" hidden="1"/>
    <cellStyle name="Output 2 42" xfId="4800" hidden="1"/>
    <cellStyle name="Output 2 43" xfId="4808" hidden="1"/>
    <cellStyle name="Output 2 5" xfId="4508" hidden="1"/>
    <cellStyle name="Output 2 6" xfId="4515" hidden="1"/>
    <cellStyle name="Output 2 7" xfId="4523" hidden="1"/>
    <cellStyle name="Output 2 8" xfId="4531" hidden="1"/>
    <cellStyle name="Output 2 9" xfId="4540" hidden="1"/>
    <cellStyle name="Output 2_Inputs" xfId="4441"/>
    <cellStyle name="Page Number" xfId="54"/>
    <cellStyle name="Percent" xfId="4451" builtinId="5"/>
    <cellStyle name="Percent [0]" xfId="55"/>
    <cellStyle name="Percent [1]" xfId="56"/>
    <cellStyle name="Percent [1] 2" xfId="57"/>
    <cellStyle name="Percent [1]_Inputs" xfId="4442"/>
    <cellStyle name="Percent [2]" xfId="58"/>
    <cellStyle name="Percent 2" xfId="59"/>
    <cellStyle name="Percent 2 2" xfId="97"/>
    <cellStyle name="Percent 2 2 2" xfId="170"/>
    <cellStyle name="Percent 2 2_Inputs" xfId="4444"/>
    <cellStyle name="Percent 2 3" xfId="109"/>
    <cellStyle name="Percent 2 3 2" xfId="171"/>
    <cellStyle name="Percent 2 3_Inputs" xfId="4445"/>
    <cellStyle name="Percent 2 4" xfId="172"/>
    <cellStyle name="Percent 2_Inputs" xfId="4443"/>
    <cellStyle name="Percent 3" xfId="60"/>
    <cellStyle name="Percent 3 2" xfId="76"/>
    <cellStyle name="Percent 3 3" xfId="173"/>
    <cellStyle name="Percent 3_Inputs" xfId="4446"/>
    <cellStyle name="Percent 4" xfId="4462"/>
    <cellStyle name="Percent 5" xfId="98"/>
    <cellStyle name="Percent 6" xfId="4813"/>
    <cellStyle name="plus/less" xfId="159"/>
    <cellStyle name="RowRef" xfId="160"/>
    <cellStyle name="Rt border" xfId="61"/>
    <cellStyle name="Sum" xfId="62"/>
    <cellStyle name="Text" xfId="63"/>
    <cellStyle name="Text 2" xfId="4818"/>
    <cellStyle name="Text rjustify" xfId="64"/>
    <cellStyle name="Text_Inputs" xfId="4447"/>
    <cellStyle name="Time" xfId="65"/>
    <cellStyle name="Title 2" xfId="66"/>
    <cellStyle name="Title 2 10" xfId="4535" hidden="1"/>
    <cellStyle name="Title 2 11" xfId="4542" hidden="1"/>
    <cellStyle name="Title 2 12" xfId="4550" hidden="1"/>
    <cellStyle name="Title 2 13" xfId="4558" hidden="1"/>
    <cellStyle name="Title 2 14" xfId="4567" hidden="1"/>
    <cellStyle name="Title 2 15" xfId="4574" hidden="1"/>
    <cellStyle name="Title 2 16" xfId="4582" hidden="1"/>
    <cellStyle name="Title 2 17" xfId="4591" hidden="1"/>
    <cellStyle name="Title 2 18" xfId="4600" hidden="1"/>
    <cellStyle name="Title 2 19" xfId="4607" hidden="1"/>
    <cellStyle name="Title 2 2" xfId="4473" hidden="1"/>
    <cellStyle name="Title 2 20" xfId="4615" hidden="1"/>
    <cellStyle name="Title 2 21" xfId="4622" hidden="1"/>
    <cellStyle name="Title 2 22" xfId="4630" hidden="1"/>
    <cellStyle name="Title 2 23" xfId="4637" hidden="1"/>
    <cellStyle name="Title 2 24" xfId="4645" hidden="1"/>
    <cellStyle name="Title 2 25" xfId="4652" hidden="1"/>
    <cellStyle name="Title 2 26" xfId="4660" hidden="1"/>
    <cellStyle name="Title 2 27" xfId="4667" hidden="1"/>
    <cellStyle name="Title 2 28" xfId="4675" hidden="1"/>
    <cellStyle name="Title 2 29" xfId="4683" hidden="1"/>
    <cellStyle name="Title 2 3" xfId="4478" hidden="1"/>
    <cellStyle name="Title 2 30" xfId="4693" hidden="1"/>
    <cellStyle name="Title 2 31" xfId="4700" hidden="1"/>
    <cellStyle name="Title 2 32" xfId="4708" hidden="1"/>
    <cellStyle name="Title 2 33" xfId="4716" hidden="1"/>
    <cellStyle name="Title 2 34" xfId="4725" hidden="1"/>
    <cellStyle name="Title 2 35" xfId="4732" hidden="1"/>
    <cellStyle name="Title 2 36" xfId="4740" hidden="1"/>
    <cellStyle name="Title 2 37" xfId="4748" hidden="1"/>
    <cellStyle name="Title 2 38" xfId="4757" hidden="1"/>
    <cellStyle name="Title 2 39" xfId="4764" hidden="1"/>
    <cellStyle name="Title 2 4" xfId="4486" hidden="1"/>
    <cellStyle name="Title 2 40" xfId="4772" hidden="1"/>
    <cellStyle name="Title 2 41" xfId="4779" hidden="1"/>
    <cellStyle name="Title 2 42" xfId="4789" hidden="1"/>
    <cellStyle name="Title 2 43" xfId="4795" hidden="1"/>
    <cellStyle name="Title 2 44" xfId="4804" hidden="1"/>
    <cellStyle name="Title 2 5" xfId="4493" hidden="1"/>
    <cellStyle name="Title 2 6" xfId="4503" hidden="1"/>
    <cellStyle name="Title 2 7" xfId="4510" hidden="1"/>
    <cellStyle name="Title 2 8" xfId="4518" hidden="1"/>
    <cellStyle name="Title 2 9" xfId="4526" hidden="1"/>
    <cellStyle name="Title 3" xfId="4448"/>
    <cellStyle name="Title 4" xfId="4817"/>
    <cellStyle name="Top &amp; dble Btm lines" xfId="174"/>
    <cellStyle name="Top rows" xfId="67"/>
    <cellStyle name="Total 2" xfId="107"/>
    <cellStyle name="Total 3" xfId="4449"/>
    <cellStyle name="Warning Text 2" xfId="161"/>
    <cellStyle name="Year" xfId="68"/>
    <cellStyle name="Year 2" xfId="69"/>
    <cellStyle name="Year_Inputs" xfId="4450"/>
    <cellStyle name="Year0" xfId="162"/>
  </cellStyles>
  <dxfs count="52">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0" formatCode="General"/>
    </dxf>
    <dxf>
      <numFmt numFmtId="0" formatCode="General"/>
    </dxf>
    <dxf>
      <numFmt numFmtId="0" formatCode="General"/>
    </dxf>
    <dxf>
      <numFmt numFmtId="0" formatCode="General"/>
    </dxf>
    <dxf>
      <border diagonalUp="0" diagonalDown="0">
        <left/>
        <right/>
        <top style="thin">
          <color theme="7" tint="0.59996337778862885"/>
        </top>
        <bottom style="thin">
          <color theme="7" tint="0.59996337778862885"/>
        </bottom>
        <vertical/>
        <horizontal style="thin">
          <color theme="7" tint="0.59996337778862885"/>
        </horizontal>
      </border>
    </dxf>
    <dxf>
      <fill>
        <patternFill patternType="none">
          <bgColor auto="1"/>
        </patternFill>
      </fill>
      <border diagonalUp="0" diagonalDown="0">
        <left/>
        <right/>
        <top style="thin">
          <color theme="7" tint="0.59996337778862885"/>
        </top>
        <bottom style="thin">
          <color theme="7" tint="0.59996337778862885"/>
        </bottom>
        <vertical/>
        <horizontal style="thin">
          <color theme="7" tint="0.59996337778862885"/>
        </horizontal>
      </border>
    </dxf>
    <dxf>
      <font>
        <b/>
        <i val="0"/>
      </font>
    </dxf>
    <dxf>
      <font>
        <b/>
        <i val="0"/>
        <color rgb="FF7030A0"/>
      </font>
      <fill>
        <patternFill>
          <bgColor theme="7" tint="0.79998168889431442"/>
        </patternFill>
      </fill>
    </dxf>
    <dxf>
      <fill>
        <patternFill patternType="none">
          <bgColor auto="1"/>
        </patternFill>
      </fill>
      <border diagonalUp="0" diagonalDown="0">
        <left/>
        <right/>
        <top style="thin">
          <color theme="7" tint="0.59996337778862885"/>
        </top>
        <bottom style="thin">
          <color theme="7" tint="0.59996337778862885"/>
        </bottom>
        <vertical/>
        <horizontal style="thin">
          <color theme="7" tint="0.59996337778862885"/>
        </horizontal>
      </border>
    </dxf>
    <dxf>
      <fill>
        <patternFill patternType="none">
          <bgColor auto="1"/>
        </patternFill>
      </fill>
      <border diagonalUp="0" diagonalDown="0">
        <left/>
        <right/>
        <top style="thin">
          <color theme="7" tint="0.59996337778862885"/>
        </top>
        <bottom style="thin">
          <color theme="7" tint="0.59996337778862885"/>
        </bottom>
        <vertical/>
        <horizontal style="thin">
          <color theme="7" tint="0.59996337778862885"/>
        </horizontal>
      </border>
    </dxf>
    <dxf>
      <font>
        <b/>
        <i val="0"/>
      </font>
    </dxf>
    <dxf>
      <font>
        <b/>
        <i val="0"/>
        <color rgb="FF7030A0"/>
      </font>
      <fill>
        <patternFill>
          <bgColor theme="7" tint="0.79998168889431442"/>
        </patternFill>
      </fill>
    </dxf>
  </dxfs>
  <tableStyles count="2" defaultTableStyle="TableStyleMedium2" defaultPivotStyle="PivotStyleMedium9">
    <tableStyle name="PivotTable Style 1" table="0" count="4">
      <tableStyleElement type="headerRow" dxfId="51"/>
      <tableStyleElement type="totalRow" dxfId="50"/>
      <tableStyleElement type="firstRowStripe" dxfId="49"/>
      <tableStyleElement type="secondRowStripe" dxfId="48"/>
    </tableStyle>
    <tableStyle name="Table Style 1" pivot="0" count="4">
      <tableStyleElement type="headerRow" dxfId="47"/>
      <tableStyleElement type="totalRow" dxfId="46"/>
      <tableStyleElement type="firstRowStripe" dxfId="45"/>
      <tableStyleElement type="secondRowStripe" dxfId="4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NZ"/>
              <a:t>Quality Path - Planned SAIDI Forecast</a:t>
            </a:r>
          </a:p>
        </c:rich>
      </c:tx>
      <c:layout>
        <c:manualLayout>
          <c:xMode val="edge"/>
          <c:yMode val="edge"/>
          <c:x val="8.9124890638670184E-2"/>
          <c:y val="1.3888888888888888E-2"/>
        </c:manualLayout>
      </c:layout>
      <c:overlay val="1"/>
      <c:spPr>
        <a:noFill/>
        <a:ln>
          <a:noFill/>
        </a:ln>
        <a:effectLst/>
      </c:spPr>
    </c:title>
    <c:autoTitleDeleted val="0"/>
    <c:plotArea>
      <c:layout>
        <c:manualLayout>
          <c:layoutTarget val="inner"/>
          <c:xMode val="edge"/>
          <c:yMode val="edge"/>
          <c:x val="9.162729658792651E-2"/>
          <c:y val="0.11158573928258968"/>
          <c:w val="0.87063857758520924"/>
          <c:h val="0.65669364246135897"/>
        </c:manualLayout>
      </c:layout>
      <c:barChart>
        <c:barDir val="col"/>
        <c:grouping val="stacked"/>
        <c:varyColors val="0"/>
        <c:ser>
          <c:idx val="3"/>
          <c:order val="0"/>
          <c:tx>
            <c:strRef>
              <c:f>Outputs!$A$11</c:f>
              <c:strCache>
                <c:ptCount val="1"/>
                <c:pt idx="0">
                  <c:v>Base Planned SAIDI rolled forward </c:v>
                </c:pt>
              </c:strCache>
            </c:strRef>
          </c:tx>
          <c:invertIfNegative val="0"/>
          <c:cat>
            <c:strRef>
              <c:f>Outputs!$C$79:$V$79</c:f>
              <c:strCache>
                <c:ptCount val="20"/>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pt idx="17">
                  <c:v>FY25</c:v>
                </c:pt>
                <c:pt idx="18">
                  <c:v>FY26</c:v>
                </c:pt>
                <c:pt idx="19">
                  <c:v>FY27</c:v>
                </c:pt>
              </c:strCache>
            </c:strRef>
          </c:cat>
          <c:val>
            <c:numRef>
              <c:f>Outputs!$B$11:$U$11</c:f>
              <c:numCache>
                <c:formatCode>#,##0;[Red]\-#,##0;"-"</c:formatCode>
                <c:ptCount val="20"/>
                <c:pt idx="10">
                  <c:v>44.111124634657735</c:v>
                </c:pt>
                <c:pt idx="11">
                  <c:v>45.091371848761234</c:v>
                </c:pt>
                <c:pt idx="12">
                  <c:v>45.091371848761234</c:v>
                </c:pt>
                <c:pt idx="13">
                  <c:v>45.091371848761234</c:v>
                </c:pt>
                <c:pt idx="14">
                  <c:v>45.091371848761234</c:v>
                </c:pt>
                <c:pt idx="15">
                  <c:v>45.091371848761234</c:v>
                </c:pt>
                <c:pt idx="16">
                  <c:v>45.091371848761234</c:v>
                </c:pt>
                <c:pt idx="17">
                  <c:v>45.091371848761234</c:v>
                </c:pt>
                <c:pt idx="18">
                  <c:v>45.091371848761234</c:v>
                </c:pt>
                <c:pt idx="19">
                  <c:v>45.091371848761234</c:v>
                </c:pt>
              </c:numCache>
            </c:numRef>
          </c:val>
        </c:ser>
        <c:ser>
          <c:idx val="0"/>
          <c:order val="1"/>
          <c:tx>
            <c:strRef>
              <c:f>Outputs!$B$90</c:f>
              <c:strCache>
                <c:ptCount val="1"/>
                <c:pt idx="0">
                  <c:v>Forecast Increase (CPP)</c:v>
                </c:pt>
              </c:strCache>
            </c:strRef>
          </c:tx>
          <c:spPr>
            <a:solidFill>
              <a:srgbClr val="8064A2">
                <a:lumMod val="60000"/>
                <a:lumOff val="40000"/>
              </a:srgbClr>
            </a:solidFill>
            <a:ln w="12700">
              <a:noFill/>
            </a:ln>
            <a:effectLst/>
          </c:spPr>
          <c:invertIfNegative val="0"/>
          <c:dPt>
            <c:idx val="5"/>
            <c:invertIfNegative val="0"/>
            <c:bubble3D val="0"/>
          </c:dPt>
          <c:dPt>
            <c:idx val="6"/>
            <c:invertIfNegative val="0"/>
            <c:bubble3D val="0"/>
          </c:dPt>
          <c:dPt>
            <c:idx val="12"/>
            <c:invertIfNegative val="0"/>
            <c:bubble3D val="0"/>
          </c:dPt>
          <c:cat>
            <c:strRef>
              <c:f>Outputs!$C$79:$V$79</c:f>
              <c:strCache>
                <c:ptCount val="20"/>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pt idx="17">
                  <c:v>FY25</c:v>
                </c:pt>
                <c:pt idx="18">
                  <c:v>FY26</c:v>
                </c:pt>
                <c:pt idx="19">
                  <c:v>FY27</c:v>
                </c:pt>
              </c:strCache>
            </c:strRef>
          </c:cat>
          <c:val>
            <c:numRef>
              <c:f>Outputs!$C$90:$V$90</c:f>
              <c:numCache>
                <c:formatCode>General</c:formatCode>
                <c:ptCount val="20"/>
                <c:pt idx="10" formatCode="0">
                  <c:v>10.493452779274328</c:v>
                </c:pt>
                <c:pt idx="11" formatCode="0">
                  <c:v>25.943026746939303</c:v>
                </c:pt>
                <c:pt idx="12" formatCode="0">
                  <c:v>30.355112514900732</c:v>
                </c:pt>
                <c:pt idx="13" formatCode="0">
                  <c:v>36.92575206759826</c:v>
                </c:pt>
                <c:pt idx="14" formatCode="0">
                  <c:v>42.121958205090372</c:v>
                </c:pt>
                <c:pt idx="15" formatCode="0">
                  <c:v>43.098551637977529</c:v>
                </c:pt>
                <c:pt idx="16" formatCode="0">
                  <c:v>37.870344490617647</c:v>
                </c:pt>
                <c:pt idx="17" formatCode="0">
                  <c:v>33.972309914174112</c:v>
                </c:pt>
                <c:pt idx="18" formatCode="0">
                  <c:v>35.031290244005653</c:v>
                </c:pt>
                <c:pt idx="19" formatCode="0">
                  <c:v>33.708612379821211</c:v>
                </c:pt>
              </c:numCache>
            </c:numRef>
          </c:val>
        </c:ser>
        <c:ser>
          <c:idx val="1"/>
          <c:order val="2"/>
          <c:tx>
            <c:strRef>
              <c:f>Outputs!$B$80</c:f>
              <c:strCache>
                <c:ptCount val="1"/>
                <c:pt idx="0">
                  <c:v>Historic</c:v>
                </c:pt>
              </c:strCache>
            </c:strRef>
          </c:tx>
          <c:spPr>
            <a:solidFill>
              <a:schemeClr val="bg1">
                <a:lumMod val="65000"/>
              </a:schemeClr>
            </a:solidFill>
            <a:ln>
              <a:noFill/>
            </a:ln>
            <a:effectLst/>
          </c:spPr>
          <c:invertIfNegative val="0"/>
          <c:cat>
            <c:strRef>
              <c:f>Outputs!$C$79:$V$79</c:f>
              <c:strCache>
                <c:ptCount val="20"/>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pt idx="17">
                  <c:v>FY25</c:v>
                </c:pt>
                <c:pt idx="18">
                  <c:v>FY26</c:v>
                </c:pt>
                <c:pt idx="19">
                  <c:v>FY27</c:v>
                </c:pt>
              </c:strCache>
            </c:strRef>
          </c:cat>
          <c:val>
            <c:numRef>
              <c:f>Outputs!$C$80:$L$80</c:f>
              <c:numCache>
                <c:formatCode>0</c:formatCode>
                <c:ptCount val="10"/>
                <c:pt idx="0">
                  <c:v>36.032919428444636</c:v>
                </c:pt>
                <c:pt idx="1">
                  <c:v>46.246708947276375</c:v>
                </c:pt>
                <c:pt idx="2">
                  <c:v>41.792515901510455</c:v>
                </c:pt>
                <c:pt idx="3">
                  <c:v>56.286987079318173</c:v>
                </c:pt>
                <c:pt idx="4">
                  <c:v>30.359361788288449</c:v>
                </c:pt>
                <c:pt idx="5">
                  <c:v>60.015460344698617</c:v>
                </c:pt>
                <c:pt idx="6">
                  <c:v>36.050036926902493</c:v>
                </c:pt>
                <c:pt idx="7">
                  <c:v>46.002833232537327</c:v>
                </c:pt>
                <c:pt idx="8">
                  <c:v>48.12793088086179</c:v>
                </c:pt>
                <c:pt idx="9">
                  <c:v>45.850865264156134</c:v>
                </c:pt>
              </c:numCache>
            </c:numRef>
          </c:val>
        </c:ser>
        <c:dLbls>
          <c:showLegendKey val="0"/>
          <c:showVal val="0"/>
          <c:showCatName val="0"/>
          <c:showSerName val="0"/>
          <c:showPercent val="0"/>
          <c:showBubbleSize val="0"/>
        </c:dLbls>
        <c:gapWidth val="150"/>
        <c:overlap val="100"/>
        <c:axId val="109327104"/>
        <c:axId val="109328640"/>
      </c:barChart>
      <c:catAx>
        <c:axId val="109327104"/>
        <c:scaling>
          <c:orientation val="minMax"/>
        </c:scaling>
        <c:delete val="0"/>
        <c:axPos val="b"/>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9328640"/>
        <c:crosses val="autoZero"/>
        <c:auto val="1"/>
        <c:lblAlgn val="ctr"/>
        <c:lblOffset val="100"/>
        <c:noMultiLvlLbl val="0"/>
      </c:catAx>
      <c:valAx>
        <c:axId val="109328640"/>
        <c:scaling>
          <c:orientation val="minMax"/>
        </c:scaling>
        <c:delete val="0"/>
        <c:axPos val="l"/>
        <c:majorGridlines>
          <c:spPr>
            <a:ln w="9525" cap="flat" cmpd="sng" algn="ctr">
              <a:solidFill>
                <a:schemeClr val="bg1">
                  <a:lumMod val="50000"/>
                  <a:alpha val="30000"/>
                </a:schemeClr>
              </a:solidFill>
              <a:prstDash val="solid"/>
              <a:round/>
            </a:ln>
            <a:effectLst/>
          </c:spPr>
        </c:majorGridlines>
        <c:title>
          <c:tx>
            <c:rich>
              <a:bodyPr rot="-5400000" vert="horz"/>
              <a:lstStyle/>
              <a:p>
                <a:pPr>
                  <a:defRPr/>
                </a:pPr>
                <a:r>
                  <a:rPr lang="en-US"/>
                  <a:t>SAIDI Minutes</a:t>
                </a:r>
              </a:p>
            </c:rich>
          </c:tx>
          <c:overlay val="0"/>
        </c:title>
        <c:numFmt formatCode="General" sourceLinked="0"/>
        <c:majorTickMark val="none"/>
        <c:minorTickMark val="none"/>
        <c:tickLblPos val="nextTo"/>
        <c:spPr>
          <a:noFill/>
          <a:ln w="9525" cap="flat" cmpd="sng" algn="ctr">
            <a:solidFill>
              <a:schemeClr val="tx1">
                <a:lumMod val="50000"/>
                <a:lumOff val="50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9327104"/>
        <c:crosses val="autoZero"/>
        <c:crossBetween val="between"/>
      </c:valAx>
      <c:spPr>
        <a:solidFill>
          <a:schemeClr val="bg1"/>
        </a:solidFill>
        <a:ln>
          <a:noFill/>
        </a:ln>
        <a:effectLst/>
      </c:spPr>
    </c:plotArea>
    <c:legend>
      <c:legendPos val="b"/>
      <c:layout>
        <c:manualLayout>
          <c:xMode val="edge"/>
          <c:yMode val="edge"/>
          <c:x val="0.2020783271548014"/>
          <c:y val="0.84337205944195892"/>
          <c:w val="0.65063048015103608"/>
          <c:h val="4.4752761032926608E-2"/>
        </c:manualLayout>
      </c:layout>
      <c:overlay val="0"/>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NZ"/>
              <a:t>Quality Path - Planned SAIFI Forecast</a:t>
            </a:r>
          </a:p>
        </c:rich>
      </c:tx>
      <c:layout>
        <c:manualLayout>
          <c:xMode val="edge"/>
          <c:yMode val="edge"/>
          <c:x val="8.9124890638670184E-2"/>
          <c:y val="1.3888888888888888E-2"/>
        </c:manualLayout>
      </c:layout>
      <c:overlay val="1"/>
      <c:spPr>
        <a:noFill/>
        <a:ln>
          <a:noFill/>
        </a:ln>
        <a:effectLst/>
      </c:spPr>
    </c:title>
    <c:autoTitleDeleted val="0"/>
    <c:plotArea>
      <c:layout>
        <c:manualLayout>
          <c:layoutTarget val="inner"/>
          <c:xMode val="edge"/>
          <c:yMode val="edge"/>
          <c:x val="9.162729658792651E-2"/>
          <c:y val="0.11158573928258968"/>
          <c:w val="0.87063857758520924"/>
          <c:h val="0.65669364246135897"/>
        </c:manualLayout>
      </c:layout>
      <c:barChart>
        <c:barDir val="col"/>
        <c:grouping val="stacked"/>
        <c:varyColors val="0"/>
        <c:ser>
          <c:idx val="3"/>
          <c:order val="0"/>
          <c:tx>
            <c:strRef>
              <c:f>Outputs!$A$17</c:f>
              <c:strCache>
                <c:ptCount val="1"/>
                <c:pt idx="0">
                  <c:v>Base Planned SAIFI rolled forward </c:v>
                </c:pt>
              </c:strCache>
            </c:strRef>
          </c:tx>
          <c:invertIfNegative val="0"/>
          <c:cat>
            <c:strRef>
              <c:f>Outputs!$C$93:$V$93</c:f>
              <c:strCache>
                <c:ptCount val="20"/>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pt idx="17">
                  <c:v>FY25</c:v>
                </c:pt>
                <c:pt idx="18">
                  <c:v>FY26</c:v>
                </c:pt>
                <c:pt idx="19">
                  <c:v>FY27</c:v>
                </c:pt>
              </c:strCache>
            </c:strRef>
          </c:cat>
          <c:val>
            <c:numRef>
              <c:f>Outputs!$B$17:$U$17</c:f>
              <c:numCache>
                <c:formatCode>#,##0.00_ ;\-#,##0.00\ </c:formatCode>
                <c:ptCount val="20"/>
                <c:pt idx="10">
                  <c:v>0.18781212591145674</c:v>
                </c:pt>
                <c:pt idx="11">
                  <c:v>0.1919857287094891</c:v>
                </c:pt>
                <c:pt idx="12">
                  <c:v>0.1919857287094891</c:v>
                </c:pt>
                <c:pt idx="13">
                  <c:v>0.1919857287094891</c:v>
                </c:pt>
                <c:pt idx="14">
                  <c:v>0.1919857287094891</c:v>
                </c:pt>
                <c:pt idx="15">
                  <c:v>0.1919857287094891</c:v>
                </c:pt>
                <c:pt idx="16">
                  <c:v>0.1919857287094891</c:v>
                </c:pt>
                <c:pt idx="17">
                  <c:v>0.1919857287094891</c:v>
                </c:pt>
                <c:pt idx="18">
                  <c:v>0.1919857287094891</c:v>
                </c:pt>
                <c:pt idx="19">
                  <c:v>0.1919857287094891</c:v>
                </c:pt>
              </c:numCache>
            </c:numRef>
          </c:val>
        </c:ser>
        <c:ser>
          <c:idx val="0"/>
          <c:order val="1"/>
          <c:tx>
            <c:strRef>
              <c:f>Outputs!$B$104</c:f>
              <c:strCache>
                <c:ptCount val="1"/>
                <c:pt idx="0">
                  <c:v>Forecast Increase (CPP)</c:v>
                </c:pt>
              </c:strCache>
            </c:strRef>
          </c:tx>
          <c:spPr>
            <a:solidFill>
              <a:srgbClr val="8064A2">
                <a:lumMod val="60000"/>
                <a:lumOff val="40000"/>
              </a:srgbClr>
            </a:solidFill>
            <a:ln w="12700">
              <a:noFill/>
            </a:ln>
            <a:effectLst/>
          </c:spPr>
          <c:invertIfNegative val="0"/>
          <c:dPt>
            <c:idx val="5"/>
            <c:invertIfNegative val="0"/>
            <c:bubble3D val="0"/>
          </c:dPt>
          <c:dPt>
            <c:idx val="6"/>
            <c:invertIfNegative val="0"/>
            <c:bubble3D val="0"/>
          </c:dPt>
          <c:dPt>
            <c:idx val="12"/>
            <c:invertIfNegative val="0"/>
            <c:bubble3D val="0"/>
          </c:dPt>
          <c:cat>
            <c:strRef>
              <c:f>Outputs!$C$93:$V$93</c:f>
              <c:strCache>
                <c:ptCount val="20"/>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pt idx="17">
                  <c:v>FY25</c:v>
                </c:pt>
                <c:pt idx="18">
                  <c:v>FY26</c:v>
                </c:pt>
                <c:pt idx="19">
                  <c:v>FY27</c:v>
                </c:pt>
              </c:strCache>
            </c:strRef>
          </c:cat>
          <c:val>
            <c:numRef>
              <c:f>Outputs!$C$104:$V$104</c:f>
              <c:numCache>
                <c:formatCode>General</c:formatCode>
                <c:ptCount val="20"/>
                <c:pt idx="10" formatCode="0.000">
                  <c:v>4.9911074902628333E-2</c:v>
                </c:pt>
                <c:pt idx="11" formatCode="0.000">
                  <c:v>0.1224389751047309</c:v>
                </c:pt>
                <c:pt idx="12" formatCode="0.000">
                  <c:v>0.14571210584900052</c:v>
                </c:pt>
                <c:pt idx="13" formatCode="0.000">
                  <c:v>0.16729070452695621</c:v>
                </c:pt>
                <c:pt idx="14" formatCode="0.000">
                  <c:v>0.18648998711634196</c:v>
                </c:pt>
                <c:pt idx="15" formatCode="0.000">
                  <c:v>0.18624383050519711</c:v>
                </c:pt>
                <c:pt idx="16" formatCode="0.000">
                  <c:v>0.16181462692994303</c:v>
                </c:pt>
                <c:pt idx="17" formatCode="0.000">
                  <c:v>0.14427369298482412</c:v>
                </c:pt>
                <c:pt idx="18" formatCode="0.000">
                  <c:v>0.14759149988856868</c:v>
                </c:pt>
                <c:pt idx="19" formatCode="0.000">
                  <c:v>0.13985556326969256</c:v>
                </c:pt>
              </c:numCache>
            </c:numRef>
          </c:val>
        </c:ser>
        <c:ser>
          <c:idx val="1"/>
          <c:order val="2"/>
          <c:tx>
            <c:strRef>
              <c:f>Outputs!$B$94</c:f>
              <c:strCache>
                <c:ptCount val="1"/>
                <c:pt idx="0">
                  <c:v>Historic</c:v>
                </c:pt>
              </c:strCache>
            </c:strRef>
          </c:tx>
          <c:spPr>
            <a:solidFill>
              <a:schemeClr val="bg1">
                <a:lumMod val="65000"/>
              </a:schemeClr>
            </a:solidFill>
            <a:ln>
              <a:noFill/>
            </a:ln>
            <a:effectLst/>
          </c:spPr>
          <c:invertIfNegative val="0"/>
          <c:cat>
            <c:strRef>
              <c:f>Outputs!$C$93:$V$93</c:f>
              <c:strCache>
                <c:ptCount val="20"/>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pt idx="15">
                  <c:v>FY23</c:v>
                </c:pt>
                <c:pt idx="16">
                  <c:v>FY24</c:v>
                </c:pt>
                <c:pt idx="17">
                  <c:v>FY25</c:v>
                </c:pt>
                <c:pt idx="18">
                  <c:v>FY26</c:v>
                </c:pt>
                <c:pt idx="19">
                  <c:v>FY27</c:v>
                </c:pt>
              </c:strCache>
            </c:strRef>
          </c:cat>
          <c:val>
            <c:numRef>
              <c:f>Outputs!$C$94:$L$94</c:f>
              <c:numCache>
                <c:formatCode>0.000</c:formatCode>
                <c:ptCount val="10"/>
                <c:pt idx="0">
                  <c:v>0.19449670516271569</c:v>
                </c:pt>
                <c:pt idx="1">
                  <c:v>0.20717498768140127</c:v>
                </c:pt>
                <c:pt idx="2">
                  <c:v>0.21173749248835672</c:v>
                </c:pt>
                <c:pt idx="3">
                  <c:v>0.26838637134565374</c:v>
                </c:pt>
                <c:pt idx="4">
                  <c:v>0.13646491888732987</c:v>
                </c:pt>
                <c:pt idx="5">
                  <c:v>0.22566907332335912</c:v>
                </c:pt>
                <c:pt idx="6">
                  <c:v>0.15024392347209065</c:v>
                </c:pt>
                <c:pt idx="7">
                  <c:v>0.1957671796062237</c:v>
                </c:pt>
                <c:pt idx="8">
                  <c:v>0.23091553426828032</c:v>
                </c:pt>
                <c:pt idx="9">
                  <c:v>0.22747024032342589</c:v>
                </c:pt>
              </c:numCache>
            </c:numRef>
          </c:val>
        </c:ser>
        <c:dLbls>
          <c:showLegendKey val="0"/>
          <c:showVal val="0"/>
          <c:showCatName val="0"/>
          <c:showSerName val="0"/>
          <c:showPercent val="0"/>
          <c:showBubbleSize val="0"/>
        </c:dLbls>
        <c:gapWidth val="150"/>
        <c:overlap val="100"/>
        <c:axId val="109371776"/>
        <c:axId val="109373312"/>
      </c:barChart>
      <c:catAx>
        <c:axId val="109371776"/>
        <c:scaling>
          <c:orientation val="minMax"/>
        </c:scaling>
        <c:delete val="0"/>
        <c:axPos val="b"/>
        <c:numFmt formatCode="General"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9373312"/>
        <c:crosses val="autoZero"/>
        <c:auto val="1"/>
        <c:lblAlgn val="ctr"/>
        <c:lblOffset val="100"/>
        <c:noMultiLvlLbl val="0"/>
      </c:catAx>
      <c:valAx>
        <c:axId val="109373312"/>
        <c:scaling>
          <c:orientation val="minMax"/>
        </c:scaling>
        <c:delete val="0"/>
        <c:axPos val="l"/>
        <c:majorGridlines>
          <c:spPr>
            <a:ln w="9525" cap="flat" cmpd="sng" algn="ctr">
              <a:solidFill>
                <a:schemeClr val="bg1">
                  <a:lumMod val="50000"/>
                  <a:alpha val="30000"/>
                </a:schemeClr>
              </a:solidFill>
              <a:prstDash val="solid"/>
              <a:round/>
            </a:ln>
            <a:effectLst/>
          </c:spPr>
        </c:majorGridlines>
        <c:title>
          <c:tx>
            <c:rich>
              <a:bodyPr rot="-5400000" vert="horz"/>
              <a:lstStyle/>
              <a:p>
                <a:pPr>
                  <a:defRPr/>
                </a:pPr>
                <a:r>
                  <a:rPr lang="en-US"/>
                  <a:t>SAIDI Minutes</a:t>
                </a:r>
              </a:p>
            </c:rich>
          </c:tx>
          <c:overlay val="0"/>
        </c:title>
        <c:numFmt formatCode="General" sourceLinked="0"/>
        <c:majorTickMark val="none"/>
        <c:minorTickMark val="none"/>
        <c:tickLblPos val="nextTo"/>
        <c:spPr>
          <a:noFill/>
          <a:ln w="9525" cap="flat" cmpd="sng" algn="ctr">
            <a:solidFill>
              <a:schemeClr val="tx1">
                <a:lumMod val="50000"/>
                <a:lumOff val="50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9371776"/>
        <c:crosses val="autoZero"/>
        <c:crossBetween val="between"/>
      </c:valAx>
      <c:spPr>
        <a:solidFill>
          <a:schemeClr val="bg1"/>
        </a:solidFill>
        <a:ln>
          <a:noFill/>
        </a:ln>
        <a:effectLst/>
      </c:spPr>
    </c:plotArea>
    <c:legend>
      <c:legendPos val="b"/>
      <c:layout>
        <c:manualLayout>
          <c:xMode val="edge"/>
          <c:yMode val="edge"/>
          <c:x val="0.2020783271548014"/>
          <c:y val="0.84337205944195892"/>
          <c:w val="0.65063048015103608"/>
          <c:h val="4.4752761032926608E-2"/>
        </c:manualLayout>
      </c:layout>
      <c:overlay val="0"/>
    </c:legend>
    <c:plotVisOnly val="1"/>
    <c:dispBlanksAs val="gap"/>
    <c:showDLblsOverMax val="0"/>
  </c:chart>
  <c:spPr>
    <a:solidFill>
      <a:schemeClr val="bg1"/>
    </a:solidFill>
    <a:ln w="9525"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62729658792651E-2"/>
          <c:y val="0.11158573928258968"/>
          <c:w val="0.85122954545454554"/>
          <c:h val="0.73539734616506269"/>
        </c:manualLayout>
      </c:layout>
      <c:barChart>
        <c:barDir val="col"/>
        <c:grouping val="stacked"/>
        <c:varyColors val="0"/>
        <c:ser>
          <c:idx val="0"/>
          <c:order val="0"/>
          <c:spPr>
            <a:solidFill>
              <a:schemeClr val="accent1"/>
            </a:solidFill>
          </c:spPr>
          <c:invertIfNegative val="0"/>
          <c:dPt>
            <c:idx val="0"/>
            <c:invertIfNegative val="0"/>
            <c:bubble3D val="0"/>
            <c:spPr>
              <a:solidFill>
                <a:sysClr val="window" lastClr="FFFFFF">
                  <a:lumMod val="65000"/>
                </a:sysClr>
              </a:solidFill>
            </c:spPr>
          </c:dPt>
          <c:dPt>
            <c:idx val="1"/>
            <c:invertIfNegative val="0"/>
            <c:bubble3D val="0"/>
            <c:spPr>
              <a:solidFill>
                <a:sysClr val="window" lastClr="FFFFFF">
                  <a:lumMod val="65000"/>
                </a:sysClr>
              </a:solidFill>
            </c:spPr>
          </c:dPt>
          <c:dPt>
            <c:idx val="2"/>
            <c:invertIfNegative val="0"/>
            <c:bubble3D val="0"/>
            <c:spPr>
              <a:solidFill>
                <a:sysClr val="window" lastClr="FFFFFF">
                  <a:lumMod val="65000"/>
                </a:sysClr>
              </a:solidFill>
            </c:spPr>
          </c:dPt>
          <c:dPt>
            <c:idx val="3"/>
            <c:invertIfNegative val="0"/>
            <c:bubble3D val="0"/>
            <c:spPr>
              <a:solidFill>
                <a:sysClr val="window" lastClr="FFFFFF">
                  <a:lumMod val="65000"/>
                </a:sysClr>
              </a:solidFill>
            </c:spPr>
          </c:dPt>
          <c:dPt>
            <c:idx val="4"/>
            <c:invertIfNegative val="0"/>
            <c:bubble3D val="0"/>
            <c:spPr>
              <a:solidFill>
                <a:sysClr val="window" lastClr="FFFFFF">
                  <a:lumMod val="65000"/>
                </a:sysClr>
              </a:solidFill>
            </c:spPr>
          </c:dPt>
          <c:cat>
            <c:numRef>
              <c:f>'Summary Output'!$C$16:$N$16</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'Summary Output'!$C$18:$N$18</c:f>
              <c:numCache>
                <c:formatCode>#,##0.0;[Red]\-#,##0.0;"-"</c:formatCode>
                <c:ptCount val="12"/>
                <c:pt idx="0">
                  <c:v>30.359361788288449</c:v>
                </c:pt>
                <c:pt idx="1">
                  <c:v>60.015460344698617</c:v>
                </c:pt>
                <c:pt idx="2">
                  <c:v>36.050036926902493</c:v>
                </c:pt>
                <c:pt idx="3">
                  <c:v>46.002833232537327</c:v>
                </c:pt>
                <c:pt idx="4">
                  <c:v>48.12793088086179</c:v>
                </c:pt>
                <c:pt idx="5">
                  <c:v>45.850865264156134</c:v>
                </c:pt>
                <c:pt idx="6">
                  <c:v>54.604577413932063</c:v>
                </c:pt>
                <c:pt idx="7">
                  <c:v>71.034398595700537</c:v>
                </c:pt>
                <c:pt idx="8">
                  <c:v>75.446484363661966</c:v>
                </c:pt>
                <c:pt idx="9">
                  <c:v>82.017123916359495</c:v>
                </c:pt>
                <c:pt idx="10">
                  <c:v>87.213330053851607</c:v>
                </c:pt>
                <c:pt idx="11">
                  <c:v>88.189923486738763</c:v>
                </c:pt>
              </c:numCache>
            </c:numRef>
          </c:val>
        </c:ser>
        <c:dLbls>
          <c:showLegendKey val="0"/>
          <c:showVal val="0"/>
          <c:showCatName val="0"/>
          <c:showSerName val="0"/>
          <c:showPercent val="0"/>
          <c:showBubbleSize val="0"/>
        </c:dLbls>
        <c:gapWidth val="50"/>
        <c:overlap val="100"/>
        <c:axId val="109810432"/>
        <c:axId val="109811968"/>
      </c:barChart>
      <c:catAx>
        <c:axId val="109810432"/>
        <c:scaling>
          <c:orientation val="minMax"/>
        </c:scaling>
        <c:delete val="0"/>
        <c:axPos val="b"/>
        <c:numFmt formatCode="General" sourceLinked="1"/>
        <c:majorTickMark val="none"/>
        <c:minorTickMark val="none"/>
        <c:tickLblPos val="nextTo"/>
        <c:spPr>
          <a:ln>
            <a:solidFill>
              <a:sysClr val="window" lastClr="FFFFFF">
                <a:lumMod val="85000"/>
              </a:sysClr>
            </a:solidFill>
          </a:ln>
        </c:spPr>
        <c:txPr>
          <a:bodyPr/>
          <a:lstStyle/>
          <a:p>
            <a:pPr>
              <a:defRPr sz="800">
                <a:latin typeface="Arial" panose="020B0604020202020204" pitchFamily="34" charset="0"/>
                <a:cs typeface="Arial" panose="020B0604020202020204" pitchFamily="34" charset="0"/>
              </a:defRPr>
            </a:pPr>
            <a:endParaRPr lang="en-US"/>
          </a:p>
        </c:txPr>
        <c:crossAx val="109811968"/>
        <c:crosses val="autoZero"/>
        <c:auto val="1"/>
        <c:lblAlgn val="ctr"/>
        <c:lblOffset val="100"/>
        <c:noMultiLvlLbl val="0"/>
      </c:catAx>
      <c:valAx>
        <c:axId val="109811968"/>
        <c:scaling>
          <c:orientation val="minMax"/>
          <c:max val="120"/>
          <c:min val="0"/>
        </c:scaling>
        <c:delete val="0"/>
        <c:axPos val="l"/>
        <c:majorGridlines>
          <c:spPr>
            <a:ln>
              <a:solidFill>
                <a:schemeClr val="accent2">
                  <a:alpha val="30000"/>
                </a:schemeClr>
              </a:solidFill>
            </a:ln>
          </c:spPr>
        </c:majorGridlines>
        <c:numFmt formatCode="General" sourceLinked="0"/>
        <c:majorTickMark val="none"/>
        <c:minorTickMark val="none"/>
        <c:tickLblPos val="nextTo"/>
        <c:spPr>
          <a:ln>
            <a:noFill/>
          </a:ln>
        </c:spPr>
        <c:txPr>
          <a:bodyPr/>
          <a:lstStyle/>
          <a:p>
            <a:pPr>
              <a:defRPr sz="800">
                <a:latin typeface="Arial" panose="020B0604020202020204" pitchFamily="34" charset="0"/>
                <a:cs typeface="Arial" panose="020B0604020202020204" pitchFamily="34" charset="0"/>
              </a:defRPr>
            </a:pPr>
            <a:endParaRPr lang="en-US"/>
          </a:p>
        </c:txPr>
        <c:crossAx val="109810432"/>
        <c:crosses val="autoZero"/>
        <c:crossBetween val="between"/>
        <c:majorUnit val="20"/>
      </c:valAx>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62729658792651E-2"/>
          <c:y val="0.11158573928258968"/>
          <c:w val="0.85764368686868697"/>
          <c:h val="0.73539734616506269"/>
        </c:manualLayout>
      </c:layout>
      <c:barChart>
        <c:barDir val="col"/>
        <c:grouping val="stacked"/>
        <c:varyColors val="0"/>
        <c:ser>
          <c:idx val="0"/>
          <c:order val="0"/>
          <c:spPr>
            <a:solidFill>
              <a:schemeClr val="accent1"/>
            </a:solidFill>
          </c:spPr>
          <c:invertIfNegative val="0"/>
          <c:dPt>
            <c:idx val="0"/>
            <c:invertIfNegative val="0"/>
            <c:bubble3D val="0"/>
            <c:spPr>
              <a:solidFill>
                <a:sysClr val="window" lastClr="FFFFFF">
                  <a:lumMod val="65000"/>
                </a:sysClr>
              </a:solidFill>
            </c:spPr>
          </c:dPt>
          <c:dPt>
            <c:idx val="1"/>
            <c:invertIfNegative val="0"/>
            <c:bubble3D val="0"/>
            <c:spPr>
              <a:solidFill>
                <a:sysClr val="window" lastClr="FFFFFF">
                  <a:lumMod val="65000"/>
                </a:sysClr>
              </a:solidFill>
            </c:spPr>
          </c:dPt>
          <c:dPt>
            <c:idx val="2"/>
            <c:invertIfNegative val="0"/>
            <c:bubble3D val="0"/>
            <c:spPr>
              <a:solidFill>
                <a:sysClr val="window" lastClr="FFFFFF">
                  <a:lumMod val="65000"/>
                </a:sysClr>
              </a:solidFill>
            </c:spPr>
          </c:dPt>
          <c:dPt>
            <c:idx val="3"/>
            <c:invertIfNegative val="0"/>
            <c:bubble3D val="0"/>
            <c:spPr>
              <a:solidFill>
                <a:sysClr val="window" lastClr="FFFFFF">
                  <a:lumMod val="65000"/>
                </a:sysClr>
              </a:solidFill>
            </c:spPr>
          </c:dPt>
          <c:dPt>
            <c:idx val="4"/>
            <c:invertIfNegative val="0"/>
            <c:bubble3D val="0"/>
            <c:spPr>
              <a:solidFill>
                <a:sysClr val="window" lastClr="FFFFFF">
                  <a:lumMod val="65000"/>
                </a:sysClr>
              </a:solidFill>
            </c:spPr>
          </c:dPt>
          <c:cat>
            <c:numRef>
              <c:f>'Summary Output'!$C$16:$N$16</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'Summary Output'!$C$19:$N$19</c:f>
              <c:numCache>
                <c:formatCode>#,##0.000;[Red]\-#,##0.000;"-"</c:formatCode>
                <c:ptCount val="12"/>
                <c:pt idx="0">
                  <c:v>0.13646491888732987</c:v>
                </c:pt>
                <c:pt idx="1">
                  <c:v>0.22566907332335912</c:v>
                </c:pt>
                <c:pt idx="2">
                  <c:v>0.15024392347209065</c:v>
                </c:pt>
                <c:pt idx="3">
                  <c:v>0.1957671796062237</c:v>
                </c:pt>
                <c:pt idx="4">
                  <c:v>0.23091553426828032</c:v>
                </c:pt>
                <c:pt idx="5">
                  <c:v>0.22747024032342589</c:v>
                </c:pt>
                <c:pt idx="6">
                  <c:v>0.23772320081408507</c:v>
                </c:pt>
                <c:pt idx="7">
                  <c:v>0.31442470381422</c:v>
                </c:pt>
                <c:pt idx="8">
                  <c:v>0.33769783455848962</c:v>
                </c:pt>
                <c:pt idx="9">
                  <c:v>0.35927643323644531</c:v>
                </c:pt>
                <c:pt idx="10">
                  <c:v>0.37847571582583106</c:v>
                </c:pt>
                <c:pt idx="11">
                  <c:v>0.37822955921468621</c:v>
                </c:pt>
              </c:numCache>
            </c:numRef>
          </c:val>
        </c:ser>
        <c:dLbls>
          <c:showLegendKey val="0"/>
          <c:showVal val="0"/>
          <c:showCatName val="0"/>
          <c:showSerName val="0"/>
          <c:showPercent val="0"/>
          <c:showBubbleSize val="0"/>
        </c:dLbls>
        <c:gapWidth val="50"/>
        <c:overlap val="100"/>
        <c:axId val="109845888"/>
        <c:axId val="109847680"/>
      </c:barChart>
      <c:catAx>
        <c:axId val="109845888"/>
        <c:scaling>
          <c:orientation val="minMax"/>
        </c:scaling>
        <c:delete val="0"/>
        <c:axPos val="b"/>
        <c:numFmt formatCode="General" sourceLinked="1"/>
        <c:majorTickMark val="none"/>
        <c:minorTickMark val="none"/>
        <c:tickLblPos val="nextTo"/>
        <c:spPr>
          <a:ln>
            <a:solidFill>
              <a:sysClr val="window" lastClr="FFFFFF">
                <a:lumMod val="75000"/>
              </a:sysClr>
            </a:solidFill>
          </a:ln>
        </c:spPr>
        <c:txPr>
          <a:bodyPr/>
          <a:lstStyle/>
          <a:p>
            <a:pPr>
              <a:defRPr sz="800">
                <a:latin typeface="Arial" panose="020B0604020202020204" pitchFamily="34" charset="0"/>
                <a:cs typeface="Arial" panose="020B0604020202020204" pitchFamily="34" charset="0"/>
              </a:defRPr>
            </a:pPr>
            <a:endParaRPr lang="en-US"/>
          </a:p>
        </c:txPr>
        <c:crossAx val="109847680"/>
        <c:crosses val="autoZero"/>
        <c:auto val="1"/>
        <c:lblAlgn val="ctr"/>
        <c:lblOffset val="100"/>
        <c:noMultiLvlLbl val="0"/>
      </c:catAx>
      <c:valAx>
        <c:axId val="109847680"/>
        <c:scaling>
          <c:orientation val="minMax"/>
          <c:min val="0"/>
        </c:scaling>
        <c:delete val="0"/>
        <c:axPos val="l"/>
        <c:majorGridlines>
          <c:spPr>
            <a:ln>
              <a:solidFill>
                <a:schemeClr val="accent2">
                  <a:alpha val="30000"/>
                </a:schemeClr>
              </a:solidFill>
            </a:ln>
          </c:spPr>
        </c:majorGridlines>
        <c:numFmt formatCode="General" sourceLinked="0"/>
        <c:majorTickMark val="none"/>
        <c:minorTickMark val="none"/>
        <c:tickLblPos val="nextTo"/>
        <c:spPr>
          <a:ln>
            <a:noFill/>
          </a:ln>
        </c:spPr>
        <c:txPr>
          <a:bodyPr/>
          <a:lstStyle/>
          <a:p>
            <a:pPr>
              <a:defRPr sz="800">
                <a:latin typeface="Arial" panose="020B0604020202020204" pitchFamily="34" charset="0"/>
                <a:cs typeface="Arial" panose="020B0604020202020204" pitchFamily="34" charset="0"/>
              </a:defRPr>
            </a:pPr>
            <a:endParaRPr lang="en-US"/>
          </a:p>
        </c:txPr>
        <c:crossAx val="109845888"/>
        <c:crosses val="autoZero"/>
        <c:crossBetween val="between"/>
        <c:majorUnit val="0.1"/>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11</xdr:col>
      <xdr:colOff>228600</xdr:colOff>
      <xdr:row>0</xdr:row>
      <xdr:rowOff>25400</xdr:rowOff>
    </xdr:from>
    <xdr:to>
      <xdr:col>24</xdr:col>
      <xdr:colOff>554</xdr:colOff>
      <xdr:row>7</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28100" y="25400"/>
          <a:ext cx="7696754"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1988344</xdr:colOff>
      <xdr:row>107</xdr:row>
      <xdr:rowOff>95250</xdr:rowOff>
    </xdr:from>
    <xdr:to>
      <xdr:col>10</xdr:col>
      <xdr:colOff>976313</xdr:colOff>
      <xdr:row>136</xdr:row>
      <xdr:rowOff>47625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106</xdr:row>
      <xdr:rowOff>119063</xdr:rowOff>
    </xdr:from>
    <xdr:to>
      <xdr:col>24</xdr:col>
      <xdr:colOff>83344</xdr:colOff>
      <xdr:row>135</xdr:row>
      <xdr:rowOff>71438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234577</xdr:colOff>
      <xdr:row>22</xdr:row>
      <xdr:rowOff>128494</xdr:rowOff>
    </xdr:from>
    <xdr:to>
      <xdr:col>6</xdr:col>
      <xdr:colOff>563871</xdr:colOff>
      <xdr:row>34</xdr:row>
      <xdr:rowOff>2494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11206</xdr:colOff>
      <xdr:row>22</xdr:row>
      <xdr:rowOff>78442</xdr:rowOff>
    </xdr:from>
    <xdr:to>
      <xdr:col>15</xdr:col>
      <xdr:colOff>340500</xdr:colOff>
      <xdr:row>33</xdr:row>
      <xdr:rowOff>142942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Projects/CPP/RenewalsCapex/Portfolios/Zone%20Substations/Models/01%20-%20Zone%20Substation%20-%20Power%20Transformers%20-%20AHI%20Mode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ams/Projects/CPP/Workstream1/Overview%20of%20Asset%20Renewals/Renewals%20Capex/Portfolios/Distribution%20Transformers/Models/Distribution%20Transformers%20-%20Ground%20Mounted%20Forecast%20Mod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DC%20and%20Asset%20Commissioning/IDC%20and%20Commissioning%20Demonstration%20and%20calculations%20-%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Asset Data"/>
      <sheetName val="External Condition"/>
      <sheetName val="Oil &amp; Winding Temp Analysis"/>
      <sheetName val="DP Test Results"/>
      <sheetName val="Type issues and Parts"/>
      <sheetName val="AHI Definitions"/>
      <sheetName val="AHI Framework"/>
      <sheetName val="Risk Profile Framework"/>
      <sheetName val="AHI Model"/>
      <sheetName val="DP Rates"/>
      <sheetName val="DP Forecast - wo repl"/>
      <sheetName val="Risk Profile - Renewal Plan"/>
      <sheetName val="Risk Profile - No Plan"/>
      <sheetName val="Risk Profile - Summary"/>
      <sheetName val="Pivot"/>
      <sheetName val="FMP Stats and Charts"/>
      <sheetName val="EEA Paper priority matrix"/>
      <sheetName val="High Hydrogen Levels"/>
      <sheetName val="AMP2016 output"/>
      <sheetName val="AMP2016 outputv2"/>
      <sheetName val="Output to Forecast Model"/>
      <sheetName val="Asset Health over time"/>
    </sheetNames>
    <sheetDataSet>
      <sheetData sheetId="0"/>
      <sheetData sheetId="1"/>
      <sheetData sheetId="2"/>
      <sheetData sheetId="3"/>
      <sheetData sheetId="4"/>
      <sheetData sheetId="5"/>
      <sheetData sheetId="6">
        <row r="2">
          <cell r="C2">
            <v>1</v>
          </cell>
        </row>
        <row r="3">
          <cell r="C3">
            <v>2</v>
          </cell>
        </row>
        <row r="4">
          <cell r="C4">
            <v>3</v>
          </cell>
        </row>
        <row r="5">
          <cell r="C5">
            <v>4</v>
          </cell>
        </row>
        <row r="6">
          <cell r="C6">
            <v>5</v>
          </cell>
        </row>
        <row r="9">
          <cell r="C9">
            <v>0.2</v>
          </cell>
        </row>
        <row r="10">
          <cell r="C10">
            <v>4</v>
          </cell>
        </row>
        <row r="11">
          <cell r="C11">
            <v>60</v>
          </cell>
        </row>
        <row r="14">
          <cell r="B14" t="str">
            <v>N - Small</v>
          </cell>
          <cell r="D14">
            <v>5</v>
          </cell>
        </row>
        <row r="15">
          <cell r="B15" t="str">
            <v>N - Medium</v>
          </cell>
          <cell r="D15">
            <v>5</v>
          </cell>
        </row>
        <row r="16">
          <cell r="B16" t="str">
            <v>N-1 - Small</v>
          </cell>
          <cell r="D16">
            <v>5</v>
          </cell>
        </row>
        <row r="17">
          <cell r="B17" t="str">
            <v>N-1 - Medium</v>
          </cell>
          <cell r="D17">
            <v>5</v>
          </cell>
          <cell r="G17">
            <v>10</v>
          </cell>
        </row>
        <row r="18">
          <cell r="B18" t="str">
            <v>N-1 - Large</v>
          </cell>
        </row>
        <row r="41">
          <cell r="D41">
            <v>45</v>
          </cell>
        </row>
        <row r="42">
          <cell r="D42">
            <v>45</v>
          </cell>
        </row>
      </sheetData>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pproach"/>
      <sheetName val="Improvements Register"/>
      <sheetName val="Inputs"/>
      <sheetName val="Q_Forecast_All"/>
      <sheetName val="Q_Forecast_GND&lt;100"/>
      <sheetName val="Q_Forecast_GND&lt;200"/>
      <sheetName val="Q_Forecast_GND&lt;300"/>
      <sheetName val="Q_Forecast_GND&gt;300"/>
      <sheetName val="Q_Forecast_POLES&gt;100"/>
      <sheetName val="Seismic Conversions"/>
      <sheetName val="LV Panel Forecast"/>
      <sheetName val="Outputs"/>
      <sheetName val="PP_Capex_Output"/>
    </sheetNames>
    <sheetDataSet>
      <sheetData sheetId="0"/>
      <sheetData sheetId="1"/>
      <sheetData sheetId="2"/>
      <sheetData sheetId="3">
        <row r="34">
          <cell r="B34">
            <v>3647</v>
          </cell>
        </row>
        <row r="35">
          <cell r="B35">
            <v>4779</v>
          </cell>
        </row>
      </sheetData>
      <sheetData sheetId="4"/>
      <sheetData sheetId="5">
        <row r="5">
          <cell r="B5" t="str">
            <v>Ground &lt;=100 kVA</v>
          </cell>
        </row>
        <row r="6">
          <cell r="B6" t="str">
            <v>Ground Mount Retirement Rate</v>
          </cell>
        </row>
        <row r="7">
          <cell r="B7" t="str">
            <v>Ground Mount</v>
          </cell>
        </row>
      </sheetData>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ernate Continuous (2)"/>
      <sheetName val="Alternate Continuous"/>
      <sheetName val="Specific Date"/>
    </sheetNames>
    <sheetDataSet>
      <sheetData sheetId="0" refreshError="1"/>
      <sheetData sheetId="1" refreshError="1"/>
      <sheetData sheetId="2">
        <row r="29">
          <cell r="D29">
            <v>15</v>
          </cell>
        </row>
        <row r="33">
          <cell r="D33">
            <v>5.3666666666666663E-3</v>
          </cell>
        </row>
      </sheetData>
    </sheetDataSet>
  </externalBook>
</externalLink>
</file>

<file path=xl/tables/table1.xml><?xml version="1.0" encoding="utf-8"?>
<table xmlns="http://schemas.openxmlformats.org/spreadsheetml/2006/main" id="4" name="Q_Forecast5" displayName="Q_Forecast5" ref="A5:W98" totalsRowCount="1">
  <autoFilter ref="A5:W97"/>
  <tableColumns count="23">
    <tableColumn id="1" name="Age" totalsRowLabel="TOTALS"/>
    <tableColumn id="2" name="No of Assets" totalsRowFunction="custom" dataDxfId="43" totalsRowDxfId="42">
      <calculatedColumnFormula>IFERROR(GETPIVOTDATA("Age_Calc",'Inputs &amp; Calcs'!#REF!,"Age_Calc",Q_Forecast5[[#This Row],[Age]]),0)</calculatedColumnFormula>
      <totalsRowFormula>SUM(Q_Forecast5[No of Assets])</totalsRowFormula>
    </tableColumn>
    <tableColumn id="3" name="Retirement Rate" dataDxfId="41" totalsRowDxfId="40">
      <calculatedColumnFormula>IF(VLOOKUP(Q_Forecast5[[#This Row],[Age]],#REF!,MATCH(DTU_RR,#REF!,0),FALSE)&gt;1,1,VLOOKUP(Q_Forecast5[[#This Row],[Age]],#REF!,MATCH(DTU_RR,#REF!,0),FALSE))</calculatedColumnFormula>
    </tableColumn>
    <tableColumn id="25" name="Renew 14/15" totalsRowFunction="custom" dataDxfId="39" totalsRowDxfId="38">
      <calculatedColumnFormula>B6*$C6</calculatedColumnFormula>
      <totalsRowFormula>SUM(Q_Forecast5[Renew 14/15])</totalsRowFormula>
    </tableColumn>
    <tableColumn id="26" name="Surv 14/15" totalsRowFunction="custom" dataDxfId="37" totalsRowDxfId="36">
      <calculatedColumnFormula>B5-D5</calculatedColumnFormula>
      <totalsRowFormula>SUM(Q_Forecast5[Surv 14/15])</totalsRowFormula>
    </tableColumn>
    <tableColumn id="27" name="Renew 15/16" totalsRowFunction="custom" dataDxfId="35" totalsRowDxfId="34">
      <calculatedColumnFormula>E6*$C6</calculatedColumnFormula>
      <totalsRowFormula>SUM(Q_Forecast5[Renew 15/16])</totalsRowFormula>
    </tableColumn>
    <tableColumn id="28" name="Surv 15/16" totalsRowFunction="custom" dataDxfId="33" totalsRowDxfId="32">
      <calculatedColumnFormula>E5-F5</calculatedColumnFormula>
      <totalsRowFormula>SUM(Q_Forecast5[Surv 15/16])</totalsRowFormula>
    </tableColumn>
    <tableColumn id="29" name="Renew 16/17" totalsRowFunction="custom" dataDxfId="31" totalsRowDxfId="30">
      <calculatedColumnFormula>G6*$C6</calculatedColumnFormula>
      <totalsRowFormula>SUM(Q_Forecast5[Renew 16/17])</totalsRowFormula>
    </tableColumn>
    <tableColumn id="30" name="Surv 16/17" totalsRowFunction="custom" dataDxfId="29" totalsRowDxfId="28">
      <calculatedColumnFormula>G5-H5</calculatedColumnFormula>
      <totalsRowFormula>SUM(Q_Forecast5[Surv 16/17])</totalsRowFormula>
    </tableColumn>
    <tableColumn id="31" name="Renew 17/18" totalsRowFunction="custom" dataDxfId="27" totalsRowDxfId="26">
      <calculatedColumnFormula>I6*$C6</calculatedColumnFormula>
      <totalsRowFormula>SUM(Q_Forecast5[Renew 17/18])</totalsRowFormula>
    </tableColumn>
    <tableColumn id="32" name="Surv 17/18" totalsRowFunction="custom" dataDxfId="25" totalsRowDxfId="24">
      <calculatedColumnFormula>I5-J5</calculatedColumnFormula>
      <totalsRowFormula>SUM(Q_Forecast5[Surv 17/18])</totalsRowFormula>
    </tableColumn>
    <tableColumn id="33" name="Renew 18/19" totalsRowFunction="custom" dataDxfId="23" totalsRowDxfId="22">
      <calculatedColumnFormula>K6*$C6</calculatedColumnFormula>
      <totalsRowFormula>SUM(Q_Forecast5[Renew 18/19])</totalsRowFormula>
    </tableColumn>
    <tableColumn id="34" name="Surv 18/19" totalsRowFunction="custom" dataDxfId="21" totalsRowDxfId="20">
      <calculatedColumnFormula>K5-L5</calculatedColumnFormula>
      <totalsRowFormula>SUM(Q_Forecast5[Surv 18/19])</totalsRowFormula>
    </tableColumn>
    <tableColumn id="35" name="Renew 19/20" totalsRowFunction="custom" dataDxfId="19" totalsRowDxfId="18">
      <calculatedColumnFormula>M6*$C6</calculatedColumnFormula>
      <totalsRowFormula>SUM(Q_Forecast5[Renew 19/20])</totalsRowFormula>
    </tableColumn>
    <tableColumn id="36" name="Surv 19/20" totalsRowFunction="custom" dataDxfId="17" totalsRowDxfId="16">
      <calculatedColumnFormula>M5-N5</calculatedColumnFormula>
      <totalsRowFormula>SUM(Q_Forecast5[Surv 19/20])</totalsRowFormula>
    </tableColumn>
    <tableColumn id="37" name="Renew 20/21" totalsRowFunction="custom" dataDxfId="15" totalsRowDxfId="14">
      <calculatedColumnFormula>O6*$C6</calculatedColumnFormula>
      <totalsRowFormula>SUM(Q_Forecast5[Renew 20/21])</totalsRowFormula>
    </tableColumn>
    <tableColumn id="38" name="Surv 20/21" totalsRowFunction="custom" dataDxfId="13" totalsRowDxfId="12">
      <calculatedColumnFormula>O5-P5</calculatedColumnFormula>
      <totalsRowFormula>SUM(Q_Forecast5[Surv 20/21])</totalsRowFormula>
    </tableColumn>
    <tableColumn id="39" name="Renew 21/22" totalsRowFunction="custom" dataDxfId="11" totalsRowDxfId="10">
      <calculatedColumnFormula>Q6*$C6</calculatedColumnFormula>
      <totalsRowFormula>SUM(Q_Forecast5[Renew 21/22])</totalsRowFormula>
    </tableColumn>
    <tableColumn id="40" name="Surv 21/22" totalsRowFunction="custom" dataDxfId="9" totalsRowDxfId="8">
      <calculatedColumnFormula>Q5-R5</calculatedColumnFormula>
      <totalsRowFormula>SUM(Q_Forecast5[Surv 21/22])</totalsRowFormula>
    </tableColumn>
    <tableColumn id="41" name="Renew 22/23" totalsRowFunction="custom" dataDxfId="7" totalsRowDxfId="6">
      <calculatedColumnFormula>S6*$C6</calculatedColumnFormula>
      <totalsRowFormula>SUM(Q_Forecast5[Renew 22/23])</totalsRowFormula>
    </tableColumn>
    <tableColumn id="42" name="Surv 22/23" totalsRowFunction="custom" dataDxfId="5" totalsRowDxfId="4">
      <calculatedColumnFormula>S5-T5</calculatedColumnFormula>
      <totalsRowFormula>SUM(Q_Forecast5[Surv 22/23])</totalsRowFormula>
    </tableColumn>
    <tableColumn id="43" name="Renew 23/24" totalsRowFunction="custom" dataDxfId="3" totalsRowDxfId="2">
      <calculatedColumnFormula>U6*$C6</calculatedColumnFormula>
      <totalsRowFormula>SUM(Q_Forecast5[Renew 23/24])</totalsRowFormula>
    </tableColumn>
    <tableColumn id="44" name="Surv 22/232" totalsRowFunction="custom" dataDxfId="1" totalsRowDxfId="0">
      <calculatedColumnFormula>U5-V5</calculatedColumnFormula>
      <totalsRowFormula>SUM(Q_Forecast5[Surv 22/232])</totalsRow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Powerco Standard">
    <a:dk1>
      <a:sysClr val="windowText" lastClr="000000"/>
    </a:dk1>
    <a:lt1>
      <a:sysClr val="window" lastClr="FFFFFF"/>
    </a:lt1>
    <a:dk2>
      <a:srgbClr val="1F497D"/>
    </a:dk2>
    <a:lt2>
      <a:srgbClr val="EEECE1"/>
    </a:lt2>
    <a:accent1>
      <a:srgbClr val="B276B2"/>
    </a:accent1>
    <a:accent2>
      <a:srgbClr val="969696"/>
    </a:accent2>
    <a:accent3>
      <a:srgbClr val="5DA5DA"/>
    </a:accent3>
    <a:accent4>
      <a:srgbClr val="FAA43A"/>
    </a:accent4>
    <a:accent5>
      <a:srgbClr val="60BD68"/>
    </a:accent5>
    <a:accent6>
      <a:srgbClr val="F15854"/>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Powerco Standard">
    <a:dk1>
      <a:sysClr val="windowText" lastClr="000000"/>
    </a:dk1>
    <a:lt1>
      <a:sysClr val="window" lastClr="FFFFFF"/>
    </a:lt1>
    <a:dk2>
      <a:srgbClr val="1F497D"/>
    </a:dk2>
    <a:lt2>
      <a:srgbClr val="EEECE1"/>
    </a:lt2>
    <a:accent1>
      <a:srgbClr val="B276B2"/>
    </a:accent1>
    <a:accent2>
      <a:srgbClr val="969696"/>
    </a:accent2>
    <a:accent3>
      <a:srgbClr val="5DA5DA"/>
    </a:accent3>
    <a:accent4>
      <a:srgbClr val="FAA43A"/>
    </a:accent4>
    <a:accent5>
      <a:srgbClr val="60BD68"/>
    </a:accent5>
    <a:accent6>
      <a:srgbClr val="F15854"/>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Powerco Standard">
    <a:dk1>
      <a:sysClr val="windowText" lastClr="000000"/>
    </a:dk1>
    <a:lt1>
      <a:sysClr val="window" lastClr="FFFFFF"/>
    </a:lt1>
    <a:dk2>
      <a:srgbClr val="1F497D"/>
    </a:dk2>
    <a:lt2>
      <a:srgbClr val="EEECE1"/>
    </a:lt2>
    <a:accent1>
      <a:srgbClr val="B276B2"/>
    </a:accent1>
    <a:accent2>
      <a:srgbClr val="969696"/>
    </a:accent2>
    <a:accent3>
      <a:srgbClr val="5DA5DA"/>
    </a:accent3>
    <a:accent4>
      <a:srgbClr val="FAA43A"/>
    </a:accent4>
    <a:accent5>
      <a:srgbClr val="60BD68"/>
    </a:accent5>
    <a:accent6>
      <a:srgbClr val="F15854"/>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Powerco Standard">
    <a:dk1>
      <a:sysClr val="windowText" lastClr="000000"/>
    </a:dk1>
    <a:lt1>
      <a:sysClr val="window" lastClr="FFFFFF"/>
    </a:lt1>
    <a:dk2>
      <a:srgbClr val="1F497D"/>
    </a:dk2>
    <a:lt2>
      <a:srgbClr val="EEECE1"/>
    </a:lt2>
    <a:accent1>
      <a:srgbClr val="B276B2"/>
    </a:accent1>
    <a:accent2>
      <a:srgbClr val="969696"/>
    </a:accent2>
    <a:accent3>
      <a:srgbClr val="5DA5DA"/>
    </a:accent3>
    <a:accent4>
      <a:srgbClr val="FAA43A"/>
    </a:accent4>
    <a:accent5>
      <a:srgbClr val="60BD68"/>
    </a:accent5>
    <a:accent6>
      <a:srgbClr val="F15854"/>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X53"/>
  <sheetViews>
    <sheetView showGridLines="0" tabSelected="1" showRuler="0" view="pageBreakPreview" topLeftCell="A10" zoomScale="75" zoomScaleNormal="100" zoomScaleSheetLayoutView="75" workbookViewId="0">
      <selection activeCell="B24" sqref="B24"/>
    </sheetView>
  </sheetViews>
  <sheetFormatPr defaultRowHeight="14.25"/>
  <cols>
    <col min="1" max="1" width="9.140625" style="12"/>
    <col min="2" max="2" width="35.140625" style="12" customWidth="1"/>
    <col min="3" max="3" width="12.85546875" style="12" customWidth="1"/>
    <col min="4" max="16384" width="9.140625" style="12"/>
  </cols>
  <sheetData>
    <row r="1" spans="1:24">
      <c r="A1" s="11"/>
      <c r="B1" s="11"/>
      <c r="C1" s="11"/>
      <c r="D1" s="11"/>
      <c r="E1" s="11"/>
      <c r="F1" s="11"/>
      <c r="G1" s="11"/>
      <c r="H1" s="11"/>
      <c r="I1" s="11"/>
      <c r="J1" s="11"/>
      <c r="K1" s="11"/>
      <c r="L1" s="11"/>
      <c r="M1" s="11"/>
      <c r="N1" s="11"/>
      <c r="O1" s="11"/>
      <c r="P1" s="11"/>
      <c r="Q1" s="11"/>
      <c r="R1" s="11"/>
      <c r="S1" s="11"/>
      <c r="T1" s="11"/>
      <c r="U1" s="11"/>
      <c r="V1" s="11"/>
      <c r="W1" s="11"/>
      <c r="X1" s="11"/>
    </row>
    <row r="2" spans="1:24">
      <c r="A2" s="11"/>
      <c r="B2" s="11"/>
      <c r="C2" s="11"/>
      <c r="D2" s="11"/>
      <c r="E2" s="11"/>
      <c r="F2" s="11"/>
      <c r="G2" s="11"/>
      <c r="H2" s="11"/>
      <c r="I2" s="11"/>
      <c r="J2" s="11"/>
      <c r="K2" s="11"/>
      <c r="L2" s="11"/>
      <c r="M2" s="11"/>
      <c r="N2" s="11"/>
      <c r="O2" s="11"/>
      <c r="P2" s="11"/>
      <c r="Q2" s="11"/>
      <c r="R2" s="11"/>
      <c r="S2" s="11"/>
      <c r="T2" s="11"/>
      <c r="U2" s="11"/>
      <c r="V2" s="11"/>
      <c r="W2" s="11"/>
      <c r="X2" s="11"/>
    </row>
    <row r="3" spans="1:24">
      <c r="A3" s="11"/>
      <c r="B3" s="11"/>
      <c r="C3" s="11"/>
      <c r="D3" s="11"/>
      <c r="E3" s="11"/>
      <c r="F3" s="11"/>
      <c r="G3" s="11"/>
      <c r="H3" s="11"/>
      <c r="I3" s="11"/>
      <c r="J3" s="11"/>
      <c r="K3" s="11"/>
      <c r="L3" s="11"/>
      <c r="M3" s="11"/>
      <c r="N3" s="11"/>
      <c r="O3" s="11"/>
      <c r="P3" s="11"/>
      <c r="Q3" s="11"/>
      <c r="R3" s="11"/>
      <c r="S3" s="11"/>
      <c r="T3" s="11"/>
      <c r="U3" s="11"/>
      <c r="V3" s="11"/>
      <c r="W3" s="11"/>
      <c r="X3" s="11"/>
    </row>
    <row r="4" spans="1:24" ht="26.25">
      <c r="A4" s="11"/>
      <c r="B4" s="11"/>
      <c r="C4" s="11"/>
      <c r="D4" s="11"/>
      <c r="E4" s="11"/>
      <c r="F4" s="11"/>
      <c r="G4" s="13"/>
      <c r="H4" s="11"/>
      <c r="I4" s="11"/>
      <c r="J4" s="11"/>
      <c r="K4" s="11"/>
      <c r="L4" s="11"/>
      <c r="M4" s="11"/>
      <c r="N4" s="11"/>
      <c r="O4" s="11"/>
      <c r="P4" s="11"/>
      <c r="Q4" s="11"/>
      <c r="R4" s="11"/>
      <c r="S4" s="11"/>
      <c r="T4" s="14"/>
      <c r="U4" s="11"/>
      <c r="V4" s="14"/>
      <c r="W4" s="11"/>
      <c r="X4" s="11"/>
    </row>
    <row r="5" spans="1:24">
      <c r="A5" s="11"/>
      <c r="B5" s="11"/>
      <c r="C5" s="11"/>
      <c r="D5" s="11"/>
      <c r="E5" s="11"/>
      <c r="F5" s="11"/>
      <c r="G5" s="11"/>
      <c r="H5" s="11"/>
      <c r="I5" s="11"/>
      <c r="J5" s="11"/>
      <c r="K5" s="11"/>
      <c r="L5" s="11"/>
      <c r="M5" s="11"/>
      <c r="N5" s="11"/>
      <c r="O5" s="11"/>
      <c r="P5" s="11"/>
      <c r="Q5" s="11"/>
      <c r="R5" s="11"/>
      <c r="S5" s="11"/>
      <c r="T5" s="11"/>
      <c r="U5" s="11"/>
      <c r="V5" s="11"/>
      <c r="W5" s="11"/>
      <c r="X5" s="11"/>
    </row>
    <row r="6" spans="1:24">
      <c r="A6" s="11"/>
      <c r="B6" s="11"/>
      <c r="C6" s="11"/>
      <c r="D6" s="11"/>
      <c r="E6" s="11"/>
      <c r="F6" s="11"/>
      <c r="G6" s="11"/>
      <c r="H6" s="11"/>
      <c r="I6" s="11"/>
      <c r="J6" s="11"/>
      <c r="K6" s="11"/>
      <c r="L6" s="11"/>
      <c r="M6" s="11"/>
      <c r="N6" s="11"/>
      <c r="O6" s="11"/>
      <c r="P6" s="11"/>
      <c r="Q6" s="11"/>
      <c r="R6" s="11"/>
      <c r="S6" s="11"/>
      <c r="T6" s="11"/>
      <c r="U6" s="11"/>
      <c r="V6" s="11"/>
      <c r="W6" s="11"/>
      <c r="X6" s="11"/>
    </row>
    <row r="7" spans="1:24" ht="23.25">
      <c r="A7" s="11"/>
      <c r="B7" s="11"/>
      <c r="C7" s="11"/>
      <c r="D7" s="11"/>
      <c r="E7" s="13"/>
      <c r="F7" s="13"/>
      <c r="G7" s="13"/>
      <c r="H7" s="13"/>
      <c r="I7" s="13"/>
      <c r="J7" s="13"/>
      <c r="K7" s="13"/>
      <c r="L7" s="11"/>
      <c r="M7" s="11"/>
      <c r="N7" s="11"/>
      <c r="O7" s="11"/>
      <c r="P7" s="11"/>
      <c r="Q7" s="11"/>
      <c r="R7" s="11"/>
      <c r="S7" s="11"/>
      <c r="T7" s="11"/>
      <c r="U7" s="11"/>
      <c r="V7" s="11"/>
      <c r="W7" s="11"/>
      <c r="X7" s="11"/>
    </row>
    <row r="8" spans="1:24" ht="21" customHeight="1">
      <c r="A8" s="193"/>
      <c r="B8" s="193"/>
      <c r="C8" s="193"/>
      <c r="D8" s="193"/>
      <c r="E8" s="193"/>
      <c r="F8" s="193"/>
      <c r="G8" s="193"/>
      <c r="H8" s="193"/>
      <c r="I8" s="193"/>
      <c r="J8" s="193"/>
      <c r="L8" s="15"/>
      <c r="M8" s="16"/>
      <c r="R8" s="15"/>
      <c r="S8" s="16"/>
    </row>
    <row r="9" spans="1:24" ht="20.25">
      <c r="L9" s="15"/>
      <c r="M9" s="16"/>
      <c r="R9" s="15"/>
      <c r="S9" s="16"/>
    </row>
    <row r="11" spans="1:24" ht="23.25">
      <c r="N11" s="17"/>
      <c r="O11" s="17"/>
      <c r="P11" s="17"/>
      <c r="Q11" s="17"/>
      <c r="R11" s="17"/>
      <c r="S11" s="17"/>
      <c r="T11" s="17"/>
      <c r="U11" s="17"/>
    </row>
    <row r="12" spans="1:24" ht="52.5">
      <c r="A12" s="17"/>
      <c r="B12" s="18" t="s">
        <v>190</v>
      </c>
    </row>
    <row r="13" spans="1:24" ht="35.25">
      <c r="B13" s="40" t="s">
        <v>191</v>
      </c>
    </row>
    <row r="14" spans="1:24" ht="35.25">
      <c r="B14" s="19" t="s">
        <v>300</v>
      </c>
      <c r="C14" s="17"/>
      <c r="D14" s="17"/>
    </row>
    <row r="15" spans="1:24">
      <c r="B15" s="20"/>
    </row>
    <row r="16" spans="1:24" ht="23.25">
      <c r="B16" s="21">
        <f>C51</f>
        <v>42888</v>
      </c>
    </row>
    <row r="18" spans="1:2" ht="23.25">
      <c r="A18" s="17"/>
      <c r="B18" s="17"/>
    </row>
    <row r="46" spans="2:4" ht="15" thickBot="1"/>
    <row r="47" spans="2:4">
      <c r="B47" s="22"/>
      <c r="C47" s="22"/>
      <c r="D47" s="22"/>
    </row>
    <row r="48" spans="2:4">
      <c r="B48" s="23" t="s">
        <v>43</v>
      </c>
    </row>
    <row r="49" spans="2:24" ht="15" customHeight="1">
      <c r="B49" s="24" t="s">
        <v>44</v>
      </c>
      <c r="C49" s="194" t="s">
        <v>301</v>
      </c>
      <c r="D49" s="194"/>
    </row>
    <row r="50" spans="2:24" ht="15" customHeight="1">
      <c r="B50" s="24" t="s">
        <v>45</v>
      </c>
      <c r="C50" s="195"/>
      <c r="D50" s="195"/>
    </row>
    <row r="51" spans="2:24" ht="15" customHeight="1">
      <c r="B51" s="24" t="s">
        <v>46</v>
      </c>
      <c r="C51" s="195">
        <v>42888</v>
      </c>
      <c r="D51" s="195"/>
    </row>
    <row r="52" spans="2:24" ht="15" customHeight="1">
      <c r="B52" s="24" t="s">
        <v>47</v>
      </c>
      <c r="C52" s="194" t="s">
        <v>300</v>
      </c>
      <c r="D52" s="194"/>
    </row>
    <row r="53" spans="2:24">
      <c r="B53" s="25"/>
      <c r="C53" s="25"/>
      <c r="D53" s="25"/>
      <c r="E53" s="25"/>
      <c r="F53" s="25"/>
      <c r="G53" s="25"/>
      <c r="H53" s="25"/>
      <c r="I53" s="25"/>
      <c r="J53" s="25"/>
      <c r="K53" s="25"/>
      <c r="L53" s="25"/>
      <c r="M53" s="25"/>
      <c r="N53" s="25"/>
      <c r="O53" s="25"/>
      <c r="P53" s="25"/>
      <c r="Q53" s="25"/>
      <c r="R53" s="25"/>
      <c r="S53" s="25"/>
      <c r="T53" s="25"/>
      <c r="U53" s="25"/>
      <c r="V53" s="25"/>
      <c r="W53" s="25"/>
      <c r="X53" s="25"/>
    </row>
  </sheetData>
  <mergeCells count="5">
    <mergeCell ref="A8:J8"/>
    <mergeCell ref="C49:D49"/>
    <mergeCell ref="C50:D50"/>
    <mergeCell ref="C51:D51"/>
    <mergeCell ref="C52:D52"/>
  </mergeCells>
  <pageMargins left="0.70866141732283461" right="0.70866141732283461" top="0.55118110236220474" bottom="0.74803149606299213" header="0.31496062992125984" footer="0.31496062992125984"/>
  <pageSetup paperSize="8" scale="77" orientation="landscape" r:id="rId1"/>
  <headerFooter differentFirst="1">
    <oddHeader xml:space="preserve">&amp;C&amp;"Arial,Regular"&amp;14&amp;K7030A0
&amp;R&amp;"Arial,Regular"&amp;14&amp;K7030A0
</oddHeader>
    <oddFooter>&amp;L&amp;"-,Bold"&amp;K7030A0POWERCO LIMITED&amp;C&amp;K7030A0&amp;D&amp;R&amp;"-,Bold"&amp;K7030A0Page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AH107"/>
  <sheetViews>
    <sheetView showGridLines="0" topLeftCell="A31" zoomScale="85" zoomScaleNormal="85" workbookViewId="0">
      <selection activeCell="E55" sqref="E55"/>
    </sheetView>
  </sheetViews>
  <sheetFormatPr defaultRowHeight="15"/>
  <cols>
    <col min="1" max="1" width="29" style="12" customWidth="1"/>
    <col min="2" max="2" width="9" style="12" customWidth="1"/>
    <col min="3" max="3" width="25.5703125" style="12" customWidth="1"/>
    <col min="4" max="4" width="28.28515625" style="12" customWidth="1"/>
    <col min="5" max="5" width="69.28515625" style="12" customWidth="1"/>
    <col min="6" max="6" width="51.5703125" style="12" customWidth="1"/>
    <col min="7" max="7" width="48.140625" style="12" customWidth="1"/>
    <col min="8" max="8" width="9.28515625" style="12" customWidth="1"/>
    <col min="9" max="12" width="9.140625" style="12"/>
    <col min="13" max="13" width="4.7109375" style="12" customWidth="1"/>
    <col min="14" max="14" width="7.5703125" style="12" customWidth="1"/>
    <col min="15" max="15" width="5.28515625" style="12" customWidth="1"/>
    <col min="16" max="16" width="16.42578125" style="12" customWidth="1"/>
    <col min="17" max="17" width="9.140625" style="12"/>
    <col min="25" max="25" width="3.7109375" customWidth="1"/>
    <col min="26" max="26" width="19.85546875" customWidth="1"/>
    <col min="29" max="29" width="27.42578125" bestFit="1" customWidth="1"/>
    <col min="30" max="30" width="13.140625" bestFit="1" customWidth="1"/>
    <col min="31" max="31" width="15.140625" bestFit="1" customWidth="1"/>
  </cols>
  <sheetData>
    <row r="1" spans="1:31" ht="23.25" customHeight="1">
      <c r="A1" s="26" t="s">
        <v>49</v>
      </c>
      <c r="B1" s="27"/>
      <c r="C1" s="27"/>
      <c r="D1" s="27"/>
      <c r="E1" s="27"/>
      <c r="F1" s="27"/>
      <c r="G1" s="27"/>
      <c r="H1" s="27"/>
      <c r="I1" s="27"/>
      <c r="J1" s="27"/>
      <c r="K1" s="27"/>
      <c r="L1" s="27"/>
      <c r="M1" s="27"/>
      <c r="N1" s="27"/>
      <c r="O1" s="27"/>
      <c r="P1" s="27"/>
      <c r="Q1" s="27"/>
      <c r="R1" s="53"/>
      <c r="S1" s="53"/>
      <c r="T1" s="53"/>
      <c r="U1" s="53"/>
      <c r="V1" s="53"/>
      <c r="W1" s="53"/>
      <c r="X1" s="53"/>
      <c r="Y1" s="53"/>
      <c r="Z1" s="53"/>
      <c r="AA1" s="53"/>
      <c r="AB1" s="53"/>
      <c r="AC1" s="53"/>
      <c r="AD1" s="53"/>
      <c r="AE1" s="53"/>
    </row>
    <row r="3" spans="1:31" s="12" customFormat="1" ht="14.25">
      <c r="A3" s="106" t="s">
        <v>168</v>
      </c>
      <c r="B3" s="106"/>
      <c r="C3" s="106"/>
      <c r="D3" s="106"/>
      <c r="E3" s="106"/>
    </row>
    <row r="4" spans="1:31" s="64" customFormat="1" ht="14.25">
      <c r="A4" s="106" t="s">
        <v>167</v>
      </c>
      <c r="B4" s="106"/>
      <c r="C4" s="106"/>
      <c r="D4" s="106"/>
      <c r="E4" s="106"/>
    </row>
    <row r="5" spans="1:31" s="64" customFormat="1" ht="14.25">
      <c r="A5" s="106" t="s">
        <v>172</v>
      </c>
      <c r="B5" s="106"/>
      <c r="C5" s="106"/>
      <c r="D5" s="106"/>
      <c r="E5" s="106"/>
    </row>
    <row r="6" spans="1:31" s="64" customFormat="1" ht="14.25">
      <c r="A6" s="106"/>
      <c r="B6" s="106"/>
      <c r="C6" s="106"/>
      <c r="D6" s="106"/>
      <c r="E6" s="106"/>
    </row>
    <row r="7" spans="1:31" s="64" customFormat="1" ht="14.25">
      <c r="A7" s="106"/>
      <c r="B7" s="106"/>
      <c r="C7" s="106"/>
      <c r="D7" s="106"/>
      <c r="E7" s="106"/>
    </row>
    <row r="8" spans="1:31" s="12" customFormat="1" ht="14.25"/>
    <row r="9" spans="1:31" ht="22.5" customHeight="1">
      <c r="A9" s="26" t="s">
        <v>74</v>
      </c>
      <c r="B9" s="27"/>
      <c r="C9" s="27"/>
      <c r="D9" s="27"/>
      <c r="E9" s="27"/>
      <c r="F9" s="27"/>
      <c r="G9" s="27"/>
      <c r="H9" s="27"/>
      <c r="I9" s="27"/>
      <c r="J9" s="27"/>
      <c r="K9" s="27"/>
      <c r="L9" s="27"/>
      <c r="M9" s="27"/>
      <c r="N9" s="27"/>
      <c r="O9" s="27"/>
      <c r="P9" s="27"/>
      <c r="Q9" s="27"/>
      <c r="R9" s="53"/>
      <c r="S9" s="53"/>
      <c r="T9" s="53"/>
      <c r="U9" s="53"/>
      <c r="V9" s="53"/>
      <c r="W9" s="53"/>
      <c r="X9" s="53"/>
      <c r="Y9" s="53"/>
      <c r="Z9" s="53"/>
      <c r="AA9" s="53"/>
      <c r="AB9" s="53"/>
      <c r="AC9" s="53"/>
      <c r="AD9" s="53"/>
      <c r="AE9" s="53"/>
    </row>
    <row r="10" spans="1:31" s="58" customFormat="1">
      <c r="A10" s="59" t="s">
        <v>169</v>
      </c>
      <c r="B10" s="59"/>
      <c r="C10" s="59"/>
      <c r="D10" s="59"/>
      <c r="E10" s="59"/>
      <c r="F10" s="59"/>
      <c r="G10" s="59"/>
      <c r="H10" s="59"/>
      <c r="I10" s="59"/>
      <c r="J10" s="59"/>
      <c r="K10" s="59"/>
      <c r="L10" s="59"/>
      <c r="M10" s="59"/>
      <c r="N10" s="59"/>
      <c r="O10" s="59"/>
      <c r="P10" s="59"/>
      <c r="Q10" s="59"/>
      <c r="R10" s="59"/>
      <c r="S10" s="59"/>
      <c r="T10" s="59"/>
      <c r="U10" s="59"/>
      <c r="V10" s="59"/>
    </row>
    <row r="11" spans="1:31" s="58" customFormat="1">
      <c r="A11" s="59" t="s">
        <v>79</v>
      </c>
      <c r="B11" s="59"/>
      <c r="C11" s="59"/>
      <c r="D11" s="59"/>
      <c r="E11" s="59"/>
      <c r="F11" s="59"/>
      <c r="G11" s="59"/>
      <c r="H11" s="59"/>
      <c r="I11" s="59"/>
      <c r="J11" s="59"/>
      <c r="K11" s="59"/>
      <c r="L11" s="59"/>
      <c r="M11" s="59"/>
      <c r="N11" s="59"/>
      <c r="O11" s="59"/>
      <c r="P11" s="59"/>
      <c r="Q11" s="59"/>
      <c r="R11" s="59"/>
      <c r="S11" s="59"/>
      <c r="T11" s="59"/>
      <c r="U11" s="59"/>
      <c r="V11" s="59"/>
    </row>
    <row r="12" spans="1:31" s="72" customFormat="1">
      <c r="A12" s="64"/>
      <c r="B12" s="64"/>
      <c r="C12" s="64"/>
      <c r="D12" s="64"/>
      <c r="E12" s="64"/>
      <c r="F12" s="64"/>
      <c r="G12" s="64"/>
      <c r="H12" s="64"/>
      <c r="I12" s="64"/>
      <c r="J12" s="64"/>
      <c r="K12" s="64"/>
      <c r="L12" s="64"/>
      <c r="M12" s="64"/>
      <c r="N12" s="64"/>
      <c r="O12" s="64"/>
      <c r="P12" s="64"/>
      <c r="Q12" s="64"/>
      <c r="R12" s="64"/>
      <c r="S12" s="64"/>
      <c r="T12" s="64"/>
      <c r="U12" s="64"/>
      <c r="V12" s="64"/>
    </row>
    <row r="13" spans="1:31" s="58" customFormat="1" ht="18">
      <c r="A13" s="61" t="s">
        <v>81</v>
      </c>
      <c r="B13" s="59"/>
      <c r="C13" s="59"/>
      <c r="D13" s="59"/>
      <c r="E13" s="59"/>
      <c r="F13" s="59"/>
      <c r="G13" s="59"/>
      <c r="H13" s="59"/>
      <c r="I13" s="59"/>
      <c r="J13" s="59"/>
      <c r="K13" s="59"/>
      <c r="L13" s="59"/>
      <c r="M13" s="59"/>
      <c r="N13" s="59"/>
      <c r="O13" s="59"/>
      <c r="P13" s="59"/>
      <c r="Q13" s="59"/>
      <c r="R13" s="59"/>
      <c r="S13" s="59"/>
      <c r="T13" s="59"/>
      <c r="U13" s="59"/>
      <c r="V13" s="59"/>
    </row>
    <row r="14" spans="1:31" s="58" customFormat="1">
      <c r="A14" s="56" t="s">
        <v>173</v>
      </c>
      <c r="B14" s="59"/>
      <c r="C14" s="59"/>
      <c r="D14" s="59"/>
      <c r="E14" s="59"/>
      <c r="F14" s="59"/>
      <c r="G14" s="59"/>
      <c r="H14" s="59"/>
      <c r="I14" s="59"/>
      <c r="J14" s="59"/>
      <c r="K14" s="59"/>
      <c r="L14" s="59"/>
      <c r="M14" s="59"/>
      <c r="N14" s="59"/>
      <c r="O14" s="59"/>
      <c r="P14" s="59"/>
      <c r="Q14" s="59"/>
      <c r="R14" s="59"/>
      <c r="S14" s="59"/>
      <c r="T14" s="59"/>
      <c r="U14" s="59"/>
      <c r="V14" s="59"/>
    </row>
    <row r="15" spans="1:31" s="81" customFormat="1">
      <c r="A15" s="56" t="s">
        <v>174</v>
      </c>
      <c r="B15" s="64"/>
      <c r="C15" s="64"/>
      <c r="D15" s="64"/>
      <c r="E15" s="64"/>
      <c r="F15" s="64"/>
      <c r="G15" s="64"/>
      <c r="H15" s="64"/>
      <c r="I15" s="64"/>
      <c r="J15" s="64"/>
      <c r="K15" s="64"/>
      <c r="L15" s="64"/>
      <c r="M15" s="64"/>
      <c r="N15" s="64"/>
      <c r="O15" s="64"/>
      <c r="P15" s="64"/>
      <c r="Q15" s="64"/>
      <c r="R15" s="64"/>
      <c r="S15" s="64"/>
      <c r="T15" s="64"/>
      <c r="U15" s="64"/>
      <c r="V15" s="64"/>
    </row>
    <row r="16" spans="1:31" s="104" customFormat="1">
      <c r="A16" s="56"/>
      <c r="B16" s="64"/>
      <c r="C16" s="64"/>
      <c r="D16" s="64"/>
      <c r="E16" s="64"/>
      <c r="F16" s="64"/>
      <c r="G16" s="64"/>
      <c r="H16" s="64"/>
      <c r="I16" s="64"/>
      <c r="J16" s="64"/>
      <c r="K16" s="64"/>
      <c r="L16" s="64"/>
      <c r="M16" s="64"/>
      <c r="N16" s="64"/>
      <c r="O16" s="64"/>
      <c r="P16" s="64"/>
      <c r="Q16" s="64"/>
      <c r="R16" s="64"/>
      <c r="S16" s="64"/>
      <c r="T16" s="64"/>
      <c r="U16" s="64"/>
      <c r="V16" s="64"/>
    </row>
    <row r="17" spans="1:34" s="81" customFormat="1" ht="18">
      <c r="A17" s="61" t="s">
        <v>90</v>
      </c>
      <c r="B17" s="64"/>
      <c r="C17" s="64"/>
      <c r="D17" s="64"/>
      <c r="E17" s="64"/>
      <c r="F17" s="64"/>
      <c r="G17" s="64"/>
      <c r="H17" s="64"/>
      <c r="I17" s="64"/>
      <c r="J17" s="64"/>
      <c r="K17" s="64"/>
      <c r="L17" s="64"/>
      <c r="M17" s="64"/>
      <c r="N17" s="64"/>
      <c r="O17" s="64"/>
      <c r="P17" s="64"/>
      <c r="Q17" s="64"/>
      <c r="R17" s="64"/>
      <c r="S17" s="64"/>
      <c r="T17" s="64"/>
      <c r="U17" s="64"/>
      <c r="V17" s="64"/>
    </row>
    <row r="18" spans="1:34" s="81" customFormat="1">
      <c r="A18" s="56" t="s">
        <v>204</v>
      </c>
      <c r="B18" s="64"/>
      <c r="C18" s="64"/>
      <c r="D18" s="64"/>
      <c r="E18" s="64"/>
      <c r="F18" s="64"/>
      <c r="G18" s="64"/>
      <c r="H18" s="64"/>
      <c r="I18" s="64"/>
      <c r="J18" s="64"/>
      <c r="K18" s="64"/>
      <c r="L18" s="64"/>
      <c r="M18" s="64"/>
      <c r="N18" s="64"/>
      <c r="O18" s="64"/>
      <c r="P18" s="64"/>
      <c r="Q18" s="64"/>
      <c r="R18" s="64"/>
      <c r="S18" s="64"/>
      <c r="T18" s="64"/>
      <c r="U18" s="64"/>
      <c r="V18" s="64"/>
    </row>
    <row r="19" spans="1:34" s="81" customFormat="1">
      <c r="A19" s="56"/>
      <c r="B19" s="64"/>
      <c r="C19" s="64"/>
      <c r="D19" s="64"/>
      <c r="E19" s="64"/>
      <c r="F19" s="64"/>
      <c r="G19" s="64"/>
      <c r="H19" s="64"/>
      <c r="I19" s="64"/>
      <c r="J19" s="64"/>
      <c r="K19" s="64"/>
      <c r="L19" s="64"/>
      <c r="M19" s="64"/>
      <c r="N19" s="64"/>
      <c r="O19" s="64"/>
      <c r="P19" s="64"/>
      <c r="Q19" s="64"/>
      <c r="R19" s="64"/>
      <c r="S19" s="64"/>
      <c r="T19" s="64"/>
      <c r="U19" s="64"/>
      <c r="V19" s="64"/>
    </row>
    <row r="20" spans="1:34" s="58" customFormat="1">
      <c r="A20" s="196"/>
      <c r="B20" s="196"/>
      <c r="C20" s="196"/>
      <c r="D20" s="196"/>
      <c r="E20" s="196"/>
      <c r="F20" s="196"/>
      <c r="G20" s="196"/>
      <c r="H20" s="196"/>
      <c r="I20" s="196"/>
      <c r="J20" s="196"/>
      <c r="K20" s="196"/>
      <c r="L20" s="196"/>
      <c r="M20" s="196"/>
      <c r="N20" s="196"/>
      <c r="O20" s="196"/>
      <c r="P20" s="196"/>
      <c r="Q20" s="196"/>
      <c r="R20" s="196"/>
      <c r="S20" s="196"/>
      <c r="T20" s="196"/>
      <c r="U20" s="196"/>
      <c r="V20" s="196"/>
    </row>
    <row r="21" spans="1:34" s="58" customFormat="1" ht="18">
      <c r="A21" s="61" t="s">
        <v>207</v>
      </c>
      <c r="B21" s="59"/>
      <c r="C21" s="59"/>
      <c r="D21" s="59"/>
      <c r="E21" s="59"/>
      <c r="F21" s="59"/>
      <c r="G21" s="59"/>
      <c r="H21" s="59"/>
      <c r="I21" s="59"/>
      <c r="J21" s="59"/>
      <c r="K21" s="59"/>
      <c r="L21" s="59"/>
      <c r="M21" s="59"/>
      <c r="N21" s="59"/>
      <c r="O21" s="59"/>
      <c r="P21" s="59"/>
      <c r="Q21" s="59"/>
      <c r="R21" s="59"/>
      <c r="S21" s="59"/>
      <c r="T21" s="59"/>
      <c r="U21" s="59"/>
      <c r="V21" s="59"/>
    </row>
    <row r="22" spans="1:34" s="115" customFormat="1">
      <c r="A22" s="64" t="s">
        <v>220</v>
      </c>
      <c r="B22" s="64"/>
      <c r="C22" s="64"/>
      <c r="D22" s="64"/>
      <c r="E22" s="64"/>
      <c r="F22" s="64"/>
      <c r="G22" s="64"/>
      <c r="H22" s="64"/>
      <c r="I22" s="64"/>
      <c r="J22" s="64"/>
      <c r="K22" s="64"/>
      <c r="L22" s="64"/>
      <c r="M22" s="64"/>
      <c r="N22" s="64"/>
      <c r="O22" s="64"/>
      <c r="P22" s="64"/>
      <c r="Q22" s="64"/>
      <c r="R22" s="64"/>
      <c r="S22" s="64"/>
      <c r="T22" s="64"/>
      <c r="U22" s="64"/>
      <c r="V22" s="64"/>
    </row>
    <row r="23" spans="1:34" s="51" customFormat="1" ht="18">
      <c r="A23" s="61"/>
      <c r="B23" s="52"/>
      <c r="C23" s="52"/>
      <c r="D23" s="52"/>
      <c r="E23" s="52"/>
      <c r="F23" s="52"/>
      <c r="G23" s="52"/>
      <c r="H23" s="52"/>
      <c r="I23" s="52"/>
      <c r="J23" s="52"/>
      <c r="K23" s="52"/>
      <c r="L23" s="52"/>
      <c r="M23" s="52"/>
      <c r="N23" s="52"/>
      <c r="O23" s="52"/>
      <c r="P23" s="52"/>
      <c r="Q23" s="52"/>
    </row>
    <row r="24" spans="1:34" s="66" customFormat="1" ht="18">
      <c r="A24" s="61" t="s">
        <v>206</v>
      </c>
      <c r="B24" s="64"/>
      <c r="C24" s="64"/>
      <c r="D24" s="64"/>
      <c r="E24" s="64"/>
      <c r="F24" s="64"/>
      <c r="G24" s="64"/>
      <c r="H24" s="64"/>
      <c r="I24" s="64"/>
      <c r="J24" s="64"/>
      <c r="K24" s="64"/>
      <c r="L24" s="64"/>
      <c r="M24" s="64"/>
      <c r="N24" s="64"/>
      <c r="O24" s="64"/>
      <c r="P24" s="64"/>
      <c r="Q24" s="64"/>
    </row>
    <row r="25" spans="1:34" s="66" customFormat="1">
      <c r="A25" s="64" t="s">
        <v>82</v>
      </c>
      <c r="B25" s="64"/>
      <c r="C25" s="64"/>
      <c r="D25" s="64"/>
      <c r="E25" s="64"/>
      <c r="F25" s="64"/>
      <c r="G25" s="64"/>
      <c r="H25" s="64"/>
      <c r="I25" s="64"/>
      <c r="J25" s="64"/>
      <c r="K25" s="64"/>
      <c r="L25" s="64"/>
      <c r="M25" s="64"/>
      <c r="N25" s="64"/>
      <c r="O25" s="64"/>
      <c r="P25" s="64"/>
      <c r="Q25" s="64"/>
    </row>
    <row r="26" spans="1:34" s="51" customFormat="1" ht="15" customHeight="1">
      <c r="A26" s="197"/>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68"/>
      <c r="AB26" s="68"/>
      <c r="AC26" s="68"/>
      <c r="AD26" s="68"/>
      <c r="AE26" s="68"/>
      <c r="AF26" s="68"/>
      <c r="AG26" s="68"/>
      <c r="AH26" s="68"/>
    </row>
    <row r="27" spans="1:34" s="51" customFormat="1" ht="18">
      <c r="A27" s="61" t="s">
        <v>205</v>
      </c>
      <c r="B27" s="52"/>
      <c r="C27" s="52"/>
      <c r="D27" s="52"/>
      <c r="E27" s="52"/>
      <c r="F27" s="52"/>
      <c r="G27" s="52"/>
      <c r="H27" s="52"/>
      <c r="I27" s="52"/>
      <c r="J27" s="52"/>
      <c r="K27" s="52"/>
      <c r="L27" s="52"/>
      <c r="M27" s="52"/>
      <c r="N27" s="52"/>
      <c r="O27" s="52"/>
      <c r="P27" s="52"/>
      <c r="Q27" s="52"/>
    </row>
    <row r="28" spans="1:34" s="69" customFormat="1">
      <c r="A28" s="64" t="s">
        <v>219</v>
      </c>
      <c r="B28" s="64"/>
      <c r="C28" s="64"/>
      <c r="D28" s="64"/>
      <c r="E28" s="64"/>
      <c r="F28" s="64"/>
      <c r="G28" s="64"/>
      <c r="H28" s="64"/>
      <c r="I28" s="64"/>
      <c r="J28" s="64"/>
      <c r="K28" s="64"/>
      <c r="L28" s="64"/>
      <c r="M28" s="64"/>
      <c r="N28" s="64"/>
      <c r="O28" s="64"/>
      <c r="P28" s="64"/>
      <c r="Q28" s="64"/>
    </row>
    <row r="29" spans="1:34" s="102" customFormat="1">
      <c r="A29" s="64"/>
      <c r="B29" s="64"/>
      <c r="C29" s="64"/>
      <c r="D29" s="64"/>
      <c r="E29" s="64"/>
      <c r="F29" s="64"/>
      <c r="G29" s="64"/>
      <c r="H29" s="64"/>
      <c r="I29" s="64"/>
      <c r="J29" s="64"/>
      <c r="K29" s="64"/>
      <c r="L29" s="64"/>
      <c r="M29" s="64"/>
      <c r="N29" s="64"/>
      <c r="O29" s="64"/>
      <c r="P29" s="64"/>
      <c r="Q29" s="64"/>
    </row>
    <row r="30" spans="1:34" s="102" customFormat="1" ht="18">
      <c r="A30" s="61"/>
      <c r="B30" s="64"/>
      <c r="C30" s="64"/>
      <c r="D30" s="64"/>
      <c r="E30" s="64"/>
      <c r="F30" s="64"/>
      <c r="G30" s="64"/>
      <c r="H30" s="64"/>
      <c r="I30" s="64"/>
      <c r="J30" s="64"/>
      <c r="K30" s="64"/>
      <c r="L30" s="64"/>
      <c r="M30" s="64"/>
      <c r="N30" s="64"/>
      <c r="O30" s="64"/>
      <c r="P30" s="64"/>
      <c r="Q30" s="64"/>
    </row>
    <row r="31" spans="1:34" s="69" customForma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row>
    <row r="32" spans="1:34" ht="23.25" customHeight="1">
      <c r="A32" s="26" t="s">
        <v>50</v>
      </c>
      <c r="B32" s="27"/>
      <c r="C32" s="27"/>
      <c r="D32" s="27"/>
      <c r="E32" s="27"/>
      <c r="F32" s="27"/>
      <c r="G32" s="27"/>
      <c r="H32" s="27"/>
      <c r="I32" s="27"/>
      <c r="J32" s="27"/>
      <c r="K32" s="27"/>
      <c r="L32" s="27"/>
      <c r="M32" s="27"/>
      <c r="N32" s="27"/>
      <c r="O32" s="27"/>
      <c r="P32" s="27"/>
      <c r="Q32" s="27"/>
      <c r="R32" s="53"/>
      <c r="S32" s="53"/>
      <c r="T32" s="53"/>
      <c r="U32" s="53"/>
      <c r="V32" s="53"/>
      <c r="W32" s="53"/>
      <c r="X32" s="53"/>
      <c r="Y32" s="53"/>
      <c r="Z32" s="53"/>
      <c r="AA32" s="53"/>
      <c r="AB32" s="53"/>
      <c r="AC32" s="53"/>
      <c r="AD32" s="53"/>
      <c r="AE32" s="53"/>
    </row>
    <row r="33" spans="2:17" ht="13.5" customHeight="1"/>
    <row r="34" spans="2:17">
      <c r="B34" s="28" t="s">
        <v>51</v>
      </c>
      <c r="C34" s="28"/>
      <c r="D34" s="28"/>
      <c r="E34" s="28"/>
      <c r="Q34"/>
    </row>
    <row r="35" spans="2:17" ht="13.5" customHeight="1">
      <c r="Q35"/>
    </row>
    <row r="36" spans="2:17" ht="13.5" customHeight="1">
      <c r="B36" s="12" t="s">
        <v>52</v>
      </c>
      <c r="E36" s="29"/>
      <c r="Q36"/>
    </row>
    <row r="37" spans="2:17" ht="13.5" customHeight="1">
      <c r="Q37"/>
    </row>
    <row r="38" spans="2:17" ht="13.5" customHeight="1">
      <c r="B38" s="12" t="s">
        <v>53</v>
      </c>
      <c r="E38" s="30"/>
      <c r="Q38"/>
    </row>
    <row r="39" spans="2:17" ht="13.5" customHeight="1">
      <c r="Q39"/>
    </row>
    <row r="40" spans="2:17" ht="13.5" customHeight="1">
      <c r="B40" s="12" t="s">
        <v>54</v>
      </c>
      <c r="E40" s="31"/>
      <c r="Q40"/>
    </row>
    <row r="41" spans="2:17" ht="13.5" customHeight="1">
      <c r="Q41"/>
    </row>
    <row r="42" spans="2:17" ht="13.5" customHeight="1">
      <c r="B42" s="12" t="s">
        <v>55</v>
      </c>
      <c r="E42" s="32"/>
      <c r="Q42"/>
    </row>
    <row r="43" spans="2:17" ht="13.5" customHeight="1">
      <c r="Q43"/>
    </row>
    <row r="44" spans="2:17" ht="13.5" customHeight="1">
      <c r="B44" s="28" t="s">
        <v>56</v>
      </c>
      <c r="C44" s="28"/>
      <c r="D44" s="28"/>
      <c r="E44" s="28"/>
      <c r="Q44"/>
    </row>
    <row r="45" spans="2:17" ht="11.25" customHeight="1">
      <c r="Q45"/>
    </row>
    <row r="46" spans="2:17" ht="13.5" customHeight="1">
      <c r="B46" s="12" t="s">
        <v>57</v>
      </c>
      <c r="E46" s="33"/>
      <c r="Q46"/>
    </row>
    <row r="47" spans="2:17" ht="13.5" customHeight="1">
      <c r="Q47"/>
    </row>
    <row r="48" spans="2:17" ht="13.5" customHeight="1">
      <c r="B48" s="12" t="s">
        <v>58</v>
      </c>
      <c r="E48" s="34"/>
      <c r="Q48"/>
    </row>
    <row r="49" spans="1:31" ht="13.5" customHeight="1">
      <c r="Q49"/>
    </row>
    <row r="50" spans="1:31" ht="15" customHeight="1">
      <c r="B50" s="28" t="s">
        <v>59</v>
      </c>
      <c r="C50" s="28"/>
      <c r="D50" s="28" t="s">
        <v>60</v>
      </c>
      <c r="E50" s="28" t="s">
        <v>61</v>
      </c>
      <c r="F50"/>
      <c r="G50"/>
      <c r="H50"/>
      <c r="I50"/>
      <c r="J50"/>
      <c r="K50"/>
      <c r="L50"/>
      <c r="M50"/>
      <c r="N50"/>
      <c r="O50"/>
      <c r="P50"/>
      <c r="Q50"/>
    </row>
    <row r="51" spans="1:31" ht="15" customHeight="1">
      <c r="B51" s="12" t="s">
        <v>62</v>
      </c>
      <c r="D51" s="65" t="s">
        <v>262</v>
      </c>
      <c r="E51" s="48" t="s">
        <v>263</v>
      </c>
      <c r="F51"/>
      <c r="G51"/>
      <c r="H51"/>
      <c r="I51"/>
      <c r="J51"/>
      <c r="K51"/>
      <c r="L51"/>
      <c r="M51"/>
      <c r="N51"/>
      <c r="O51"/>
      <c r="P51"/>
      <c r="Q51"/>
    </row>
    <row r="52" spans="1:31" ht="15" customHeight="1">
      <c r="B52" s="64" t="s">
        <v>64</v>
      </c>
      <c r="D52" s="65" t="s">
        <v>264</v>
      </c>
      <c r="E52" s="48" t="s">
        <v>265</v>
      </c>
      <c r="F52"/>
      <c r="G52"/>
      <c r="H52"/>
      <c r="I52"/>
      <c r="J52"/>
      <c r="K52"/>
      <c r="L52"/>
      <c r="M52"/>
      <c r="N52"/>
      <c r="O52"/>
      <c r="P52"/>
      <c r="Q52"/>
    </row>
    <row r="53" spans="1:31" ht="15" customHeight="1">
      <c r="B53" s="64" t="s">
        <v>65</v>
      </c>
      <c r="D53" s="65" t="s">
        <v>67</v>
      </c>
      <c r="E53" s="48" t="s">
        <v>267</v>
      </c>
      <c r="F53"/>
      <c r="G53"/>
      <c r="H53"/>
      <c r="I53"/>
      <c r="J53"/>
      <c r="K53"/>
      <c r="L53"/>
      <c r="M53"/>
      <c r="N53"/>
      <c r="O53"/>
      <c r="P53"/>
      <c r="Q53"/>
    </row>
    <row r="54" spans="1:31" ht="15" customHeight="1">
      <c r="B54" s="64" t="s">
        <v>65</v>
      </c>
      <c r="D54" s="65" t="s">
        <v>266</v>
      </c>
      <c r="E54" s="12" t="s">
        <v>277</v>
      </c>
      <c r="O54"/>
      <c r="P54"/>
      <c r="Q54"/>
    </row>
    <row r="55" spans="1:31">
      <c r="B55" s="35"/>
    </row>
    <row r="56" spans="1:31" ht="23.25" customHeight="1">
      <c r="A56" s="36" t="s">
        <v>66</v>
      </c>
      <c r="B56" s="37"/>
      <c r="C56" s="37"/>
      <c r="D56" s="37"/>
      <c r="E56" s="37"/>
      <c r="F56" s="37"/>
      <c r="G56" s="37"/>
      <c r="H56" s="37"/>
      <c r="I56" s="37"/>
      <c r="J56" s="37"/>
      <c r="K56" s="37"/>
      <c r="L56" s="37"/>
      <c r="M56" s="37"/>
      <c r="N56" s="37"/>
      <c r="O56" s="37"/>
      <c r="P56" s="37"/>
      <c r="Q56" s="37"/>
      <c r="R56" s="54"/>
      <c r="S56" s="54"/>
      <c r="T56" s="54"/>
      <c r="U56" s="54"/>
      <c r="V56" s="54"/>
      <c r="W56" s="54"/>
      <c r="X56" s="54"/>
      <c r="Y56" s="54"/>
      <c r="Z56" s="54"/>
      <c r="AA56" s="54"/>
      <c r="AB56" s="54"/>
      <c r="AC56" s="54"/>
      <c r="AD56" s="54"/>
      <c r="AE56" s="54"/>
    </row>
    <row r="57" spans="1:31" s="12" customFormat="1" ht="14.25">
      <c r="B57" s="38"/>
    </row>
    <row r="107" spans="13:13" s="12" customFormat="1" ht="14.25">
      <c r="M107" s="39"/>
    </row>
  </sheetData>
  <mergeCells count="2">
    <mergeCell ref="A20:V20"/>
    <mergeCell ref="A26:Z26"/>
  </mergeCells>
  <pageMargins left="0.70866141732283472" right="0.70866141732283472" top="0.55118110236220474" bottom="0.74803149606299213" header="0.31496062992125984" footer="0.31496062992125984"/>
  <pageSetup paperSize="9" scale="57" orientation="portrait" r:id="rId1"/>
  <headerFooter>
    <oddFooter>&amp;L&amp;"Arial,Bold"&amp;10&amp;K7030A0DISTRIBUTION TRANSFORMERS - POLE MOUNTED&amp;C&amp;"Arial,Regular"&amp;10&amp;K7030A0Page &amp;P of &amp;N&amp;R&amp;"Arial,Regular"&amp;10&amp;K7030A0&amp;A
&amp;T &amp;D</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Z283"/>
  <sheetViews>
    <sheetView showGridLines="0" topLeftCell="A235" zoomScale="76" zoomScaleNormal="76" workbookViewId="0">
      <selection activeCell="E207" sqref="E207"/>
    </sheetView>
  </sheetViews>
  <sheetFormatPr defaultRowHeight="14.25"/>
  <cols>
    <col min="1" max="1" width="56.7109375" style="62" customWidth="1"/>
    <col min="2" max="2" width="25.140625" style="62" bestFit="1" customWidth="1"/>
    <col min="3" max="3" width="43.42578125" style="62" bestFit="1" customWidth="1"/>
    <col min="4" max="4" width="20.140625" style="62" customWidth="1"/>
    <col min="5" max="5" width="19" style="62" customWidth="1"/>
    <col min="6" max="6" width="13.28515625" style="62" customWidth="1"/>
    <col min="7" max="7" width="12.7109375" style="62" customWidth="1"/>
    <col min="8" max="15" width="13" style="62" customWidth="1"/>
    <col min="16" max="16" width="24.140625" style="62" customWidth="1"/>
    <col min="17" max="17" width="16.7109375" style="62" bestFit="1" customWidth="1"/>
    <col min="18" max="18" width="11.28515625" style="60" bestFit="1" customWidth="1"/>
    <col min="19" max="19" width="11" style="60" bestFit="1" customWidth="1"/>
    <col min="20" max="20" width="11.28515625" style="62" bestFit="1" customWidth="1"/>
    <col min="21" max="21" width="22.28515625" style="62" bestFit="1" customWidth="1"/>
    <col min="22" max="16384" width="9.140625" style="62"/>
  </cols>
  <sheetData>
    <row r="1" spans="1:20" ht="27.75" customHeight="1">
      <c r="A1" s="41" t="s">
        <v>63</v>
      </c>
      <c r="B1" s="42"/>
      <c r="C1" s="42"/>
      <c r="D1" s="42"/>
      <c r="E1" s="42"/>
      <c r="F1" s="42"/>
      <c r="G1" s="42"/>
      <c r="H1" s="42"/>
      <c r="I1" s="42"/>
      <c r="J1" s="42"/>
      <c r="K1" s="42"/>
      <c r="L1" s="42"/>
      <c r="M1" s="42"/>
      <c r="N1" s="42"/>
      <c r="O1" s="42"/>
      <c r="R1" s="55"/>
      <c r="S1" s="55"/>
    </row>
    <row r="3" spans="1:20" s="60" customFormat="1" ht="15">
      <c r="A3" s="43" t="s">
        <v>70</v>
      </c>
      <c r="C3" s="198" t="s">
        <v>83</v>
      </c>
      <c r="D3" s="199"/>
      <c r="E3" s="199"/>
      <c r="F3" s="199"/>
      <c r="G3" s="199"/>
      <c r="H3" s="199"/>
      <c r="I3" s="200"/>
    </row>
    <row r="4" spans="1:20" s="60" customFormat="1" ht="15">
      <c r="A4" s="43" t="s">
        <v>71</v>
      </c>
      <c r="C4" s="198" t="s">
        <v>78</v>
      </c>
      <c r="D4" s="199"/>
      <c r="E4" s="199"/>
      <c r="F4" s="199"/>
      <c r="G4" s="199"/>
      <c r="H4" s="199"/>
      <c r="I4" s="200"/>
      <c r="J4" s="201"/>
      <c r="K4" s="201"/>
      <c r="L4" s="201"/>
      <c r="M4" s="201"/>
      <c r="N4" s="201"/>
    </row>
    <row r="5" spans="1:20" s="60" customFormat="1" ht="15">
      <c r="A5" s="43" t="s">
        <v>72</v>
      </c>
      <c r="C5" s="198" t="s">
        <v>48</v>
      </c>
      <c r="D5" s="199"/>
      <c r="E5" s="199"/>
      <c r="F5" s="199"/>
      <c r="G5" s="199"/>
      <c r="H5" s="199"/>
      <c r="I5" s="200"/>
      <c r="J5" s="201"/>
      <c r="K5" s="201"/>
      <c r="L5" s="201"/>
      <c r="M5" s="201"/>
      <c r="N5" s="201"/>
    </row>
    <row r="6" spans="1:20" s="60" customFormat="1" ht="15">
      <c r="A6" s="43" t="s">
        <v>73</v>
      </c>
      <c r="C6" s="202">
        <v>42889</v>
      </c>
      <c r="D6" s="203"/>
      <c r="E6" s="203"/>
      <c r="F6" s="203"/>
      <c r="G6" s="203"/>
      <c r="H6" s="203"/>
      <c r="I6" s="204"/>
      <c r="J6" s="201"/>
      <c r="K6" s="201"/>
      <c r="L6" s="201"/>
      <c r="M6" s="201"/>
      <c r="N6" s="201"/>
    </row>
    <row r="7" spans="1:20" s="60" customFormat="1" ht="15">
      <c r="A7" s="43" t="s">
        <v>75</v>
      </c>
      <c r="C7" s="202"/>
      <c r="D7" s="203"/>
      <c r="E7" s="203"/>
      <c r="F7" s="203"/>
      <c r="G7" s="203"/>
      <c r="H7" s="203"/>
      <c r="I7" s="204"/>
    </row>
    <row r="9" spans="1:20" ht="18">
      <c r="A9" s="63" t="s">
        <v>84</v>
      </c>
      <c r="B9" s="42"/>
      <c r="C9" s="42"/>
      <c r="D9" s="42"/>
      <c r="E9" s="42"/>
      <c r="F9" s="42"/>
      <c r="G9" s="42"/>
      <c r="H9" s="42"/>
      <c r="I9" s="42"/>
      <c r="J9" s="42"/>
      <c r="K9" s="42"/>
      <c r="L9" s="42"/>
      <c r="M9" s="42"/>
      <c r="N9" s="42"/>
      <c r="O9" s="42"/>
      <c r="P9" s="55"/>
      <c r="Q9" s="55"/>
      <c r="R9" s="55"/>
      <c r="S9" s="55"/>
      <c r="T9" s="55"/>
    </row>
    <row r="10" spans="1:20">
      <c r="R10" s="62"/>
      <c r="S10" s="62"/>
    </row>
    <row r="11" spans="1:20" s="64" customFormat="1" ht="18">
      <c r="A11" s="61" t="s">
        <v>188</v>
      </c>
    </row>
    <row r="12" spans="1:20" s="64" customFormat="1" ht="15">
      <c r="A12" s="64" t="s">
        <v>298</v>
      </c>
      <c r="M12"/>
      <c r="N12" s="117"/>
      <c r="O12" s="116"/>
    </row>
    <row r="13" spans="1:20" s="64" customFormat="1" ht="15">
      <c r="A13" s="64" t="s">
        <v>299</v>
      </c>
      <c r="B13" s="103"/>
      <c r="M13" s="158"/>
      <c r="N13" s="117"/>
      <c r="O13" s="116"/>
    </row>
    <row r="14" spans="1:20" s="64" customFormat="1" ht="15">
      <c r="M14" s="125"/>
      <c r="N14" s="117"/>
      <c r="O14" s="116"/>
    </row>
    <row r="15" spans="1:20" s="64" customFormat="1" ht="15">
      <c r="A15" s="79" t="s">
        <v>91</v>
      </c>
      <c r="B15" s="79" t="s">
        <v>258</v>
      </c>
      <c r="C15" s="79" t="s">
        <v>257</v>
      </c>
      <c r="D15" s="79" t="s">
        <v>256</v>
      </c>
      <c r="E15" s="50" t="s">
        <v>144</v>
      </c>
      <c r="F15" s="50" t="s">
        <v>145</v>
      </c>
      <c r="G15" s="50" t="s">
        <v>146</v>
      </c>
      <c r="H15" s="50" t="s">
        <v>147</v>
      </c>
      <c r="I15" s="50" t="s">
        <v>148</v>
      </c>
      <c r="J15" s="49" t="s">
        <v>149</v>
      </c>
      <c r="K15" s="49" t="s">
        <v>150</v>
      </c>
      <c r="L15" s="116"/>
    </row>
    <row r="16" spans="1:20" s="64" customFormat="1">
      <c r="A16" s="46" t="s">
        <v>139</v>
      </c>
      <c r="B16" s="113">
        <v>36.032919428444636</v>
      </c>
      <c r="C16" s="113">
        <v>46.246708947276375</v>
      </c>
      <c r="D16" s="113">
        <v>41.792515901510455</v>
      </c>
      <c r="E16" s="113">
        <v>56.286987079318173</v>
      </c>
      <c r="F16" s="113">
        <v>30.359361788288449</v>
      </c>
      <c r="G16" s="113">
        <v>60.015460344698617</v>
      </c>
      <c r="H16" s="113">
        <v>36.050036926902493</v>
      </c>
      <c r="I16" s="113">
        <v>46.002833232537327</v>
      </c>
      <c r="J16" s="113">
        <v>48.12793088086179</v>
      </c>
      <c r="K16" s="113">
        <v>45.850865264156134</v>
      </c>
      <c r="L16" s="116"/>
    </row>
    <row r="17" spans="1:17" s="64" customFormat="1">
      <c r="A17" s="88" t="s">
        <v>141</v>
      </c>
      <c r="B17" s="153">
        <v>0.19449670516271569</v>
      </c>
      <c r="C17" s="153">
        <v>0.20717498768140127</v>
      </c>
      <c r="D17" s="153">
        <v>0.21173749248835672</v>
      </c>
      <c r="E17" s="153">
        <v>0.26838637134565374</v>
      </c>
      <c r="F17" s="153">
        <v>0.13646491888732987</v>
      </c>
      <c r="G17" s="153">
        <v>0.22566907332335912</v>
      </c>
      <c r="H17" s="153">
        <v>0.15024392347209065</v>
      </c>
      <c r="I17" s="153">
        <v>0.1957671796062237</v>
      </c>
      <c r="J17" s="153">
        <v>0.23091553426828032</v>
      </c>
      <c r="K17" s="153">
        <v>0.22747024032342589</v>
      </c>
      <c r="L17" s="116"/>
    </row>
    <row r="18" spans="1:17" s="133" customFormat="1" ht="15">
      <c r="A18" s="88"/>
      <c r="B18"/>
      <c r="C18"/>
      <c r="D18"/>
      <c r="E18"/>
      <c r="F18"/>
      <c r="G18"/>
      <c r="H18"/>
      <c r="I18"/>
      <c r="J18"/>
      <c r="K18"/>
      <c r="L18"/>
      <c r="M18"/>
      <c r="N18"/>
      <c r="O18"/>
    </row>
    <row r="19" spans="1:17" s="133" customFormat="1" ht="15">
      <c r="A19"/>
      <c r="B19"/>
      <c r="C19"/>
      <c r="D19"/>
      <c r="E19"/>
      <c r="F19"/>
      <c r="G19"/>
      <c r="H19"/>
      <c r="I19"/>
      <c r="J19"/>
      <c r="K19"/>
      <c r="L19"/>
      <c r="M19"/>
      <c r="N19"/>
      <c r="O19"/>
    </row>
    <row r="20" spans="1:17" s="89" customFormat="1" ht="18">
      <c r="A20" s="63" t="s">
        <v>117</v>
      </c>
      <c r="B20" s="42"/>
      <c r="C20" s="42"/>
      <c r="D20" s="42"/>
      <c r="E20" s="42"/>
      <c r="F20" s="42"/>
      <c r="G20" s="42"/>
      <c r="H20" s="42"/>
      <c r="I20" s="42"/>
      <c r="J20" s="42"/>
      <c r="K20" s="42"/>
      <c r="L20" s="42"/>
      <c r="M20" s="42"/>
      <c r="N20" s="42"/>
      <c r="O20" s="42"/>
    </row>
    <row r="21" spans="1:17" s="104" customFormat="1" ht="15">
      <c r="A21" s="44"/>
      <c r="B21"/>
      <c r="C21"/>
      <c r="D21"/>
      <c r="E21"/>
      <c r="F21"/>
      <c r="G21"/>
      <c r="H21"/>
      <c r="I21"/>
      <c r="J21"/>
      <c r="K21"/>
      <c r="L21"/>
      <c r="M21" s="64"/>
      <c r="N21" s="64"/>
      <c r="O21" s="64"/>
    </row>
    <row r="22" spans="1:17" s="104" customFormat="1" ht="18">
      <c r="A22" s="61" t="s">
        <v>171</v>
      </c>
      <c r="B22"/>
      <c r="C22"/>
      <c r="D22"/>
      <c r="E22"/>
      <c r="F22"/>
      <c r="G22"/>
      <c r="H22"/>
      <c r="I22"/>
      <c r="J22"/>
      <c r="K22"/>
      <c r="L22"/>
      <c r="M22" s="64"/>
      <c r="N22" s="64"/>
      <c r="O22" s="64"/>
    </row>
    <row r="23" spans="1:17" s="104" customFormat="1" ht="15">
      <c r="A23" s="107" t="s">
        <v>296</v>
      </c>
      <c r="B23"/>
      <c r="C23"/>
      <c r="D23"/>
      <c r="E23"/>
      <c r="F23"/>
      <c r="G23"/>
      <c r="H23"/>
      <c r="I23"/>
      <c r="J23"/>
      <c r="K23"/>
      <c r="L23"/>
      <c r="M23" s="64"/>
      <c r="N23" s="64"/>
      <c r="O23" s="64"/>
    </row>
    <row r="24" spans="1:17" s="115" customFormat="1" ht="15">
      <c r="A24" s="107"/>
      <c r="B24"/>
      <c r="C24"/>
      <c r="D24"/>
      <c r="E24"/>
      <c r="F24"/>
      <c r="G24"/>
      <c r="H24"/>
      <c r="I24"/>
      <c r="J24"/>
      <c r="K24"/>
      <c r="L24"/>
      <c r="M24" s="64"/>
      <c r="N24" s="64"/>
      <c r="O24" s="64"/>
    </row>
    <row r="25" spans="1:17" s="134" customFormat="1" ht="15">
      <c r="A25" s="107"/>
      <c r="D25" s="139"/>
      <c r="E25" s="140"/>
      <c r="F25" s="141" t="s">
        <v>212</v>
      </c>
      <c r="G25" s="140"/>
      <c r="H25" s="142"/>
      <c r="M25" s="64"/>
      <c r="N25" s="64"/>
      <c r="O25" s="64"/>
    </row>
    <row r="26" spans="1:17" s="64" customFormat="1" ht="15">
      <c r="A26" s="98" t="s">
        <v>138</v>
      </c>
      <c r="B26" s="79" t="s">
        <v>150</v>
      </c>
      <c r="C26" s="79" t="s">
        <v>151</v>
      </c>
      <c r="D26" s="79" t="s">
        <v>152</v>
      </c>
      <c r="E26" s="79" t="s">
        <v>153</v>
      </c>
      <c r="F26" s="79" t="s">
        <v>154</v>
      </c>
      <c r="G26" s="79" t="s">
        <v>155</v>
      </c>
      <c r="H26" s="79" t="s">
        <v>156</v>
      </c>
      <c r="I26" s="79" t="s">
        <v>292</v>
      </c>
      <c r="J26" s="79" t="s">
        <v>293</v>
      </c>
      <c r="K26" s="79" t="s">
        <v>294</v>
      </c>
      <c r="L26" s="79" t="s">
        <v>295</v>
      </c>
      <c r="M26" s="60"/>
    </row>
    <row r="27" spans="1:17" s="64" customFormat="1">
      <c r="A27" s="99" t="s">
        <v>139</v>
      </c>
      <c r="B27" s="154">
        <v>1</v>
      </c>
      <c r="C27" s="154">
        <v>1</v>
      </c>
      <c r="D27" s="154">
        <v>1</v>
      </c>
      <c r="E27" s="154">
        <v>1</v>
      </c>
      <c r="F27" s="154">
        <v>1</v>
      </c>
      <c r="G27" s="154">
        <v>1</v>
      </c>
      <c r="H27" s="154">
        <v>1</v>
      </c>
      <c r="I27" s="154">
        <v>1</v>
      </c>
      <c r="J27" s="154">
        <v>1</v>
      </c>
      <c r="K27" s="154">
        <v>1</v>
      </c>
      <c r="L27" s="154">
        <v>1</v>
      </c>
      <c r="M27" s="60"/>
    </row>
    <row r="28" spans="1:17" s="64" customFormat="1" ht="15">
      <c r="A28" s="107" t="s">
        <v>170</v>
      </c>
      <c r="B28"/>
      <c r="P28" s="60"/>
      <c r="Q28" s="60"/>
    </row>
    <row r="29" spans="1:17" s="104" customFormat="1" ht="15">
      <c r="A29" s="44"/>
      <c r="B29"/>
      <c r="C29"/>
      <c r="D29"/>
      <c r="E29"/>
      <c r="F29"/>
      <c r="G29"/>
      <c r="H29"/>
      <c r="I29"/>
      <c r="J29"/>
      <c r="K29"/>
      <c r="L29"/>
      <c r="M29" s="64"/>
      <c r="N29" s="64"/>
      <c r="O29" s="64"/>
    </row>
    <row r="30" spans="1:17" s="89" customFormat="1" ht="15"/>
    <row r="31" spans="1:17" s="89" customFormat="1" ht="18">
      <c r="A31" s="63" t="s">
        <v>241</v>
      </c>
      <c r="B31" s="42"/>
      <c r="C31" s="42"/>
      <c r="D31" s="42"/>
      <c r="E31" s="42"/>
      <c r="F31" s="42"/>
      <c r="G31" s="42"/>
      <c r="H31" s="42"/>
      <c r="I31" s="42"/>
      <c r="J31" s="42"/>
      <c r="K31" s="42"/>
      <c r="L31" s="42"/>
      <c r="M31" s="42"/>
      <c r="N31" s="42"/>
      <c r="O31" s="42"/>
    </row>
    <row r="32" spans="1:17" customFormat="1" ht="15"/>
    <row r="33" spans="1:9" customFormat="1" ht="18">
      <c r="A33" s="61" t="s">
        <v>239</v>
      </c>
    </row>
    <row r="34" spans="1:9" customFormat="1" ht="15">
      <c r="A34" s="64" t="s">
        <v>200</v>
      </c>
    </row>
    <row r="35" spans="1:9" s="93" customFormat="1" ht="15">
      <c r="A35" s="44" t="s">
        <v>253</v>
      </c>
      <c r="B35" s="128"/>
      <c r="C35" s="44"/>
      <c r="D35"/>
      <c r="E35"/>
      <c r="F35"/>
      <c r="G35"/>
      <c r="H35"/>
      <c r="I35"/>
    </row>
    <row r="36" spans="1:9" s="93" customFormat="1" ht="15">
      <c r="A36" s="44"/>
      <c r="B36" s="44"/>
      <c r="C36" s="44"/>
      <c r="D36"/>
      <c r="E36"/>
      <c r="F36"/>
      <c r="G36"/>
      <c r="H36"/>
      <c r="I36"/>
    </row>
    <row r="37" spans="1:9" s="93" customFormat="1" ht="30">
      <c r="A37" s="44"/>
      <c r="B37" s="44"/>
      <c r="C37" s="44"/>
      <c r="D37" s="83" t="s">
        <v>95</v>
      </c>
      <c r="E37" s="83"/>
      <c r="F37" s="83" t="s">
        <v>96</v>
      </c>
      <c r="G37" s="83"/>
      <c r="H37"/>
      <c r="I37"/>
    </row>
    <row r="38" spans="1:9" s="93" customFormat="1" ht="30">
      <c r="A38" s="79" t="s">
        <v>70</v>
      </c>
      <c r="B38" s="79" t="s">
        <v>119</v>
      </c>
      <c r="C38" s="79" t="s">
        <v>121</v>
      </c>
      <c r="D38" s="84" t="s">
        <v>97</v>
      </c>
      <c r="E38" s="84" t="s">
        <v>98</v>
      </c>
      <c r="F38" s="84" t="s">
        <v>97</v>
      </c>
      <c r="G38" s="84" t="s">
        <v>98</v>
      </c>
    </row>
    <row r="39" spans="1:9" s="93" customFormat="1" ht="15">
      <c r="A39" s="88" t="s">
        <v>76</v>
      </c>
      <c r="B39" s="88" t="s">
        <v>99</v>
      </c>
      <c r="C39" s="88" t="s">
        <v>104</v>
      </c>
      <c r="D39" s="34">
        <v>5.0600000000000005E-4</v>
      </c>
      <c r="E39" s="155">
        <v>3.1444999999999997E-6</v>
      </c>
      <c r="F39" s="34">
        <v>5.0600000000000005E-4</v>
      </c>
      <c r="G39" s="155">
        <v>3.1444999999999997E-6</v>
      </c>
    </row>
    <row r="40" spans="1:9" s="93" customFormat="1" ht="15">
      <c r="A40" s="88" t="s">
        <v>76</v>
      </c>
      <c r="B40" s="88" t="s">
        <v>99</v>
      </c>
      <c r="C40" s="88" t="s">
        <v>105</v>
      </c>
      <c r="D40" s="34">
        <v>1.8999999999999989E-3</v>
      </c>
      <c r="E40" s="155">
        <v>3.1359999999999998E-5</v>
      </c>
      <c r="F40" s="34">
        <v>1.2064999999999999E-2</v>
      </c>
      <c r="G40" s="155">
        <v>4.0819999999999999E-5</v>
      </c>
    </row>
    <row r="41" spans="1:9" s="93" customFormat="1" ht="15">
      <c r="A41" s="88" t="s">
        <v>76</v>
      </c>
      <c r="B41" s="88" t="s">
        <v>99</v>
      </c>
      <c r="C41" s="88" t="s">
        <v>106</v>
      </c>
      <c r="D41" s="34">
        <v>1.0943E-2</v>
      </c>
      <c r="E41" s="155">
        <v>3.9780000000000002E-5</v>
      </c>
      <c r="F41" s="34">
        <v>1.0943E-2</v>
      </c>
      <c r="G41" s="155">
        <v>3.9780000000000002E-5</v>
      </c>
    </row>
    <row r="42" spans="1:9" s="93" customFormat="1" ht="15">
      <c r="A42" s="88" t="s">
        <v>76</v>
      </c>
      <c r="B42" s="88" t="s">
        <v>100</v>
      </c>
      <c r="C42" s="88" t="s">
        <v>104</v>
      </c>
      <c r="D42" s="34">
        <v>1.6699999999999999E-5</v>
      </c>
      <c r="E42" s="155">
        <v>5.4389999999999993E-8</v>
      </c>
      <c r="F42" s="34">
        <v>1.6699999999999999E-5</v>
      </c>
      <c r="G42" s="155">
        <v>5.4389999999999993E-8</v>
      </c>
    </row>
    <row r="43" spans="1:9" s="93" customFormat="1" ht="15">
      <c r="A43" s="88" t="s">
        <v>76</v>
      </c>
      <c r="B43" s="88" t="s">
        <v>100</v>
      </c>
      <c r="C43" s="88" t="s">
        <v>105</v>
      </c>
      <c r="D43" s="34">
        <v>1.8156482870498756E-3</v>
      </c>
      <c r="E43" s="155">
        <v>2.1271109999999996E-6</v>
      </c>
      <c r="F43" s="34">
        <v>4.9880908999999996E-3</v>
      </c>
      <c r="G43" s="155">
        <v>1.7011475E-5</v>
      </c>
    </row>
    <row r="44" spans="1:9" s="93" customFormat="1" ht="15">
      <c r="A44" s="88" t="s">
        <v>76</v>
      </c>
      <c r="B44" s="88" t="s">
        <v>100</v>
      </c>
      <c r="C44" s="88" t="s">
        <v>106</v>
      </c>
      <c r="D44" s="34">
        <v>7.4090000000000007E-4</v>
      </c>
      <c r="E44" s="155">
        <v>3.1040000000000003E-6</v>
      </c>
      <c r="F44" s="34">
        <v>7.4090000000000007E-4</v>
      </c>
      <c r="G44" s="155">
        <v>3.1040000000000003E-6</v>
      </c>
    </row>
    <row r="45" spans="1:9" s="93" customFormat="1" ht="14.25" customHeight="1">
      <c r="A45" s="88" t="s">
        <v>120</v>
      </c>
      <c r="B45" s="88" t="s">
        <v>68</v>
      </c>
      <c r="C45" s="88" t="s">
        <v>104</v>
      </c>
      <c r="D45" s="34">
        <v>3.5200000000000006E-3</v>
      </c>
      <c r="E45" s="155">
        <v>4.6409999999999993E-6</v>
      </c>
      <c r="F45" s="34">
        <v>3.5200000000000006E-3</v>
      </c>
      <c r="G45" s="155">
        <v>4.6409999999999993E-6</v>
      </c>
    </row>
    <row r="46" spans="1:9" s="93" customFormat="1" ht="15">
      <c r="A46" s="88" t="s">
        <v>120</v>
      </c>
      <c r="B46" s="88" t="s">
        <v>68</v>
      </c>
      <c r="C46" s="88" t="s">
        <v>105</v>
      </c>
      <c r="D46" s="34">
        <v>4.060097976576485E-2</v>
      </c>
      <c r="E46" s="155">
        <v>1.0541797416927075E-4</v>
      </c>
      <c r="F46" s="34">
        <v>0.1045</v>
      </c>
      <c r="G46" s="155">
        <v>2.6585000000000004E-4</v>
      </c>
    </row>
    <row r="47" spans="1:9" s="93" customFormat="1" ht="15">
      <c r="A47" s="88" t="s">
        <v>120</v>
      </c>
      <c r="B47" s="88" t="s">
        <v>68</v>
      </c>
      <c r="C47" s="88" t="s">
        <v>106</v>
      </c>
      <c r="D47" s="34">
        <v>3.5339999999999995E-6</v>
      </c>
      <c r="E47" s="155">
        <v>1.2240000000000002E-8</v>
      </c>
      <c r="F47" s="34">
        <v>3.5339999999999995E-6</v>
      </c>
      <c r="G47" s="155">
        <v>1.2240000000000002E-8</v>
      </c>
    </row>
    <row r="48" spans="1:9" s="93" customFormat="1" ht="15">
      <c r="A48" s="88" t="s">
        <v>77</v>
      </c>
      <c r="B48" s="88" t="s">
        <v>108</v>
      </c>
      <c r="C48" s="88" t="s">
        <v>108</v>
      </c>
      <c r="D48" s="34">
        <v>5.8017300000000006E-3</v>
      </c>
      <c r="E48" s="155">
        <v>2.6818999506689741E-5</v>
      </c>
      <c r="F48" s="34">
        <v>5.8017300000000006E-3</v>
      </c>
      <c r="G48" s="155">
        <v>2.6818999506689741E-5</v>
      </c>
    </row>
    <row r="49" spans="1:14" s="108" customFormat="1" ht="15">
      <c r="A49" s="88" t="s">
        <v>77</v>
      </c>
      <c r="B49" s="88" t="s">
        <v>108</v>
      </c>
      <c r="C49" s="88" t="s">
        <v>181</v>
      </c>
      <c r="D49" s="34">
        <v>5.8017300000000006E-3</v>
      </c>
      <c r="E49" s="155">
        <v>2.6818999506689741E-5</v>
      </c>
      <c r="F49" s="34">
        <v>5.8017300000000006E-3</v>
      </c>
      <c r="G49" s="155">
        <v>2.6818999506689741E-5</v>
      </c>
    </row>
    <row r="50" spans="1:14" s="93" customFormat="1" ht="15">
      <c r="A50" s="88" t="s">
        <v>77</v>
      </c>
      <c r="B50" s="88" t="s">
        <v>109</v>
      </c>
      <c r="C50" s="88" t="s">
        <v>109</v>
      </c>
      <c r="D50" s="34">
        <v>1.7179343999999999E-2</v>
      </c>
      <c r="E50" s="155">
        <v>8.3789999999999996E-5</v>
      </c>
      <c r="F50" s="34">
        <v>1.7179343999999999E-2</v>
      </c>
      <c r="G50" s="155">
        <v>8.3789999999999996E-5</v>
      </c>
    </row>
    <row r="51" spans="1:14" s="93" customFormat="1" ht="15">
      <c r="A51" s="88" t="s">
        <v>77</v>
      </c>
      <c r="B51" s="88" t="s">
        <v>110</v>
      </c>
      <c r="C51" s="88" t="s">
        <v>110</v>
      </c>
      <c r="D51" s="34">
        <v>1.7179343999999999E-2</v>
      </c>
      <c r="E51" s="155">
        <v>8.3789999999999996E-5</v>
      </c>
      <c r="F51" s="34">
        <v>1.7179343999999999E-2</v>
      </c>
      <c r="G51" s="155">
        <v>8.3789999999999996E-5</v>
      </c>
    </row>
    <row r="52" spans="1:14" s="102" customFormat="1" ht="15">
      <c r="A52" s="88" t="s">
        <v>157</v>
      </c>
      <c r="B52" s="88" t="s">
        <v>158</v>
      </c>
      <c r="C52" s="88" t="s">
        <v>159</v>
      </c>
      <c r="D52" s="34">
        <v>1.0843882290000002E-2</v>
      </c>
      <c r="E52" s="155">
        <v>5.6950000000000009E-5</v>
      </c>
      <c r="F52" s="34">
        <v>1.0843882290000002E-2</v>
      </c>
      <c r="G52" s="155">
        <v>5.6950000000000009E-5</v>
      </c>
    </row>
    <row r="53" spans="1:14" s="110" customFormat="1" ht="15">
      <c r="A53" s="88" t="s">
        <v>157</v>
      </c>
      <c r="B53" s="88" t="s">
        <v>183</v>
      </c>
      <c r="C53" s="88" t="s">
        <v>183</v>
      </c>
      <c r="D53" s="34">
        <v>4.4000000000000002E-4</v>
      </c>
      <c r="E53" s="155">
        <v>3.9999999999999998E-6</v>
      </c>
      <c r="F53" s="34">
        <v>4.4000000000000002E-4</v>
      </c>
      <c r="G53" s="155">
        <v>3.9999999999999998E-6</v>
      </c>
    </row>
    <row r="54" spans="1:14" s="102" customFormat="1" ht="15">
      <c r="A54" s="88" t="s">
        <v>157</v>
      </c>
      <c r="B54" s="88" t="s">
        <v>161</v>
      </c>
      <c r="C54" s="88" t="s">
        <v>164</v>
      </c>
      <c r="D54" s="34">
        <v>2.4874004073584047E-2</v>
      </c>
      <c r="E54" s="155">
        <v>1.6718660714432635E-4</v>
      </c>
      <c r="F54" s="34">
        <v>2.4874004073584047E-2</v>
      </c>
      <c r="G54" s="155">
        <v>1.6718660714432635E-4</v>
      </c>
    </row>
    <row r="55" spans="1:14" s="102" customFormat="1" ht="15">
      <c r="A55" s="88" t="s">
        <v>157</v>
      </c>
      <c r="B55" s="88" t="s">
        <v>160</v>
      </c>
      <c r="C55" s="88" t="s">
        <v>160</v>
      </c>
      <c r="D55" s="34">
        <v>2.232E-2</v>
      </c>
      <c r="E55" s="155">
        <v>7.0000000000000007E-5</v>
      </c>
      <c r="F55" s="34">
        <v>2.232E-2</v>
      </c>
      <c r="G55" s="155">
        <v>7.0000000000000007E-5</v>
      </c>
    </row>
    <row r="56" spans="1:14" s="102" customFormat="1" ht="15">
      <c r="A56" s="88" t="s">
        <v>162</v>
      </c>
      <c r="B56" s="88" t="s">
        <v>165</v>
      </c>
      <c r="C56" s="88" t="s">
        <v>162</v>
      </c>
      <c r="D56" s="34">
        <v>0.12809999999999999</v>
      </c>
      <c r="E56" s="155">
        <v>4.5925000000000002E-4</v>
      </c>
      <c r="F56" s="34">
        <v>0.12809999999999999</v>
      </c>
      <c r="G56" s="155">
        <v>4.5925000000000002E-4</v>
      </c>
    </row>
    <row r="57" spans="1:14" s="102" customFormat="1" ht="15">
      <c r="A57" s="88" t="s">
        <v>162</v>
      </c>
      <c r="B57" s="88" t="s">
        <v>69</v>
      </c>
      <c r="C57" s="88" t="s">
        <v>162</v>
      </c>
      <c r="D57" s="34">
        <v>0.21210000000000001</v>
      </c>
      <c r="E57" s="155">
        <v>6.0894999999999992E-4</v>
      </c>
      <c r="F57" s="34">
        <v>0.21210000000000001</v>
      </c>
      <c r="G57" s="155">
        <v>6.0894999999999992E-4</v>
      </c>
    </row>
    <row r="58" spans="1:14" s="102" customFormat="1" ht="15">
      <c r="A58" s="88" t="s">
        <v>162</v>
      </c>
      <c r="B58" s="88" t="s">
        <v>163</v>
      </c>
      <c r="C58" s="88" t="s">
        <v>162</v>
      </c>
      <c r="D58" s="34">
        <v>4.8999999999999998E-3</v>
      </c>
      <c r="E58" s="155">
        <v>1.8699999999999999E-4</v>
      </c>
      <c r="F58" s="34">
        <v>4.8999999999999998E-3</v>
      </c>
      <c r="G58" s="155">
        <v>1.8699999999999999E-4</v>
      </c>
    </row>
    <row r="59" spans="1:14" s="102" customFormat="1" ht="15">
      <c r="A59" s="88" t="s">
        <v>80</v>
      </c>
      <c r="B59" s="88" t="s">
        <v>80</v>
      </c>
      <c r="C59" s="88" t="s">
        <v>80</v>
      </c>
      <c r="D59" s="34">
        <v>3.6896893E-2</v>
      </c>
      <c r="E59" s="155">
        <v>1.7179343939471178E-2</v>
      </c>
      <c r="F59" s="34">
        <v>3.6896893E-2</v>
      </c>
      <c r="G59" s="155">
        <v>1.7179343939471178E-2</v>
      </c>
    </row>
    <row r="60" spans="1:14" s="93" customFormat="1" ht="15">
      <c r="A60" s="44"/>
      <c r="B60" s="44"/>
      <c r="C60" s="44"/>
      <c r="D60" s="129"/>
      <c r="E60" s="130"/>
      <c r="F60" s="129"/>
      <c r="G60" s="130"/>
      <c r="H60" s="130"/>
      <c r="I60" s="130"/>
      <c r="J60" s="71"/>
      <c r="K60" s="71"/>
      <c r="L60" s="71"/>
      <c r="M60" s="71"/>
      <c r="N60" s="71"/>
    </row>
    <row r="61" spans="1:14" s="101" customFormat="1" ht="15">
      <c r="A61" s="44"/>
      <c r="B61" s="44"/>
      <c r="C61" s="44"/>
      <c r="D61" s="129"/>
      <c r="E61" s="130"/>
      <c r="F61" s="129"/>
      <c r="G61" s="130"/>
      <c r="H61" s="130"/>
      <c r="I61" s="130"/>
      <c r="J61" s="71"/>
      <c r="K61" s="71"/>
      <c r="L61" s="71"/>
      <c r="M61" s="71"/>
      <c r="N61" s="71"/>
    </row>
    <row r="62" spans="1:14" s="101" customFormat="1" ht="15">
      <c r="A62" s="44"/>
      <c r="B62" s="44"/>
      <c r="C62" s="44"/>
      <c r="D62" s="129"/>
      <c r="E62" s="130"/>
      <c r="F62" s="129"/>
      <c r="G62" s="130"/>
      <c r="H62" s="130"/>
      <c r="I62" s="130"/>
      <c r="J62" s="71"/>
      <c r="K62" s="71"/>
      <c r="L62" s="71"/>
      <c r="M62" s="71"/>
      <c r="N62" s="71"/>
    </row>
    <row r="63" spans="1:14" s="101" customFormat="1" ht="18">
      <c r="A63" s="61" t="s">
        <v>142</v>
      </c>
      <c r="B63" s="44"/>
      <c r="C63" s="44"/>
      <c r="D63" s="131"/>
      <c r="E63" s="131"/>
      <c r="F63" s="131"/>
      <c r="G63" s="131"/>
      <c r="H63" s="131"/>
      <c r="I63" s="131"/>
      <c r="J63" s="131"/>
      <c r="K63" s="131"/>
      <c r="L63" s="131"/>
      <c r="M63" s="131"/>
      <c r="N63" s="131"/>
    </row>
    <row r="64" spans="1:14" s="101" customFormat="1" ht="15">
      <c r="A64" s="64" t="s">
        <v>180</v>
      </c>
      <c r="B64" s="44"/>
      <c r="C64" s="44"/>
      <c r="D64" s="131"/>
      <c r="E64" s="131"/>
      <c r="F64" s="131"/>
      <c r="G64" s="131"/>
      <c r="H64" s="131"/>
      <c r="I64" s="131"/>
      <c r="J64" s="131"/>
      <c r="K64" s="131"/>
      <c r="L64" s="131"/>
      <c r="M64" s="131"/>
      <c r="N64" s="131"/>
    </row>
    <row r="65" spans="1:14" s="125" customFormat="1" ht="15">
      <c r="A65" s="64" t="s">
        <v>201</v>
      </c>
      <c r="B65" s="44"/>
      <c r="C65" s="44"/>
      <c r="D65"/>
      <c r="E65"/>
      <c r="F65"/>
      <c r="G65"/>
      <c r="H65"/>
      <c r="I65"/>
      <c r="J65"/>
      <c r="K65"/>
      <c r="L65"/>
      <c r="M65"/>
      <c r="N65"/>
    </row>
    <row r="66" spans="1:14" s="125" customFormat="1" ht="15">
      <c r="A66" s="64" t="s">
        <v>253</v>
      </c>
      <c r="B66" s="44"/>
      <c r="C66" s="44"/>
      <c r="D66" s="44"/>
      <c r="E66" s="44"/>
      <c r="K66" s="131"/>
      <c r="L66" s="131"/>
      <c r="M66" s="131"/>
      <c r="N66" s="131"/>
    </row>
    <row r="67" spans="1:14" s="101" customFormat="1" ht="15">
      <c r="B67" s="44"/>
      <c r="C67" s="44"/>
      <c r="F67" s="139"/>
      <c r="G67" s="140"/>
      <c r="H67" s="141" t="s">
        <v>212</v>
      </c>
      <c r="I67" s="140"/>
      <c r="J67" s="142"/>
    </row>
    <row r="68" spans="1:14" s="101" customFormat="1" ht="15">
      <c r="A68" s="79" t="s">
        <v>70</v>
      </c>
      <c r="B68" s="79" t="s">
        <v>119</v>
      </c>
      <c r="C68" s="79" t="s">
        <v>121</v>
      </c>
      <c r="D68" s="143" t="s">
        <v>150</v>
      </c>
      <c r="E68" s="143" t="s">
        <v>151</v>
      </c>
      <c r="F68" s="144" t="s">
        <v>152</v>
      </c>
      <c r="G68" s="143" t="s">
        <v>153</v>
      </c>
      <c r="H68" s="143" t="s">
        <v>154</v>
      </c>
      <c r="I68" s="143" t="s">
        <v>155</v>
      </c>
      <c r="J68" s="145" t="s">
        <v>156</v>
      </c>
      <c r="K68" s="143" t="s">
        <v>292</v>
      </c>
      <c r="L68" s="143" t="s">
        <v>293</v>
      </c>
      <c r="M68" s="143" t="s">
        <v>294</v>
      </c>
      <c r="N68" s="143" t="s">
        <v>295</v>
      </c>
    </row>
    <row r="69" spans="1:14" s="101" customFormat="1" ht="15">
      <c r="A69" s="88" t="str">
        <f t="shared" ref="A69:C88" si="0">A39</f>
        <v>Overhead Structures</v>
      </c>
      <c r="B69" s="88" t="str">
        <f t="shared" si="0"/>
        <v>Poles</v>
      </c>
      <c r="C69" s="88" t="str">
        <f t="shared" si="0"/>
        <v>Low Voltage</v>
      </c>
      <c r="D69" s="156">
        <v>0.36</v>
      </c>
      <c r="E69" s="156">
        <v>0.4</v>
      </c>
      <c r="F69" s="156">
        <v>0.4</v>
      </c>
      <c r="G69" s="156">
        <v>0.36</v>
      </c>
      <c r="H69" s="156">
        <v>0.36</v>
      </c>
      <c r="I69" s="156">
        <v>0.36</v>
      </c>
      <c r="J69" s="156">
        <v>0.36</v>
      </c>
      <c r="K69" s="156">
        <v>0.36</v>
      </c>
      <c r="L69" s="156">
        <v>0.36</v>
      </c>
      <c r="M69" s="156">
        <v>0.36</v>
      </c>
      <c r="N69" s="156">
        <v>0.36</v>
      </c>
    </row>
    <row r="70" spans="1:14" s="101" customFormat="1" ht="15">
      <c r="A70" s="88" t="str">
        <f t="shared" si="0"/>
        <v>Overhead Structures</v>
      </c>
      <c r="B70" s="88" t="str">
        <f t="shared" si="0"/>
        <v>Poles</v>
      </c>
      <c r="C70" s="88" t="str">
        <f t="shared" si="0"/>
        <v>Distribution</v>
      </c>
      <c r="D70" s="156">
        <v>0.36</v>
      </c>
      <c r="E70" s="156">
        <v>0.4</v>
      </c>
      <c r="F70" s="156">
        <v>0.4</v>
      </c>
      <c r="G70" s="156">
        <v>0.36</v>
      </c>
      <c r="H70" s="156">
        <v>0.36</v>
      </c>
      <c r="I70" s="156">
        <v>0.36</v>
      </c>
      <c r="J70" s="156">
        <v>0.36</v>
      </c>
      <c r="K70" s="156">
        <v>0.36</v>
      </c>
      <c r="L70" s="156">
        <v>0.36</v>
      </c>
      <c r="M70" s="156">
        <v>0.36</v>
      </c>
      <c r="N70" s="156">
        <v>0.36</v>
      </c>
    </row>
    <row r="71" spans="1:14" s="101" customFormat="1" ht="15">
      <c r="A71" s="88" t="str">
        <f t="shared" si="0"/>
        <v>Overhead Structures</v>
      </c>
      <c r="B71" s="88" t="str">
        <f t="shared" si="0"/>
        <v>Poles</v>
      </c>
      <c r="C71" s="88" t="str">
        <f t="shared" si="0"/>
        <v>Subtransmission</v>
      </c>
      <c r="D71" s="156">
        <v>0.36</v>
      </c>
      <c r="E71" s="156">
        <v>0.4</v>
      </c>
      <c r="F71" s="156">
        <v>0.4</v>
      </c>
      <c r="G71" s="156">
        <v>0.36</v>
      </c>
      <c r="H71" s="156">
        <v>0.36</v>
      </c>
      <c r="I71" s="156">
        <v>0.36</v>
      </c>
      <c r="J71" s="156">
        <v>0.36</v>
      </c>
      <c r="K71" s="156">
        <v>0.36</v>
      </c>
      <c r="L71" s="156">
        <v>0.36</v>
      </c>
      <c r="M71" s="156">
        <v>0.36</v>
      </c>
      <c r="N71" s="156">
        <v>0.36</v>
      </c>
    </row>
    <row r="72" spans="1:14" s="101" customFormat="1" ht="15">
      <c r="A72" s="88" t="str">
        <f t="shared" si="0"/>
        <v>Overhead Structures</v>
      </c>
      <c r="B72" s="88" t="str">
        <f t="shared" si="0"/>
        <v>Crossarms</v>
      </c>
      <c r="C72" s="88" t="str">
        <f t="shared" si="0"/>
        <v>Low Voltage</v>
      </c>
      <c r="D72" s="156">
        <v>0.36</v>
      </c>
      <c r="E72" s="156">
        <v>0.4</v>
      </c>
      <c r="F72" s="156">
        <v>0.4</v>
      </c>
      <c r="G72" s="156">
        <v>0.36</v>
      </c>
      <c r="H72" s="156">
        <v>0.36</v>
      </c>
      <c r="I72" s="156">
        <v>0.36</v>
      </c>
      <c r="J72" s="156">
        <v>0.36</v>
      </c>
      <c r="K72" s="156">
        <v>0.36</v>
      </c>
      <c r="L72" s="156">
        <v>0.36</v>
      </c>
      <c r="M72" s="156">
        <v>0.36</v>
      </c>
      <c r="N72" s="156">
        <v>0.36</v>
      </c>
    </row>
    <row r="73" spans="1:14" s="101" customFormat="1" ht="15">
      <c r="A73" s="88" t="str">
        <f t="shared" si="0"/>
        <v>Overhead Structures</v>
      </c>
      <c r="B73" s="88" t="str">
        <f t="shared" si="0"/>
        <v>Crossarms</v>
      </c>
      <c r="C73" s="88" t="str">
        <f t="shared" si="0"/>
        <v>Distribution</v>
      </c>
      <c r="D73" s="156">
        <v>0.36</v>
      </c>
      <c r="E73" s="156">
        <v>0.4</v>
      </c>
      <c r="F73" s="156">
        <v>0.4</v>
      </c>
      <c r="G73" s="156">
        <v>0.36</v>
      </c>
      <c r="H73" s="156">
        <v>0.36</v>
      </c>
      <c r="I73" s="156">
        <v>0.36</v>
      </c>
      <c r="J73" s="156">
        <v>0.36</v>
      </c>
      <c r="K73" s="156">
        <v>0.36</v>
      </c>
      <c r="L73" s="156">
        <v>0.36</v>
      </c>
      <c r="M73" s="156">
        <v>0.36</v>
      </c>
      <c r="N73" s="156">
        <v>0.36</v>
      </c>
    </row>
    <row r="74" spans="1:14" s="101" customFormat="1" ht="15">
      <c r="A74" s="88" t="str">
        <f t="shared" si="0"/>
        <v>Overhead Structures</v>
      </c>
      <c r="B74" s="88" t="str">
        <f t="shared" si="0"/>
        <v>Crossarms</v>
      </c>
      <c r="C74" s="88" t="str">
        <f t="shared" si="0"/>
        <v>Subtransmission</v>
      </c>
      <c r="D74" s="156">
        <v>0.36</v>
      </c>
      <c r="E74" s="156">
        <v>0.4</v>
      </c>
      <c r="F74" s="156">
        <v>0.4</v>
      </c>
      <c r="G74" s="156">
        <v>0.36</v>
      </c>
      <c r="H74" s="156">
        <v>0.36</v>
      </c>
      <c r="I74" s="156">
        <v>0.36</v>
      </c>
      <c r="J74" s="156">
        <v>0.36</v>
      </c>
      <c r="K74" s="156">
        <v>0.36</v>
      </c>
      <c r="L74" s="156">
        <v>0.36</v>
      </c>
      <c r="M74" s="156">
        <v>0.36</v>
      </c>
      <c r="N74" s="156">
        <v>0.36</v>
      </c>
    </row>
    <row r="75" spans="1:14" s="101" customFormat="1" ht="15">
      <c r="A75" s="88" t="str">
        <f t="shared" si="0"/>
        <v>Overhead Conductor</v>
      </c>
      <c r="B75" s="88" t="str">
        <f t="shared" si="0"/>
        <v>Conductor</v>
      </c>
      <c r="C75" s="88" t="str">
        <f t="shared" si="0"/>
        <v>Low Voltage</v>
      </c>
      <c r="D75" s="156">
        <v>0.11</v>
      </c>
      <c r="E75" s="156">
        <v>0.11</v>
      </c>
      <c r="F75" s="156">
        <v>0.11</v>
      </c>
      <c r="G75" s="156">
        <v>0.11</v>
      </c>
      <c r="H75" s="156">
        <v>0.11</v>
      </c>
      <c r="I75" s="156">
        <v>0.11</v>
      </c>
      <c r="J75" s="156">
        <v>0.11</v>
      </c>
      <c r="K75" s="156">
        <v>0.11</v>
      </c>
      <c r="L75" s="156">
        <v>0.11</v>
      </c>
      <c r="M75" s="156">
        <v>0.11</v>
      </c>
      <c r="N75" s="156">
        <v>0.11</v>
      </c>
    </row>
    <row r="76" spans="1:14" s="101" customFormat="1" ht="15">
      <c r="A76" s="88" t="str">
        <f t="shared" si="0"/>
        <v>Overhead Conductor</v>
      </c>
      <c r="B76" s="88" t="str">
        <f t="shared" si="0"/>
        <v>Conductor</v>
      </c>
      <c r="C76" s="88" t="str">
        <f t="shared" si="0"/>
        <v>Distribution</v>
      </c>
      <c r="D76" s="156">
        <v>0.11</v>
      </c>
      <c r="E76" s="156">
        <v>0.11</v>
      </c>
      <c r="F76" s="156">
        <v>0.11</v>
      </c>
      <c r="G76" s="156">
        <v>0.11</v>
      </c>
      <c r="H76" s="156">
        <v>0.11</v>
      </c>
      <c r="I76" s="156">
        <v>0.11</v>
      </c>
      <c r="J76" s="156">
        <v>0.11</v>
      </c>
      <c r="K76" s="156">
        <v>0.11</v>
      </c>
      <c r="L76" s="156">
        <v>0.11</v>
      </c>
      <c r="M76" s="156">
        <v>0.11</v>
      </c>
      <c r="N76" s="156">
        <v>0.11</v>
      </c>
    </row>
    <row r="77" spans="1:14" s="101" customFormat="1" ht="15">
      <c r="A77" s="88" t="str">
        <f t="shared" si="0"/>
        <v>Overhead Conductor</v>
      </c>
      <c r="B77" s="88" t="str">
        <f t="shared" si="0"/>
        <v>Conductor</v>
      </c>
      <c r="C77" s="88" t="str">
        <f t="shared" si="0"/>
        <v>Subtransmission</v>
      </c>
      <c r="D77" s="156">
        <v>0.11</v>
      </c>
      <c r="E77" s="156">
        <v>0.11</v>
      </c>
      <c r="F77" s="156">
        <v>0.11</v>
      </c>
      <c r="G77" s="156">
        <v>0.11</v>
      </c>
      <c r="H77" s="156">
        <v>0.11</v>
      </c>
      <c r="I77" s="156">
        <v>0.11</v>
      </c>
      <c r="J77" s="156">
        <v>0.11</v>
      </c>
      <c r="K77" s="156">
        <v>0.11</v>
      </c>
      <c r="L77" s="156">
        <v>0.11</v>
      </c>
      <c r="M77" s="156">
        <v>0.11</v>
      </c>
      <c r="N77" s="156">
        <v>0.11</v>
      </c>
    </row>
    <row r="78" spans="1:14" s="101" customFormat="1" ht="15">
      <c r="A78" s="88" t="str">
        <f t="shared" si="0"/>
        <v>Distribution Transformers</v>
      </c>
      <c r="B78" s="88" t="str">
        <f t="shared" si="0"/>
        <v>Pole Mounted Transformers</v>
      </c>
      <c r="C78" s="88" t="str">
        <f t="shared" si="0"/>
        <v>Pole Mounted Transformers</v>
      </c>
      <c r="D78" s="156">
        <v>1</v>
      </c>
      <c r="E78" s="156">
        <v>1</v>
      </c>
      <c r="F78" s="156">
        <v>1</v>
      </c>
      <c r="G78" s="156">
        <v>1</v>
      </c>
      <c r="H78" s="156">
        <v>1</v>
      </c>
      <c r="I78" s="156">
        <v>1</v>
      </c>
      <c r="J78" s="156">
        <v>1</v>
      </c>
      <c r="K78" s="156">
        <v>1</v>
      </c>
      <c r="L78" s="156">
        <v>1</v>
      </c>
      <c r="M78" s="156">
        <v>1</v>
      </c>
      <c r="N78" s="156">
        <v>1</v>
      </c>
    </row>
    <row r="79" spans="1:14" s="101" customFormat="1" ht="15">
      <c r="A79" s="88" t="str">
        <f t="shared" si="0"/>
        <v>Distribution Transformers</v>
      </c>
      <c r="B79" s="88" t="str">
        <f t="shared" si="0"/>
        <v>Pole Mounted Transformers</v>
      </c>
      <c r="C79" s="88" t="str">
        <f t="shared" si="0"/>
        <v>LV Fusing</v>
      </c>
      <c r="D79" s="156">
        <v>1</v>
      </c>
      <c r="E79" s="156">
        <v>1</v>
      </c>
      <c r="F79" s="156">
        <v>1</v>
      </c>
      <c r="G79" s="156">
        <v>1</v>
      </c>
      <c r="H79" s="156">
        <v>1</v>
      </c>
      <c r="I79" s="156">
        <v>1</v>
      </c>
      <c r="J79" s="156">
        <v>1</v>
      </c>
      <c r="K79" s="156">
        <v>1</v>
      </c>
      <c r="L79" s="156">
        <v>1</v>
      </c>
      <c r="M79" s="156">
        <v>1</v>
      </c>
      <c r="N79" s="156">
        <v>1</v>
      </c>
    </row>
    <row r="80" spans="1:14" s="101" customFormat="1" ht="15">
      <c r="A80" s="88" t="str">
        <f t="shared" si="0"/>
        <v>Distribution Transformers</v>
      </c>
      <c r="B80" s="88" t="str">
        <f t="shared" si="0"/>
        <v>Ground Mounted Transformers</v>
      </c>
      <c r="C80" s="88" t="str">
        <f t="shared" si="0"/>
        <v>Ground Mounted Transformers</v>
      </c>
      <c r="D80" s="156">
        <v>1</v>
      </c>
      <c r="E80" s="156">
        <v>1</v>
      </c>
      <c r="F80" s="156">
        <v>1</v>
      </c>
      <c r="G80" s="156">
        <v>1</v>
      </c>
      <c r="H80" s="156">
        <v>1</v>
      </c>
      <c r="I80" s="156">
        <v>1</v>
      </c>
      <c r="J80" s="156">
        <v>1</v>
      </c>
      <c r="K80" s="156">
        <v>1</v>
      </c>
      <c r="L80" s="156">
        <v>1</v>
      </c>
      <c r="M80" s="156">
        <v>1</v>
      </c>
      <c r="N80" s="156">
        <v>1</v>
      </c>
    </row>
    <row r="81" spans="1:19" s="102" customFormat="1" ht="15">
      <c r="A81" s="88" t="str">
        <f t="shared" si="0"/>
        <v>Distribution Transformers</v>
      </c>
      <c r="B81" s="88" t="str">
        <f t="shared" si="0"/>
        <v>Distribution Other</v>
      </c>
      <c r="C81" s="88" t="str">
        <f t="shared" si="0"/>
        <v>Distribution Other</v>
      </c>
      <c r="D81" s="156">
        <v>1</v>
      </c>
      <c r="E81" s="156">
        <v>1</v>
      </c>
      <c r="F81" s="156">
        <v>1</v>
      </c>
      <c r="G81" s="156">
        <v>1</v>
      </c>
      <c r="H81" s="156">
        <v>1</v>
      </c>
      <c r="I81" s="156">
        <v>1</v>
      </c>
      <c r="J81" s="156">
        <v>1</v>
      </c>
      <c r="K81" s="156">
        <v>1</v>
      </c>
      <c r="L81" s="156">
        <v>1</v>
      </c>
      <c r="M81" s="156">
        <v>1</v>
      </c>
      <c r="N81" s="156">
        <v>1</v>
      </c>
    </row>
    <row r="82" spans="1:19" s="102" customFormat="1" ht="15">
      <c r="A82" s="88" t="str">
        <f t="shared" si="0"/>
        <v>Distribution Switchgear</v>
      </c>
      <c r="B82" s="88" t="str">
        <f t="shared" si="0"/>
        <v>Pole Mounted Switches</v>
      </c>
      <c r="C82" s="88" t="str">
        <f t="shared" si="0"/>
        <v>Air Break</v>
      </c>
      <c r="D82" s="156">
        <v>1</v>
      </c>
      <c r="E82" s="156">
        <v>1</v>
      </c>
      <c r="F82" s="156">
        <v>1</v>
      </c>
      <c r="G82" s="156">
        <v>1</v>
      </c>
      <c r="H82" s="156">
        <v>1</v>
      </c>
      <c r="I82" s="156">
        <v>1</v>
      </c>
      <c r="J82" s="156">
        <v>1</v>
      </c>
      <c r="K82" s="156">
        <v>1</v>
      </c>
      <c r="L82" s="156">
        <v>1</v>
      </c>
      <c r="M82" s="156">
        <v>1</v>
      </c>
      <c r="N82" s="156">
        <v>1</v>
      </c>
    </row>
    <row r="83" spans="1:19" s="102" customFormat="1" ht="15">
      <c r="A83" s="88" t="str">
        <f t="shared" si="0"/>
        <v>Distribution Switchgear</v>
      </c>
      <c r="B83" s="88" t="str">
        <f t="shared" si="0"/>
        <v>HV Fuses</v>
      </c>
      <c r="C83" s="88" t="str">
        <f t="shared" si="0"/>
        <v>HV Fuses</v>
      </c>
      <c r="D83" s="156">
        <v>1</v>
      </c>
      <c r="E83" s="156">
        <v>1</v>
      </c>
      <c r="F83" s="156">
        <v>1</v>
      </c>
      <c r="G83" s="156">
        <v>1</v>
      </c>
      <c r="H83" s="156">
        <v>1</v>
      </c>
      <c r="I83" s="156">
        <v>1</v>
      </c>
      <c r="J83" s="156">
        <v>1</v>
      </c>
      <c r="K83" s="156">
        <v>1</v>
      </c>
      <c r="L83" s="156">
        <v>1</v>
      </c>
      <c r="M83" s="156">
        <v>1</v>
      </c>
      <c r="N83" s="156">
        <v>1</v>
      </c>
    </row>
    <row r="84" spans="1:19" s="102" customFormat="1" ht="15">
      <c r="A84" s="88" t="str">
        <f t="shared" si="0"/>
        <v>Distribution Switchgear</v>
      </c>
      <c r="B84" s="88" t="str">
        <f t="shared" si="0"/>
        <v>Ground Mounted Switchgear</v>
      </c>
      <c r="C84" s="88" t="str">
        <f t="shared" si="0"/>
        <v>RMU</v>
      </c>
      <c r="D84" s="156">
        <v>1</v>
      </c>
      <c r="E84" s="156">
        <v>1</v>
      </c>
      <c r="F84" s="156">
        <v>1</v>
      </c>
      <c r="G84" s="156">
        <v>1</v>
      </c>
      <c r="H84" s="156">
        <v>1</v>
      </c>
      <c r="I84" s="156">
        <v>1</v>
      </c>
      <c r="J84" s="156">
        <v>1</v>
      </c>
      <c r="K84" s="156">
        <v>1</v>
      </c>
      <c r="L84" s="156">
        <v>1</v>
      </c>
      <c r="M84" s="156">
        <v>1</v>
      </c>
      <c r="N84" s="156">
        <v>1</v>
      </c>
    </row>
    <row r="85" spans="1:19" s="102" customFormat="1" ht="15">
      <c r="A85" s="88" t="str">
        <f t="shared" si="0"/>
        <v>Distribution Switchgear</v>
      </c>
      <c r="B85" s="88" t="str">
        <f t="shared" si="0"/>
        <v>Circuit Breakers/Reclosers/Sectionalisers</v>
      </c>
      <c r="C85" s="88" t="str">
        <f t="shared" si="0"/>
        <v>Circuit Breakers/Reclosers/Sectionalisers</v>
      </c>
      <c r="D85" s="156">
        <v>1</v>
      </c>
      <c r="E85" s="156">
        <v>1</v>
      </c>
      <c r="F85" s="156">
        <v>1</v>
      </c>
      <c r="G85" s="156">
        <v>1</v>
      </c>
      <c r="H85" s="156">
        <v>1</v>
      </c>
      <c r="I85" s="156">
        <v>1</v>
      </c>
      <c r="J85" s="156">
        <v>1</v>
      </c>
      <c r="K85" s="156">
        <v>1</v>
      </c>
      <c r="L85" s="156">
        <v>1</v>
      </c>
      <c r="M85" s="156">
        <v>1</v>
      </c>
      <c r="N85" s="156">
        <v>1</v>
      </c>
    </row>
    <row r="86" spans="1:19" s="102" customFormat="1" ht="15">
      <c r="A86" s="88" t="str">
        <f t="shared" si="0"/>
        <v>Cables</v>
      </c>
      <c r="B86" s="88" t="str">
        <f t="shared" si="0"/>
        <v>Low Voltage Cables</v>
      </c>
      <c r="C86" s="88" t="str">
        <f t="shared" si="0"/>
        <v>Cables</v>
      </c>
      <c r="D86" s="156">
        <v>0.5</v>
      </c>
      <c r="E86" s="156">
        <v>0.5</v>
      </c>
      <c r="F86" s="156">
        <v>0.5</v>
      </c>
      <c r="G86" s="156">
        <v>0.5</v>
      </c>
      <c r="H86" s="156">
        <v>0.5</v>
      </c>
      <c r="I86" s="156">
        <v>0.5</v>
      </c>
      <c r="J86" s="156">
        <v>0.5</v>
      </c>
      <c r="K86" s="156">
        <v>0.5</v>
      </c>
      <c r="L86" s="156">
        <v>0.5</v>
      </c>
      <c r="M86" s="156">
        <v>0.5</v>
      </c>
      <c r="N86" s="156">
        <v>0.5</v>
      </c>
    </row>
    <row r="87" spans="1:19" s="102" customFormat="1" ht="15">
      <c r="A87" s="88" t="str">
        <f t="shared" si="0"/>
        <v>Cables</v>
      </c>
      <c r="B87" s="88" t="str">
        <f t="shared" si="0"/>
        <v>Distribution Cables</v>
      </c>
      <c r="C87" s="88" t="str">
        <f t="shared" si="0"/>
        <v>Cables</v>
      </c>
      <c r="D87" s="156">
        <v>0.5</v>
      </c>
      <c r="E87" s="156">
        <v>0.5</v>
      </c>
      <c r="F87" s="156">
        <v>0.5</v>
      </c>
      <c r="G87" s="156">
        <v>0.5</v>
      </c>
      <c r="H87" s="156">
        <v>0.5</v>
      </c>
      <c r="I87" s="156">
        <v>0.5</v>
      </c>
      <c r="J87" s="156">
        <v>0.5</v>
      </c>
      <c r="K87" s="156">
        <v>0.5</v>
      </c>
      <c r="L87" s="156">
        <v>0.5</v>
      </c>
      <c r="M87" s="156">
        <v>0.5</v>
      </c>
      <c r="N87" s="156">
        <v>0.5</v>
      </c>
    </row>
    <row r="88" spans="1:19" s="108" customFormat="1" ht="15">
      <c r="A88" s="88" t="str">
        <f t="shared" si="0"/>
        <v>Cables</v>
      </c>
      <c r="B88" s="88" t="str">
        <f t="shared" si="0"/>
        <v>Subtransmission Cables</v>
      </c>
      <c r="C88" s="88" t="str">
        <f t="shared" si="0"/>
        <v>Cables</v>
      </c>
      <c r="D88" s="156">
        <v>0.5</v>
      </c>
      <c r="E88" s="156">
        <v>0.5</v>
      </c>
      <c r="F88" s="156">
        <v>0.5</v>
      </c>
      <c r="G88" s="156">
        <v>0.5</v>
      </c>
      <c r="H88" s="156">
        <v>0.5</v>
      </c>
      <c r="I88" s="156">
        <v>0.5</v>
      </c>
      <c r="J88" s="156">
        <v>0.5</v>
      </c>
      <c r="K88" s="156">
        <v>0.5</v>
      </c>
      <c r="L88" s="156">
        <v>0.5</v>
      </c>
      <c r="M88" s="156">
        <v>0.5</v>
      </c>
      <c r="N88" s="156">
        <v>0.5</v>
      </c>
    </row>
    <row r="89" spans="1:19" s="102" customFormat="1" ht="15">
      <c r="A89" s="44"/>
      <c r="B89" s="44"/>
      <c r="C89" s="44"/>
      <c r="D89"/>
      <c r="E89"/>
      <c r="F89"/>
      <c r="G89"/>
      <c r="H89"/>
      <c r="I89"/>
      <c r="J89"/>
      <c r="K89"/>
      <c r="L89"/>
      <c r="M89"/>
      <c r="N89"/>
      <c r="O89"/>
      <c r="P89"/>
      <c r="Q89"/>
    </row>
    <row r="90" spans="1:19" s="135" customFormat="1" ht="15">
      <c r="A90" s="44"/>
      <c r="B90" s="44"/>
      <c r="C90" s="44"/>
    </row>
    <row r="91" spans="1:19" s="64" customFormat="1" ht="18">
      <c r="A91" s="61" t="s">
        <v>122</v>
      </c>
      <c r="B91"/>
      <c r="C91"/>
      <c r="D91"/>
      <c r="E91"/>
      <c r="F91"/>
      <c r="G91"/>
      <c r="H91"/>
      <c r="I91"/>
      <c r="J91"/>
      <c r="K91"/>
      <c r="L91"/>
      <c r="M91"/>
      <c r="N91"/>
      <c r="O91"/>
      <c r="P91" s="55"/>
      <c r="Q91" s="55"/>
      <c r="R91" s="55"/>
      <c r="S91" s="55"/>
    </row>
    <row r="92" spans="1:19" s="64" customFormat="1">
      <c r="A92" s="60" t="s">
        <v>123</v>
      </c>
      <c r="R92" s="60"/>
      <c r="S92" s="60"/>
    </row>
    <row r="93" spans="1:19" s="64" customFormat="1">
      <c r="A93" s="60" t="s">
        <v>255</v>
      </c>
      <c r="R93" s="60"/>
      <c r="S93" s="60"/>
    </row>
    <row r="94" spans="1:19" s="64" customFormat="1" ht="57">
      <c r="A94" s="126" t="s">
        <v>199</v>
      </c>
      <c r="B94" s="127"/>
      <c r="C94" s="127"/>
      <c r="D94" s="127"/>
      <c r="E94" s="127"/>
      <c r="R94" s="60"/>
      <c r="S94" s="60"/>
    </row>
    <row r="95" spans="1:19" s="64" customFormat="1">
      <c r="A95" s="60"/>
      <c r="R95" s="60"/>
      <c r="S95" s="60"/>
    </row>
    <row r="96" spans="1:19" s="64" customFormat="1" ht="18">
      <c r="A96" s="61"/>
      <c r="D96"/>
      <c r="R96" s="60"/>
      <c r="S96" s="60"/>
    </row>
    <row r="97" spans="1:19" s="64" customFormat="1" ht="60">
      <c r="A97" s="79" t="s">
        <v>70</v>
      </c>
      <c r="B97" s="79" t="s">
        <v>119</v>
      </c>
      <c r="C97" s="79" t="s">
        <v>121</v>
      </c>
      <c r="D97" s="97" t="s">
        <v>124</v>
      </c>
      <c r="E97" s="97" t="s">
        <v>125</v>
      </c>
      <c r="R97" s="60"/>
      <c r="S97" s="60"/>
    </row>
    <row r="98" spans="1:19" s="64" customFormat="1">
      <c r="A98" s="88" t="str">
        <f t="shared" ref="A98:C117" si="1">A39</f>
        <v>Overhead Structures</v>
      </c>
      <c r="B98" s="88" t="str">
        <f t="shared" si="1"/>
        <v>Poles</v>
      </c>
      <c r="C98" s="88" t="str">
        <f t="shared" si="1"/>
        <v>Low Voltage</v>
      </c>
      <c r="D98" s="156">
        <v>0.1</v>
      </c>
      <c r="E98" s="156">
        <v>0.2</v>
      </c>
      <c r="R98" s="60"/>
      <c r="S98" s="60"/>
    </row>
    <row r="99" spans="1:19" s="64" customFormat="1" ht="15">
      <c r="A99" s="88" t="str">
        <f t="shared" si="1"/>
        <v>Overhead Structures</v>
      </c>
      <c r="B99" s="88" t="str">
        <f t="shared" si="1"/>
        <v>Poles</v>
      </c>
      <c r="C99" s="88" t="str">
        <f t="shared" si="1"/>
        <v>Distribution</v>
      </c>
      <c r="D99" s="156">
        <v>0.1</v>
      </c>
      <c r="E99" s="156">
        <v>0.2</v>
      </c>
      <c r="F99"/>
      <c r="R99" s="60"/>
      <c r="S99" s="60"/>
    </row>
    <row r="100" spans="1:19" s="64" customFormat="1" ht="15">
      <c r="A100" s="88" t="str">
        <f t="shared" si="1"/>
        <v>Overhead Structures</v>
      </c>
      <c r="B100" s="88" t="str">
        <f t="shared" si="1"/>
        <v>Poles</v>
      </c>
      <c r="C100" s="88" t="str">
        <f t="shared" si="1"/>
        <v>Subtransmission</v>
      </c>
      <c r="D100" s="156">
        <v>0.1</v>
      </c>
      <c r="E100" s="156">
        <v>0.2</v>
      </c>
      <c r="F100"/>
      <c r="R100" s="60"/>
      <c r="S100" s="60"/>
    </row>
    <row r="101" spans="1:19" s="64" customFormat="1" ht="15">
      <c r="A101" s="88" t="str">
        <f t="shared" si="1"/>
        <v>Overhead Structures</v>
      </c>
      <c r="B101" s="88" t="str">
        <f t="shared" si="1"/>
        <v>Crossarms</v>
      </c>
      <c r="C101" s="88" t="str">
        <f t="shared" si="1"/>
        <v>Low Voltage</v>
      </c>
      <c r="D101" s="156">
        <v>0.1</v>
      </c>
      <c r="E101" s="156">
        <v>0.2</v>
      </c>
      <c r="F101"/>
      <c r="R101" s="60"/>
      <c r="S101" s="60"/>
    </row>
    <row r="102" spans="1:19" s="64" customFormat="1" ht="15">
      <c r="A102" s="88" t="str">
        <f t="shared" si="1"/>
        <v>Overhead Structures</v>
      </c>
      <c r="B102" s="88" t="str">
        <f t="shared" si="1"/>
        <v>Crossarms</v>
      </c>
      <c r="C102" s="88" t="str">
        <f t="shared" si="1"/>
        <v>Distribution</v>
      </c>
      <c r="D102" s="156">
        <v>0.1</v>
      </c>
      <c r="E102" s="156">
        <v>0.2</v>
      </c>
      <c r="F102"/>
      <c r="R102" s="60"/>
      <c r="S102" s="60"/>
    </row>
    <row r="103" spans="1:19" s="64" customFormat="1">
      <c r="A103" s="88" t="str">
        <f t="shared" si="1"/>
        <v>Overhead Structures</v>
      </c>
      <c r="B103" s="88" t="str">
        <f t="shared" si="1"/>
        <v>Crossarms</v>
      </c>
      <c r="C103" s="88" t="str">
        <f t="shared" si="1"/>
        <v>Subtransmission</v>
      </c>
      <c r="D103" s="156">
        <v>0.1</v>
      </c>
      <c r="E103" s="156">
        <v>0.2</v>
      </c>
      <c r="R103" s="60"/>
      <c r="S103" s="60"/>
    </row>
    <row r="104" spans="1:19" s="64" customFormat="1">
      <c r="A104" s="88" t="str">
        <f t="shared" si="1"/>
        <v>Overhead Conductor</v>
      </c>
      <c r="B104" s="88" t="str">
        <f t="shared" si="1"/>
        <v>Conductor</v>
      </c>
      <c r="C104" s="88" t="str">
        <f t="shared" si="1"/>
        <v>Low Voltage</v>
      </c>
      <c r="D104" s="156">
        <v>0.1</v>
      </c>
      <c r="E104" s="156">
        <v>0.2</v>
      </c>
      <c r="R104" s="60"/>
      <c r="S104" s="60"/>
    </row>
    <row r="105" spans="1:19" s="64" customFormat="1">
      <c r="A105" s="88" t="str">
        <f t="shared" si="1"/>
        <v>Overhead Conductor</v>
      </c>
      <c r="B105" s="88" t="str">
        <f t="shared" si="1"/>
        <v>Conductor</v>
      </c>
      <c r="C105" s="88" t="str">
        <f t="shared" si="1"/>
        <v>Distribution</v>
      </c>
      <c r="D105" s="156">
        <v>0.1</v>
      </c>
      <c r="E105" s="156">
        <v>0.2</v>
      </c>
      <c r="R105" s="60"/>
      <c r="S105" s="60"/>
    </row>
    <row r="106" spans="1:19" s="64" customFormat="1">
      <c r="A106" s="88" t="str">
        <f t="shared" si="1"/>
        <v>Overhead Conductor</v>
      </c>
      <c r="B106" s="88" t="str">
        <f t="shared" si="1"/>
        <v>Conductor</v>
      </c>
      <c r="C106" s="88" t="str">
        <f t="shared" si="1"/>
        <v>Subtransmission</v>
      </c>
      <c r="D106" s="156">
        <v>0.1</v>
      </c>
      <c r="E106" s="156">
        <v>0.2</v>
      </c>
      <c r="R106" s="60"/>
      <c r="S106" s="60"/>
    </row>
    <row r="107" spans="1:19" s="64" customFormat="1">
      <c r="A107" s="88" t="str">
        <f t="shared" si="1"/>
        <v>Distribution Transformers</v>
      </c>
      <c r="B107" s="88" t="str">
        <f t="shared" si="1"/>
        <v>Pole Mounted Transformers</v>
      </c>
      <c r="C107" s="88" t="str">
        <f t="shared" si="1"/>
        <v>Pole Mounted Transformers</v>
      </c>
      <c r="D107" s="156">
        <v>0</v>
      </c>
      <c r="E107" s="156">
        <v>0</v>
      </c>
      <c r="R107" s="60"/>
      <c r="S107" s="60"/>
    </row>
    <row r="108" spans="1:19" s="64" customFormat="1">
      <c r="A108" s="88" t="str">
        <f t="shared" si="1"/>
        <v>Distribution Transformers</v>
      </c>
      <c r="B108" s="88" t="str">
        <f t="shared" si="1"/>
        <v>Pole Mounted Transformers</v>
      </c>
      <c r="C108" s="88" t="str">
        <f t="shared" si="1"/>
        <v>LV Fusing</v>
      </c>
      <c r="D108" s="156">
        <v>0.1</v>
      </c>
      <c r="E108" s="156">
        <v>0.2</v>
      </c>
      <c r="R108" s="60"/>
      <c r="S108" s="60"/>
    </row>
    <row r="109" spans="1:19" s="64" customFormat="1">
      <c r="A109" s="88" t="str">
        <f t="shared" si="1"/>
        <v>Distribution Transformers</v>
      </c>
      <c r="B109" s="88" t="str">
        <f t="shared" si="1"/>
        <v>Ground Mounted Transformers</v>
      </c>
      <c r="C109" s="88" t="str">
        <f t="shared" si="1"/>
        <v>Ground Mounted Transformers</v>
      </c>
      <c r="D109" s="156">
        <v>0</v>
      </c>
      <c r="E109" s="156">
        <v>0</v>
      </c>
      <c r="R109" s="60"/>
      <c r="S109" s="60"/>
    </row>
    <row r="110" spans="1:19" s="102" customFormat="1" ht="15">
      <c r="A110" s="88" t="str">
        <f t="shared" si="1"/>
        <v>Distribution Transformers</v>
      </c>
      <c r="B110" s="88" t="str">
        <f t="shared" si="1"/>
        <v>Distribution Other</v>
      </c>
      <c r="C110" s="88" t="str">
        <f t="shared" si="1"/>
        <v>Distribution Other</v>
      </c>
      <c r="D110" s="156">
        <v>0</v>
      </c>
      <c r="E110" s="156">
        <v>0</v>
      </c>
      <c r="F110"/>
      <c r="G110"/>
      <c r="H110"/>
      <c r="I110"/>
      <c r="J110"/>
      <c r="K110"/>
      <c r="L110"/>
      <c r="M110"/>
      <c r="N110"/>
      <c r="O110" s="4"/>
    </row>
    <row r="111" spans="1:19" s="102" customFormat="1" ht="15">
      <c r="A111" s="88" t="str">
        <f t="shared" si="1"/>
        <v>Distribution Switchgear</v>
      </c>
      <c r="B111" s="88" t="str">
        <f t="shared" si="1"/>
        <v>Pole Mounted Switches</v>
      </c>
      <c r="C111" s="88" t="str">
        <f t="shared" si="1"/>
        <v>Air Break</v>
      </c>
      <c r="D111" s="156">
        <v>0.1</v>
      </c>
      <c r="E111" s="156">
        <v>0.2</v>
      </c>
      <c r="F111"/>
      <c r="G111"/>
      <c r="H111"/>
      <c r="I111"/>
      <c r="J111"/>
      <c r="K111"/>
      <c r="L111"/>
      <c r="M111"/>
      <c r="N111"/>
      <c r="O111" s="4"/>
    </row>
    <row r="112" spans="1:19" s="110" customFormat="1" ht="15">
      <c r="A112" s="88" t="str">
        <f t="shared" si="1"/>
        <v>Distribution Switchgear</v>
      </c>
      <c r="B112" s="88" t="str">
        <f t="shared" si="1"/>
        <v>HV Fuses</v>
      </c>
      <c r="C112" s="88" t="str">
        <f t="shared" si="1"/>
        <v>HV Fuses</v>
      </c>
      <c r="D112" s="156">
        <v>0.1</v>
      </c>
      <c r="E112" s="156">
        <v>0.2</v>
      </c>
      <c r="O112" s="4"/>
    </row>
    <row r="113" spans="1:19" s="102" customFormat="1" ht="15">
      <c r="A113" s="88" t="str">
        <f t="shared" si="1"/>
        <v>Distribution Switchgear</v>
      </c>
      <c r="B113" s="88" t="str">
        <f t="shared" si="1"/>
        <v>Ground Mounted Switchgear</v>
      </c>
      <c r="C113" s="88" t="str">
        <f t="shared" si="1"/>
        <v>RMU</v>
      </c>
      <c r="D113" s="156">
        <v>0</v>
      </c>
      <c r="E113" s="156">
        <v>0</v>
      </c>
      <c r="F113"/>
      <c r="G113"/>
      <c r="H113"/>
      <c r="I113"/>
      <c r="J113"/>
      <c r="K113"/>
      <c r="L113"/>
      <c r="M113"/>
      <c r="N113"/>
      <c r="O113" s="4"/>
    </row>
    <row r="114" spans="1:19" s="57" customFormat="1">
      <c r="A114" s="88" t="str">
        <f t="shared" si="1"/>
        <v>Distribution Switchgear</v>
      </c>
      <c r="B114" s="88" t="str">
        <f t="shared" si="1"/>
        <v>Circuit Breakers/Reclosers/Sectionalisers</v>
      </c>
      <c r="C114" s="88" t="str">
        <f t="shared" si="1"/>
        <v>Circuit Breakers/Reclosers/Sectionalisers</v>
      </c>
      <c r="D114" s="156">
        <v>0</v>
      </c>
      <c r="E114" s="156">
        <v>0</v>
      </c>
    </row>
    <row r="115" spans="1:19">
      <c r="A115" s="88" t="str">
        <f t="shared" si="1"/>
        <v>Cables</v>
      </c>
      <c r="B115" s="88" t="str">
        <f t="shared" si="1"/>
        <v>Low Voltage Cables</v>
      </c>
      <c r="C115" s="88" t="str">
        <f t="shared" si="1"/>
        <v>Cables</v>
      </c>
      <c r="D115" s="156">
        <v>0</v>
      </c>
      <c r="E115" s="156">
        <v>0</v>
      </c>
      <c r="R115" s="62"/>
      <c r="S115" s="62"/>
    </row>
    <row r="116" spans="1:19">
      <c r="A116" s="88" t="str">
        <f t="shared" si="1"/>
        <v>Cables</v>
      </c>
      <c r="B116" s="88" t="str">
        <f t="shared" si="1"/>
        <v>Distribution Cables</v>
      </c>
      <c r="C116" s="88" t="str">
        <f t="shared" si="1"/>
        <v>Cables</v>
      </c>
      <c r="D116" s="156">
        <v>0</v>
      </c>
      <c r="E116" s="156">
        <v>0</v>
      </c>
      <c r="R116" s="62"/>
      <c r="S116" s="62"/>
    </row>
    <row r="117" spans="1:19" s="64" customFormat="1">
      <c r="A117" s="88" t="str">
        <f t="shared" si="1"/>
        <v>Cables</v>
      </c>
      <c r="B117" s="88" t="str">
        <f t="shared" si="1"/>
        <v>Subtransmission Cables</v>
      </c>
      <c r="C117" s="88" t="str">
        <f t="shared" si="1"/>
        <v>Cables</v>
      </c>
      <c r="D117" s="156">
        <v>0</v>
      </c>
      <c r="E117" s="156">
        <v>0</v>
      </c>
    </row>
    <row r="118" spans="1:19" s="64" customFormat="1" ht="15">
      <c r="A118" s="89"/>
      <c r="B118" s="89"/>
      <c r="C118" s="89"/>
      <c r="R118" s="60"/>
      <c r="S118" s="60"/>
    </row>
    <row r="119" spans="1:19" s="64" customFormat="1" ht="15">
      <c r="A119" s="124"/>
      <c r="B119" s="124"/>
      <c r="C119" s="124"/>
      <c r="R119" s="60"/>
      <c r="S119" s="60"/>
    </row>
    <row r="120" spans="1:19" s="64" customFormat="1" ht="18">
      <c r="A120" s="61" t="s">
        <v>198</v>
      </c>
      <c r="B120" s="124"/>
      <c r="C120" s="124"/>
      <c r="R120" s="60"/>
      <c r="S120" s="60"/>
    </row>
    <row r="121" spans="1:19" s="64" customFormat="1" ht="15">
      <c r="A121" s="124" t="s">
        <v>234</v>
      </c>
      <c r="B121" s="124"/>
      <c r="C121" s="124"/>
      <c r="R121" s="60"/>
      <c r="S121" s="60"/>
    </row>
    <row r="122" spans="1:19" s="64" customFormat="1" ht="15">
      <c r="A122" s="158" t="s">
        <v>255</v>
      </c>
      <c r="B122" s="158"/>
      <c r="C122" s="158"/>
      <c r="R122" s="60"/>
      <c r="S122" s="60"/>
    </row>
    <row r="123" spans="1:19" s="64" customFormat="1" ht="15">
      <c r="A123" s="124"/>
      <c r="B123" s="134"/>
      <c r="C123" s="134"/>
      <c r="D123" s="139"/>
      <c r="E123" s="140"/>
      <c r="F123" s="141" t="s">
        <v>212</v>
      </c>
      <c r="G123" s="140"/>
      <c r="H123" s="142"/>
      <c r="I123" s="134"/>
      <c r="J123" s="134"/>
      <c r="K123" s="134"/>
      <c r="L123" s="134"/>
      <c r="R123" s="60"/>
      <c r="S123" s="60"/>
    </row>
    <row r="124" spans="1:19" s="64" customFormat="1" ht="15">
      <c r="A124" s="79"/>
      <c r="B124" s="143" t="s">
        <v>150</v>
      </c>
      <c r="C124" s="143" t="s">
        <v>151</v>
      </c>
      <c r="D124" s="144" t="s">
        <v>152</v>
      </c>
      <c r="E124" s="143" t="s">
        <v>153</v>
      </c>
      <c r="F124" s="143" t="s">
        <v>154</v>
      </c>
      <c r="G124" s="143" t="s">
        <v>155</v>
      </c>
      <c r="H124" s="145" t="s">
        <v>156</v>
      </c>
      <c r="I124" s="143" t="s">
        <v>292</v>
      </c>
      <c r="J124" s="143" t="s">
        <v>293</v>
      </c>
      <c r="K124" s="143" t="s">
        <v>294</v>
      </c>
      <c r="L124" s="143" t="s">
        <v>295</v>
      </c>
      <c r="N124" s="60"/>
      <c r="O124" s="60"/>
    </row>
    <row r="125" spans="1:19" s="64" customFormat="1">
      <c r="A125" s="88" t="s">
        <v>197</v>
      </c>
      <c r="B125" s="156">
        <v>0.1</v>
      </c>
      <c r="C125" s="156">
        <v>0.1</v>
      </c>
      <c r="D125" s="156">
        <v>0.1</v>
      </c>
      <c r="E125" s="156">
        <v>0.1</v>
      </c>
      <c r="F125" s="156">
        <v>0.1</v>
      </c>
      <c r="G125" s="156">
        <v>0.1</v>
      </c>
      <c r="H125" s="156">
        <v>0.1</v>
      </c>
      <c r="I125" s="156">
        <v>0.1</v>
      </c>
      <c r="J125" s="156">
        <v>0.1</v>
      </c>
      <c r="K125" s="156">
        <v>0.1</v>
      </c>
      <c r="L125" s="156">
        <v>0.1</v>
      </c>
      <c r="N125" s="60"/>
      <c r="O125" s="60"/>
    </row>
    <row r="126" spans="1:19" s="64" customFormat="1">
      <c r="A126" s="88" t="s">
        <v>125</v>
      </c>
      <c r="B126" s="156">
        <v>0</v>
      </c>
      <c r="C126" s="156">
        <v>0</v>
      </c>
      <c r="D126" s="156">
        <v>0.2</v>
      </c>
      <c r="E126" s="156">
        <v>0.2</v>
      </c>
      <c r="F126" s="156">
        <v>0.2</v>
      </c>
      <c r="G126" s="156">
        <v>0.2</v>
      </c>
      <c r="H126" s="156">
        <v>0.2</v>
      </c>
      <c r="I126" s="156">
        <v>0.2</v>
      </c>
      <c r="J126" s="156">
        <v>0.2</v>
      </c>
      <c r="K126" s="156">
        <v>0.2</v>
      </c>
      <c r="L126" s="156">
        <v>0.2</v>
      </c>
      <c r="N126" s="60"/>
      <c r="O126" s="60"/>
    </row>
    <row r="127" spans="1:19" s="64" customFormat="1">
      <c r="A127" s="88"/>
      <c r="B127" s="88"/>
      <c r="C127" s="88"/>
      <c r="R127" s="60"/>
      <c r="S127" s="60"/>
    </row>
    <row r="128" spans="1:19" s="135" customFormat="1" ht="15">
      <c r="A128" s="44"/>
      <c r="B128" s="44"/>
      <c r="C128" s="44"/>
    </row>
    <row r="129" spans="1:21">
      <c r="R129" s="62"/>
      <c r="S129" s="62"/>
    </row>
    <row r="130" spans="1:21" ht="18">
      <c r="A130" s="63" t="s">
        <v>242</v>
      </c>
      <c r="B130" s="42"/>
      <c r="C130" s="42"/>
      <c r="D130" s="42"/>
      <c r="E130" s="42"/>
      <c r="F130" s="42"/>
      <c r="G130" s="42"/>
      <c r="H130" s="42"/>
      <c r="I130" s="42"/>
      <c r="J130" s="42"/>
      <c r="K130" s="42"/>
      <c r="L130" s="42"/>
      <c r="M130" s="42"/>
      <c r="N130" s="42"/>
      <c r="O130" s="42"/>
      <c r="P130" s="55"/>
      <c r="Q130" s="55"/>
      <c r="R130" s="55"/>
      <c r="S130" s="55"/>
    </row>
    <row r="131" spans="1:21" s="108" customFormat="1" ht="15">
      <c r="A131" s="44"/>
      <c r="B131" s="44"/>
      <c r="C131" s="44"/>
    </row>
    <row r="132" spans="1:21" s="89" customFormat="1" ht="18">
      <c r="A132" s="61" t="s">
        <v>118</v>
      </c>
    </row>
    <row r="133" spans="1:21" s="89" customFormat="1" ht="15">
      <c r="A133" s="71" t="s">
        <v>240</v>
      </c>
    </row>
    <row r="134" spans="1:21" s="125" customFormat="1" ht="15">
      <c r="A134" s="71"/>
    </row>
    <row r="135" spans="1:21" s="85" customFormat="1" ht="15">
      <c r="A135" s="79" t="s">
        <v>70</v>
      </c>
      <c r="B135" s="79" t="s">
        <v>119</v>
      </c>
      <c r="C135" s="79" t="s">
        <v>121</v>
      </c>
      <c r="D135" s="79" t="s">
        <v>145</v>
      </c>
      <c r="E135" s="79" t="s">
        <v>146</v>
      </c>
      <c r="F135" s="79" t="s">
        <v>147</v>
      </c>
      <c r="G135" s="79" t="s">
        <v>148</v>
      </c>
      <c r="H135" s="79" t="s">
        <v>149</v>
      </c>
      <c r="I135" s="79" t="s">
        <v>107</v>
      </c>
      <c r="J135" s="79" t="s">
        <v>254</v>
      </c>
    </row>
    <row r="136" spans="1:21" s="85" customFormat="1" ht="15.75" customHeight="1">
      <c r="A136" s="88" t="str">
        <f t="shared" ref="A136:C155" si="2">A39</f>
        <v>Overhead Structures</v>
      </c>
      <c r="B136" s="88" t="str">
        <f t="shared" si="2"/>
        <v>Poles</v>
      </c>
      <c r="C136" s="88" t="str">
        <f t="shared" si="2"/>
        <v>Low Voltage</v>
      </c>
      <c r="D136" s="113">
        <v>299</v>
      </c>
      <c r="E136" s="113">
        <v>435</v>
      </c>
      <c r="F136" s="113">
        <v>761</v>
      </c>
      <c r="G136" s="113">
        <v>669</v>
      </c>
      <c r="H136" s="113">
        <v>1056</v>
      </c>
      <c r="I136" s="137">
        <f>AVERAGE(F136:H136)</f>
        <v>828.66666666666663</v>
      </c>
      <c r="J136" s="113" t="s">
        <v>288</v>
      </c>
      <c r="K136"/>
      <c r="L136"/>
      <c r="M136"/>
      <c r="N136"/>
      <c r="O136"/>
      <c r="U136" s="4"/>
    </row>
    <row r="137" spans="1:21" s="85" customFormat="1" ht="15.75" customHeight="1">
      <c r="A137" s="88" t="str">
        <f t="shared" si="2"/>
        <v>Overhead Structures</v>
      </c>
      <c r="B137" s="88" t="str">
        <f t="shared" si="2"/>
        <v>Poles</v>
      </c>
      <c r="C137" s="88" t="str">
        <f t="shared" si="2"/>
        <v>Distribution</v>
      </c>
      <c r="D137" s="113">
        <v>1064</v>
      </c>
      <c r="E137" s="113">
        <v>999</v>
      </c>
      <c r="F137" s="113">
        <v>2354</v>
      </c>
      <c r="G137" s="113">
        <v>1608</v>
      </c>
      <c r="H137" s="113">
        <v>1603</v>
      </c>
      <c r="I137" s="137">
        <f t="shared" ref="I137:I155" si="3">AVERAGE(F137:H137)</f>
        <v>1855</v>
      </c>
      <c r="J137" s="113" t="s">
        <v>288</v>
      </c>
      <c r="K137"/>
      <c r="L137"/>
      <c r="M137"/>
      <c r="N137"/>
      <c r="O137"/>
      <c r="U137" s="4"/>
    </row>
    <row r="138" spans="1:21" s="85" customFormat="1" ht="15.75" customHeight="1">
      <c r="A138" s="88" t="str">
        <f t="shared" si="2"/>
        <v>Overhead Structures</v>
      </c>
      <c r="B138" s="88" t="str">
        <f t="shared" si="2"/>
        <v>Poles</v>
      </c>
      <c r="C138" s="88" t="str">
        <f t="shared" si="2"/>
        <v>Subtransmission</v>
      </c>
      <c r="D138" s="113">
        <v>180</v>
      </c>
      <c r="E138" s="113">
        <v>95</v>
      </c>
      <c r="F138" s="113">
        <v>241</v>
      </c>
      <c r="G138" s="113">
        <v>184</v>
      </c>
      <c r="H138" s="113">
        <v>173</v>
      </c>
      <c r="I138" s="137">
        <f t="shared" si="3"/>
        <v>199.33333333333334</v>
      </c>
      <c r="J138" s="113" t="s">
        <v>288</v>
      </c>
      <c r="K138"/>
      <c r="L138"/>
      <c r="M138"/>
      <c r="N138"/>
      <c r="O138"/>
      <c r="U138" s="4"/>
    </row>
    <row r="139" spans="1:21" s="85" customFormat="1" ht="15.75" customHeight="1">
      <c r="A139" s="88" t="str">
        <f t="shared" si="2"/>
        <v>Overhead Structures</v>
      </c>
      <c r="B139" s="88" t="str">
        <f t="shared" si="2"/>
        <v>Crossarms</v>
      </c>
      <c r="C139" s="88" t="str">
        <f t="shared" si="2"/>
        <v>Low Voltage</v>
      </c>
      <c r="D139" s="113">
        <v>1214.4159877903496</v>
      </c>
      <c r="E139" s="113">
        <v>1257.4757647719696</v>
      </c>
      <c r="F139" s="113">
        <v>1691.4819493715761</v>
      </c>
      <c r="G139" s="113">
        <v>1864.6181864054668</v>
      </c>
      <c r="H139" s="113">
        <v>2051.1848429380693</v>
      </c>
      <c r="I139" s="137">
        <f t="shared" si="3"/>
        <v>1869.0949929050373</v>
      </c>
      <c r="J139" s="113" t="s">
        <v>289</v>
      </c>
      <c r="K139"/>
      <c r="L139"/>
      <c r="M139"/>
      <c r="N139"/>
      <c r="O139"/>
      <c r="U139" s="4"/>
    </row>
    <row r="140" spans="1:21" s="85" customFormat="1" ht="15.75" customHeight="1">
      <c r="A140" s="88" t="str">
        <f t="shared" si="2"/>
        <v>Overhead Structures</v>
      </c>
      <c r="B140" s="88" t="str">
        <f t="shared" si="2"/>
        <v>Crossarms</v>
      </c>
      <c r="C140" s="88" t="str">
        <f t="shared" si="2"/>
        <v>Distribution</v>
      </c>
      <c r="D140" s="113">
        <v>2147.4126758095381</v>
      </c>
      <c r="E140" s="113">
        <v>2589.7699388222773</v>
      </c>
      <c r="F140" s="113">
        <v>2893.9129982361064</v>
      </c>
      <c r="G140" s="113">
        <v>2978.48623470353</v>
      </c>
      <c r="H140" s="113">
        <v>2881.2595661625014</v>
      </c>
      <c r="I140" s="137">
        <f t="shared" si="3"/>
        <v>2917.8862663673794</v>
      </c>
      <c r="J140" s="113" t="s">
        <v>289</v>
      </c>
      <c r="K140"/>
      <c r="L140"/>
      <c r="M140"/>
      <c r="N140"/>
      <c r="O140"/>
      <c r="U140" s="4"/>
    </row>
    <row r="141" spans="1:21" s="85" customFormat="1" ht="15.75" customHeight="1">
      <c r="A141" s="88" t="str">
        <f t="shared" si="2"/>
        <v>Overhead Structures</v>
      </c>
      <c r="B141" s="88" t="str">
        <f t="shared" si="2"/>
        <v>Crossarms</v>
      </c>
      <c r="C141" s="88" t="str">
        <f t="shared" si="2"/>
        <v>Subtransmission</v>
      </c>
      <c r="D141" s="113">
        <v>485.53759205866032</v>
      </c>
      <c r="E141" s="113">
        <v>480.78130533907432</v>
      </c>
      <c r="F141" s="113">
        <v>371.06796081443451</v>
      </c>
      <c r="G141" s="113">
        <v>623.51596575501856</v>
      </c>
      <c r="H141" s="113">
        <v>871.81194085577772</v>
      </c>
      <c r="I141" s="137">
        <f t="shared" si="3"/>
        <v>622.13195580841023</v>
      </c>
      <c r="J141" s="113" t="s">
        <v>289</v>
      </c>
      <c r="K141"/>
      <c r="L141"/>
      <c r="M141"/>
      <c r="N141"/>
      <c r="O141"/>
      <c r="U141" s="4"/>
    </row>
    <row r="142" spans="1:21" s="85" customFormat="1" ht="15.75" customHeight="1">
      <c r="A142" s="88" t="str">
        <f t="shared" si="2"/>
        <v>Overhead Conductor</v>
      </c>
      <c r="B142" s="88" t="str">
        <f t="shared" si="2"/>
        <v>Conductor</v>
      </c>
      <c r="C142" s="88" t="str">
        <f t="shared" si="2"/>
        <v>Low Voltage</v>
      </c>
      <c r="D142" s="113">
        <v>1.6</v>
      </c>
      <c r="E142" s="113">
        <v>2.9</v>
      </c>
      <c r="F142" s="113">
        <v>5.2</v>
      </c>
      <c r="G142" s="113">
        <v>10.4</v>
      </c>
      <c r="H142" s="113">
        <v>7.2</v>
      </c>
      <c r="I142" s="137">
        <f t="shared" si="3"/>
        <v>7.6000000000000005</v>
      </c>
      <c r="J142" s="113" t="s">
        <v>261</v>
      </c>
      <c r="K142"/>
      <c r="L142"/>
      <c r="M142"/>
      <c r="N142"/>
      <c r="O142"/>
      <c r="U142" s="4"/>
    </row>
    <row r="143" spans="1:21" s="85" customFormat="1" ht="15.75" customHeight="1">
      <c r="A143" s="88" t="str">
        <f t="shared" si="2"/>
        <v>Overhead Conductor</v>
      </c>
      <c r="B143" s="88" t="str">
        <f t="shared" si="2"/>
        <v>Conductor</v>
      </c>
      <c r="C143" s="88" t="str">
        <f t="shared" si="2"/>
        <v>Distribution</v>
      </c>
      <c r="D143" s="113">
        <v>20.585999999999999</v>
      </c>
      <c r="E143" s="113">
        <v>49.573</v>
      </c>
      <c r="F143" s="113">
        <v>110.004</v>
      </c>
      <c r="G143" s="113">
        <v>51.369</v>
      </c>
      <c r="H143" s="113">
        <v>61.445999999999998</v>
      </c>
      <c r="I143" s="137">
        <f t="shared" si="3"/>
        <v>74.272999999999996</v>
      </c>
      <c r="J143" s="113" t="s">
        <v>260</v>
      </c>
      <c r="K143"/>
      <c r="L143"/>
      <c r="M143"/>
      <c r="N143"/>
      <c r="O143"/>
      <c r="U143" s="4"/>
    </row>
    <row r="144" spans="1:21" s="85" customFormat="1" ht="15.75" customHeight="1">
      <c r="A144" s="88" t="str">
        <f t="shared" si="2"/>
        <v>Overhead Conductor</v>
      </c>
      <c r="B144" s="88" t="str">
        <f t="shared" si="2"/>
        <v>Conductor</v>
      </c>
      <c r="C144" s="88" t="str">
        <f t="shared" si="2"/>
        <v>Subtransmission</v>
      </c>
      <c r="D144" s="113">
        <v>0</v>
      </c>
      <c r="E144" s="113">
        <v>0</v>
      </c>
      <c r="F144" s="113">
        <v>0.1</v>
      </c>
      <c r="G144" s="113">
        <v>0.5</v>
      </c>
      <c r="H144" s="113">
        <v>0.6</v>
      </c>
      <c r="I144" s="137">
        <f t="shared" si="3"/>
        <v>0.39999999999999997</v>
      </c>
      <c r="J144" s="113" t="s">
        <v>259</v>
      </c>
      <c r="K144"/>
      <c r="L144"/>
      <c r="M144"/>
      <c r="N144"/>
      <c r="O144"/>
      <c r="U144" s="4"/>
    </row>
    <row r="145" spans="1:21" s="85" customFormat="1" ht="15.75" customHeight="1">
      <c r="A145" s="88" t="str">
        <f t="shared" si="2"/>
        <v>Distribution Transformers</v>
      </c>
      <c r="B145" s="88" t="str">
        <f t="shared" si="2"/>
        <v>Pole Mounted Transformers</v>
      </c>
      <c r="C145" s="88" t="str">
        <f t="shared" si="2"/>
        <v>Pole Mounted Transformers</v>
      </c>
      <c r="D145" s="113">
        <v>281</v>
      </c>
      <c r="E145" s="113">
        <v>294</v>
      </c>
      <c r="F145" s="113">
        <v>373</v>
      </c>
      <c r="G145" s="113">
        <v>308</v>
      </c>
      <c r="H145" s="113">
        <v>435</v>
      </c>
      <c r="I145" s="137">
        <f t="shared" si="3"/>
        <v>372</v>
      </c>
      <c r="J145" s="113" t="s">
        <v>286</v>
      </c>
      <c r="K145"/>
      <c r="L145"/>
      <c r="M145"/>
      <c r="N145"/>
      <c r="O145"/>
      <c r="U145" s="4"/>
    </row>
    <row r="146" spans="1:21" s="108" customFormat="1" ht="15.75" customHeight="1">
      <c r="A146" s="88" t="str">
        <f t="shared" si="2"/>
        <v>Distribution Transformers</v>
      </c>
      <c r="B146" s="88" t="str">
        <f t="shared" si="2"/>
        <v>Pole Mounted Transformers</v>
      </c>
      <c r="C146" s="88" t="str">
        <f t="shared" si="2"/>
        <v>LV Fusing</v>
      </c>
      <c r="D146" s="113"/>
      <c r="E146" s="113"/>
      <c r="F146" s="113"/>
      <c r="G146" s="113"/>
      <c r="H146" s="113"/>
      <c r="I146" s="137">
        <v>294</v>
      </c>
      <c r="J146" s="113" t="s">
        <v>286</v>
      </c>
      <c r="K146"/>
      <c r="L146"/>
      <c r="M146"/>
      <c r="N146"/>
      <c r="O146"/>
      <c r="U146" s="4"/>
    </row>
    <row r="147" spans="1:21" s="85" customFormat="1" ht="15">
      <c r="A147" s="88" t="str">
        <f t="shared" si="2"/>
        <v>Distribution Transformers</v>
      </c>
      <c r="B147" s="88" t="str">
        <f t="shared" si="2"/>
        <v>Ground Mounted Transformers</v>
      </c>
      <c r="C147" s="88" t="str">
        <f t="shared" si="2"/>
        <v>Ground Mounted Transformers</v>
      </c>
      <c r="D147" s="113">
        <v>65</v>
      </c>
      <c r="E147" s="113">
        <v>69</v>
      </c>
      <c r="F147" s="113">
        <v>81</v>
      </c>
      <c r="G147" s="113">
        <v>85</v>
      </c>
      <c r="H147" s="113">
        <v>98</v>
      </c>
      <c r="I147" s="137">
        <f t="shared" si="3"/>
        <v>88</v>
      </c>
      <c r="J147" s="113" t="s">
        <v>285</v>
      </c>
      <c r="K147"/>
      <c r="L147"/>
      <c r="M147"/>
      <c r="N147"/>
      <c r="O147"/>
      <c r="U147" s="4"/>
    </row>
    <row r="148" spans="1:21" s="85" customFormat="1" ht="15.75" customHeight="1">
      <c r="A148" s="88" t="str">
        <f t="shared" si="2"/>
        <v>Distribution Transformers</v>
      </c>
      <c r="B148" s="88" t="str">
        <f t="shared" si="2"/>
        <v>Distribution Other</v>
      </c>
      <c r="C148" s="88" t="str">
        <f t="shared" si="2"/>
        <v>Distribution Other</v>
      </c>
      <c r="D148" s="113">
        <v>1</v>
      </c>
      <c r="E148" s="113">
        <v>0</v>
      </c>
      <c r="F148" s="113">
        <v>0</v>
      </c>
      <c r="G148" s="113">
        <v>7</v>
      </c>
      <c r="H148" s="113">
        <v>10</v>
      </c>
      <c r="I148" s="137">
        <f t="shared" si="3"/>
        <v>5.666666666666667</v>
      </c>
      <c r="J148" s="113" t="s">
        <v>287</v>
      </c>
      <c r="K148"/>
      <c r="L148"/>
      <c r="M148"/>
      <c r="N148"/>
      <c r="O148"/>
      <c r="U148" s="4"/>
    </row>
    <row r="149" spans="1:21" s="102" customFormat="1" ht="15.75" customHeight="1">
      <c r="A149" s="88" t="str">
        <f t="shared" si="2"/>
        <v>Distribution Switchgear</v>
      </c>
      <c r="B149" s="88" t="str">
        <f t="shared" si="2"/>
        <v>Pole Mounted Switches</v>
      </c>
      <c r="C149" s="88" t="str">
        <f t="shared" si="2"/>
        <v>Air Break</v>
      </c>
      <c r="D149" s="113">
        <v>173</v>
      </c>
      <c r="E149" s="113">
        <v>161</v>
      </c>
      <c r="F149" s="113">
        <v>188</v>
      </c>
      <c r="G149" s="113">
        <v>138</v>
      </c>
      <c r="H149" s="113">
        <v>157</v>
      </c>
      <c r="I149" s="137">
        <f t="shared" si="3"/>
        <v>161</v>
      </c>
      <c r="J149" s="113" t="s">
        <v>284</v>
      </c>
      <c r="K149"/>
      <c r="L149"/>
      <c r="M149"/>
      <c r="N149"/>
      <c r="O149"/>
      <c r="U149" s="4"/>
    </row>
    <row r="150" spans="1:21" s="110" customFormat="1" ht="15">
      <c r="A150" s="88" t="str">
        <f t="shared" si="2"/>
        <v>Distribution Switchgear</v>
      </c>
      <c r="B150" s="88" t="str">
        <f t="shared" si="2"/>
        <v>HV Fuses</v>
      </c>
      <c r="C150" s="88" t="str">
        <f t="shared" si="2"/>
        <v>HV Fuses</v>
      </c>
      <c r="D150" s="113">
        <v>334</v>
      </c>
      <c r="E150" s="113">
        <v>300</v>
      </c>
      <c r="F150" s="113">
        <v>427</v>
      </c>
      <c r="G150" s="113">
        <v>565</v>
      </c>
      <c r="H150" s="113">
        <v>682</v>
      </c>
      <c r="I150" s="137">
        <f t="shared" si="3"/>
        <v>558</v>
      </c>
      <c r="J150" s="113" t="s">
        <v>278</v>
      </c>
      <c r="K150"/>
      <c r="L150"/>
      <c r="M150"/>
      <c r="N150"/>
      <c r="O150"/>
      <c r="U150" s="4"/>
    </row>
    <row r="151" spans="1:21" s="102" customFormat="1" ht="15">
      <c r="A151" s="88" t="str">
        <f t="shared" si="2"/>
        <v>Distribution Switchgear</v>
      </c>
      <c r="B151" s="88" t="str">
        <f t="shared" si="2"/>
        <v>Ground Mounted Switchgear</v>
      </c>
      <c r="C151" s="88" t="str">
        <f t="shared" si="2"/>
        <v>RMU</v>
      </c>
      <c r="D151" s="113">
        <v>30</v>
      </c>
      <c r="E151" s="113">
        <v>42</v>
      </c>
      <c r="F151" s="113">
        <v>46</v>
      </c>
      <c r="G151" s="113">
        <v>62</v>
      </c>
      <c r="H151" s="113">
        <v>52</v>
      </c>
      <c r="I151" s="137">
        <f t="shared" si="3"/>
        <v>53.333333333333336</v>
      </c>
      <c r="J151" s="113" t="s">
        <v>279</v>
      </c>
      <c r="K151"/>
      <c r="L151"/>
      <c r="M151"/>
      <c r="N151"/>
      <c r="O151"/>
      <c r="U151" s="4"/>
    </row>
    <row r="152" spans="1:21" s="102" customFormat="1" ht="15">
      <c r="A152" s="88" t="str">
        <f t="shared" si="2"/>
        <v>Distribution Switchgear</v>
      </c>
      <c r="B152" s="88" t="str">
        <f t="shared" si="2"/>
        <v>Circuit Breakers/Reclosers/Sectionalisers</v>
      </c>
      <c r="C152" s="88" t="str">
        <f t="shared" si="2"/>
        <v>Circuit Breakers/Reclosers/Sectionalisers</v>
      </c>
      <c r="D152" s="113">
        <v>6</v>
      </c>
      <c r="E152" s="113">
        <v>9</v>
      </c>
      <c r="F152" s="113">
        <v>17</v>
      </c>
      <c r="G152" s="113">
        <v>18</v>
      </c>
      <c r="H152" s="113">
        <v>16</v>
      </c>
      <c r="I152" s="137">
        <f t="shared" si="3"/>
        <v>17</v>
      </c>
      <c r="J152" s="113" t="s">
        <v>280</v>
      </c>
      <c r="K152"/>
      <c r="L152"/>
      <c r="M152"/>
      <c r="N152"/>
      <c r="O152"/>
      <c r="U152" s="4"/>
    </row>
    <row r="153" spans="1:21" s="102" customFormat="1" ht="15.75" customHeight="1">
      <c r="A153" s="88" t="str">
        <f t="shared" si="2"/>
        <v>Cables</v>
      </c>
      <c r="B153" s="88" t="str">
        <f t="shared" si="2"/>
        <v>Low Voltage Cables</v>
      </c>
      <c r="C153" s="88" t="str">
        <f t="shared" si="2"/>
        <v>Cables</v>
      </c>
      <c r="D153" s="113">
        <v>0.5125613255158028</v>
      </c>
      <c r="E153" s="113">
        <v>1.3714091597042248</v>
      </c>
      <c r="F153" s="113">
        <v>1.7196875438961907</v>
      </c>
      <c r="G153" s="113">
        <v>2.0298911224992637</v>
      </c>
      <c r="H153" s="113">
        <v>1.4248002085003666</v>
      </c>
      <c r="I153" s="137">
        <f t="shared" si="3"/>
        <v>1.7247929582986068</v>
      </c>
      <c r="J153" s="113" t="s">
        <v>283</v>
      </c>
      <c r="K153"/>
      <c r="L153"/>
      <c r="M153"/>
      <c r="N153"/>
      <c r="O153"/>
      <c r="U153" s="4"/>
    </row>
    <row r="154" spans="1:21" s="102" customFormat="1" ht="15.75" customHeight="1">
      <c r="A154" s="88" t="str">
        <f t="shared" si="2"/>
        <v>Cables</v>
      </c>
      <c r="B154" s="88" t="str">
        <f t="shared" si="2"/>
        <v>Distribution Cables</v>
      </c>
      <c r="C154" s="88" t="str">
        <f t="shared" si="2"/>
        <v>Cables</v>
      </c>
      <c r="D154" s="113">
        <v>4.8090000000000002</v>
      </c>
      <c r="E154" s="113">
        <v>10.342000000000001</v>
      </c>
      <c r="F154" s="113">
        <v>3.3929999999999998</v>
      </c>
      <c r="G154" s="113">
        <v>8.7309999999999999</v>
      </c>
      <c r="H154" s="113">
        <v>2.742</v>
      </c>
      <c r="I154" s="137">
        <f t="shared" si="3"/>
        <v>4.9553333333333329</v>
      </c>
      <c r="J154" s="113" t="s">
        <v>282</v>
      </c>
      <c r="K154"/>
      <c r="L154"/>
      <c r="M154"/>
      <c r="N154"/>
      <c r="O154"/>
      <c r="U154" s="4"/>
    </row>
    <row r="155" spans="1:21" s="102" customFormat="1" ht="15.75" customHeight="1">
      <c r="A155" s="88" t="str">
        <f t="shared" si="2"/>
        <v>Cables</v>
      </c>
      <c r="B155" s="88" t="str">
        <f t="shared" si="2"/>
        <v>Subtransmission Cables</v>
      </c>
      <c r="C155" s="88" t="str">
        <f t="shared" si="2"/>
        <v>Cables</v>
      </c>
      <c r="D155" s="113">
        <v>0</v>
      </c>
      <c r="E155" s="113">
        <v>0</v>
      </c>
      <c r="F155" s="113">
        <v>0</v>
      </c>
      <c r="G155" s="113">
        <v>0</v>
      </c>
      <c r="H155" s="113">
        <v>0</v>
      </c>
      <c r="I155" s="137">
        <f t="shared" si="3"/>
        <v>0</v>
      </c>
      <c r="J155" s="113" t="s">
        <v>281</v>
      </c>
      <c r="K155"/>
      <c r="L155"/>
      <c r="M155"/>
      <c r="N155"/>
      <c r="O155"/>
      <c r="U155" s="4"/>
    </row>
    <row r="156" spans="1:21" s="85" customFormat="1" ht="15">
      <c r="A156" s="88"/>
      <c r="B156" s="88"/>
      <c r="C156" s="88"/>
    </row>
    <row r="157" spans="1:21" s="89" customFormat="1" ht="15">
      <c r="A157" s="44"/>
      <c r="B157" s="71"/>
    </row>
    <row r="158" spans="1:21" s="85" customFormat="1" ht="18">
      <c r="A158" s="61" t="s">
        <v>102</v>
      </c>
    </row>
    <row r="159" spans="1:21" s="85" customFormat="1" ht="15">
      <c r="A159" s="71" t="s">
        <v>208</v>
      </c>
    </row>
    <row r="160" spans="1:21" s="85" customFormat="1" ht="15">
      <c r="A160" s="92"/>
      <c r="D160" s="134"/>
      <c r="E160" s="134"/>
      <c r="F160" s="139"/>
      <c r="G160" s="140"/>
      <c r="H160" s="141" t="s">
        <v>212</v>
      </c>
      <c r="I160" s="140"/>
      <c r="J160" s="142"/>
      <c r="K160" s="134"/>
      <c r="L160" s="134"/>
      <c r="M160" s="134"/>
      <c r="N160" s="134"/>
    </row>
    <row r="161" spans="1:19" s="85" customFormat="1" ht="15">
      <c r="A161" s="79" t="s">
        <v>70</v>
      </c>
      <c r="B161" s="79" t="s">
        <v>119</v>
      </c>
      <c r="C161" s="79" t="s">
        <v>121</v>
      </c>
      <c r="D161" s="143" t="s">
        <v>150</v>
      </c>
      <c r="E161" s="143" t="s">
        <v>151</v>
      </c>
      <c r="F161" s="144" t="s">
        <v>152</v>
      </c>
      <c r="G161" s="143" t="s">
        <v>153</v>
      </c>
      <c r="H161" s="143" t="s">
        <v>154</v>
      </c>
      <c r="I161" s="143" t="s">
        <v>155</v>
      </c>
      <c r="J161" s="145" t="s">
        <v>156</v>
      </c>
      <c r="K161" s="143" t="s">
        <v>292</v>
      </c>
      <c r="L161" s="143" t="s">
        <v>293</v>
      </c>
      <c r="M161" s="143" t="s">
        <v>294</v>
      </c>
      <c r="N161" s="143" t="s">
        <v>295</v>
      </c>
      <c r="O161" s="143" t="s">
        <v>254</v>
      </c>
    </row>
    <row r="162" spans="1:19" s="85" customFormat="1" ht="15">
      <c r="A162" s="88" t="str">
        <f t="shared" ref="A162:C181" si="4">A39</f>
        <v>Overhead Structures</v>
      </c>
      <c r="B162" s="88" t="str">
        <f t="shared" si="4"/>
        <v>Poles</v>
      </c>
      <c r="C162" s="88" t="str">
        <f t="shared" si="4"/>
        <v>Low Voltage</v>
      </c>
      <c r="D162" s="113">
        <v>518.25396825396831</v>
      </c>
      <c r="E162" s="113">
        <v>518.85396825396833</v>
      </c>
      <c r="F162" s="113">
        <v>614.49396825396821</v>
      </c>
      <c r="G162" s="113">
        <v>732.09396825396811</v>
      </c>
      <c r="H162" s="113">
        <v>854.17614247981544</v>
      </c>
      <c r="I162" s="113">
        <v>837.57898142395106</v>
      </c>
      <c r="J162" s="113">
        <v>786.9852657486864</v>
      </c>
      <c r="K162" s="113">
        <v>708.25325924623883</v>
      </c>
      <c r="L162" s="113">
        <v>613.30938969470503</v>
      </c>
      <c r="M162" s="113">
        <v>610.04728136201015</v>
      </c>
      <c r="N162" s="113">
        <v>607.40179486619832</v>
      </c>
      <c r="O162" s="113" t="s">
        <v>288</v>
      </c>
      <c r="R162" s="85">
        <v>787</v>
      </c>
      <c r="S162" s="179">
        <f>(R162-J162)/J162</f>
        <v>1.8722397934071834E-5</v>
      </c>
    </row>
    <row r="163" spans="1:19" s="85" customFormat="1" ht="15">
      <c r="A163" s="88" t="str">
        <f t="shared" si="4"/>
        <v>Overhead Structures</v>
      </c>
      <c r="B163" s="88" t="str">
        <f t="shared" si="4"/>
        <v>Poles</v>
      </c>
      <c r="C163" s="88" t="str">
        <f t="shared" si="4"/>
        <v>Distribution</v>
      </c>
      <c r="D163" s="113">
        <v>2356.2211435466943</v>
      </c>
      <c r="E163" s="113">
        <v>2440.3911435466944</v>
      </c>
      <c r="F163" s="113">
        <v>3045.2451435466946</v>
      </c>
      <c r="G163" s="113">
        <v>3719.5791435466945</v>
      </c>
      <c r="H163" s="113">
        <v>3882.7196225434859</v>
      </c>
      <c r="I163" s="113">
        <v>4186.0038039341343</v>
      </c>
      <c r="J163" s="113">
        <v>4261.8857268821157</v>
      </c>
      <c r="K163" s="113">
        <v>4182.0906488649634</v>
      </c>
      <c r="L163" s="113">
        <v>3932.0966065328666</v>
      </c>
      <c r="M163" s="113">
        <v>3916.8933574170169</v>
      </c>
      <c r="N163" s="113">
        <v>3909.4272123829392</v>
      </c>
      <c r="O163" s="113" t="s">
        <v>288</v>
      </c>
      <c r="R163" s="85">
        <v>4262</v>
      </c>
      <c r="S163" s="179">
        <f t="shared" ref="S163:S181" si="5">(R163-J163)/J163</f>
        <v>2.6812806632404544E-5</v>
      </c>
    </row>
    <row r="164" spans="1:19" s="85" customFormat="1" ht="15">
      <c r="A164" s="88" t="str">
        <f t="shared" si="4"/>
        <v>Overhead Structures</v>
      </c>
      <c r="B164" s="88" t="str">
        <f t="shared" si="4"/>
        <v>Poles</v>
      </c>
      <c r="C164" s="88" t="str">
        <f t="shared" si="4"/>
        <v>Subtransmission</v>
      </c>
      <c r="D164" s="113">
        <v>213.41209624673729</v>
      </c>
      <c r="E164" s="113">
        <v>135.23287304743766</v>
      </c>
      <c r="F164" s="113">
        <v>164.58560978936825</v>
      </c>
      <c r="G164" s="113">
        <v>187.64646231906465</v>
      </c>
      <c r="H164" s="113">
        <v>197.25193492335271</v>
      </c>
      <c r="I164" s="113">
        <v>190.88855433226124</v>
      </c>
      <c r="J164" s="113">
        <v>185.98420738731517</v>
      </c>
      <c r="K164" s="113">
        <v>167.98937400848774</v>
      </c>
      <c r="L164" s="113">
        <v>146.63919106824565</v>
      </c>
      <c r="M164" s="113">
        <v>147.03650543117101</v>
      </c>
      <c r="N164" s="113">
        <v>147.43641623308417</v>
      </c>
      <c r="O164" s="113" t="s">
        <v>288</v>
      </c>
      <c r="R164" s="85">
        <v>186</v>
      </c>
      <c r="S164" s="179">
        <f t="shared" si="5"/>
        <v>8.491372954019375E-5</v>
      </c>
    </row>
    <row r="165" spans="1:19" s="85" customFormat="1" ht="15">
      <c r="A165" s="88" t="str">
        <f t="shared" si="4"/>
        <v>Overhead Structures</v>
      </c>
      <c r="B165" s="88" t="str">
        <f t="shared" si="4"/>
        <v>Crossarms</v>
      </c>
      <c r="C165" s="88" t="str">
        <f t="shared" si="4"/>
        <v>Low Voltage</v>
      </c>
      <c r="D165" s="113">
        <v>1906.4976631855322</v>
      </c>
      <c r="E165" s="113">
        <v>1910.7376631855323</v>
      </c>
      <c r="F165" s="113">
        <v>2685.457663185533</v>
      </c>
      <c r="G165" s="113">
        <v>2830.6576631855332</v>
      </c>
      <c r="H165" s="113">
        <v>3723.219288357453</v>
      </c>
      <c r="I165" s="113">
        <v>3885.758046114875</v>
      </c>
      <c r="J165" s="113">
        <v>4143.2440651729976</v>
      </c>
      <c r="K165" s="113">
        <v>3654.3001520864309</v>
      </c>
      <c r="L165" s="113">
        <v>3084.3720663736249</v>
      </c>
      <c r="M165" s="113">
        <v>3162.6513580323967</v>
      </c>
      <c r="N165" s="113">
        <v>3237.8306547611601</v>
      </c>
      <c r="O165" s="113" t="s">
        <v>290</v>
      </c>
      <c r="R165" s="85">
        <v>4143.2440651729976</v>
      </c>
      <c r="S165" s="179">
        <f t="shared" si="5"/>
        <v>0</v>
      </c>
    </row>
    <row r="166" spans="1:19" s="85" customFormat="1" ht="15">
      <c r="A166" s="88" t="str">
        <f t="shared" si="4"/>
        <v>Overhead Structures</v>
      </c>
      <c r="B166" s="88" t="str">
        <f t="shared" si="4"/>
        <v>Crossarms</v>
      </c>
      <c r="C166" s="88" t="str">
        <f t="shared" si="4"/>
        <v>Distribution</v>
      </c>
      <c r="D166" s="113">
        <v>2715.0219478868034</v>
      </c>
      <c r="E166" s="113">
        <v>2779.6219478868034</v>
      </c>
      <c r="F166" s="113">
        <v>3909.0419478868043</v>
      </c>
      <c r="G166" s="113">
        <v>4230.4219478868044</v>
      </c>
      <c r="H166" s="113">
        <v>4945.6370452622286</v>
      </c>
      <c r="I166" s="113">
        <v>5359.9351454592634</v>
      </c>
      <c r="J166" s="113">
        <v>5846.9360447956587</v>
      </c>
      <c r="K166" s="113">
        <v>5407.1891174835664</v>
      </c>
      <c r="L166" s="113">
        <v>4782.2260045690937</v>
      </c>
      <c r="M166" s="113">
        <v>4852.1722883616249</v>
      </c>
      <c r="N166" s="113">
        <v>4918.5046104322191</v>
      </c>
      <c r="O166" s="113" t="s">
        <v>290</v>
      </c>
      <c r="R166" s="85">
        <v>5846.9360447956587</v>
      </c>
      <c r="S166" s="179">
        <f t="shared" si="5"/>
        <v>0</v>
      </c>
    </row>
    <row r="167" spans="1:19" s="85" customFormat="1" ht="15">
      <c r="A167" s="88" t="str">
        <f t="shared" si="4"/>
        <v>Overhead Structures</v>
      </c>
      <c r="B167" s="88" t="str">
        <f t="shared" si="4"/>
        <v>Crossarms</v>
      </c>
      <c r="C167" s="88" t="str">
        <f t="shared" si="4"/>
        <v>Subtransmission</v>
      </c>
      <c r="D167" s="113">
        <v>796.14230459235966</v>
      </c>
      <c r="E167" s="113">
        <v>758.31502697406358</v>
      </c>
      <c r="F167" s="113">
        <v>1101.6506653055553</v>
      </c>
      <c r="G167" s="113">
        <v>1529.3018930450662</v>
      </c>
      <c r="H167" s="113">
        <v>1062.9798037430251</v>
      </c>
      <c r="I167" s="113">
        <v>744.12296624917963</v>
      </c>
      <c r="J167" s="113">
        <v>318.10547109090464</v>
      </c>
      <c r="K167" s="113">
        <v>152.15049000190186</v>
      </c>
      <c r="L167" s="113">
        <v>148.86868912955364</v>
      </c>
      <c r="M167" s="113">
        <v>153.22657832967761</v>
      </c>
      <c r="N167" s="113">
        <v>157.58712563422858</v>
      </c>
      <c r="O167" s="113" t="s">
        <v>290</v>
      </c>
      <c r="R167" s="85">
        <v>318.10547109090464</v>
      </c>
      <c r="S167" s="179">
        <f t="shared" si="5"/>
        <v>0</v>
      </c>
    </row>
    <row r="168" spans="1:19" s="85" customFormat="1" ht="15">
      <c r="A168" s="88" t="str">
        <f t="shared" si="4"/>
        <v>Overhead Conductor</v>
      </c>
      <c r="B168" s="88" t="str">
        <f t="shared" si="4"/>
        <v>Conductor</v>
      </c>
      <c r="C168" s="88" t="str">
        <f t="shared" si="4"/>
        <v>Low Voltage</v>
      </c>
      <c r="D168" s="113">
        <v>7.8771000000000004</v>
      </c>
      <c r="E168" s="113">
        <v>8.6648100000000028</v>
      </c>
      <c r="F168" s="113">
        <v>16.572816645200884</v>
      </c>
      <c r="G168" s="113">
        <v>24.480823290401759</v>
      </c>
      <c r="H168" s="113">
        <v>32.388829935602629</v>
      </c>
      <c r="I168" s="113">
        <v>39.772977705253069</v>
      </c>
      <c r="J168" s="113">
        <v>46.999722145354283</v>
      </c>
      <c r="K168" s="113">
        <v>51.066152250655946</v>
      </c>
      <c r="L168" s="113">
        <v>55.321641422860424</v>
      </c>
      <c r="M168" s="113">
        <v>59.723606992688161</v>
      </c>
      <c r="N168" s="113">
        <v>64.25359625245207</v>
      </c>
      <c r="O168" s="113" t="s">
        <v>261</v>
      </c>
      <c r="R168" s="85">
        <v>47</v>
      </c>
      <c r="S168" s="179">
        <f t="shared" si="5"/>
        <v>5.9118359222888894E-6</v>
      </c>
    </row>
    <row r="169" spans="1:19" s="85" customFormat="1" ht="15">
      <c r="A169" s="88" t="str">
        <f t="shared" si="4"/>
        <v>Overhead Conductor</v>
      </c>
      <c r="B169" s="88" t="str">
        <f t="shared" si="4"/>
        <v>Conductor</v>
      </c>
      <c r="C169" s="88" t="str">
        <f t="shared" si="4"/>
        <v>Distribution</v>
      </c>
      <c r="D169" s="113">
        <v>71.102999999999994</v>
      </c>
      <c r="E169" s="113">
        <v>83.41200000000002</v>
      </c>
      <c r="F169" s="113">
        <v>117.52799999999996</v>
      </c>
      <c r="G169" s="113">
        <v>151.27099999999993</v>
      </c>
      <c r="H169" s="113">
        <v>218.07199999999997</v>
      </c>
      <c r="I169" s="113">
        <v>283.63320299999998</v>
      </c>
      <c r="J169" s="113">
        <v>318.01100230324374</v>
      </c>
      <c r="K169" s="113">
        <v>338.13987730324374</v>
      </c>
      <c r="L169" s="113">
        <v>341.17407730324368</v>
      </c>
      <c r="M169" s="113">
        <v>343.22937730324361</v>
      </c>
      <c r="N169" s="113">
        <v>344.19365230324371</v>
      </c>
      <c r="O169" s="113" t="s">
        <v>260</v>
      </c>
      <c r="R169" s="85">
        <v>318.01100000000002</v>
      </c>
      <c r="S169" s="179">
        <f t="shared" si="5"/>
        <v>-7.2426541903708274E-9</v>
      </c>
    </row>
    <row r="170" spans="1:19" s="85" customFormat="1" ht="15">
      <c r="A170" s="88" t="str">
        <f t="shared" si="4"/>
        <v>Overhead Conductor</v>
      </c>
      <c r="B170" s="88" t="str">
        <f t="shared" si="4"/>
        <v>Conductor</v>
      </c>
      <c r="C170" s="88" t="str">
        <f t="shared" si="4"/>
        <v>Subtransmission</v>
      </c>
      <c r="D170" s="113">
        <v>17.573816399999998</v>
      </c>
      <c r="E170" s="113">
        <v>15.5042469</v>
      </c>
      <c r="F170" s="113">
        <v>14.033560699999999</v>
      </c>
      <c r="G170" s="113">
        <v>12.666098999999999</v>
      </c>
      <c r="H170" s="113">
        <v>13.760891466666667</v>
      </c>
      <c r="I170" s="113">
        <v>16.595186266666666</v>
      </c>
      <c r="J170" s="113">
        <v>16.571220466666666</v>
      </c>
      <c r="K170" s="113">
        <v>16.575000000000003</v>
      </c>
      <c r="L170" s="113">
        <v>16.575000000000003</v>
      </c>
      <c r="M170" s="113">
        <v>16.575000000000003</v>
      </c>
      <c r="N170" s="113">
        <v>16.575000000000003</v>
      </c>
      <c r="O170" s="113" t="s">
        <v>259</v>
      </c>
      <c r="R170" s="85">
        <v>16.600000000000001</v>
      </c>
      <c r="S170" s="179">
        <f t="shared" si="5"/>
        <v>1.7367177867934067E-3</v>
      </c>
    </row>
    <row r="171" spans="1:19" s="85" customFormat="1" ht="15">
      <c r="A171" s="88" t="str">
        <f t="shared" si="4"/>
        <v>Distribution Transformers</v>
      </c>
      <c r="B171" s="88" t="str">
        <f t="shared" si="4"/>
        <v>Pole Mounted Transformers</v>
      </c>
      <c r="C171" s="88" t="str">
        <f t="shared" si="4"/>
        <v>Pole Mounted Transformers</v>
      </c>
      <c r="D171" s="113">
        <v>330.16831329081606</v>
      </c>
      <c r="E171" s="113">
        <v>325.37447209453234</v>
      </c>
      <c r="F171" s="113">
        <v>330.18958397115972</v>
      </c>
      <c r="G171" s="113">
        <v>335.60589064169596</v>
      </c>
      <c r="H171" s="113">
        <v>338.9366098972817</v>
      </c>
      <c r="I171" s="113">
        <v>341.41779005561642</v>
      </c>
      <c r="J171" s="113">
        <v>341.79755685622615</v>
      </c>
      <c r="K171" s="113">
        <v>345.342368294972</v>
      </c>
      <c r="L171" s="113">
        <v>353.53247195121628</v>
      </c>
      <c r="M171" s="113">
        <v>355.02167853766889</v>
      </c>
      <c r="N171" s="113">
        <v>355.72586314903316</v>
      </c>
      <c r="O171" s="113" t="s">
        <v>286</v>
      </c>
      <c r="R171" s="85">
        <v>342</v>
      </c>
      <c r="S171" s="179">
        <f t="shared" si="5"/>
        <v>5.9228961621573054E-4</v>
      </c>
    </row>
    <row r="172" spans="1:19" s="108" customFormat="1" ht="15">
      <c r="A172" s="88" t="str">
        <f t="shared" si="4"/>
        <v>Distribution Transformers</v>
      </c>
      <c r="B172" s="88" t="str">
        <f t="shared" si="4"/>
        <v>Pole Mounted Transformers</v>
      </c>
      <c r="C172" s="88" t="str">
        <f t="shared" si="4"/>
        <v>LV Fusing</v>
      </c>
      <c r="D172" s="113">
        <v>429</v>
      </c>
      <c r="E172" s="113">
        <v>429</v>
      </c>
      <c r="F172" s="113">
        <v>429</v>
      </c>
      <c r="G172" s="113">
        <v>429</v>
      </c>
      <c r="H172" s="113">
        <v>429</v>
      </c>
      <c r="I172" s="113">
        <v>429</v>
      </c>
      <c r="J172" s="113">
        <v>429</v>
      </c>
      <c r="K172" s="113"/>
      <c r="L172" s="113"/>
      <c r="M172" s="113"/>
      <c r="N172" s="113"/>
      <c r="O172" s="113" t="s">
        <v>286</v>
      </c>
      <c r="R172" s="108">
        <v>429</v>
      </c>
      <c r="S172" s="179">
        <f t="shared" si="5"/>
        <v>0</v>
      </c>
    </row>
    <row r="173" spans="1:19" s="85" customFormat="1" ht="15">
      <c r="A173" s="88" t="str">
        <f t="shared" si="4"/>
        <v>Distribution Transformers</v>
      </c>
      <c r="B173" s="88" t="str">
        <f t="shared" si="4"/>
        <v>Ground Mounted Transformers</v>
      </c>
      <c r="C173" s="88" t="str">
        <f t="shared" si="4"/>
        <v>Ground Mounted Transformers</v>
      </c>
      <c r="D173" s="113">
        <v>53.835079742919099</v>
      </c>
      <c r="E173" s="113">
        <v>55.599077952101602</v>
      </c>
      <c r="F173" s="113">
        <v>89.490386602629457</v>
      </c>
      <c r="G173" s="113">
        <v>90.292361399362036</v>
      </c>
      <c r="H173" s="113">
        <v>92.040498097949225</v>
      </c>
      <c r="I173" s="113">
        <v>93.087022238737575</v>
      </c>
      <c r="J173" s="113">
        <v>94.084458571659084</v>
      </c>
      <c r="K173" s="113">
        <v>95.772309306554007</v>
      </c>
      <c r="L173" s="113">
        <v>97.45303263964523</v>
      </c>
      <c r="M173" s="113">
        <v>99.125778094442765</v>
      </c>
      <c r="N173" s="113">
        <v>101.54753457066971</v>
      </c>
      <c r="O173" s="113" t="s">
        <v>285</v>
      </c>
      <c r="R173" s="85">
        <v>94</v>
      </c>
      <c r="S173" s="179">
        <f t="shared" si="5"/>
        <v>-8.9768887381922542E-4</v>
      </c>
    </row>
    <row r="174" spans="1:19" s="85" customFormat="1" ht="15">
      <c r="A174" s="88" t="str">
        <f t="shared" si="4"/>
        <v>Distribution Transformers</v>
      </c>
      <c r="B174" s="88" t="str">
        <f t="shared" si="4"/>
        <v>Distribution Other</v>
      </c>
      <c r="C174" s="88" t="str">
        <f t="shared" si="4"/>
        <v>Distribution Other</v>
      </c>
      <c r="D174" s="113">
        <v>1</v>
      </c>
      <c r="E174" s="113">
        <v>2</v>
      </c>
      <c r="F174" s="113">
        <v>2</v>
      </c>
      <c r="G174" s="113">
        <v>1</v>
      </c>
      <c r="H174" s="113">
        <v>1</v>
      </c>
      <c r="I174" s="113">
        <v>0.98750000000000004</v>
      </c>
      <c r="J174" s="113">
        <v>1.95</v>
      </c>
      <c r="K174" s="113">
        <v>1.95</v>
      </c>
      <c r="L174" s="113">
        <v>0.97499999999999998</v>
      </c>
      <c r="M174" s="113">
        <v>0</v>
      </c>
      <c r="N174" s="113">
        <v>0.97499999999999998</v>
      </c>
      <c r="O174" s="113" t="s">
        <v>287</v>
      </c>
      <c r="R174" s="85">
        <v>2</v>
      </c>
      <c r="S174" s="179">
        <f t="shared" si="5"/>
        <v>2.5641025641025664E-2</v>
      </c>
    </row>
    <row r="175" spans="1:19" s="102" customFormat="1" ht="15">
      <c r="A175" s="88" t="str">
        <f t="shared" si="4"/>
        <v>Distribution Switchgear</v>
      </c>
      <c r="B175" s="88" t="str">
        <f t="shared" si="4"/>
        <v>Pole Mounted Switches</v>
      </c>
      <c r="C175" s="88" t="str">
        <f t="shared" si="4"/>
        <v>Air Break</v>
      </c>
      <c r="D175" s="113">
        <v>146.405</v>
      </c>
      <c r="E175" s="113">
        <v>141.405</v>
      </c>
      <c r="F175" s="113">
        <v>142.405</v>
      </c>
      <c r="G175" s="113">
        <v>111.405</v>
      </c>
      <c r="H175" s="113">
        <v>95.405000000000001</v>
      </c>
      <c r="I175" s="113">
        <v>91.567499999999995</v>
      </c>
      <c r="J175" s="113">
        <v>72.204999999999998</v>
      </c>
      <c r="K175" s="113">
        <v>80.004999999999995</v>
      </c>
      <c r="L175" s="113">
        <v>89.754999999999995</v>
      </c>
      <c r="M175" s="113">
        <v>102.43</v>
      </c>
      <c r="N175" s="113">
        <v>118.03</v>
      </c>
      <c r="O175" s="113" t="s">
        <v>284</v>
      </c>
      <c r="R175" s="102">
        <v>72</v>
      </c>
      <c r="S175" s="179">
        <f t="shared" si="5"/>
        <v>-2.8391385638113467E-3</v>
      </c>
    </row>
    <row r="176" spans="1:19" s="110" customFormat="1" ht="15">
      <c r="A176" s="88" t="str">
        <f t="shared" si="4"/>
        <v>Distribution Switchgear</v>
      </c>
      <c r="B176" s="88" t="str">
        <f t="shared" si="4"/>
        <v>HV Fuses</v>
      </c>
      <c r="C176" s="88" t="str">
        <f t="shared" si="4"/>
        <v>HV Fuses</v>
      </c>
      <c r="D176" s="113">
        <v>467.4240955591153</v>
      </c>
      <c r="E176" s="113">
        <v>448.1235403849081</v>
      </c>
      <c r="F176" s="113">
        <v>454.68759035545344</v>
      </c>
      <c r="G176" s="113">
        <v>465.68233716174581</v>
      </c>
      <c r="H176" s="113">
        <v>468.26758430876311</v>
      </c>
      <c r="I176" s="113">
        <v>474.08831033655429</v>
      </c>
      <c r="J176" s="113">
        <v>480.67924182211038</v>
      </c>
      <c r="K176" s="113">
        <v>473.00554677386197</v>
      </c>
      <c r="L176" s="113">
        <v>483.25111456309355</v>
      </c>
      <c r="M176" s="113">
        <v>499.00283504007808</v>
      </c>
      <c r="N176" s="113">
        <v>517.42160600808836</v>
      </c>
      <c r="O176" s="113" t="s">
        <v>278</v>
      </c>
      <c r="R176" s="110">
        <v>481</v>
      </c>
      <c r="S176" s="179">
        <f t="shared" si="5"/>
        <v>6.6730191358735987E-4</v>
      </c>
    </row>
    <row r="177" spans="1:23" s="102" customFormat="1" ht="15">
      <c r="A177" s="88" t="str">
        <f t="shared" si="4"/>
        <v>Distribution Switchgear</v>
      </c>
      <c r="B177" s="88" t="str">
        <f t="shared" si="4"/>
        <v>Ground Mounted Switchgear</v>
      </c>
      <c r="C177" s="88" t="str">
        <f t="shared" si="4"/>
        <v>RMU</v>
      </c>
      <c r="D177" s="113">
        <v>60</v>
      </c>
      <c r="E177" s="113">
        <v>60</v>
      </c>
      <c r="F177" s="113">
        <v>67.692000000000007</v>
      </c>
      <c r="G177" s="113">
        <v>73.261200000000002</v>
      </c>
      <c r="H177" s="113">
        <v>80.587320000000005</v>
      </c>
      <c r="I177" s="113">
        <v>87.756219850000022</v>
      </c>
      <c r="J177" s="113">
        <v>77.687999999999974</v>
      </c>
      <c r="K177" s="113">
        <v>65.235299999999981</v>
      </c>
      <c r="L177" s="113">
        <v>50.835329999999985</v>
      </c>
      <c r="M177" s="113">
        <v>35.892362999999982</v>
      </c>
      <c r="N177" s="113">
        <v>18.09009929999997</v>
      </c>
      <c r="O177" s="113" t="s">
        <v>279</v>
      </c>
      <c r="R177" s="102">
        <v>78</v>
      </c>
      <c r="S177" s="179">
        <f t="shared" si="5"/>
        <v>4.0160642570284486E-3</v>
      </c>
    </row>
    <row r="178" spans="1:23" s="102" customFormat="1" ht="15">
      <c r="A178" s="88" t="str">
        <f t="shared" si="4"/>
        <v>Distribution Switchgear</v>
      </c>
      <c r="B178" s="88" t="str">
        <f t="shared" si="4"/>
        <v>Circuit Breakers/Reclosers/Sectionalisers</v>
      </c>
      <c r="C178" s="88" t="str">
        <f t="shared" si="4"/>
        <v>Circuit Breakers/Reclosers/Sectionalisers</v>
      </c>
      <c r="D178" s="113">
        <v>14.714285714285714</v>
      </c>
      <c r="E178" s="113">
        <v>26.514285714285709</v>
      </c>
      <c r="F178" s="113">
        <v>27.514285714285709</v>
      </c>
      <c r="G178" s="113">
        <v>27.514285714285709</v>
      </c>
      <c r="H178" s="113">
        <v>25.514285714285709</v>
      </c>
      <c r="I178" s="113">
        <v>25.514285714285709</v>
      </c>
      <c r="J178" s="113">
        <v>12.714285714285714</v>
      </c>
      <c r="K178" s="113">
        <v>6</v>
      </c>
      <c r="L178" s="113">
        <v>6</v>
      </c>
      <c r="M178" s="113">
        <v>6</v>
      </c>
      <c r="N178" s="113">
        <v>7</v>
      </c>
      <c r="O178" s="113" t="s">
        <v>280</v>
      </c>
      <c r="R178" s="102">
        <v>13</v>
      </c>
      <c r="S178" s="179">
        <f t="shared" si="5"/>
        <v>2.2471910112359612E-2</v>
      </c>
    </row>
    <row r="179" spans="1:23" s="102" customFormat="1" ht="15">
      <c r="A179" s="88" t="str">
        <f t="shared" si="4"/>
        <v>Cables</v>
      </c>
      <c r="B179" s="88" t="str">
        <f t="shared" si="4"/>
        <v>Low Voltage Cables</v>
      </c>
      <c r="C179" s="88" t="str">
        <f t="shared" si="4"/>
        <v>Cables</v>
      </c>
      <c r="D179" s="113">
        <v>6.8646391346521787</v>
      </c>
      <c r="E179" s="113">
        <v>7.3794870697510913</v>
      </c>
      <c r="F179" s="113">
        <v>7.9329485999824207</v>
      </c>
      <c r="G179" s="113">
        <v>8.5279197449811033</v>
      </c>
      <c r="H179" s="113">
        <v>9.1675137258546844</v>
      </c>
      <c r="I179" s="113">
        <v>9.7318887896026176</v>
      </c>
      <c r="J179" s="113">
        <v>10.329352848204801</v>
      </c>
      <c r="K179" s="113">
        <v>11.10405431182016</v>
      </c>
      <c r="L179" s="113">
        <v>11.936858385206673</v>
      </c>
      <c r="M179" s="113">
        <v>12.83212276409717</v>
      </c>
      <c r="N179" s="113">
        <v>13.794531971404458</v>
      </c>
      <c r="O179" s="113" t="s">
        <v>283</v>
      </c>
      <c r="R179" s="102">
        <v>10.329352849999999</v>
      </c>
      <c r="S179" s="179">
        <f t="shared" si="5"/>
        <v>1.7379584982497399E-10</v>
      </c>
    </row>
    <row r="180" spans="1:23" s="102" customFormat="1" ht="15">
      <c r="A180" s="88" t="str">
        <f t="shared" si="4"/>
        <v>Cables</v>
      </c>
      <c r="B180" s="88" t="str">
        <f t="shared" si="4"/>
        <v>Distribution Cables</v>
      </c>
      <c r="C180" s="88" t="str">
        <f t="shared" si="4"/>
        <v>Cables</v>
      </c>
      <c r="D180" s="113">
        <v>8.5565235786404834</v>
      </c>
      <c r="E180" s="113">
        <v>8.9332579980444091</v>
      </c>
      <c r="F180" s="113">
        <v>10.699774440737746</v>
      </c>
      <c r="G180" s="113">
        <v>11.688659384527083</v>
      </c>
      <c r="H180" s="113">
        <v>12.17448554544802</v>
      </c>
      <c r="I180" s="113">
        <v>9.395618347237443</v>
      </c>
      <c r="J180" s="113">
        <v>7.7454352081744249</v>
      </c>
      <c r="K180" s="113">
        <v>7.5333096314167394</v>
      </c>
      <c r="L180" s="113">
        <v>7.1600351391841395</v>
      </c>
      <c r="M180" s="113">
        <v>7.1792334110350282</v>
      </c>
      <c r="N180" s="113">
        <v>7.8999304925950966</v>
      </c>
      <c r="O180" s="113" t="s">
        <v>282</v>
      </c>
      <c r="R180" s="102">
        <v>7.75</v>
      </c>
      <c r="S180" s="179">
        <f t="shared" si="5"/>
        <v>5.8935252866843468E-4</v>
      </c>
    </row>
    <row r="181" spans="1:23" s="102" customFormat="1" ht="15">
      <c r="A181" s="88" t="str">
        <f t="shared" si="4"/>
        <v>Cables</v>
      </c>
      <c r="B181" s="88" t="str">
        <f t="shared" si="4"/>
        <v>Subtransmission Cables</v>
      </c>
      <c r="C181" s="88" t="str">
        <f t="shared" si="4"/>
        <v>Cables</v>
      </c>
      <c r="D181" s="113">
        <v>7.1</v>
      </c>
      <c r="E181" s="113">
        <v>0.5</v>
      </c>
      <c r="F181" s="113">
        <v>0</v>
      </c>
      <c r="G181" s="113">
        <v>1</v>
      </c>
      <c r="H181" s="113">
        <v>0</v>
      </c>
      <c r="I181" s="113">
        <v>0</v>
      </c>
      <c r="J181" s="113">
        <v>0</v>
      </c>
      <c r="K181" s="113">
        <v>0</v>
      </c>
      <c r="L181" s="113">
        <v>0</v>
      </c>
      <c r="M181" s="113">
        <v>0</v>
      </c>
      <c r="N181" s="113">
        <v>0</v>
      </c>
      <c r="O181" s="113" t="s">
        <v>281</v>
      </c>
      <c r="R181" s="102">
        <v>0</v>
      </c>
      <c r="S181" s="179" t="e">
        <f t="shared" si="5"/>
        <v>#DIV/0!</v>
      </c>
    </row>
    <row r="182" spans="1:23">
      <c r="A182" s="88"/>
      <c r="B182" s="88"/>
      <c r="C182" s="88"/>
      <c r="E182" s="64"/>
      <c r="F182" s="64"/>
      <c r="G182" s="64"/>
      <c r="H182" s="64"/>
      <c r="I182" s="64"/>
      <c r="J182" s="64"/>
      <c r="K182" s="64"/>
      <c r="L182" s="64"/>
      <c r="M182" s="64"/>
      <c r="N182" s="64"/>
      <c r="O182" s="64"/>
      <c r="P182" s="64"/>
      <c r="Q182" s="64"/>
      <c r="R182" s="64"/>
      <c r="S182" s="64"/>
      <c r="T182" s="64"/>
      <c r="U182" s="64"/>
      <c r="V182" s="64"/>
      <c r="W182" s="64"/>
    </row>
    <row r="183" spans="1:23" s="64" customFormat="1"/>
    <row r="184" spans="1:23" s="64" customFormat="1">
      <c r="R184" s="60"/>
      <c r="S184" s="60"/>
    </row>
    <row r="185" spans="1:23" ht="18">
      <c r="A185" s="63" t="s">
        <v>224</v>
      </c>
      <c r="B185" s="42"/>
      <c r="C185" s="42"/>
      <c r="D185" s="42"/>
      <c r="E185" s="42"/>
      <c r="F185" s="42"/>
      <c r="G185" s="42"/>
      <c r="H185" s="42"/>
      <c r="I185" s="42"/>
      <c r="J185" s="42"/>
      <c r="K185" s="42"/>
      <c r="L185" s="42"/>
      <c r="M185" s="42"/>
      <c r="N185" s="42"/>
      <c r="O185" s="42"/>
      <c r="P185" s="55"/>
      <c r="Q185" s="55"/>
      <c r="R185" s="55"/>
      <c r="S185" s="55"/>
    </row>
    <row r="186" spans="1:23" ht="15">
      <c r="A186"/>
      <c r="H186" s="64"/>
      <c r="I186" s="64"/>
      <c r="J186" s="64"/>
      <c r="L186" s="64"/>
      <c r="M186" s="64"/>
      <c r="N186" s="64"/>
    </row>
    <row r="187" spans="1:23" s="64" customFormat="1" ht="18">
      <c r="A187" s="61" t="s">
        <v>229</v>
      </c>
      <c r="R187" s="60"/>
      <c r="S187" s="60"/>
    </row>
    <row r="188" spans="1:23" s="64" customFormat="1">
      <c r="A188" s="64" t="s">
        <v>177</v>
      </c>
      <c r="R188" s="60"/>
      <c r="S188" s="60"/>
    </row>
    <row r="189" spans="1:23" s="64" customFormat="1">
      <c r="A189" s="64" t="s">
        <v>225</v>
      </c>
      <c r="R189" s="60"/>
      <c r="S189" s="60"/>
    </row>
    <row r="190" spans="1:23" s="64" customFormat="1" ht="15">
      <c r="A190"/>
      <c r="R190" s="60"/>
      <c r="S190" s="60"/>
    </row>
    <row r="191" spans="1:23" s="64" customFormat="1" ht="15">
      <c r="A191" s="111" t="s">
        <v>226</v>
      </c>
      <c r="R191" s="60"/>
      <c r="S191" s="60"/>
    </row>
    <row r="192" spans="1:23" s="64" customFormat="1" ht="15">
      <c r="A192" s="98" t="s">
        <v>192</v>
      </c>
      <c r="B192" s="98" t="s">
        <v>193</v>
      </c>
      <c r="C192" s="98" t="s">
        <v>243</v>
      </c>
      <c r="S192" s="60"/>
      <c r="T192" s="60"/>
    </row>
    <row r="193" spans="1:20" s="64" customFormat="1">
      <c r="A193" s="154">
        <v>0.89975308292470202</v>
      </c>
      <c r="B193" s="34">
        <v>3.9053946220795367E-3</v>
      </c>
      <c r="C193" s="157">
        <v>6026.2416600000015</v>
      </c>
      <c r="S193" s="60"/>
      <c r="T193" s="60"/>
    </row>
    <row r="194" spans="1:20" s="64" customFormat="1">
      <c r="A194" s="64" t="s">
        <v>297</v>
      </c>
      <c r="B194" s="64" t="s">
        <v>297</v>
      </c>
      <c r="C194" s="64" t="s">
        <v>275</v>
      </c>
      <c r="R194" s="60"/>
      <c r="S194" s="60"/>
    </row>
    <row r="195" spans="1:20" s="64" customFormat="1" ht="15">
      <c r="B195" s="103"/>
      <c r="R195" s="60"/>
      <c r="S195" s="60"/>
    </row>
    <row r="196" spans="1:20" s="64" customFormat="1" ht="15">
      <c r="A196" s="103"/>
      <c r="R196" s="60"/>
      <c r="S196" s="60"/>
    </row>
    <row r="197" spans="1:20" s="64" customFormat="1" ht="15">
      <c r="A197" s="111" t="s">
        <v>227</v>
      </c>
      <c r="B197" s="134"/>
      <c r="C197" s="134"/>
      <c r="D197" s="139"/>
      <c r="E197" s="140"/>
      <c r="F197" s="141" t="s">
        <v>212</v>
      </c>
      <c r="G197" s="140"/>
      <c r="H197" s="142"/>
      <c r="I197" s="134"/>
      <c r="J197" s="134"/>
      <c r="K197" s="134"/>
      <c r="L197" s="134"/>
      <c r="R197" s="60"/>
      <c r="S197" s="60"/>
    </row>
    <row r="198" spans="1:20" s="64" customFormat="1" ht="15">
      <c r="B198" s="143" t="s">
        <v>150</v>
      </c>
      <c r="C198" s="143" t="s">
        <v>151</v>
      </c>
      <c r="D198" s="144" t="s">
        <v>152</v>
      </c>
      <c r="E198" s="143" t="s">
        <v>153</v>
      </c>
      <c r="F198" s="143" t="s">
        <v>154</v>
      </c>
      <c r="G198" s="143" t="s">
        <v>155</v>
      </c>
      <c r="H198" s="145" t="s">
        <v>156</v>
      </c>
      <c r="I198" s="143" t="s">
        <v>292</v>
      </c>
      <c r="J198" s="143" t="s">
        <v>293</v>
      </c>
      <c r="K198" s="143" t="s">
        <v>294</v>
      </c>
      <c r="L198" s="143" t="s">
        <v>295</v>
      </c>
    </row>
    <row r="199" spans="1:20" s="64" customFormat="1">
      <c r="A199" s="34" t="s">
        <v>228</v>
      </c>
      <c r="B199" s="157">
        <v>5750</v>
      </c>
      <c r="C199" s="157">
        <v>5500</v>
      </c>
      <c r="D199" s="157">
        <v>9939.1771939391692</v>
      </c>
      <c r="E199" s="157">
        <v>9237.4889516471176</v>
      </c>
      <c r="F199" s="157">
        <v>8956.8136547302965</v>
      </c>
      <c r="G199" s="157">
        <v>9230.7806106298085</v>
      </c>
      <c r="H199" s="157">
        <v>8676.7069853184221</v>
      </c>
      <c r="I199" s="157">
        <v>8455.0775351938682</v>
      </c>
      <c r="J199" s="157">
        <v>7502.0268091020607</v>
      </c>
      <c r="K199" s="157">
        <v>7502.0268091020607</v>
      </c>
      <c r="L199" s="157">
        <v>7502.0268091020607</v>
      </c>
    </row>
    <row r="200" spans="1:20" s="64" customFormat="1">
      <c r="A200" s="34" t="s">
        <v>184</v>
      </c>
      <c r="B200" s="112">
        <f t="shared" ref="B200:H200" si="6">$A$193+$A$193*(B199-$C$193)/$C$193</f>
        <v>0.85850858938455432</v>
      </c>
      <c r="C200" s="112">
        <f t="shared" si="6"/>
        <v>0.82118212897653031</v>
      </c>
      <c r="D200" s="112">
        <f t="shared" si="6"/>
        <v>1.483977216071626</v>
      </c>
      <c r="E200" s="112">
        <f t="shared" si="6"/>
        <v>1.3792110624928648</v>
      </c>
      <c r="F200" s="112">
        <f>$A$193+$A$193*(F199-$C$193)/$C$193</f>
        <v>1.3373046010613603</v>
      </c>
      <c r="G200" s="112">
        <f t="shared" si="6"/>
        <v>1.3782094679913204</v>
      </c>
      <c r="H200" s="112">
        <f t="shared" si="6"/>
        <v>1.2954830390380572</v>
      </c>
      <c r="I200" s="112">
        <f t="shared" ref="I200:L200" si="7">$A$193+$A$193*(I199-$C$193)/$C$193</f>
        <v>1.2623924674567517</v>
      </c>
      <c r="J200" s="112">
        <f t="shared" si="7"/>
        <v>1.1200964266795339</v>
      </c>
      <c r="K200" s="112">
        <f t="shared" si="7"/>
        <v>1.1200964266795339</v>
      </c>
      <c r="L200" s="112">
        <f t="shared" si="7"/>
        <v>1.1200964266795339</v>
      </c>
    </row>
    <row r="201" spans="1:20" s="64" customFormat="1">
      <c r="A201" s="34" t="s">
        <v>194</v>
      </c>
      <c r="B201" s="123">
        <f t="shared" ref="B201:H201" si="8">$B$193+$B$193*(B199-$C$193)/$C$193</f>
        <v>3.7263721476707805E-3</v>
      </c>
      <c r="C201" s="123">
        <f t="shared" si="8"/>
        <v>3.5643559673372684E-3</v>
      </c>
      <c r="D201" s="123">
        <f t="shared" si="8"/>
        <v>6.4412300984799213E-3</v>
      </c>
      <c r="E201" s="123">
        <f t="shared" si="8"/>
        <v>5.9864907032755443E-3</v>
      </c>
      <c r="F201" s="123">
        <f t="shared" si="8"/>
        <v>5.8045949451937928E-3</v>
      </c>
      <c r="G201" s="123">
        <f t="shared" si="8"/>
        <v>5.9821432641235482E-3</v>
      </c>
      <c r="H201" s="123">
        <f t="shared" si="8"/>
        <v>5.6230676945375783E-3</v>
      </c>
      <c r="I201" s="123">
        <f t="shared" ref="I201:L201" si="9">$B$193+$B$193*(I199-$C$193)/$C$193</f>
        <v>5.4794374667031902E-3</v>
      </c>
      <c r="J201" s="123">
        <f t="shared" si="9"/>
        <v>4.8617989134812903E-3</v>
      </c>
      <c r="K201" s="123">
        <f t="shared" si="9"/>
        <v>4.8617989134812903E-3</v>
      </c>
      <c r="L201" s="123">
        <f t="shared" si="9"/>
        <v>4.8617989134812903E-3</v>
      </c>
    </row>
    <row r="202" spans="1:20" s="64" customFormat="1">
      <c r="A202" s="34" t="s">
        <v>195</v>
      </c>
      <c r="B202" s="112">
        <f>IF(B200-$A$193&lt;0,0,B200-$A$193)</f>
        <v>0</v>
      </c>
      <c r="C202" s="112">
        <f t="shared" ref="C202:H202" si="10">IF(C200-$A$193&lt;0,0,C200-$A$193)</f>
        <v>0</v>
      </c>
      <c r="D202" s="112">
        <f t="shared" si="10"/>
        <v>0.58422413314692401</v>
      </c>
      <c r="E202" s="112">
        <f t="shared" si="10"/>
        <v>0.47945797956816283</v>
      </c>
      <c r="F202" s="112">
        <f t="shared" si="10"/>
        <v>0.43755151813665827</v>
      </c>
      <c r="G202" s="112">
        <f t="shared" si="10"/>
        <v>0.47845638506661836</v>
      </c>
      <c r="H202" s="112">
        <f t="shared" si="10"/>
        <v>0.39572995611335515</v>
      </c>
      <c r="I202" s="112">
        <f t="shared" ref="I202:L202" si="11">IF(I200-$A$193&lt;0,0,I200-$A$193)</f>
        <v>0.36263938453204969</v>
      </c>
      <c r="J202" s="112">
        <f t="shared" si="11"/>
        <v>0.22034334375483189</v>
      </c>
      <c r="K202" s="112">
        <f t="shared" si="11"/>
        <v>0.22034334375483189</v>
      </c>
      <c r="L202" s="112">
        <f t="shared" si="11"/>
        <v>0.22034334375483189</v>
      </c>
    </row>
    <row r="203" spans="1:20" s="64" customFormat="1">
      <c r="A203" s="34" t="s">
        <v>196</v>
      </c>
      <c r="B203" s="123">
        <f>IF(B201-$B$193&lt;0,0,B201-$B$193)</f>
        <v>0</v>
      </c>
      <c r="C203" s="123">
        <f t="shared" ref="C203:H203" si="12">IF(C201-$B$193&lt;0,0,C201-$B$193)</f>
        <v>0</v>
      </c>
      <c r="D203" s="123">
        <f t="shared" si="12"/>
        <v>2.5358354764003846E-3</v>
      </c>
      <c r="E203" s="123">
        <f t="shared" si="12"/>
        <v>2.0810960811960075E-3</v>
      </c>
      <c r="F203" s="123">
        <f t="shared" si="12"/>
        <v>1.899200323114256E-3</v>
      </c>
      <c r="G203" s="123">
        <f t="shared" si="12"/>
        <v>2.0767486420440115E-3</v>
      </c>
      <c r="H203" s="123">
        <f t="shared" si="12"/>
        <v>1.7176730724580416E-3</v>
      </c>
      <c r="I203" s="123">
        <f t="shared" ref="I203:L203" si="13">IF(I201-$B$193&lt;0,0,I201-$B$193)</f>
        <v>1.5740428446236535E-3</v>
      </c>
      <c r="J203" s="123">
        <f t="shared" si="13"/>
        <v>9.5640429140175353E-4</v>
      </c>
      <c r="K203" s="123">
        <f t="shared" si="13"/>
        <v>9.5640429140175353E-4</v>
      </c>
      <c r="L203" s="123">
        <f t="shared" si="13"/>
        <v>9.5640429140175353E-4</v>
      </c>
    </row>
    <row r="204" spans="1:20" s="64" customFormat="1">
      <c r="A204" s="109"/>
      <c r="G204" s="60"/>
      <c r="H204" s="60"/>
    </row>
    <row r="205" spans="1:20" s="64" customFormat="1" ht="15">
      <c r="A205"/>
      <c r="R205" s="60"/>
      <c r="S205" s="60"/>
    </row>
    <row r="206" spans="1:20" s="64" customFormat="1" ht="15">
      <c r="A206" s="111" t="s">
        <v>248</v>
      </c>
      <c r="R206" s="60"/>
      <c r="S206" s="60"/>
    </row>
    <row r="207" spans="1:20" s="64" customFormat="1" ht="30">
      <c r="A207" s="98" t="s">
        <v>249</v>
      </c>
      <c r="B207" s="98" t="s">
        <v>250</v>
      </c>
      <c r="C207" s="98" t="s">
        <v>251</v>
      </c>
      <c r="S207" s="60"/>
      <c r="T207" s="60"/>
    </row>
    <row r="208" spans="1:20" s="64" customFormat="1">
      <c r="A208" s="154">
        <v>1.22</v>
      </c>
      <c r="B208" s="34">
        <v>9.4000000000000004E-3</v>
      </c>
      <c r="C208" s="157">
        <v>16510</v>
      </c>
      <c r="S208" s="60"/>
      <c r="T208" s="60"/>
    </row>
    <row r="209" spans="1:20" s="64" customFormat="1">
      <c r="A209" s="64" t="s">
        <v>297</v>
      </c>
      <c r="B209" s="64" t="s">
        <v>297</v>
      </c>
      <c r="C209" s="64" t="s">
        <v>276</v>
      </c>
      <c r="S209" s="60"/>
      <c r="T209" s="60"/>
    </row>
    <row r="210" spans="1:20" s="64" customFormat="1">
      <c r="N210" s="60"/>
      <c r="O210" s="60"/>
    </row>
    <row r="211" spans="1:20" s="64" customFormat="1" ht="15">
      <c r="A211" s="111" t="s">
        <v>230</v>
      </c>
      <c r="B211" s="134"/>
      <c r="C211" s="134"/>
      <c r="D211" s="139"/>
      <c r="E211" s="140"/>
      <c r="F211" s="141" t="s">
        <v>212</v>
      </c>
      <c r="G211" s="140"/>
      <c r="H211" s="142"/>
      <c r="N211" s="60"/>
      <c r="O211" s="60"/>
    </row>
    <row r="212" spans="1:20" s="64" customFormat="1" ht="15">
      <c r="B212" s="143" t="s">
        <v>150</v>
      </c>
      <c r="C212" s="143" t="s">
        <v>151</v>
      </c>
      <c r="D212" s="144" t="s">
        <v>152</v>
      </c>
      <c r="E212" s="143" t="s">
        <v>153</v>
      </c>
      <c r="F212" s="143" t="s">
        <v>154</v>
      </c>
      <c r="G212" s="143" t="s">
        <v>155</v>
      </c>
      <c r="H212" s="145" t="s">
        <v>156</v>
      </c>
      <c r="I212" s="143" t="s">
        <v>292</v>
      </c>
      <c r="J212" s="143" t="s">
        <v>293</v>
      </c>
      <c r="K212" s="143" t="s">
        <v>294</v>
      </c>
      <c r="L212" s="143" t="s">
        <v>295</v>
      </c>
      <c r="N212" s="60"/>
      <c r="O212" s="60"/>
    </row>
    <row r="213" spans="1:20" s="64" customFormat="1">
      <c r="A213" s="34" t="s">
        <v>252</v>
      </c>
      <c r="B213" s="114">
        <v>19390.234073822619</v>
      </c>
      <c r="C213" s="114">
        <v>20375.137276265807</v>
      </c>
      <c r="D213" s="114">
        <v>23846.005089585742</v>
      </c>
      <c r="E213" s="114">
        <v>25951.753631830485</v>
      </c>
      <c r="F213" s="114">
        <v>26238.375736269565</v>
      </c>
      <c r="G213" s="114">
        <v>24302.071807648528</v>
      </c>
      <c r="H213" s="114">
        <v>23785.369409451258</v>
      </c>
      <c r="I213" s="114">
        <v>22378.968962967738</v>
      </c>
      <c r="J213" s="114">
        <v>21038.833749960282</v>
      </c>
      <c r="K213" s="114">
        <v>21710.416563005012</v>
      </c>
      <c r="L213" s="114">
        <v>21147.623558682484</v>
      </c>
      <c r="N213" s="60"/>
      <c r="O213" s="60"/>
    </row>
    <row r="214" spans="1:20" s="64" customFormat="1">
      <c r="A214" s="34" t="s">
        <v>184</v>
      </c>
      <c r="B214" s="112">
        <f>$A$208+$A$208*(B213-$C$208)/$C$208</f>
        <v>1.4328337716573953</v>
      </c>
      <c r="C214" s="112">
        <f t="shared" ref="C214:H214" si="14">$A$208+$A$208*(C213-$C$208)/$C$208</f>
        <v>1.5056128090275158</v>
      </c>
      <c r="D214" s="112">
        <f t="shared" si="14"/>
        <v>1.762091230120812</v>
      </c>
      <c r="E214" s="112">
        <f t="shared" si="14"/>
        <v>1.9176946959923193</v>
      </c>
      <c r="F214" s="112">
        <f t="shared" si="14"/>
        <v>1.9388745244245227</v>
      </c>
      <c r="G214" s="112">
        <f t="shared" si="14"/>
        <v>1.7957921020794188</v>
      </c>
      <c r="H214" s="112">
        <f t="shared" si="14"/>
        <v>1.7576105802259558</v>
      </c>
      <c r="I214" s="112">
        <f t="shared" ref="I214:L214" si="15">$A$208+$A$208*(I213-$C$208)/$C$208</f>
        <v>1.6536851686747813</v>
      </c>
      <c r="J214" s="112">
        <f t="shared" si="15"/>
        <v>1.5546564006633279</v>
      </c>
      <c r="K214" s="112">
        <f t="shared" si="15"/>
        <v>1.6042827502644528</v>
      </c>
      <c r="L214" s="112">
        <f t="shared" si="15"/>
        <v>1.562695381077688</v>
      </c>
      <c r="N214" s="60"/>
      <c r="O214" s="60"/>
    </row>
    <row r="215" spans="1:20" s="64" customFormat="1">
      <c r="A215" s="34" t="s">
        <v>194</v>
      </c>
      <c r="B215" s="112">
        <f>$B$208+$B$208*(B213-$C$208)/$C$208</f>
        <v>1.1039866765229112E-2</v>
      </c>
      <c r="C215" s="112">
        <f t="shared" ref="C215:H215" si="16">$B$208+$B$208*(C213-$C$208)/$C$208</f>
        <v>1.1600623282671023E-2</v>
      </c>
      <c r="D215" s="112">
        <f t="shared" si="16"/>
        <v>1.3576768494373469E-2</v>
      </c>
      <c r="E215" s="112">
        <f t="shared" si="16"/>
        <v>1.4775680444530984E-2</v>
      </c>
      <c r="F215" s="112">
        <f t="shared" si="16"/>
        <v>1.49388692865496E-2</v>
      </c>
      <c r="G215" s="112">
        <f t="shared" si="16"/>
        <v>1.3836430950447981E-2</v>
      </c>
      <c r="H215" s="112">
        <f t="shared" si="16"/>
        <v>1.354224545419999E-2</v>
      </c>
      <c r="I215" s="112">
        <f t="shared" ref="I215:L215" si="17">$B$208+$B$208*(I213-$C$208)/$C$208</f>
        <v>1.2741508676674545E-2</v>
      </c>
      <c r="J215" s="112">
        <f t="shared" si="17"/>
        <v>1.1978500136258429E-2</v>
      </c>
      <c r="K215" s="112">
        <f t="shared" si="17"/>
        <v>1.2360867092201522E-2</v>
      </c>
      <c r="L215" s="112">
        <f t="shared" si="17"/>
        <v>1.2040439821418253E-2</v>
      </c>
      <c r="N215" s="60"/>
      <c r="O215" s="60"/>
    </row>
    <row r="216" spans="1:20" s="64" customFormat="1">
      <c r="A216" s="34" t="s">
        <v>195</v>
      </c>
      <c r="B216" s="112">
        <f>B214-$A$208</f>
        <v>0.21283377165739537</v>
      </c>
      <c r="C216" s="112">
        <f t="shared" ref="C216:H216" si="18">C214-$A$208</f>
        <v>0.28561280902751585</v>
      </c>
      <c r="D216" s="112">
        <f t="shared" si="18"/>
        <v>0.54209123012081206</v>
      </c>
      <c r="E216" s="112">
        <f t="shared" si="18"/>
        <v>0.69769469599231937</v>
      </c>
      <c r="F216" s="112">
        <f t="shared" si="18"/>
        <v>0.71887452442452271</v>
      </c>
      <c r="G216" s="112">
        <f t="shared" si="18"/>
        <v>0.57579210207941878</v>
      </c>
      <c r="H216" s="112">
        <f t="shared" si="18"/>
        <v>0.53761058022595587</v>
      </c>
      <c r="I216" s="112">
        <f t="shared" ref="I216:L216" si="19">I214-$A$208</f>
        <v>0.43368516867478135</v>
      </c>
      <c r="J216" s="112">
        <f t="shared" si="19"/>
        <v>0.33465640066332791</v>
      </c>
      <c r="K216" s="112">
        <f t="shared" si="19"/>
        <v>0.3842827502644528</v>
      </c>
      <c r="L216" s="112">
        <f t="shared" si="19"/>
        <v>0.34269538107768804</v>
      </c>
      <c r="N216" s="60"/>
      <c r="O216" s="60"/>
    </row>
    <row r="217" spans="1:20" s="64" customFormat="1">
      <c r="A217" s="34" t="s">
        <v>196</v>
      </c>
      <c r="B217" s="112">
        <f>B215-$B$208</f>
        <v>1.6398667652291112E-3</v>
      </c>
      <c r="C217" s="112">
        <f t="shared" ref="C217:H217" si="20">C215-$B$208</f>
        <v>2.2006232826710225E-3</v>
      </c>
      <c r="D217" s="112">
        <f t="shared" si="20"/>
        <v>4.1767684943734684E-3</v>
      </c>
      <c r="E217" s="112">
        <f t="shared" si="20"/>
        <v>5.3756804445309839E-3</v>
      </c>
      <c r="F217" s="112">
        <f t="shared" si="20"/>
        <v>5.5388692865496001E-3</v>
      </c>
      <c r="G217" s="112">
        <f t="shared" si="20"/>
        <v>4.4364309504479806E-3</v>
      </c>
      <c r="H217" s="112">
        <f t="shared" si="20"/>
        <v>4.1422454541999894E-3</v>
      </c>
      <c r="I217" s="112">
        <f t="shared" ref="I217:L217" si="21">I215-$B$208</f>
        <v>3.3415086766745445E-3</v>
      </c>
      <c r="J217" s="112">
        <f t="shared" si="21"/>
        <v>2.5785001362584291E-3</v>
      </c>
      <c r="K217" s="112">
        <f t="shared" si="21"/>
        <v>2.9608670922015214E-3</v>
      </c>
      <c r="L217" s="112">
        <f t="shared" si="21"/>
        <v>2.6404398214182525E-3</v>
      </c>
      <c r="N217" s="60"/>
      <c r="O217" s="60"/>
    </row>
    <row r="218" spans="1:20" s="64" customFormat="1" ht="15">
      <c r="A218" s="119"/>
      <c r="R218" s="60"/>
      <c r="S218" s="60"/>
    </row>
    <row r="219" spans="1:20" s="64" customFormat="1" ht="15">
      <c r="A219" s="119"/>
      <c r="R219" s="60"/>
      <c r="S219" s="60"/>
    </row>
    <row r="220" spans="1:20" s="64" customFormat="1" ht="15">
      <c r="A220" s="119"/>
      <c r="R220" s="60"/>
      <c r="S220" s="60"/>
    </row>
    <row r="221" spans="1:20" s="64" customFormat="1" ht="15">
      <c r="A221" s="111" t="s">
        <v>231</v>
      </c>
      <c r="R221" s="60"/>
      <c r="S221" s="60"/>
    </row>
    <row r="222" spans="1:20" s="64" customFormat="1" ht="15">
      <c r="A222" s="64" t="s">
        <v>276</v>
      </c>
      <c r="C222" s="134"/>
      <c r="D222" s="134"/>
      <c r="E222" s="139"/>
      <c r="F222" s="140"/>
      <c r="G222" s="141" t="s">
        <v>212</v>
      </c>
      <c r="H222" s="140"/>
      <c r="I222" s="142"/>
      <c r="J222" s="134"/>
      <c r="K222" s="134"/>
      <c r="L222" s="134"/>
      <c r="M222" s="134"/>
      <c r="Q222" s="60"/>
      <c r="R222" s="60"/>
    </row>
    <row r="223" spans="1:20" s="64" customFormat="1" ht="15">
      <c r="A223" s="98" t="s">
        <v>232</v>
      </c>
      <c r="B223" s="98" t="s">
        <v>126</v>
      </c>
      <c r="C223" s="143" t="s">
        <v>150</v>
      </c>
      <c r="D223" s="143" t="s">
        <v>151</v>
      </c>
      <c r="E223" s="144" t="s">
        <v>152</v>
      </c>
      <c r="F223" s="143" t="s">
        <v>153</v>
      </c>
      <c r="G223" s="143" t="s">
        <v>154</v>
      </c>
      <c r="H223" s="143" t="s">
        <v>155</v>
      </c>
      <c r="I223" s="145" t="s">
        <v>156</v>
      </c>
      <c r="J223" s="143" t="s">
        <v>292</v>
      </c>
      <c r="K223" s="143" t="s">
        <v>293</v>
      </c>
      <c r="L223" s="143" t="s">
        <v>294</v>
      </c>
      <c r="M223" s="143" t="s">
        <v>295</v>
      </c>
      <c r="N223" s="60"/>
    </row>
    <row r="224" spans="1:20" s="64" customFormat="1">
      <c r="A224" s="34" t="s">
        <v>88</v>
      </c>
      <c r="B224" s="34" t="s">
        <v>179</v>
      </c>
      <c r="C224" s="112">
        <f t="shared" ref="C224:I224" si="22">B202</f>
        <v>0</v>
      </c>
      <c r="D224" s="112">
        <f t="shared" si="22"/>
        <v>0</v>
      </c>
      <c r="E224" s="112">
        <f t="shared" si="22"/>
        <v>0.58422413314692401</v>
      </c>
      <c r="F224" s="112">
        <f t="shared" si="22"/>
        <v>0.47945797956816283</v>
      </c>
      <c r="G224" s="112">
        <f t="shared" si="22"/>
        <v>0.43755151813665827</v>
      </c>
      <c r="H224" s="112">
        <f t="shared" si="22"/>
        <v>0.47845638506661836</v>
      </c>
      <c r="I224" s="112">
        <f t="shared" si="22"/>
        <v>0.39572995611335515</v>
      </c>
      <c r="J224" s="112">
        <f t="shared" ref="J224:L224" si="23">I202</f>
        <v>0.36263938453204969</v>
      </c>
      <c r="K224" s="112">
        <f t="shared" si="23"/>
        <v>0.22034334375483189</v>
      </c>
      <c r="L224" s="112">
        <f t="shared" si="23"/>
        <v>0.22034334375483189</v>
      </c>
      <c r="M224" s="112">
        <f t="shared" ref="M224" si="24">L202</f>
        <v>0.22034334375483189</v>
      </c>
      <c r="N224" s="60"/>
    </row>
    <row r="225" spans="1:20" s="64" customFormat="1">
      <c r="A225" s="147" t="s">
        <v>88</v>
      </c>
      <c r="B225" s="147" t="s">
        <v>178</v>
      </c>
      <c r="C225" s="148">
        <f t="shared" ref="C225:I225" si="25">B216</f>
        <v>0.21283377165739537</v>
      </c>
      <c r="D225" s="148">
        <f t="shared" si="25"/>
        <v>0.28561280902751585</v>
      </c>
      <c r="E225" s="148">
        <f t="shared" si="25"/>
        <v>0.54209123012081206</v>
      </c>
      <c r="F225" s="148">
        <f t="shared" si="25"/>
        <v>0.69769469599231937</v>
      </c>
      <c r="G225" s="148">
        <f t="shared" si="25"/>
        <v>0.71887452442452271</v>
      </c>
      <c r="H225" s="148">
        <f t="shared" si="25"/>
        <v>0.57579210207941878</v>
      </c>
      <c r="I225" s="148">
        <f t="shared" si="25"/>
        <v>0.53761058022595587</v>
      </c>
      <c r="J225" s="148">
        <f t="shared" ref="J225" si="26">I216</f>
        <v>0.43368516867478135</v>
      </c>
      <c r="K225" s="148">
        <f t="shared" ref="K225" si="27">J216</f>
        <v>0.33465640066332791</v>
      </c>
      <c r="L225" s="148">
        <f t="shared" ref="L225:M225" si="28">K216</f>
        <v>0.3842827502644528</v>
      </c>
      <c r="M225" s="148">
        <f t="shared" si="28"/>
        <v>0.34269538107768804</v>
      </c>
      <c r="N225" s="60"/>
    </row>
    <row r="226" spans="1:20" s="64" customFormat="1" ht="15">
      <c r="A226" s="67" t="s">
        <v>140</v>
      </c>
      <c r="B226" s="74"/>
      <c r="C226" s="74">
        <f>SUM(C224:C225)</f>
        <v>0.21283377165739537</v>
      </c>
      <c r="D226" s="74">
        <f t="shared" ref="D226:I226" si="29">SUM(D224:D225)</f>
        <v>0.28561280902751585</v>
      </c>
      <c r="E226" s="152">
        <f t="shared" si="29"/>
        <v>1.1263153632677361</v>
      </c>
      <c r="F226" s="152">
        <f t="shared" si="29"/>
        <v>1.1771526755604822</v>
      </c>
      <c r="G226" s="152">
        <f t="shared" si="29"/>
        <v>1.156426042561181</v>
      </c>
      <c r="H226" s="152">
        <f t="shared" si="29"/>
        <v>1.0542484871460371</v>
      </c>
      <c r="I226" s="152">
        <f t="shared" si="29"/>
        <v>0.93334053633931102</v>
      </c>
      <c r="J226" s="152">
        <f t="shared" ref="J226:L226" si="30">SUM(J224:J225)</f>
        <v>0.79632455320683104</v>
      </c>
      <c r="K226" s="152">
        <f t="shared" si="30"/>
        <v>0.5549997444181598</v>
      </c>
      <c r="L226" s="152">
        <f t="shared" si="30"/>
        <v>0.60462609401928469</v>
      </c>
      <c r="M226" s="152">
        <f t="shared" ref="M226" si="31">SUM(M224:M225)</f>
        <v>0.56303872483251993</v>
      </c>
      <c r="N226" s="60"/>
    </row>
    <row r="227" spans="1:20" s="64" customFormat="1">
      <c r="A227" s="149" t="s">
        <v>89</v>
      </c>
      <c r="B227" s="149" t="s">
        <v>179</v>
      </c>
      <c r="C227" s="150">
        <f t="shared" ref="C227:I227" si="32">B203</f>
        <v>0</v>
      </c>
      <c r="D227" s="150">
        <f t="shared" si="32"/>
        <v>0</v>
      </c>
      <c r="E227" s="150">
        <f t="shared" si="32"/>
        <v>2.5358354764003846E-3</v>
      </c>
      <c r="F227" s="150">
        <f t="shared" si="32"/>
        <v>2.0810960811960075E-3</v>
      </c>
      <c r="G227" s="150">
        <f t="shared" si="32"/>
        <v>1.899200323114256E-3</v>
      </c>
      <c r="H227" s="150">
        <f t="shared" si="32"/>
        <v>2.0767486420440115E-3</v>
      </c>
      <c r="I227" s="150">
        <f t="shared" si="32"/>
        <v>1.7176730724580416E-3</v>
      </c>
      <c r="J227" s="150">
        <f t="shared" ref="J227:L227" si="33">I203</f>
        <v>1.5740428446236535E-3</v>
      </c>
      <c r="K227" s="150">
        <f t="shared" si="33"/>
        <v>9.5640429140175353E-4</v>
      </c>
      <c r="L227" s="150">
        <f t="shared" si="33"/>
        <v>9.5640429140175353E-4</v>
      </c>
      <c r="M227" s="150">
        <f t="shared" ref="M227" si="34">L203</f>
        <v>9.5640429140175353E-4</v>
      </c>
      <c r="N227" s="60"/>
    </row>
    <row r="228" spans="1:20" s="64" customFormat="1">
      <c r="A228" s="147" t="s">
        <v>89</v>
      </c>
      <c r="B228" s="147" t="s">
        <v>178</v>
      </c>
      <c r="C228" s="151">
        <f t="shared" ref="C228:I228" si="35">B217</f>
        <v>1.6398667652291112E-3</v>
      </c>
      <c r="D228" s="151">
        <f t="shared" si="35"/>
        <v>2.2006232826710225E-3</v>
      </c>
      <c r="E228" s="151">
        <f t="shared" si="35"/>
        <v>4.1767684943734684E-3</v>
      </c>
      <c r="F228" s="151">
        <f t="shared" si="35"/>
        <v>5.3756804445309839E-3</v>
      </c>
      <c r="G228" s="151">
        <f t="shared" si="35"/>
        <v>5.5388692865496001E-3</v>
      </c>
      <c r="H228" s="151">
        <f t="shared" si="35"/>
        <v>4.4364309504479806E-3</v>
      </c>
      <c r="I228" s="151">
        <f t="shared" si="35"/>
        <v>4.1422454541999894E-3</v>
      </c>
      <c r="J228" s="151">
        <f t="shared" ref="J228" si="36">I217</f>
        <v>3.3415086766745445E-3</v>
      </c>
      <c r="K228" s="151">
        <f t="shared" ref="K228" si="37">J217</f>
        <v>2.5785001362584291E-3</v>
      </c>
      <c r="L228" s="151">
        <f t="shared" ref="L228:M228" si="38">K217</f>
        <v>2.9608670922015214E-3</v>
      </c>
      <c r="M228" s="151">
        <f t="shared" si="38"/>
        <v>2.6404398214182525E-3</v>
      </c>
      <c r="N228" s="60"/>
    </row>
    <row r="229" spans="1:20" s="64" customFormat="1" ht="15">
      <c r="A229" s="67" t="s">
        <v>140</v>
      </c>
      <c r="B229" s="74"/>
      <c r="C229" s="74">
        <f t="shared" ref="C229:I229" si="39">SUM(C227:C228)</f>
        <v>1.6398667652291112E-3</v>
      </c>
      <c r="D229" s="74">
        <f t="shared" si="39"/>
        <v>2.2006232826710225E-3</v>
      </c>
      <c r="E229" s="152">
        <f t="shared" si="39"/>
        <v>6.7126039707738529E-3</v>
      </c>
      <c r="F229" s="152">
        <f t="shared" si="39"/>
        <v>7.4567765257269915E-3</v>
      </c>
      <c r="G229" s="152">
        <f t="shared" si="39"/>
        <v>7.4380696096638561E-3</v>
      </c>
      <c r="H229" s="152">
        <f t="shared" si="39"/>
        <v>6.5131795924919921E-3</v>
      </c>
      <c r="I229" s="152">
        <f t="shared" si="39"/>
        <v>5.859918526658031E-3</v>
      </c>
      <c r="J229" s="152">
        <f t="shared" ref="J229:L229" si="40">SUM(J227:J228)</f>
        <v>4.915551521298198E-3</v>
      </c>
      <c r="K229" s="152">
        <f t="shared" si="40"/>
        <v>3.5349044276601826E-3</v>
      </c>
      <c r="L229" s="152">
        <f t="shared" si="40"/>
        <v>3.917271383603275E-3</v>
      </c>
      <c r="M229" s="152">
        <f t="shared" ref="M229" si="41">SUM(M227:M228)</f>
        <v>3.596844112820006E-3</v>
      </c>
      <c r="N229" s="60"/>
    </row>
    <row r="230" spans="1:20" s="64" customFormat="1">
      <c r="A230" s="109"/>
      <c r="B230" s="120"/>
      <c r="C230" s="121"/>
      <c r="D230" s="121"/>
      <c r="E230" s="121"/>
      <c r="F230" s="121"/>
      <c r="G230" s="121"/>
      <c r="H230" s="121"/>
      <c r="I230" s="121"/>
      <c r="J230" s="121"/>
      <c r="K230" s="121"/>
      <c r="L230" s="121"/>
      <c r="M230" s="121"/>
      <c r="Q230" s="60"/>
      <c r="R230" s="60"/>
    </row>
    <row r="231" spans="1:20" s="64" customFormat="1">
      <c r="A231" s="60"/>
      <c r="R231" s="60"/>
      <c r="S231" s="60"/>
    </row>
    <row r="232" spans="1:20" s="64" customFormat="1" ht="18">
      <c r="A232" s="61" t="s">
        <v>176</v>
      </c>
      <c r="R232" s="60"/>
      <c r="S232" s="60"/>
    </row>
    <row r="233" spans="1:20" s="64" customFormat="1">
      <c r="A233" s="64" t="s">
        <v>175</v>
      </c>
      <c r="R233" s="60"/>
      <c r="S233" s="60"/>
    </row>
    <row r="234" spans="1:20" s="64" customFormat="1">
      <c r="A234" s="64" t="s">
        <v>233</v>
      </c>
      <c r="R234" s="60"/>
      <c r="S234" s="60"/>
    </row>
    <row r="235" spans="1:20" s="64" customFormat="1">
      <c r="A235" s="64" t="s">
        <v>274</v>
      </c>
      <c r="R235" s="60"/>
      <c r="S235" s="60"/>
    </row>
    <row r="236" spans="1:20" s="64" customFormat="1" ht="15">
      <c r="E236"/>
      <c r="F236"/>
      <c r="G236"/>
      <c r="H236"/>
      <c r="I236"/>
      <c r="J236"/>
      <c r="K236"/>
      <c r="L236"/>
      <c r="M236"/>
      <c r="N236"/>
      <c r="O236"/>
      <c r="S236" s="60"/>
      <c r="T236" s="60"/>
    </row>
    <row r="237" spans="1:20" s="64" customFormat="1" ht="15">
      <c r="E237" s="134"/>
      <c r="F237" s="134"/>
      <c r="G237" s="139"/>
      <c r="H237" s="140"/>
      <c r="I237" s="141" t="s">
        <v>212</v>
      </c>
      <c r="J237" s="140"/>
      <c r="K237" s="142"/>
      <c r="L237" s="134"/>
      <c r="M237" s="134"/>
      <c r="N237" s="134"/>
      <c r="O237" s="134"/>
      <c r="S237" s="60"/>
      <c r="T237" s="60"/>
    </row>
    <row r="238" spans="1:20" s="64" customFormat="1" ht="30">
      <c r="A238" s="98" t="s">
        <v>126</v>
      </c>
      <c r="B238" s="98" t="s">
        <v>135</v>
      </c>
      <c r="C238" s="98" t="s">
        <v>203</v>
      </c>
      <c r="D238" s="98" t="s">
        <v>182</v>
      </c>
      <c r="E238" s="143" t="s">
        <v>150</v>
      </c>
      <c r="F238" s="143" t="s">
        <v>151</v>
      </c>
      <c r="G238" s="144" t="s">
        <v>152</v>
      </c>
      <c r="H238" s="143" t="s">
        <v>153</v>
      </c>
      <c r="I238" s="143" t="s">
        <v>154</v>
      </c>
      <c r="J238" s="143" t="s">
        <v>155</v>
      </c>
      <c r="K238" s="145" t="s">
        <v>156</v>
      </c>
      <c r="L238" s="143" t="s">
        <v>292</v>
      </c>
      <c r="M238" s="143" t="s">
        <v>293</v>
      </c>
      <c r="N238" s="143" t="s">
        <v>294</v>
      </c>
      <c r="O238" s="143" t="s">
        <v>295</v>
      </c>
      <c r="P238" s="60"/>
    </row>
    <row r="239" spans="1:20">
      <c r="A239" s="34" t="s">
        <v>127</v>
      </c>
      <c r="B239" s="34" t="s">
        <v>235</v>
      </c>
      <c r="C239" s="34"/>
      <c r="D239" s="113">
        <f>1053/5/3</f>
        <v>70.2</v>
      </c>
      <c r="E239" s="100"/>
      <c r="F239" s="100"/>
      <c r="G239" s="112">
        <f>$D239*'Work quantities to SAIDI SAIFI'!F$15*D$27</f>
        <v>5.2011180000000004E-2</v>
      </c>
      <c r="H239" s="112">
        <f>$D239*'Work quantities to SAIDI SAIFI'!G$15*E$27</f>
        <v>5.2011180000000004E-2</v>
      </c>
      <c r="I239" s="112">
        <f>$D239*'Work quantities to SAIDI SAIFI'!H$15*F$27</f>
        <v>5.2011180000000004E-2</v>
      </c>
      <c r="J239" s="112">
        <f>$D239*'Work quantities to SAIDI SAIFI'!I$15*G$27</f>
        <v>5.2011180000000004E-2</v>
      </c>
      <c r="K239" s="112">
        <f>$D239*'Work quantities to SAIDI SAIFI'!J$15*H$27</f>
        <v>5.2011180000000004E-2</v>
      </c>
      <c r="L239" s="112">
        <f>$D239*'Work quantities to SAIDI SAIFI'!K$15*I$27</f>
        <v>5.2011180000000004E-2</v>
      </c>
      <c r="M239" s="112">
        <f>$D239*'Work quantities to SAIDI SAIFI'!L$15*J$27</f>
        <v>5.2011180000000004E-2</v>
      </c>
      <c r="N239" s="112">
        <f>$D239*'Work quantities to SAIDI SAIFI'!M$15*K$27</f>
        <v>5.2011180000000004E-2</v>
      </c>
      <c r="O239" s="112">
        <f>$D239*'Work quantities to SAIDI SAIFI'!N$15*L$27</f>
        <v>5.2011180000000004E-2</v>
      </c>
      <c r="P239" s="60"/>
      <c r="R239" s="62"/>
      <c r="S239" s="62"/>
    </row>
    <row r="240" spans="1:20">
      <c r="A240" s="34" t="s">
        <v>128</v>
      </c>
      <c r="B240" s="34" t="s">
        <v>214</v>
      </c>
      <c r="C240" s="34"/>
      <c r="D240" s="113">
        <f>449/5/2</f>
        <v>44.9</v>
      </c>
      <c r="E240" s="100"/>
      <c r="F240" s="100"/>
      <c r="G240" s="112">
        <f>$D240*'Work quantities to SAIDI SAIFI'!F$21*D$27</f>
        <v>0.77135254559999988</v>
      </c>
      <c r="H240" s="112">
        <f>$D240*'Work quantities to SAIDI SAIFI'!G$21*E$27</f>
        <v>0.77135254559999988</v>
      </c>
      <c r="I240" s="112">
        <f>$D240*'Work quantities to SAIDI SAIFI'!H$21*F$27</f>
        <v>0.77135254559999988</v>
      </c>
      <c r="J240" s="112">
        <f>$D240*'Work quantities to SAIDI SAIFI'!I$21*G$27</f>
        <v>0.77135254559999988</v>
      </c>
      <c r="K240" s="112">
        <f>$D240*'Work quantities to SAIDI SAIFI'!J$21*H$27</f>
        <v>0.77135254559999988</v>
      </c>
      <c r="L240" s="112">
        <f>$D240*'Work quantities to SAIDI SAIFI'!K$21*I$27</f>
        <v>0.77135254559999988</v>
      </c>
      <c r="M240" s="112">
        <f>$D240*'Work quantities to SAIDI SAIFI'!L$21*J$27</f>
        <v>0.77135254559999988</v>
      </c>
      <c r="N240" s="112">
        <f>$D240*'Work quantities to SAIDI SAIFI'!M$21*K$27</f>
        <v>0.77135254559999988</v>
      </c>
      <c r="O240" s="112">
        <f>$D240*'Work quantities to SAIDI SAIFI'!N$21*L$27</f>
        <v>0.77135254559999988</v>
      </c>
      <c r="P240" s="60"/>
      <c r="R240" s="62"/>
      <c r="S240" s="62"/>
    </row>
    <row r="241" spans="1:19" s="64" customFormat="1">
      <c r="A241" s="34" t="s">
        <v>129</v>
      </c>
      <c r="B241" s="34" t="s">
        <v>236</v>
      </c>
      <c r="C241" s="34"/>
      <c r="D241" s="113">
        <v>50</v>
      </c>
      <c r="E241" s="100"/>
      <c r="F241" s="100"/>
      <c r="G241" s="112">
        <f>$D241*'Work quantities to SAIDI SAIFI'!F$11*D$27</f>
        <v>0.29830000000000001</v>
      </c>
      <c r="H241" s="112">
        <f>$D241*'Work quantities to SAIDI SAIFI'!G$11*E$27</f>
        <v>0.27796999999999994</v>
      </c>
      <c r="I241" s="112">
        <f>$D241*'Work quantities to SAIDI SAIFI'!H$11*F$27</f>
        <v>0.27796999999999994</v>
      </c>
      <c r="J241" s="112">
        <f>$D241*'Work quantities to SAIDI SAIFI'!I$11*G$27</f>
        <v>0.27796999999999994</v>
      </c>
      <c r="K241" s="112">
        <f>$D241*'Work quantities to SAIDI SAIFI'!J$11*H$27</f>
        <v>0.27796999999999994</v>
      </c>
      <c r="L241" s="112">
        <f>$D241*'Work quantities to SAIDI SAIFI'!K$11*I$27</f>
        <v>0.27796999999999994</v>
      </c>
      <c r="M241" s="112">
        <f>$D241*'Work quantities to SAIDI SAIFI'!L$11*J$27</f>
        <v>0.27796999999999994</v>
      </c>
      <c r="N241" s="112">
        <f>$D241*'Work quantities to SAIDI SAIFI'!M$11*K$27</f>
        <v>0.27796999999999994</v>
      </c>
      <c r="O241" s="112">
        <f>$D241*'Work quantities to SAIDI SAIFI'!N$11*L$27</f>
        <v>0.27796999999999994</v>
      </c>
      <c r="P241" s="60"/>
    </row>
    <row r="242" spans="1:19" s="64" customFormat="1">
      <c r="A242" s="34" t="s">
        <v>130</v>
      </c>
      <c r="B242" s="34" t="s">
        <v>215</v>
      </c>
      <c r="C242" s="34"/>
      <c r="D242" s="113">
        <f>34/5</f>
        <v>6.8</v>
      </c>
      <c r="E242" s="100"/>
      <c r="F242" s="100"/>
      <c r="G242" s="112">
        <f>$D242*'Work quantities to SAIDI SAIFI'!F$26*D$27</f>
        <v>0.15177599999999999</v>
      </c>
      <c r="H242" s="112">
        <f>$D242*'Work quantities to SAIDI SAIFI'!G$26*E$27</f>
        <v>0.15177599999999999</v>
      </c>
      <c r="I242" s="112">
        <f>$D242*'Work quantities to SAIDI SAIFI'!H$26*F$27</f>
        <v>0.15177599999999999</v>
      </c>
      <c r="J242" s="112">
        <f>$D242*'Work quantities to SAIDI SAIFI'!I$26*G$27</f>
        <v>0.15177599999999999</v>
      </c>
      <c r="K242" s="112">
        <f>$D242*'Work quantities to SAIDI SAIFI'!J$26*H$27</f>
        <v>0.15177599999999999</v>
      </c>
      <c r="L242" s="112">
        <f>$D242*'Work quantities to SAIDI SAIFI'!K$26*I$27</f>
        <v>0.15177599999999999</v>
      </c>
      <c r="M242" s="112">
        <f>$D242*'Work quantities to SAIDI SAIFI'!L$26*J$27</f>
        <v>0.15177599999999999</v>
      </c>
      <c r="N242" s="112">
        <f>$D242*'Work quantities to SAIDI SAIFI'!M$26*K$27</f>
        <v>0.15177599999999999</v>
      </c>
      <c r="O242" s="112">
        <f>$D242*'Work quantities to SAIDI SAIFI'!N$26*L$27</f>
        <v>0.15177599999999999</v>
      </c>
      <c r="P242" s="60"/>
    </row>
    <row r="243" spans="1:19" s="64" customFormat="1">
      <c r="A243" s="34" t="s">
        <v>131</v>
      </c>
      <c r="B243" s="34" t="s">
        <v>237</v>
      </c>
      <c r="C243" s="34"/>
      <c r="D243" s="113">
        <f>100</f>
        <v>100</v>
      </c>
      <c r="E243" s="100"/>
      <c r="F243" s="100"/>
      <c r="G243" s="112">
        <f>$D243*'Work quantities to SAIDI SAIFI'!F$24*D$27</f>
        <v>4.4000000000000004E-2</v>
      </c>
      <c r="H243" s="112">
        <f>$D243*'Work quantities to SAIDI SAIFI'!G$24*E$27</f>
        <v>4.4000000000000004E-2</v>
      </c>
      <c r="I243" s="112">
        <f>$D243*'Work quantities to SAIDI SAIFI'!H$24*F$27</f>
        <v>4.4000000000000004E-2</v>
      </c>
      <c r="J243" s="112">
        <f>$D243*'Work quantities to SAIDI SAIFI'!I$24*G$27</f>
        <v>4.4000000000000004E-2</v>
      </c>
      <c r="K243" s="112">
        <f>$D243*'Work quantities to SAIDI SAIFI'!J$24*H$27</f>
        <v>4.4000000000000004E-2</v>
      </c>
      <c r="L243" s="112">
        <f>$D243*'Work quantities to SAIDI SAIFI'!K$24*I$27</f>
        <v>4.4000000000000004E-2</v>
      </c>
      <c r="M243" s="112">
        <f>$D243*'Work quantities to SAIDI SAIFI'!L$24*J$27</f>
        <v>4.4000000000000004E-2</v>
      </c>
      <c r="N243" s="112">
        <f>$D243*'Work quantities to SAIDI SAIFI'!M$24*K$27</f>
        <v>4.4000000000000004E-2</v>
      </c>
      <c r="O243" s="112">
        <f>$D243*'Work quantities to SAIDI SAIFI'!N$24*L$27</f>
        <v>4.4000000000000004E-2</v>
      </c>
      <c r="P243" s="60"/>
    </row>
    <row r="244" spans="1:19" s="64" customFormat="1">
      <c r="A244" s="34" t="s">
        <v>132</v>
      </c>
      <c r="B244" s="34" t="s">
        <v>238</v>
      </c>
      <c r="C244" s="34"/>
      <c r="D244" s="113">
        <f>0.1*20</f>
        <v>2</v>
      </c>
      <c r="E244" s="100"/>
      <c r="F244" s="100"/>
      <c r="G244" s="112">
        <f>$D244*'Work quantities to SAIDI SAIFI'!F$17*D$27</f>
        <v>9.5259743983061432E-2</v>
      </c>
      <c r="H244" s="112">
        <f>$D244*'Work quantities to SAIDI SAIFI'!G$17*E$27</f>
        <v>9.5259743983061432E-2</v>
      </c>
      <c r="I244" s="112">
        <f>$D244*'Work quantities to SAIDI SAIFI'!H$17*F$27</f>
        <v>9.5259743983061432E-2</v>
      </c>
      <c r="J244" s="112">
        <f>$D244*'Work quantities to SAIDI SAIFI'!I$17*G$27</f>
        <v>9.5259743983061432E-2</v>
      </c>
      <c r="K244" s="112">
        <f>$D244*'Work quantities to SAIDI SAIFI'!J$17*H$27</f>
        <v>9.5259743983061432E-2</v>
      </c>
      <c r="L244" s="112">
        <f>$D244*'Work quantities to SAIDI SAIFI'!K$17*I$27</f>
        <v>9.5259743983061432E-2</v>
      </c>
      <c r="M244" s="112">
        <f>$D244*'Work quantities to SAIDI SAIFI'!L$17*J$27</f>
        <v>9.5259743983061432E-2</v>
      </c>
      <c r="N244" s="112">
        <f>$D244*'Work quantities to SAIDI SAIFI'!M$17*K$27</f>
        <v>9.5259743983061432E-2</v>
      </c>
      <c r="O244" s="112">
        <f>$D244*'Work quantities to SAIDI SAIFI'!N$17*L$27</f>
        <v>9.5259743983061432E-2</v>
      </c>
      <c r="P244" s="60"/>
    </row>
    <row r="245" spans="1:19" s="64" customFormat="1">
      <c r="A245" s="34" t="s">
        <v>133</v>
      </c>
      <c r="B245" s="34" t="s">
        <v>216</v>
      </c>
      <c r="C245" s="34"/>
      <c r="D245" s="154">
        <f>50*0.05</f>
        <v>2.5</v>
      </c>
      <c r="E245" s="100"/>
      <c r="F245" s="100"/>
      <c r="G245" s="112">
        <f>$D245*'Work quantities to SAIDI SAIFI'!F$17*D$27</f>
        <v>0.11907467997882679</v>
      </c>
      <c r="H245" s="112">
        <f>$D245*'Work quantities to SAIDI SAIFI'!G$17*E$27</f>
        <v>0.11907467997882679</v>
      </c>
      <c r="I245" s="112">
        <f>$D245*'Work quantities to SAIDI SAIFI'!H$17*F$27</f>
        <v>0.11907467997882679</v>
      </c>
      <c r="J245" s="112">
        <f>$D245*'Work quantities to SAIDI SAIFI'!I$17*G$27</f>
        <v>0.11907467997882679</v>
      </c>
      <c r="K245" s="112">
        <f>$D245*'Work quantities to SAIDI SAIFI'!J$17*H$27</f>
        <v>0.11907467997882679</v>
      </c>
      <c r="L245" s="112">
        <f>$D245*'Work quantities to SAIDI SAIFI'!K$17*I$27</f>
        <v>0.11907467997882679</v>
      </c>
      <c r="M245" s="112">
        <f>$D245*'Work quantities to SAIDI SAIFI'!L$17*J$27</f>
        <v>0.11907467997882679</v>
      </c>
      <c r="N245" s="112">
        <f>$D245*'Work quantities to SAIDI SAIFI'!M$17*K$27</f>
        <v>0.11907467997882679</v>
      </c>
      <c r="O245" s="112">
        <f>$D245*'Work quantities to SAIDI SAIFI'!N$17*L$27</f>
        <v>0.11907467997882679</v>
      </c>
      <c r="P245" s="60"/>
    </row>
    <row r="246" spans="1:19" s="64" customFormat="1">
      <c r="A246" s="34" t="s">
        <v>134</v>
      </c>
      <c r="B246" s="34" t="s">
        <v>217</v>
      </c>
      <c r="C246" s="34"/>
      <c r="D246" s="113">
        <f>200/3</f>
        <v>66.666666666666671</v>
      </c>
      <c r="E246" s="100"/>
      <c r="F246" s="100"/>
      <c r="G246" s="112">
        <f>$D246*'Work quantities to SAIDI SAIFI'!F$14*D$27</f>
        <v>0.20564168881532838</v>
      </c>
      <c r="H246" s="112">
        <f>$D246*'Work quantities to SAIDI SAIFI'!G$14*E$27</f>
        <v>0.19718184184746135</v>
      </c>
      <c r="I246" s="112">
        <f>$D246*'Work quantities to SAIDI SAIFI'!H$14*F$27</f>
        <v>0.19718184184746135</v>
      </c>
      <c r="J246" s="112">
        <f>$D246*'Work quantities to SAIDI SAIFI'!I$14*G$27</f>
        <v>0.19718184184746135</v>
      </c>
      <c r="K246" s="112">
        <f>$D246*'Work quantities to SAIDI SAIFI'!J$14*H$27</f>
        <v>0.19718184184746135</v>
      </c>
      <c r="L246" s="112">
        <f>$D246*'Work quantities to SAIDI SAIFI'!K$14*I$27</f>
        <v>0.19718184184746135</v>
      </c>
      <c r="M246" s="112">
        <f>$D246*'Work quantities to SAIDI SAIFI'!L$14*J$27</f>
        <v>0.19718184184746135</v>
      </c>
      <c r="N246" s="112">
        <f>$D246*'Work quantities to SAIDI SAIFI'!M$14*K$27</f>
        <v>0.19718184184746135</v>
      </c>
      <c r="O246" s="112">
        <f>$D246*'Work quantities to SAIDI SAIFI'!N$14*L$27</f>
        <v>0.19718184184746135</v>
      </c>
      <c r="P246" s="60"/>
    </row>
    <row r="247" spans="1:19" s="64" customFormat="1">
      <c r="A247" s="34" t="s">
        <v>136</v>
      </c>
      <c r="B247" s="34" t="s">
        <v>218</v>
      </c>
      <c r="C247" s="34"/>
      <c r="D247" s="113">
        <f>10*0.1</f>
        <v>1</v>
      </c>
      <c r="E247" s="100"/>
      <c r="F247" s="100"/>
      <c r="G247" s="112">
        <f>$D247*'Work quantities to SAIDI SAIFI'!F$17*D$27</f>
        <v>4.7629871991530716E-2</v>
      </c>
      <c r="H247" s="112">
        <f>$D247*'Work quantities to SAIDI SAIFI'!G$17*E$27</f>
        <v>4.7629871991530716E-2</v>
      </c>
      <c r="I247" s="112">
        <f>$D247*'Work quantities to SAIDI SAIFI'!H$17*F$27</f>
        <v>4.7629871991530716E-2</v>
      </c>
      <c r="J247" s="112">
        <f>$D247*'Work quantities to SAIDI SAIFI'!I$17*G$27</f>
        <v>4.7629871991530716E-2</v>
      </c>
      <c r="K247" s="112">
        <f>$D247*'Work quantities to SAIDI SAIFI'!J$17*H$27</f>
        <v>4.7629871991530716E-2</v>
      </c>
      <c r="L247" s="112">
        <f>$D247*'Work quantities to SAIDI SAIFI'!K$17*I$27</f>
        <v>4.7629871991530716E-2</v>
      </c>
      <c r="M247" s="112">
        <f>$D247*'Work quantities to SAIDI SAIFI'!L$17*J$27</f>
        <v>4.7629871991530716E-2</v>
      </c>
      <c r="N247" s="112">
        <f>$D247*'Work quantities to SAIDI SAIFI'!M$17*K$27</f>
        <v>4.7629871991530716E-2</v>
      </c>
      <c r="O247" s="112">
        <f>$D247*'Work quantities to SAIDI SAIFI'!N$17*L$27</f>
        <v>4.7629871991530716E-2</v>
      </c>
      <c r="P247" s="60"/>
    </row>
    <row r="248" spans="1:19" s="64" customFormat="1" ht="15">
      <c r="A248" s="67" t="s">
        <v>140</v>
      </c>
      <c r="B248" s="74"/>
      <c r="C248" s="74"/>
      <c r="D248" s="74"/>
      <c r="E248" s="152">
        <f t="shared" ref="E248:K248" si="42">SUM(E239:E247)</f>
        <v>0</v>
      </c>
      <c r="F248" s="152">
        <f t="shared" si="42"/>
        <v>0</v>
      </c>
      <c r="G248" s="152">
        <f t="shared" si="42"/>
        <v>1.7850457103687469</v>
      </c>
      <c r="H248" s="152">
        <f>SUM(H239:H247)</f>
        <v>1.75625586340088</v>
      </c>
      <c r="I248" s="152">
        <f t="shared" si="42"/>
        <v>1.75625586340088</v>
      </c>
      <c r="J248" s="152">
        <f t="shared" si="42"/>
        <v>1.75625586340088</v>
      </c>
      <c r="K248" s="152">
        <f t="shared" si="42"/>
        <v>1.75625586340088</v>
      </c>
      <c r="L248" s="152">
        <f t="shared" ref="L248:O248" si="43">SUM(L239:L247)</f>
        <v>1.75625586340088</v>
      </c>
      <c r="M248" s="152">
        <f t="shared" si="43"/>
        <v>1.75625586340088</v>
      </c>
      <c r="N248" s="152">
        <f t="shared" si="43"/>
        <v>1.75625586340088</v>
      </c>
      <c r="O248" s="152">
        <f t="shared" si="43"/>
        <v>1.75625586340088</v>
      </c>
      <c r="P248" s="60"/>
    </row>
    <row r="249" spans="1:19" s="64" customFormat="1" ht="15">
      <c r="E249"/>
      <c r="F249"/>
      <c r="G249"/>
      <c r="H249"/>
      <c r="I249"/>
      <c r="J249"/>
      <c r="K249"/>
      <c r="L249" s="180"/>
      <c r="M249" s="180"/>
      <c r="N249" s="180"/>
      <c r="O249" s="180"/>
      <c r="R249" s="60"/>
      <c r="S249" s="60"/>
    </row>
    <row r="250" spans="1:19" s="64" customFormat="1" ht="15">
      <c r="E250" s="134"/>
      <c r="F250" s="134"/>
      <c r="G250" s="139"/>
      <c r="H250" s="140"/>
      <c r="I250" s="141" t="s">
        <v>212</v>
      </c>
      <c r="J250" s="140"/>
      <c r="K250" s="142"/>
      <c r="L250"/>
      <c r="M250"/>
      <c r="N250"/>
      <c r="O250"/>
      <c r="R250" s="60"/>
      <c r="S250" s="60"/>
    </row>
    <row r="251" spans="1:19" s="64" customFormat="1" ht="30">
      <c r="A251" s="98" t="s">
        <v>126</v>
      </c>
      <c r="B251" s="98" t="s">
        <v>135</v>
      </c>
      <c r="C251" s="98" t="s">
        <v>203</v>
      </c>
      <c r="D251" s="98" t="s">
        <v>182</v>
      </c>
      <c r="E251" s="143" t="s">
        <v>150</v>
      </c>
      <c r="F251" s="143" t="s">
        <v>151</v>
      </c>
      <c r="G251" s="144" t="s">
        <v>152</v>
      </c>
      <c r="H251" s="143" t="s">
        <v>153</v>
      </c>
      <c r="I251" s="143" t="s">
        <v>154</v>
      </c>
      <c r="J251" s="143" t="s">
        <v>155</v>
      </c>
      <c r="K251" s="145" t="s">
        <v>156</v>
      </c>
      <c r="L251" s="143" t="s">
        <v>292</v>
      </c>
      <c r="M251" s="143" t="s">
        <v>293</v>
      </c>
      <c r="N251" s="143" t="s">
        <v>294</v>
      </c>
      <c r="O251" s="143" t="s">
        <v>295</v>
      </c>
    </row>
    <row r="252" spans="1:19" s="64" customFormat="1">
      <c r="A252" s="34" t="s">
        <v>127</v>
      </c>
      <c r="B252" s="34" t="s">
        <v>235</v>
      </c>
      <c r="C252" s="34"/>
      <c r="D252" s="113">
        <v>70.2</v>
      </c>
      <c r="E252" s="100"/>
      <c r="F252" s="100"/>
      <c r="G252" s="132">
        <f>$D252*'Work quantities to SAIDI SAIFI'!F$38*D$27</f>
        <v>2.1790080000000004E-4</v>
      </c>
      <c r="H252" s="132">
        <f>$D252*'Work quantities to SAIDI SAIFI'!G$38*E$27</f>
        <v>2.1790080000000004E-4</v>
      </c>
      <c r="I252" s="132">
        <f>$D252*'Work quantities to SAIDI SAIFI'!H$38*F$27</f>
        <v>2.1790080000000004E-4</v>
      </c>
      <c r="J252" s="132">
        <f>$D252*'Work quantities to SAIDI SAIFI'!I$38*G$27</f>
        <v>2.1790080000000004E-4</v>
      </c>
      <c r="K252" s="132">
        <f>$D252*'Work quantities to SAIDI SAIFI'!J$38*H$27</f>
        <v>2.1790080000000004E-4</v>
      </c>
      <c r="L252" s="132">
        <f>$D252*'Work quantities to SAIDI SAIFI'!K$38*I$27</f>
        <v>2.1790080000000004E-4</v>
      </c>
      <c r="M252" s="132">
        <f>$D252*'Work quantities to SAIDI SAIFI'!L$38*J$27</f>
        <v>2.1790080000000004E-4</v>
      </c>
      <c r="N252" s="132">
        <f>$D252*'Work quantities to SAIDI SAIFI'!M$38*K$27</f>
        <v>2.1790080000000004E-4</v>
      </c>
      <c r="O252" s="132">
        <f>$D252*'Work quantities to SAIDI SAIFI'!N$38*L$27</f>
        <v>2.1790080000000004E-4</v>
      </c>
    </row>
    <row r="253" spans="1:19" s="64" customFormat="1">
      <c r="A253" s="34" t="s">
        <v>128</v>
      </c>
      <c r="B253" s="34" t="s">
        <v>214</v>
      </c>
      <c r="C253" s="34"/>
      <c r="D253" s="113">
        <v>44.9</v>
      </c>
      <c r="E253" s="100"/>
      <c r="F253" s="100"/>
      <c r="G253" s="132">
        <f>$D253*'Work quantities to SAIDI SAIFI'!F$44*D$27</f>
        <v>3.7621709999999995E-3</v>
      </c>
      <c r="H253" s="132">
        <f>$D253*'Work quantities to SAIDI SAIFI'!G$44*E$27</f>
        <v>3.7621709999999995E-3</v>
      </c>
      <c r="I253" s="132">
        <f>$D253*'Work quantities to SAIDI SAIFI'!H$44*F$27</f>
        <v>3.7621709999999995E-3</v>
      </c>
      <c r="J253" s="132">
        <f>$D253*'Work quantities to SAIDI SAIFI'!I$44*G$27</f>
        <v>3.7621709999999995E-3</v>
      </c>
      <c r="K253" s="132">
        <f>$D253*'Work quantities to SAIDI SAIFI'!J$44*H$27</f>
        <v>3.7621709999999995E-3</v>
      </c>
      <c r="L253" s="132">
        <f>$D253*'Work quantities to SAIDI SAIFI'!K$44*I$27</f>
        <v>3.7621709999999995E-3</v>
      </c>
      <c r="M253" s="132">
        <f>$D253*'Work quantities to SAIDI SAIFI'!L$44*J$27</f>
        <v>3.7621709999999995E-3</v>
      </c>
      <c r="N253" s="132">
        <f>$D253*'Work quantities to SAIDI SAIFI'!M$44*K$27</f>
        <v>3.7621709999999995E-3</v>
      </c>
      <c r="O253" s="132">
        <f>$D253*'Work quantities to SAIDI SAIFI'!N$44*L$27</f>
        <v>3.7621709999999995E-3</v>
      </c>
    </row>
    <row r="254" spans="1:19" s="64" customFormat="1">
      <c r="A254" s="34" t="s">
        <v>129</v>
      </c>
      <c r="B254" s="34" t="s">
        <v>236</v>
      </c>
      <c r="C254" s="34"/>
      <c r="D254" s="113">
        <v>50</v>
      </c>
      <c r="E254" s="100"/>
      <c r="F254" s="100"/>
      <c r="G254" s="132">
        <f>$D254*'Work quantities to SAIDI SAIFI'!F$34*D$27</f>
        <v>1.7572E-3</v>
      </c>
      <c r="H254" s="132">
        <f>$D254*'Work quantities to SAIDI SAIFI'!G$34*E$27</f>
        <v>1.7382799999999998E-3</v>
      </c>
      <c r="I254" s="132">
        <f>$D254*'Work quantities to SAIDI SAIFI'!H$34*F$27</f>
        <v>1.7382799999999998E-3</v>
      </c>
      <c r="J254" s="132">
        <f>$D254*'Work quantities to SAIDI SAIFI'!I$34*G$27</f>
        <v>1.7382799999999998E-3</v>
      </c>
      <c r="K254" s="132">
        <f>$D254*'Work quantities to SAIDI SAIFI'!J$34*H$27</f>
        <v>1.7382799999999998E-3</v>
      </c>
      <c r="L254" s="132">
        <f>$D254*'Work quantities to SAIDI SAIFI'!K$34*I$27</f>
        <v>1.7382799999999998E-3</v>
      </c>
      <c r="M254" s="132">
        <f>$D254*'Work quantities to SAIDI SAIFI'!L$34*J$27</f>
        <v>1.7382799999999998E-3</v>
      </c>
      <c r="N254" s="132">
        <f>$D254*'Work quantities to SAIDI SAIFI'!M$34*K$27</f>
        <v>1.7382799999999998E-3</v>
      </c>
      <c r="O254" s="132">
        <f>$D254*'Work quantities to SAIDI SAIFI'!N$34*L$27</f>
        <v>1.7382799999999998E-3</v>
      </c>
    </row>
    <row r="255" spans="1:19" s="64" customFormat="1">
      <c r="A255" s="34" t="s">
        <v>130</v>
      </c>
      <c r="B255" s="34" t="s">
        <v>215</v>
      </c>
      <c r="C255" s="34"/>
      <c r="D255" s="113">
        <v>6.8</v>
      </c>
      <c r="E255" s="100"/>
      <c r="F255" s="100"/>
      <c r="G255" s="132">
        <f>$D255*'Work quantities to SAIDI SAIFI'!F$49*D$27</f>
        <v>4.7600000000000002E-4</v>
      </c>
      <c r="H255" s="132">
        <f>$D255*'Work quantities to SAIDI SAIFI'!G$49*E$27</f>
        <v>4.7600000000000002E-4</v>
      </c>
      <c r="I255" s="132">
        <f>$D255*'Work quantities to SAIDI SAIFI'!H$49*F$27</f>
        <v>4.7600000000000002E-4</v>
      </c>
      <c r="J255" s="132">
        <f>$D255*'Work quantities to SAIDI SAIFI'!I$49*G$27</f>
        <v>4.7600000000000002E-4</v>
      </c>
      <c r="K255" s="132">
        <f>$D255*'Work quantities to SAIDI SAIFI'!J$49*H$27</f>
        <v>4.7600000000000002E-4</v>
      </c>
      <c r="L255" s="132">
        <f>$D255*'Work quantities to SAIDI SAIFI'!K$49*I$27</f>
        <v>4.7600000000000002E-4</v>
      </c>
      <c r="M255" s="132">
        <f>$D255*'Work quantities to SAIDI SAIFI'!L$49*J$27</f>
        <v>4.7600000000000002E-4</v>
      </c>
      <c r="N255" s="132">
        <f>$D255*'Work quantities to SAIDI SAIFI'!M$49*K$27</f>
        <v>4.7600000000000002E-4</v>
      </c>
      <c r="O255" s="132">
        <f>$D255*'Work quantities to SAIDI SAIFI'!N$49*L$27</f>
        <v>4.7600000000000002E-4</v>
      </c>
    </row>
    <row r="256" spans="1:19" s="64" customFormat="1">
      <c r="A256" s="34" t="s">
        <v>131</v>
      </c>
      <c r="B256" s="34" t="s">
        <v>237</v>
      </c>
      <c r="C256" s="34"/>
      <c r="D256" s="113">
        <v>100</v>
      </c>
      <c r="E256" s="100"/>
      <c r="F256" s="100"/>
      <c r="G256" s="132">
        <f>$D256*'Work quantities to SAIDI SAIFI'!F$47*D$27</f>
        <v>3.9999999999999996E-4</v>
      </c>
      <c r="H256" s="132">
        <f>$D256*'Work quantities to SAIDI SAIFI'!G$47*E$27</f>
        <v>3.9999999999999996E-4</v>
      </c>
      <c r="I256" s="132">
        <f>$D256*'Work quantities to SAIDI SAIFI'!H$47*F$27</f>
        <v>3.9999999999999996E-4</v>
      </c>
      <c r="J256" s="132">
        <f>$D256*'Work quantities to SAIDI SAIFI'!I$47*G$27</f>
        <v>3.9999999999999996E-4</v>
      </c>
      <c r="K256" s="132">
        <f>$D256*'Work quantities to SAIDI SAIFI'!J$47*H$27</f>
        <v>3.9999999999999996E-4</v>
      </c>
      <c r="L256" s="132">
        <f>$D256*'Work quantities to SAIDI SAIFI'!K$47*I$27</f>
        <v>3.9999999999999996E-4</v>
      </c>
      <c r="M256" s="132">
        <f>$D256*'Work quantities to SAIDI SAIFI'!L$47*J$27</f>
        <v>3.9999999999999996E-4</v>
      </c>
      <c r="N256" s="132">
        <f>$D256*'Work quantities to SAIDI SAIFI'!M$47*K$27</f>
        <v>3.9999999999999996E-4</v>
      </c>
      <c r="O256" s="132">
        <f>$D256*'Work quantities to SAIDI SAIFI'!N$47*L$27</f>
        <v>3.9999999999999996E-4</v>
      </c>
    </row>
    <row r="257" spans="1:26" s="64" customFormat="1">
      <c r="A257" s="34" t="s">
        <v>132</v>
      </c>
      <c r="B257" s="34" t="s">
        <v>238</v>
      </c>
      <c r="C257" s="34"/>
      <c r="D257" s="113">
        <v>2</v>
      </c>
      <c r="E257" s="100"/>
      <c r="F257" s="100"/>
      <c r="G257" s="132">
        <f>$D257*'Work quantities to SAIDI SAIFI'!F$33*D$27</f>
        <v>6.2889999999999994E-6</v>
      </c>
      <c r="H257" s="132">
        <f>$D257*'Work quantities to SAIDI SAIFI'!G$33*E$27</f>
        <v>6.2889999999999986E-6</v>
      </c>
      <c r="I257" s="132">
        <f>$D257*'Work quantities to SAIDI SAIFI'!H$33*F$27</f>
        <v>6.2889999999999986E-6</v>
      </c>
      <c r="J257" s="132">
        <f>$D257*'Work quantities to SAIDI SAIFI'!I$33*G$27</f>
        <v>6.2889999999999986E-6</v>
      </c>
      <c r="K257" s="132">
        <f>$D257*'Work quantities to SAIDI SAIFI'!J$33*H$27</f>
        <v>6.2889999999999986E-6</v>
      </c>
      <c r="L257" s="132">
        <f>$D257*'Work quantities to SAIDI SAIFI'!K$33*I$27</f>
        <v>6.2889999999999986E-6</v>
      </c>
      <c r="M257" s="132">
        <f>$D257*'Work quantities to SAIDI SAIFI'!L$33*J$27</f>
        <v>6.2889999999999986E-6</v>
      </c>
      <c r="N257" s="132">
        <f>$D257*'Work quantities to SAIDI SAIFI'!M$33*K$27</f>
        <v>6.2889999999999986E-6</v>
      </c>
      <c r="O257" s="132">
        <f>$D257*'Work quantities to SAIDI SAIFI'!N$33*L$27</f>
        <v>6.2889999999999986E-6</v>
      </c>
    </row>
    <row r="258" spans="1:26" s="64" customFormat="1">
      <c r="A258" s="34" t="s">
        <v>133</v>
      </c>
      <c r="B258" s="34" t="s">
        <v>216</v>
      </c>
      <c r="C258" s="34"/>
      <c r="D258" s="154">
        <v>2.5</v>
      </c>
      <c r="E258" s="100"/>
      <c r="F258" s="100"/>
      <c r="G258" s="132">
        <f>$D258*'Work quantities to SAIDI SAIFI'!F$40*D$27</f>
        <v>3.0766374252662744E-4</v>
      </c>
      <c r="H258" s="132">
        <f>$D258*'Work quantities to SAIDI SAIFI'!G$40*E$27</f>
        <v>3.0766374252662744E-4</v>
      </c>
      <c r="I258" s="132">
        <f>$D258*'Work quantities to SAIDI SAIFI'!H$40*F$27</f>
        <v>3.0766374252662744E-4</v>
      </c>
      <c r="J258" s="132">
        <f>$D258*'Work quantities to SAIDI SAIFI'!I$40*G$27</f>
        <v>3.0766374252662744E-4</v>
      </c>
      <c r="K258" s="132">
        <f>$D258*'Work quantities to SAIDI SAIFI'!J$40*H$27</f>
        <v>3.0766374252662744E-4</v>
      </c>
      <c r="L258" s="132">
        <f>$D258*'Work quantities to SAIDI SAIFI'!K$40*I$27</f>
        <v>3.0766374252662744E-4</v>
      </c>
      <c r="M258" s="132">
        <f>$D258*'Work quantities to SAIDI SAIFI'!L$40*J$27</f>
        <v>3.0766374252662744E-4</v>
      </c>
      <c r="N258" s="132">
        <f>$D258*'Work quantities to SAIDI SAIFI'!M$40*K$27</f>
        <v>3.0766374252662744E-4</v>
      </c>
      <c r="O258" s="132">
        <f>$D258*'Work quantities to SAIDI SAIFI'!N$40*L$27</f>
        <v>3.0766374252662744E-4</v>
      </c>
    </row>
    <row r="259" spans="1:26" s="64" customFormat="1">
      <c r="A259" s="34" t="s">
        <v>134</v>
      </c>
      <c r="B259" s="34" t="s">
        <v>217</v>
      </c>
      <c r="C259" s="34"/>
      <c r="D259" s="113">
        <v>66.666666666666671</v>
      </c>
      <c r="E259" s="100"/>
      <c r="F259" s="100"/>
      <c r="G259" s="132">
        <f>$D259*'Work quantities to SAIDI SAIFI'!F$40*D$27</f>
        <v>8.2043664673767322E-3</v>
      </c>
      <c r="H259" s="132">
        <f>$D259*'Work quantities to SAIDI SAIFI'!G$40*E$27</f>
        <v>8.2043664673767322E-3</v>
      </c>
      <c r="I259" s="132">
        <f>$D259*'Work quantities to SAIDI SAIFI'!H$40*F$27</f>
        <v>8.2043664673767322E-3</v>
      </c>
      <c r="J259" s="132">
        <f>$D259*'Work quantities to SAIDI SAIFI'!I$40*G$27</f>
        <v>8.2043664673767322E-3</v>
      </c>
      <c r="K259" s="132">
        <f>$D259*'Work quantities to SAIDI SAIFI'!J$40*H$27</f>
        <v>8.2043664673767322E-3</v>
      </c>
      <c r="L259" s="132">
        <f>$D259*'Work quantities to SAIDI SAIFI'!K$40*I$27</f>
        <v>8.2043664673767322E-3</v>
      </c>
      <c r="M259" s="132">
        <f>$D259*'Work quantities to SAIDI SAIFI'!L$40*J$27</f>
        <v>8.2043664673767322E-3</v>
      </c>
      <c r="N259" s="132">
        <f>$D259*'Work quantities to SAIDI SAIFI'!M$40*K$27</f>
        <v>8.2043664673767322E-3</v>
      </c>
      <c r="O259" s="132">
        <f>$D259*'Work quantities to SAIDI SAIFI'!N$40*L$27</f>
        <v>8.2043664673767322E-3</v>
      </c>
    </row>
    <row r="260" spans="1:26" s="64" customFormat="1">
      <c r="A260" s="34" t="s">
        <v>136</v>
      </c>
      <c r="B260" s="34" t="s">
        <v>218</v>
      </c>
      <c r="C260" s="34"/>
      <c r="D260" s="113">
        <v>1</v>
      </c>
      <c r="E260" s="100"/>
      <c r="F260" s="100"/>
      <c r="G260" s="132">
        <f>$D260*'Work quantities to SAIDI SAIFI'!F$40*D$27</f>
        <v>1.2306549701065098E-4</v>
      </c>
      <c r="H260" s="132">
        <f>$D260*'Work quantities to SAIDI SAIFI'!G$40*E$27</f>
        <v>1.2306549701065098E-4</v>
      </c>
      <c r="I260" s="132">
        <f>$D260*'Work quantities to SAIDI SAIFI'!H$40*F$27</f>
        <v>1.2306549701065098E-4</v>
      </c>
      <c r="J260" s="132">
        <f>$D260*'Work quantities to SAIDI SAIFI'!I$40*G$27</f>
        <v>1.2306549701065098E-4</v>
      </c>
      <c r="K260" s="132">
        <f>$D260*'Work quantities to SAIDI SAIFI'!J$40*H$27</f>
        <v>1.2306549701065098E-4</v>
      </c>
      <c r="L260" s="132">
        <f>$D260*'Work quantities to SAIDI SAIFI'!K$40*I$27</f>
        <v>1.2306549701065098E-4</v>
      </c>
      <c r="M260" s="132">
        <f>$D260*'Work quantities to SAIDI SAIFI'!L$40*J$27</f>
        <v>1.2306549701065098E-4</v>
      </c>
      <c r="N260" s="132">
        <f>$D260*'Work quantities to SAIDI SAIFI'!M$40*K$27</f>
        <v>1.2306549701065098E-4</v>
      </c>
      <c r="O260" s="132">
        <f>$D260*'Work quantities to SAIDI SAIFI'!N$40*L$27</f>
        <v>1.2306549701065098E-4</v>
      </c>
    </row>
    <row r="261" spans="1:26" s="64" customFormat="1" ht="15">
      <c r="A261" s="67" t="s">
        <v>140</v>
      </c>
      <c r="B261" s="74"/>
      <c r="C261" s="74"/>
      <c r="D261" s="74"/>
      <c r="E261" s="152">
        <f t="shared" ref="E261:K261" si="44">SUM(E252:E260)</f>
        <v>0</v>
      </c>
      <c r="F261" s="152">
        <f t="shared" si="44"/>
        <v>0</v>
      </c>
      <c r="G261" s="152">
        <f t="shared" si="44"/>
        <v>1.5254656506914011E-2</v>
      </c>
      <c r="H261" s="152">
        <f t="shared" si="44"/>
        <v>1.523573650691401E-2</v>
      </c>
      <c r="I261" s="152">
        <f t="shared" si="44"/>
        <v>1.523573650691401E-2</v>
      </c>
      <c r="J261" s="152">
        <f t="shared" si="44"/>
        <v>1.523573650691401E-2</v>
      </c>
      <c r="K261" s="152">
        <f t="shared" si="44"/>
        <v>1.523573650691401E-2</v>
      </c>
      <c r="L261" s="152">
        <f t="shared" ref="L261:O261" si="45">SUM(L252:L260)</f>
        <v>1.523573650691401E-2</v>
      </c>
      <c r="M261" s="152">
        <f t="shared" si="45"/>
        <v>1.523573650691401E-2</v>
      </c>
      <c r="N261" s="152">
        <f t="shared" si="45"/>
        <v>1.523573650691401E-2</v>
      </c>
      <c r="O261" s="152">
        <f t="shared" si="45"/>
        <v>1.523573650691401E-2</v>
      </c>
    </row>
    <row r="262" spans="1:26" s="64" customFormat="1">
      <c r="R262" s="60"/>
      <c r="S262" s="60"/>
    </row>
    <row r="263" spans="1:26" s="64" customFormat="1">
      <c r="R263" s="60"/>
      <c r="S263" s="60"/>
    </row>
    <row r="264" spans="1:26" s="64" customFormat="1" ht="18">
      <c r="A264" s="63" t="s">
        <v>245</v>
      </c>
      <c r="B264" s="42"/>
      <c r="C264" s="42"/>
      <c r="D264" s="42"/>
      <c r="E264" s="42"/>
      <c r="F264" s="42"/>
      <c r="G264" s="42"/>
      <c r="H264" s="42"/>
      <c r="I264" s="42"/>
      <c r="J264" s="42"/>
      <c r="K264" s="42"/>
      <c r="L264" s="42"/>
      <c r="M264" s="42"/>
      <c r="N264" s="42"/>
      <c r="O264" s="42"/>
      <c r="R264" s="60"/>
      <c r="S264" s="60"/>
    </row>
    <row r="265" spans="1:26" s="64" customFormat="1">
      <c r="A265" s="64" t="s">
        <v>210</v>
      </c>
      <c r="R265" s="60"/>
      <c r="S265" s="60"/>
    </row>
    <row r="266" spans="1:26" s="64" customFormat="1">
      <c r="A266" s="64" t="s">
        <v>246</v>
      </c>
      <c r="R266" s="60"/>
      <c r="S266" s="60"/>
    </row>
    <row r="267" spans="1:26" s="64" customFormat="1">
      <c r="R267" s="60"/>
      <c r="S267" s="60"/>
    </row>
    <row r="268" spans="1:26" s="64" customFormat="1" ht="30">
      <c r="A268" s="98" t="s">
        <v>247</v>
      </c>
      <c r="B268" s="98" t="s">
        <v>209</v>
      </c>
      <c r="C268" s="98" t="s">
        <v>244</v>
      </c>
      <c r="J268" s="173"/>
      <c r="K268" s="173"/>
      <c r="L268" s="173"/>
      <c r="M268" s="176"/>
      <c r="N268" s="176"/>
      <c r="O268" s="174"/>
      <c r="P268" s="174"/>
      <c r="Q268" s="176"/>
      <c r="S268" s="60"/>
      <c r="T268" s="60"/>
      <c r="U268" s="60"/>
      <c r="V268" s="60"/>
      <c r="W268" s="60"/>
      <c r="X268" s="60"/>
      <c r="Y268" s="60"/>
      <c r="Z268" s="60"/>
    </row>
    <row r="269" spans="1:26" s="64" customFormat="1">
      <c r="A269" s="154">
        <v>8.5924906615047085</v>
      </c>
      <c r="B269" s="34">
        <v>3.8066323974242387E-2</v>
      </c>
      <c r="C269" s="157">
        <v>30286.611850000001</v>
      </c>
      <c r="J269" s="173"/>
      <c r="K269" s="173"/>
      <c r="L269" s="173"/>
      <c r="M269" s="174"/>
      <c r="N269" s="174"/>
      <c r="O269" s="174"/>
      <c r="P269" s="174"/>
      <c r="Q269" s="174"/>
      <c r="S269" s="60"/>
      <c r="T269" s="60"/>
      <c r="U269" s="60"/>
      <c r="V269" s="60"/>
      <c r="W269" s="60"/>
      <c r="X269" s="60"/>
      <c r="Y269" s="60"/>
      <c r="Z269" s="60"/>
    </row>
    <row r="270" spans="1:26" s="64" customFormat="1">
      <c r="A270" s="64" t="s">
        <v>297</v>
      </c>
      <c r="B270" s="64" t="s">
        <v>297</v>
      </c>
      <c r="J270" s="173"/>
      <c r="K270" s="173"/>
      <c r="L270" s="173"/>
      <c r="M270" s="176"/>
      <c r="N270" s="176"/>
      <c r="O270" s="174"/>
      <c r="P270" s="174"/>
      <c r="Q270" s="176"/>
      <c r="R270" s="60"/>
      <c r="S270" s="60"/>
      <c r="T270" s="60"/>
      <c r="U270" s="60"/>
      <c r="V270" s="60"/>
      <c r="W270" s="60"/>
      <c r="X270" s="60"/>
      <c r="Y270" s="60"/>
      <c r="Z270" s="60"/>
    </row>
    <row r="271" spans="1:26" s="64" customFormat="1" ht="15">
      <c r="B271" s="134"/>
      <c r="C271" s="134"/>
      <c r="D271" s="139"/>
      <c r="E271" s="140"/>
      <c r="F271" s="141" t="s">
        <v>212</v>
      </c>
      <c r="G271" s="140"/>
      <c r="H271" s="142"/>
      <c r="I271" s="134"/>
      <c r="J271" s="173"/>
      <c r="K271" s="173"/>
      <c r="L271" s="173"/>
      <c r="M271" s="176"/>
      <c r="N271" s="176"/>
      <c r="O271" s="174"/>
      <c r="P271" s="174"/>
      <c r="Q271" s="176"/>
      <c r="R271" s="60"/>
      <c r="S271" s="60"/>
      <c r="T271" s="60"/>
      <c r="U271" s="60"/>
      <c r="V271" s="60"/>
      <c r="W271" s="60"/>
      <c r="X271" s="60"/>
      <c r="Y271" s="60"/>
      <c r="Z271" s="60"/>
    </row>
    <row r="272" spans="1:26" s="64" customFormat="1" ht="15">
      <c r="B272" s="143" t="s">
        <v>150</v>
      </c>
      <c r="C272" s="143" t="s">
        <v>151</v>
      </c>
      <c r="D272" s="144" t="s">
        <v>152</v>
      </c>
      <c r="E272" s="143" t="s">
        <v>153</v>
      </c>
      <c r="F272" s="143" t="s">
        <v>154</v>
      </c>
      <c r="G272" s="143" t="s">
        <v>155</v>
      </c>
      <c r="H272" s="145" t="s">
        <v>156</v>
      </c>
      <c r="I272" s="143" t="s">
        <v>292</v>
      </c>
      <c r="J272" s="143" t="s">
        <v>293</v>
      </c>
      <c r="K272" s="143" t="s">
        <v>294</v>
      </c>
      <c r="L272" s="143" t="s">
        <v>295</v>
      </c>
      <c r="M272" s="174"/>
      <c r="N272" s="174"/>
      <c r="O272" s="174"/>
      <c r="P272" s="174"/>
      <c r="Q272" s="174"/>
      <c r="S272" s="60"/>
      <c r="T272" s="60"/>
      <c r="U272" s="60"/>
      <c r="V272" s="60"/>
      <c r="W272" s="60"/>
      <c r="X272" s="60"/>
      <c r="Y272" s="60"/>
      <c r="Z272" s="60"/>
    </row>
    <row r="273" spans="1:26" s="64" customFormat="1">
      <c r="A273" s="34" t="s">
        <v>185</v>
      </c>
      <c r="B273" s="157">
        <v>39057.39472591439</v>
      </c>
      <c r="C273" s="157">
        <v>49784.470121918086</v>
      </c>
      <c r="D273" s="157">
        <v>60051.196366827709</v>
      </c>
      <c r="E273" s="157">
        <v>54455.786603907814</v>
      </c>
      <c r="F273" s="157">
        <v>57276.126060381306</v>
      </c>
      <c r="G273" s="157">
        <v>58517.718347025992</v>
      </c>
      <c r="H273" s="157">
        <v>55620.256574256513</v>
      </c>
      <c r="I273" s="157">
        <v>50430.701900459964</v>
      </c>
      <c r="J273" s="157">
        <v>49075.527966047841</v>
      </c>
      <c r="K273" s="157">
        <v>52195.985411678608</v>
      </c>
      <c r="L273" s="157">
        <v>46667.6376359067</v>
      </c>
      <c r="M273" s="176"/>
      <c r="N273" s="176"/>
      <c r="O273" s="174"/>
      <c r="P273" s="174"/>
      <c r="Q273" s="176"/>
      <c r="S273" s="60"/>
      <c r="T273" s="60"/>
      <c r="U273" s="60"/>
      <c r="V273" s="60"/>
      <c r="W273" s="60"/>
      <c r="X273" s="60"/>
      <c r="Y273" s="60"/>
      <c r="Z273" s="60"/>
    </row>
    <row r="274" spans="1:26" s="64" customFormat="1">
      <c r="A274" s="34" t="s">
        <v>184</v>
      </c>
      <c r="B274" s="112">
        <f t="shared" ref="B274:H274" si="46">$A$269+$A$269*(B273-$C$269)/$C$269</f>
        <v>11.0808135656522</v>
      </c>
      <c r="C274" s="112">
        <f t="shared" si="46"/>
        <v>14.124148212060284</v>
      </c>
      <c r="D274" s="112">
        <f t="shared" si="46"/>
        <v>17.03687908537556</v>
      </c>
      <c r="E274" s="112">
        <f t="shared" si="46"/>
        <v>15.449428287864794</v>
      </c>
      <c r="F274" s="112">
        <f t="shared" si="46"/>
        <v>16.2495752492365</v>
      </c>
      <c r="G274" s="112">
        <f t="shared" si="46"/>
        <v>16.601822314085737</v>
      </c>
      <c r="H274" s="112">
        <f t="shared" si="46"/>
        <v>15.779795296078817</v>
      </c>
      <c r="I274" s="112">
        <f t="shared" ref="I274:L274" si="47">$A$269+$A$269*(I273-$C$269)/$C$269</f>
        <v>14.307487984425368</v>
      </c>
      <c r="J274" s="112">
        <f t="shared" si="47"/>
        <v>13.923017135265304</v>
      </c>
      <c r="K274" s="112">
        <f t="shared" si="47"/>
        <v>14.808309342726442</v>
      </c>
      <c r="L274" s="112">
        <f t="shared" si="47"/>
        <v>13.239884427053005</v>
      </c>
      <c r="M274" s="175"/>
      <c r="N274" s="175"/>
      <c r="O274" s="175"/>
      <c r="P274" s="175"/>
      <c r="Q274" s="175"/>
    </row>
    <row r="275" spans="1:26" s="64" customFormat="1">
      <c r="A275" s="34" t="s">
        <v>202</v>
      </c>
      <c r="B275" s="112">
        <f>$B$269+$B$269*(B273-$C$269)/$C$269</f>
        <v>4.9090054991625713E-2</v>
      </c>
      <c r="C275" s="112">
        <f t="shared" ref="C275:H275" si="48">$B$269+$B$269*(C273-$C$269)/$C$269</f>
        <v>6.2572590751742485E-2</v>
      </c>
      <c r="D275" s="112">
        <f t="shared" si="48"/>
        <v>7.5476527624218581E-2</v>
      </c>
      <c r="E275" s="112">
        <f t="shared" si="48"/>
        <v>6.8443826777426844E-2</v>
      </c>
      <c r="F275" s="112">
        <f t="shared" si="48"/>
        <v>7.1988625911749912E-2</v>
      </c>
      <c r="G275" s="112">
        <f t="shared" si="48"/>
        <v>7.3549145604788368E-2</v>
      </c>
      <c r="H275" s="112">
        <f t="shared" si="48"/>
        <v>6.9907413769894289E-2</v>
      </c>
      <c r="I275" s="112">
        <f t="shared" ref="I275:L275" si="49">$B$269+$B$269*(I273-$C$269)/$C$269</f>
        <v>6.338481987681796E-2</v>
      </c>
      <c r="J275" s="112">
        <f t="shared" si="49"/>
        <v>6.1681542855133518E-2</v>
      </c>
      <c r="K275" s="112">
        <f t="shared" si="49"/>
        <v>6.5603551188766845E-2</v>
      </c>
      <c r="L275" s="112">
        <f t="shared" si="49"/>
        <v>5.865513851992564E-2</v>
      </c>
      <c r="O275" s="60"/>
      <c r="P275" s="60"/>
    </row>
    <row r="276" spans="1:26" s="64" customFormat="1">
      <c r="A276" s="34" t="s">
        <v>195</v>
      </c>
      <c r="B276" s="112">
        <f t="shared" ref="B276:H276" si="50">B274-$A$269</f>
        <v>2.4883229041474912</v>
      </c>
      <c r="C276" s="112">
        <f t="shared" si="50"/>
        <v>5.5316575505555754</v>
      </c>
      <c r="D276" s="112">
        <f t="shared" si="50"/>
        <v>8.4443884238708513</v>
      </c>
      <c r="E276" s="112">
        <f t="shared" si="50"/>
        <v>6.8569376263600859</v>
      </c>
      <c r="F276" s="112">
        <f t="shared" si="50"/>
        <v>7.6570845877317915</v>
      </c>
      <c r="G276" s="112">
        <f t="shared" si="50"/>
        <v>8.0093316525810287</v>
      </c>
      <c r="H276" s="112">
        <f t="shared" si="50"/>
        <v>7.1873046345741081</v>
      </c>
      <c r="I276" s="112">
        <f t="shared" ref="I276:L276" si="51">I274-$A$269</f>
        <v>5.7149973229206594</v>
      </c>
      <c r="J276" s="112">
        <f t="shared" si="51"/>
        <v>5.330526473760596</v>
      </c>
      <c r="K276" s="112">
        <f t="shared" si="51"/>
        <v>6.2158186812217338</v>
      </c>
      <c r="L276" s="112">
        <f t="shared" si="51"/>
        <v>4.647393765548296</v>
      </c>
      <c r="O276" s="60"/>
      <c r="P276" s="60"/>
    </row>
    <row r="277" spans="1:26" s="64" customFormat="1">
      <c r="A277" s="34" t="s">
        <v>196</v>
      </c>
      <c r="B277" s="112">
        <f>B275-$B$269</f>
        <v>1.1023731017383326E-2</v>
      </c>
      <c r="C277" s="112">
        <f t="shared" ref="C277:H277" si="52">C275-$B$269</f>
        <v>2.4506266777500098E-2</v>
      </c>
      <c r="D277" s="112">
        <f t="shared" si="52"/>
        <v>3.7410203649976194E-2</v>
      </c>
      <c r="E277" s="112">
        <f t="shared" si="52"/>
        <v>3.0377502803184457E-2</v>
      </c>
      <c r="F277" s="112">
        <f t="shared" si="52"/>
        <v>3.3922301937507525E-2</v>
      </c>
      <c r="G277" s="112">
        <f t="shared" si="52"/>
        <v>3.5482821630545981E-2</v>
      </c>
      <c r="H277" s="112">
        <f t="shared" si="52"/>
        <v>3.1841089795651902E-2</v>
      </c>
      <c r="I277" s="112">
        <f t="shared" ref="I277:L277" si="53">I275-$B$269</f>
        <v>2.5318495902575573E-2</v>
      </c>
      <c r="J277" s="112">
        <f t="shared" si="53"/>
        <v>2.3615218880891131E-2</v>
      </c>
      <c r="K277" s="112">
        <f t="shared" si="53"/>
        <v>2.7537227214524458E-2</v>
      </c>
      <c r="L277" s="112">
        <f t="shared" si="53"/>
        <v>2.0588814545683252E-2</v>
      </c>
      <c r="O277" s="60"/>
      <c r="P277" s="60"/>
    </row>
    <row r="278" spans="1:26" s="64" customFormat="1">
      <c r="B278" s="122"/>
      <c r="C278" s="122"/>
      <c r="D278" s="122"/>
      <c r="E278" s="122"/>
      <c r="F278" s="122"/>
      <c r="G278" s="122"/>
      <c r="H278" s="122"/>
      <c r="I278" s="122"/>
      <c r="J278" s="122"/>
      <c r="K278" s="122"/>
      <c r="L278" s="122"/>
      <c r="R278" s="60"/>
      <c r="S278" s="60"/>
    </row>
    <row r="279" spans="1:26" s="64" customFormat="1" ht="15">
      <c r="A279" s="124"/>
      <c r="B279" s="124"/>
      <c r="C279" s="124"/>
      <c r="R279" s="60"/>
      <c r="S279" s="60"/>
    </row>
    <row r="280" spans="1:26" s="64" customFormat="1" ht="15">
      <c r="A280" s="89"/>
      <c r="B280" s="89"/>
      <c r="C280" s="89"/>
      <c r="R280" s="60"/>
      <c r="S280" s="60"/>
    </row>
    <row r="281" spans="1:26" s="64" customFormat="1" ht="15">
      <c r="B281" s="94"/>
      <c r="C281" s="94"/>
      <c r="D281" s="94"/>
      <c r="E281" s="94"/>
      <c r="F281" s="94"/>
      <c r="G281" s="94"/>
      <c r="H281" s="95"/>
      <c r="I281" s="96"/>
      <c r="J281" s="96"/>
      <c r="K281" s="96"/>
      <c r="L281" s="96"/>
      <c r="M281" s="96"/>
      <c r="N281" s="96"/>
      <c r="O281" s="96"/>
      <c r="R281" s="60"/>
      <c r="S281" s="60"/>
    </row>
    <row r="282" spans="1:26" s="64" customFormat="1" ht="15">
      <c r="B282" s="94"/>
      <c r="C282" s="94"/>
      <c r="D282" s="94"/>
      <c r="E282" s="94"/>
      <c r="F282" s="94"/>
      <c r="G282" s="94"/>
      <c r="H282" s="95"/>
      <c r="I282" s="96"/>
      <c r="J282" s="96"/>
      <c r="K282" s="96"/>
      <c r="L282" s="96"/>
      <c r="M282" s="96"/>
      <c r="N282" s="96"/>
      <c r="O282" s="96"/>
      <c r="R282" s="60"/>
      <c r="S282" s="60"/>
    </row>
    <row r="283" spans="1:26" ht="23.25" customHeight="1">
      <c r="A283" s="36" t="s">
        <v>66</v>
      </c>
      <c r="B283" s="54"/>
      <c r="C283" s="54"/>
      <c r="D283" s="54"/>
      <c r="E283" s="54"/>
      <c r="F283" s="54"/>
      <c r="G283" s="54"/>
      <c r="H283" s="54"/>
      <c r="I283" s="54"/>
      <c r="J283" s="54"/>
      <c r="K283" s="54"/>
      <c r="L283" s="54"/>
      <c r="M283" s="54"/>
      <c r="N283" s="54"/>
      <c r="O283" s="54"/>
      <c r="R283" s="62"/>
      <c r="S283" s="62"/>
    </row>
  </sheetData>
  <mergeCells count="8">
    <mergeCell ref="C7:I7"/>
    <mergeCell ref="C6:I6"/>
    <mergeCell ref="J6:N6"/>
    <mergeCell ref="C4:I4"/>
    <mergeCell ref="J4:N4"/>
    <mergeCell ref="C5:I5"/>
    <mergeCell ref="J5:N5"/>
    <mergeCell ref="C3:I3"/>
  </mergeCells>
  <pageMargins left="0.70866141732283472" right="0.70866141732283472" top="0.55118110236220474" bottom="0.74803149606299213" header="0.31496062992125984" footer="0.31496062992125984"/>
  <pageSetup paperSize="9" scale="22" fitToHeight="0" orientation="portrait" r:id="rId1"/>
  <headerFooter>
    <oddFooter>&amp;L&amp;"Arial,Bold"&amp;10&amp;K7030A0DISTRIBUTION TRANSFORMERS - POLE MOUNTED&amp;C&amp;"Arial,Regular"&amp;10&amp;K7030A0Page &amp;P of &amp;N&amp;R&amp;"Arial,Regular"&amp;10&amp;K7030A0&amp;A
&amp;T &amp;D</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W103"/>
  <sheetViews>
    <sheetView workbookViewId="0">
      <selection activeCell="C6" sqref="C6"/>
    </sheetView>
  </sheetViews>
  <sheetFormatPr defaultRowHeight="15" outlineLevelRow="1"/>
  <cols>
    <col min="1" max="2" width="17.28515625" bestFit="1" customWidth="1"/>
    <col min="3" max="3" width="18" bestFit="1" customWidth="1"/>
    <col min="5" max="7" width="12.85546875" customWidth="1"/>
    <col min="8" max="8" width="10.140625" bestFit="1" customWidth="1"/>
    <col min="9" max="9" width="12.42578125" bestFit="1" customWidth="1"/>
    <col min="10" max="10" width="10.140625" bestFit="1" customWidth="1"/>
    <col min="11" max="11" width="12.42578125" bestFit="1" customWidth="1"/>
    <col min="12" max="12" width="10.140625" bestFit="1" customWidth="1"/>
    <col min="13" max="13" width="12.42578125" bestFit="1" customWidth="1"/>
    <col min="14" max="14" width="10.140625" bestFit="1" customWidth="1"/>
    <col min="15" max="15" width="12.42578125" bestFit="1" customWidth="1"/>
    <col min="16" max="16" width="10.140625" bestFit="1" customWidth="1"/>
    <col min="17" max="17" width="12.42578125" bestFit="1" customWidth="1"/>
    <col min="18" max="18" width="10.140625" bestFit="1" customWidth="1"/>
    <col min="19" max="19" width="12.42578125" bestFit="1" customWidth="1"/>
    <col min="20" max="20" width="10.140625" bestFit="1" customWidth="1"/>
    <col min="21" max="21" width="12.42578125" bestFit="1" customWidth="1"/>
    <col min="22" max="22" width="10.140625" bestFit="1" customWidth="1"/>
    <col min="23" max="23" width="12.42578125" bestFit="1" customWidth="1"/>
  </cols>
  <sheetData>
    <row r="1" spans="1:23">
      <c r="A1" s="3" t="s">
        <v>3</v>
      </c>
      <c r="B1" s="2" t="s">
        <v>0</v>
      </c>
    </row>
    <row r="2" spans="1:23">
      <c r="A2" s="3" t="s">
        <v>4</v>
      </c>
      <c r="B2" s="2" t="s">
        <v>41</v>
      </c>
    </row>
    <row r="3" spans="1:23">
      <c r="A3" s="3" t="s">
        <v>42</v>
      </c>
      <c r="B3" s="9" t="e">
        <f>VLOOKUP(DTU_Type,#REF!,2,FALSE)</f>
        <v>#REF!</v>
      </c>
    </row>
    <row r="5" spans="1:23">
      <c r="A5" t="s">
        <v>1</v>
      </c>
      <c r="B5" t="s">
        <v>2</v>
      </c>
      <c r="C5" t="s">
        <v>5</v>
      </c>
      <c r="D5" t="s">
        <v>6</v>
      </c>
      <c r="E5" t="s">
        <v>7</v>
      </c>
      <c r="F5" t="s">
        <v>8</v>
      </c>
      <c r="G5" t="s">
        <v>9</v>
      </c>
      <c r="H5" t="s">
        <v>10</v>
      </c>
      <c r="I5" t="s">
        <v>11</v>
      </c>
      <c r="J5" t="s">
        <v>12</v>
      </c>
      <c r="K5" t="s">
        <v>13</v>
      </c>
      <c r="L5" t="s">
        <v>14</v>
      </c>
      <c r="M5" t="s">
        <v>15</v>
      </c>
      <c r="N5" t="s">
        <v>16</v>
      </c>
      <c r="O5" t="s">
        <v>17</v>
      </c>
      <c r="P5" t="s">
        <v>18</v>
      </c>
      <c r="Q5" t="s">
        <v>19</v>
      </c>
      <c r="R5" t="s">
        <v>20</v>
      </c>
      <c r="S5" t="s">
        <v>21</v>
      </c>
      <c r="T5" t="s">
        <v>22</v>
      </c>
      <c r="U5" t="s">
        <v>23</v>
      </c>
      <c r="V5" t="s">
        <v>24</v>
      </c>
      <c r="W5" t="s">
        <v>25</v>
      </c>
    </row>
    <row r="6" spans="1:23" outlineLevel="1">
      <c r="A6">
        <v>0</v>
      </c>
      <c r="B6">
        <f>IFERROR(GETPIVOTDATA("Age_Calc",'Inputs &amp; Calcs'!#REF!,"Age_Calc",Q_Forecast5[[#This Row],[Age]]),0)</f>
        <v>0</v>
      </c>
      <c r="C6" t="e">
        <f>IF(VLOOKUP(Q_Forecast5[[#This Row],[Age]],#REF!,MATCH(DTU_RR,#REF!,0),FALSE)&gt;1,1,VLOOKUP(Q_Forecast5[[#This Row],[Age]],#REF!,MATCH(DTU_RR,#REF!,0),FALSE))</f>
        <v>#REF!</v>
      </c>
      <c r="D6" s="4" t="e">
        <f>B6*$C6</f>
        <v>#REF!</v>
      </c>
      <c r="E6" s="4" t="e">
        <f>SUM(D6:D97)</f>
        <v>#REF!</v>
      </c>
      <c r="F6" s="4" t="e">
        <f>E6*$C6</f>
        <v>#REF!</v>
      </c>
      <c r="G6" s="4" t="e">
        <f>SUM(F6:F97)</f>
        <v>#REF!</v>
      </c>
      <c r="H6" s="4" t="e">
        <f t="shared" ref="H6:V21" si="0">G6*$C6</f>
        <v>#REF!</v>
      </c>
      <c r="I6" s="4" t="e">
        <f>SUM(H6:H97)</f>
        <v>#REF!</v>
      </c>
      <c r="J6" s="4" t="e">
        <f>I6*$C6</f>
        <v>#REF!</v>
      </c>
      <c r="K6" s="4" t="e">
        <f>SUM(J6:J97)</f>
        <v>#REF!</v>
      </c>
      <c r="L6" s="4" t="e">
        <f>K6*$C6</f>
        <v>#REF!</v>
      </c>
      <c r="M6" s="4" t="e">
        <f>SUM(L6:L97)</f>
        <v>#REF!</v>
      </c>
      <c r="N6" s="4" t="e">
        <f>M6*$C6</f>
        <v>#REF!</v>
      </c>
      <c r="O6" s="4" t="e">
        <f>SUM(N6:N97)</f>
        <v>#REF!</v>
      </c>
      <c r="P6" s="4" t="e">
        <f>O6*$C6</f>
        <v>#REF!</v>
      </c>
      <c r="Q6" s="4" t="e">
        <f>SUM(P6:P97)</f>
        <v>#REF!</v>
      </c>
      <c r="R6" s="4" t="e">
        <f>Q6*$C6</f>
        <v>#REF!</v>
      </c>
      <c r="S6" s="4" t="e">
        <f>SUM(R6:R97)</f>
        <v>#REF!</v>
      </c>
      <c r="T6" s="4" t="e">
        <f>S6*$C6</f>
        <v>#REF!</v>
      </c>
      <c r="U6" s="4" t="e">
        <f>SUM(T6:T97)</f>
        <v>#REF!</v>
      </c>
      <c r="V6" s="4" t="e">
        <f>U6*$C6</f>
        <v>#REF!</v>
      </c>
      <c r="W6" s="4" t="e">
        <f>SUM(V6:V97)</f>
        <v>#REF!</v>
      </c>
    </row>
    <row r="7" spans="1:23" outlineLevel="1">
      <c r="A7">
        <v>1</v>
      </c>
      <c r="B7">
        <f>IFERROR(GETPIVOTDATA("Age_Calc",'Inputs &amp; Calcs'!#REF!,"Age_Calc",Q_Forecast5[[#This Row],[Age]]),0)</f>
        <v>0</v>
      </c>
      <c r="C7" t="e">
        <f>IF(VLOOKUP(Q_Forecast5[[#This Row],[Age]],#REF!,MATCH(DTU_RR,#REF!,0),FALSE)&gt;1,1,VLOOKUP(Q_Forecast5[[#This Row],[Age]],#REF!,MATCH(DTU_RR,#REF!,0),FALSE))</f>
        <v>#REF!</v>
      </c>
      <c r="D7" s="4" t="e">
        <f t="shared" ref="D7:D70" si="1">B7*$C7</f>
        <v>#REF!</v>
      </c>
      <c r="E7" s="4" t="e">
        <f>B6-D6</f>
        <v>#REF!</v>
      </c>
      <c r="F7" s="4" t="e">
        <f t="shared" ref="F7:F22" si="2">E7*$C7</f>
        <v>#REF!</v>
      </c>
      <c r="G7" s="4" t="e">
        <f>E6-F6</f>
        <v>#REF!</v>
      </c>
      <c r="H7" s="4" t="e">
        <f t="shared" si="0"/>
        <v>#REF!</v>
      </c>
      <c r="I7" s="4" t="e">
        <f t="shared" ref="I7:I70" si="3">G6-H6</f>
        <v>#REF!</v>
      </c>
      <c r="J7" s="4" t="e">
        <f t="shared" si="0"/>
        <v>#REF!</v>
      </c>
      <c r="K7" s="4" t="e">
        <f t="shared" ref="K7:K70" si="4">I6-J6</f>
        <v>#REF!</v>
      </c>
      <c r="L7" s="4" t="e">
        <f t="shared" si="0"/>
        <v>#REF!</v>
      </c>
      <c r="M7" s="4" t="e">
        <f t="shared" ref="M7:M70" si="5">K6-L6</f>
        <v>#REF!</v>
      </c>
      <c r="N7" s="4" t="e">
        <f t="shared" si="0"/>
        <v>#REF!</v>
      </c>
      <c r="O7" s="4" t="e">
        <f t="shared" ref="O7:O70" si="6">M6-N6</f>
        <v>#REF!</v>
      </c>
      <c r="P7" s="4" t="e">
        <f t="shared" si="0"/>
        <v>#REF!</v>
      </c>
      <c r="Q7" s="4" t="e">
        <f t="shared" ref="Q7:Q70" si="7">O6-P6</f>
        <v>#REF!</v>
      </c>
      <c r="R7" s="4" t="e">
        <f t="shared" si="0"/>
        <v>#REF!</v>
      </c>
      <c r="S7" s="4" t="e">
        <f t="shared" ref="S7:S70" si="8">Q6-R6</f>
        <v>#REF!</v>
      </c>
      <c r="T7" s="4" t="e">
        <f t="shared" si="0"/>
        <v>#REF!</v>
      </c>
      <c r="U7" s="4" t="e">
        <f t="shared" ref="U7:U70" si="9">S6-T6</f>
        <v>#REF!</v>
      </c>
      <c r="V7" s="4" t="e">
        <f t="shared" si="0"/>
        <v>#REF!</v>
      </c>
      <c r="W7" s="4" t="e">
        <f t="shared" ref="W7:W70" si="10">U6-V6</f>
        <v>#REF!</v>
      </c>
    </row>
    <row r="8" spans="1:23" outlineLevel="1">
      <c r="A8">
        <v>2</v>
      </c>
      <c r="B8">
        <f>IFERROR(GETPIVOTDATA("Age_Calc",'Inputs &amp; Calcs'!#REF!,"Age_Calc",Q_Forecast5[[#This Row],[Age]]),0)</f>
        <v>0</v>
      </c>
      <c r="C8" t="e">
        <f>IF(VLOOKUP(Q_Forecast5[[#This Row],[Age]],#REF!,MATCH(DTU_RR,#REF!,0),FALSE)&gt;1,1,VLOOKUP(Q_Forecast5[[#This Row],[Age]],#REF!,MATCH(DTU_RR,#REF!,0),FALSE))</f>
        <v>#REF!</v>
      </c>
      <c r="D8" s="4" t="e">
        <f t="shared" si="1"/>
        <v>#REF!</v>
      </c>
      <c r="E8" s="4" t="e">
        <f>B7-D7</f>
        <v>#REF!</v>
      </c>
      <c r="F8" s="4" t="e">
        <f t="shared" si="2"/>
        <v>#REF!</v>
      </c>
      <c r="G8" s="4" t="e">
        <f t="shared" ref="G8:G71" si="11">E7-F7</f>
        <v>#REF!</v>
      </c>
      <c r="H8" s="4" t="e">
        <f t="shared" si="0"/>
        <v>#REF!</v>
      </c>
      <c r="I8" s="4" t="e">
        <f t="shared" si="3"/>
        <v>#REF!</v>
      </c>
      <c r="J8" s="4" t="e">
        <f t="shared" si="0"/>
        <v>#REF!</v>
      </c>
      <c r="K8" s="4" t="e">
        <f t="shared" si="4"/>
        <v>#REF!</v>
      </c>
      <c r="L8" s="4" t="e">
        <f t="shared" si="0"/>
        <v>#REF!</v>
      </c>
      <c r="M8" s="4" t="e">
        <f t="shared" si="5"/>
        <v>#REF!</v>
      </c>
      <c r="N8" s="4" t="e">
        <f t="shared" si="0"/>
        <v>#REF!</v>
      </c>
      <c r="O8" s="4" t="e">
        <f t="shared" si="6"/>
        <v>#REF!</v>
      </c>
      <c r="P8" s="4" t="e">
        <f t="shared" si="0"/>
        <v>#REF!</v>
      </c>
      <c r="Q8" s="4" t="e">
        <f t="shared" si="7"/>
        <v>#REF!</v>
      </c>
      <c r="R8" s="4" t="e">
        <f t="shared" si="0"/>
        <v>#REF!</v>
      </c>
      <c r="S8" s="4" t="e">
        <f t="shared" si="8"/>
        <v>#REF!</v>
      </c>
      <c r="T8" s="4" t="e">
        <f t="shared" si="0"/>
        <v>#REF!</v>
      </c>
      <c r="U8" s="4" t="e">
        <f t="shared" si="9"/>
        <v>#REF!</v>
      </c>
      <c r="V8" s="4" t="e">
        <f t="shared" si="0"/>
        <v>#REF!</v>
      </c>
      <c r="W8" s="4" t="e">
        <f t="shared" si="10"/>
        <v>#REF!</v>
      </c>
    </row>
    <row r="9" spans="1:23" outlineLevel="1">
      <c r="A9">
        <v>3</v>
      </c>
      <c r="B9">
        <f>IFERROR(GETPIVOTDATA("Age_Calc",'Inputs &amp; Calcs'!#REF!,"Age_Calc",Q_Forecast5[[#This Row],[Age]]),0)</f>
        <v>0</v>
      </c>
      <c r="C9" t="e">
        <f>IF(VLOOKUP(Q_Forecast5[[#This Row],[Age]],#REF!,MATCH(DTU_RR,#REF!,0),FALSE)&gt;1,1,VLOOKUP(Q_Forecast5[[#This Row],[Age]],#REF!,MATCH(DTU_RR,#REF!,0),FALSE))</f>
        <v>#REF!</v>
      </c>
      <c r="D9" s="4" t="e">
        <f t="shared" si="1"/>
        <v>#REF!</v>
      </c>
      <c r="E9" s="4" t="e">
        <f>B8-D8</f>
        <v>#REF!</v>
      </c>
      <c r="F9" s="4" t="e">
        <f t="shared" si="2"/>
        <v>#REF!</v>
      </c>
      <c r="G9" s="4" t="e">
        <f t="shared" si="11"/>
        <v>#REF!</v>
      </c>
      <c r="H9" s="4" t="e">
        <f t="shared" si="0"/>
        <v>#REF!</v>
      </c>
      <c r="I9" s="4" t="e">
        <f t="shared" si="3"/>
        <v>#REF!</v>
      </c>
      <c r="J9" s="4" t="e">
        <f t="shared" si="0"/>
        <v>#REF!</v>
      </c>
      <c r="K9" s="4" t="e">
        <f t="shared" si="4"/>
        <v>#REF!</v>
      </c>
      <c r="L9" s="4" t="e">
        <f t="shared" si="0"/>
        <v>#REF!</v>
      </c>
      <c r="M9" s="4" t="e">
        <f t="shared" si="5"/>
        <v>#REF!</v>
      </c>
      <c r="N9" s="4" t="e">
        <f t="shared" si="0"/>
        <v>#REF!</v>
      </c>
      <c r="O9" s="4" t="e">
        <f t="shared" si="6"/>
        <v>#REF!</v>
      </c>
      <c r="P9" s="4" t="e">
        <f t="shared" si="0"/>
        <v>#REF!</v>
      </c>
      <c r="Q9" s="4" t="e">
        <f t="shared" si="7"/>
        <v>#REF!</v>
      </c>
      <c r="R9" s="4" t="e">
        <f t="shared" si="0"/>
        <v>#REF!</v>
      </c>
      <c r="S9" s="4" t="e">
        <f t="shared" si="8"/>
        <v>#REF!</v>
      </c>
      <c r="T9" s="4" t="e">
        <f t="shared" si="0"/>
        <v>#REF!</v>
      </c>
      <c r="U9" s="4" t="e">
        <f t="shared" si="9"/>
        <v>#REF!</v>
      </c>
      <c r="V9" s="4" t="e">
        <f t="shared" si="0"/>
        <v>#REF!</v>
      </c>
      <c r="W9" s="4" t="e">
        <f t="shared" si="10"/>
        <v>#REF!</v>
      </c>
    </row>
    <row r="10" spans="1:23" outlineLevel="1">
      <c r="A10">
        <v>4</v>
      </c>
      <c r="B10">
        <f>IFERROR(GETPIVOTDATA("Age_Calc",'Inputs &amp; Calcs'!#REF!,"Age_Calc",Q_Forecast5[[#This Row],[Age]]),0)</f>
        <v>0</v>
      </c>
      <c r="C10" t="e">
        <f>IF(VLOOKUP(Q_Forecast5[[#This Row],[Age]],#REF!,MATCH(DTU_RR,#REF!,0),FALSE)&gt;1,1,VLOOKUP(Q_Forecast5[[#This Row],[Age]],#REF!,MATCH(DTU_RR,#REF!,0),FALSE))</f>
        <v>#REF!</v>
      </c>
      <c r="D10" s="4" t="e">
        <f t="shared" si="1"/>
        <v>#REF!</v>
      </c>
      <c r="E10" s="4" t="e">
        <f t="shared" ref="E10:E73" si="12">B9-D9</f>
        <v>#REF!</v>
      </c>
      <c r="F10" s="4" t="e">
        <f t="shared" si="2"/>
        <v>#REF!</v>
      </c>
      <c r="G10" s="4" t="e">
        <f t="shared" si="11"/>
        <v>#REF!</v>
      </c>
      <c r="H10" s="4" t="e">
        <f t="shared" si="0"/>
        <v>#REF!</v>
      </c>
      <c r="I10" s="4" t="e">
        <f t="shared" si="3"/>
        <v>#REF!</v>
      </c>
      <c r="J10" s="4" t="e">
        <f t="shared" si="0"/>
        <v>#REF!</v>
      </c>
      <c r="K10" s="4" t="e">
        <f t="shared" si="4"/>
        <v>#REF!</v>
      </c>
      <c r="L10" s="4" t="e">
        <f t="shared" si="0"/>
        <v>#REF!</v>
      </c>
      <c r="M10" s="4" t="e">
        <f t="shared" si="5"/>
        <v>#REF!</v>
      </c>
      <c r="N10" s="4" t="e">
        <f t="shared" si="0"/>
        <v>#REF!</v>
      </c>
      <c r="O10" s="4" t="e">
        <f t="shared" si="6"/>
        <v>#REF!</v>
      </c>
      <c r="P10" s="4" t="e">
        <f t="shared" si="0"/>
        <v>#REF!</v>
      </c>
      <c r="Q10" s="4" t="e">
        <f t="shared" si="7"/>
        <v>#REF!</v>
      </c>
      <c r="R10" s="4" t="e">
        <f t="shared" si="0"/>
        <v>#REF!</v>
      </c>
      <c r="S10" s="4" t="e">
        <f t="shared" si="8"/>
        <v>#REF!</v>
      </c>
      <c r="T10" s="4" t="e">
        <f t="shared" si="0"/>
        <v>#REF!</v>
      </c>
      <c r="U10" s="4" t="e">
        <f t="shared" si="9"/>
        <v>#REF!</v>
      </c>
      <c r="V10" s="4" t="e">
        <f t="shared" si="0"/>
        <v>#REF!</v>
      </c>
      <c r="W10" s="4" t="e">
        <f t="shared" si="10"/>
        <v>#REF!</v>
      </c>
    </row>
    <row r="11" spans="1:23" outlineLevel="1">
      <c r="A11">
        <v>5</v>
      </c>
      <c r="B11">
        <f>IFERROR(GETPIVOTDATA("Age_Calc",'Inputs &amp; Calcs'!#REF!,"Age_Calc",Q_Forecast5[[#This Row],[Age]]),0)</f>
        <v>0</v>
      </c>
      <c r="C11" t="e">
        <f>IF(VLOOKUP(Q_Forecast5[[#This Row],[Age]],#REF!,MATCH(DTU_RR,#REF!,0),FALSE)&gt;1,1,VLOOKUP(Q_Forecast5[[#This Row],[Age]],#REF!,MATCH(DTU_RR,#REF!,0),FALSE))</f>
        <v>#REF!</v>
      </c>
      <c r="D11" s="4" t="e">
        <f t="shared" si="1"/>
        <v>#REF!</v>
      </c>
      <c r="E11" s="4" t="e">
        <f t="shared" si="12"/>
        <v>#REF!</v>
      </c>
      <c r="F11" s="4" t="e">
        <f t="shared" si="2"/>
        <v>#REF!</v>
      </c>
      <c r="G11" s="4" t="e">
        <f t="shared" si="11"/>
        <v>#REF!</v>
      </c>
      <c r="H11" s="4" t="e">
        <f t="shared" si="0"/>
        <v>#REF!</v>
      </c>
      <c r="I11" s="4" t="e">
        <f t="shared" si="3"/>
        <v>#REF!</v>
      </c>
      <c r="J11" s="4" t="e">
        <f t="shared" si="0"/>
        <v>#REF!</v>
      </c>
      <c r="K11" s="4" t="e">
        <f t="shared" si="4"/>
        <v>#REF!</v>
      </c>
      <c r="L11" s="4" t="e">
        <f t="shared" si="0"/>
        <v>#REF!</v>
      </c>
      <c r="M11" s="4" t="e">
        <f t="shared" si="5"/>
        <v>#REF!</v>
      </c>
      <c r="N11" s="4" t="e">
        <f t="shared" si="0"/>
        <v>#REF!</v>
      </c>
      <c r="O11" s="4" t="e">
        <f t="shared" si="6"/>
        <v>#REF!</v>
      </c>
      <c r="P11" s="4" t="e">
        <f t="shared" si="0"/>
        <v>#REF!</v>
      </c>
      <c r="Q11" s="4" t="e">
        <f t="shared" si="7"/>
        <v>#REF!</v>
      </c>
      <c r="R11" s="4" t="e">
        <f t="shared" si="0"/>
        <v>#REF!</v>
      </c>
      <c r="S11" s="4" t="e">
        <f t="shared" si="8"/>
        <v>#REF!</v>
      </c>
      <c r="T11" s="4" t="e">
        <f t="shared" si="0"/>
        <v>#REF!</v>
      </c>
      <c r="U11" s="4" t="e">
        <f t="shared" si="9"/>
        <v>#REF!</v>
      </c>
      <c r="V11" s="4" t="e">
        <f t="shared" si="0"/>
        <v>#REF!</v>
      </c>
      <c r="W11" s="4" t="e">
        <f t="shared" si="10"/>
        <v>#REF!</v>
      </c>
    </row>
    <row r="12" spans="1:23" outlineLevel="1">
      <c r="A12">
        <v>6</v>
      </c>
      <c r="B12">
        <f>IFERROR(GETPIVOTDATA("Age_Calc",'Inputs &amp; Calcs'!#REF!,"Age_Calc",Q_Forecast5[[#This Row],[Age]]),0)</f>
        <v>0</v>
      </c>
      <c r="C12" t="e">
        <f>IF(VLOOKUP(Q_Forecast5[[#This Row],[Age]],#REF!,MATCH(DTU_RR,#REF!,0),FALSE)&gt;1,1,VLOOKUP(Q_Forecast5[[#This Row],[Age]],#REF!,MATCH(DTU_RR,#REF!,0),FALSE))</f>
        <v>#REF!</v>
      </c>
      <c r="D12" s="4" t="e">
        <f t="shared" si="1"/>
        <v>#REF!</v>
      </c>
      <c r="E12" s="4" t="e">
        <f t="shared" si="12"/>
        <v>#REF!</v>
      </c>
      <c r="F12" s="4" t="e">
        <f t="shared" si="2"/>
        <v>#REF!</v>
      </c>
      <c r="G12" s="4" t="e">
        <f t="shared" si="11"/>
        <v>#REF!</v>
      </c>
      <c r="H12" s="4" t="e">
        <f t="shared" si="0"/>
        <v>#REF!</v>
      </c>
      <c r="I12" s="4" t="e">
        <f t="shared" si="3"/>
        <v>#REF!</v>
      </c>
      <c r="J12" s="4" t="e">
        <f t="shared" si="0"/>
        <v>#REF!</v>
      </c>
      <c r="K12" s="4" t="e">
        <f t="shared" si="4"/>
        <v>#REF!</v>
      </c>
      <c r="L12" s="4" t="e">
        <f t="shared" si="0"/>
        <v>#REF!</v>
      </c>
      <c r="M12" s="4" t="e">
        <f t="shared" si="5"/>
        <v>#REF!</v>
      </c>
      <c r="N12" s="4" t="e">
        <f t="shared" si="0"/>
        <v>#REF!</v>
      </c>
      <c r="O12" s="4" t="e">
        <f t="shared" si="6"/>
        <v>#REF!</v>
      </c>
      <c r="P12" s="4" t="e">
        <f t="shared" si="0"/>
        <v>#REF!</v>
      </c>
      <c r="Q12" s="4" t="e">
        <f t="shared" si="7"/>
        <v>#REF!</v>
      </c>
      <c r="R12" s="4" t="e">
        <f t="shared" si="0"/>
        <v>#REF!</v>
      </c>
      <c r="S12" s="4" t="e">
        <f t="shared" si="8"/>
        <v>#REF!</v>
      </c>
      <c r="T12" s="4" t="e">
        <f t="shared" si="0"/>
        <v>#REF!</v>
      </c>
      <c r="U12" s="4" t="e">
        <f t="shared" si="9"/>
        <v>#REF!</v>
      </c>
      <c r="V12" s="4" t="e">
        <f t="shared" si="0"/>
        <v>#REF!</v>
      </c>
      <c r="W12" s="4" t="e">
        <f t="shared" si="10"/>
        <v>#REF!</v>
      </c>
    </row>
    <row r="13" spans="1:23" outlineLevel="1">
      <c r="A13">
        <v>7</v>
      </c>
      <c r="B13">
        <f>IFERROR(GETPIVOTDATA("Age_Calc",'Inputs &amp; Calcs'!#REF!,"Age_Calc",Q_Forecast5[[#This Row],[Age]]),0)</f>
        <v>0</v>
      </c>
      <c r="C13" t="e">
        <f>IF(VLOOKUP(Q_Forecast5[[#This Row],[Age]],#REF!,MATCH(DTU_RR,#REF!,0),FALSE)&gt;1,1,VLOOKUP(Q_Forecast5[[#This Row],[Age]],#REF!,MATCH(DTU_RR,#REF!,0),FALSE))</f>
        <v>#REF!</v>
      </c>
      <c r="D13" s="4" t="e">
        <f t="shared" si="1"/>
        <v>#REF!</v>
      </c>
      <c r="E13" s="4" t="e">
        <f t="shared" si="12"/>
        <v>#REF!</v>
      </c>
      <c r="F13" s="4" t="e">
        <f t="shared" si="2"/>
        <v>#REF!</v>
      </c>
      <c r="G13" s="4" t="e">
        <f t="shared" si="11"/>
        <v>#REF!</v>
      </c>
      <c r="H13" s="4" t="e">
        <f t="shared" si="0"/>
        <v>#REF!</v>
      </c>
      <c r="I13" s="4" t="e">
        <f t="shared" si="3"/>
        <v>#REF!</v>
      </c>
      <c r="J13" s="4" t="e">
        <f t="shared" si="0"/>
        <v>#REF!</v>
      </c>
      <c r="K13" s="4" t="e">
        <f t="shared" si="4"/>
        <v>#REF!</v>
      </c>
      <c r="L13" s="4" t="e">
        <f t="shared" si="0"/>
        <v>#REF!</v>
      </c>
      <c r="M13" s="4" t="e">
        <f t="shared" si="5"/>
        <v>#REF!</v>
      </c>
      <c r="N13" s="4" t="e">
        <f t="shared" si="0"/>
        <v>#REF!</v>
      </c>
      <c r="O13" s="4" t="e">
        <f t="shared" si="6"/>
        <v>#REF!</v>
      </c>
      <c r="P13" s="4" t="e">
        <f t="shared" si="0"/>
        <v>#REF!</v>
      </c>
      <c r="Q13" s="4" t="e">
        <f t="shared" si="7"/>
        <v>#REF!</v>
      </c>
      <c r="R13" s="4" t="e">
        <f t="shared" si="0"/>
        <v>#REF!</v>
      </c>
      <c r="S13" s="4" t="e">
        <f t="shared" si="8"/>
        <v>#REF!</v>
      </c>
      <c r="T13" s="4" t="e">
        <f t="shared" si="0"/>
        <v>#REF!</v>
      </c>
      <c r="U13" s="4" t="e">
        <f t="shared" si="9"/>
        <v>#REF!</v>
      </c>
      <c r="V13" s="4" t="e">
        <f t="shared" si="0"/>
        <v>#REF!</v>
      </c>
      <c r="W13" s="4" t="e">
        <f t="shared" si="10"/>
        <v>#REF!</v>
      </c>
    </row>
    <row r="14" spans="1:23" outlineLevel="1">
      <c r="A14">
        <v>8</v>
      </c>
      <c r="B14">
        <f>IFERROR(GETPIVOTDATA("Age_Calc",'Inputs &amp; Calcs'!#REF!,"Age_Calc",Q_Forecast5[[#This Row],[Age]]),0)</f>
        <v>0</v>
      </c>
      <c r="C14" t="e">
        <f>IF(VLOOKUP(Q_Forecast5[[#This Row],[Age]],#REF!,MATCH(DTU_RR,#REF!,0),FALSE)&gt;1,1,VLOOKUP(Q_Forecast5[[#This Row],[Age]],#REF!,MATCH(DTU_RR,#REF!,0),FALSE))</f>
        <v>#REF!</v>
      </c>
      <c r="D14" s="4" t="e">
        <f t="shared" si="1"/>
        <v>#REF!</v>
      </c>
      <c r="E14" s="4" t="e">
        <f t="shared" si="12"/>
        <v>#REF!</v>
      </c>
      <c r="F14" s="4" t="e">
        <f t="shared" si="2"/>
        <v>#REF!</v>
      </c>
      <c r="G14" s="4" t="e">
        <f t="shared" si="11"/>
        <v>#REF!</v>
      </c>
      <c r="H14" s="4" t="e">
        <f t="shared" si="0"/>
        <v>#REF!</v>
      </c>
      <c r="I14" s="4" t="e">
        <f t="shared" si="3"/>
        <v>#REF!</v>
      </c>
      <c r="J14" s="4" t="e">
        <f t="shared" si="0"/>
        <v>#REF!</v>
      </c>
      <c r="K14" s="4" t="e">
        <f t="shared" si="4"/>
        <v>#REF!</v>
      </c>
      <c r="L14" s="4" t="e">
        <f t="shared" si="0"/>
        <v>#REF!</v>
      </c>
      <c r="M14" s="4" t="e">
        <f t="shared" si="5"/>
        <v>#REF!</v>
      </c>
      <c r="N14" s="4" t="e">
        <f t="shared" si="0"/>
        <v>#REF!</v>
      </c>
      <c r="O14" s="4" t="e">
        <f t="shared" si="6"/>
        <v>#REF!</v>
      </c>
      <c r="P14" s="4" t="e">
        <f t="shared" si="0"/>
        <v>#REF!</v>
      </c>
      <c r="Q14" s="4" t="e">
        <f t="shared" si="7"/>
        <v>#REF!</v>
      </c>
      <c r="R14" s="4" t="e">
        <f t="shared" si="0"/>
        <v>#REF!</v>
      </c>
      <c r="S14" s="4" t="e">
        <f t="shared" si="8"/>
        <v>#REF!</v>
      </c>
      <c r="T14" s="4" t="e">
        <f t="shared" si="0"/>
        <v>#REF!</v>
      </c>
      <c r="U14" s="4" t="e">
        <f t="shared" si="9"/>
        <v>#REF!</v>
      </c>
      <c r="V14" s="4" t="e">
        <f t="shared" si="0"/>
        <v>#REF!</v>
      </c>
      <c r="W14" s="4" t="e">
        <f t="shared" si="10"/>
        <v>#REF!</v>
      </c>
    </row>
    <row r="15" spans="1:23" outlineLevel="1">
      <c r="A15">
        <v>9</v>
      </c>
      <c r="B15">
        <f>IFERROR(GETPIVOTDATA("Age_Calc",'Inputs &amp; Calcs'!#REF!,"Age_Calc",Q_Forecast5[[#This Row],[Age]]),0)</f>
        <v>0</v>
      </c>
      <c r="C15" t="e">
        <f>IF(VLOOKUP(Q_Forecast5[[#This Row],[Age]],#REF!,MATCH(DTU_RR,#REF!,0),FALSE)&gt;1,1,VLOOKUP(Q_Forecast5[[#This Row],[Age]],#REF!,MATCH(DTU_RR,#REF!,0),FALSE))</f>
        <v>#REF!</v>
      </c>
      <c r="D15" s="4" t="e">
        <f t="shared" si="1"/>
        <v>#REF!</v>
      </c>
      <c r="E15" s="4" t="e">
        <f t="shared" si="12"/>
        <v>#REF!</v>
      </c>
      <c r="F15" s="4" t="e">
        <f t="shared" si="2"/>
        <v>#REF!</v>
      </c>
      <c r="G15" s="4" t="e">
        <f t="shared" si="11"/>
        <v>#REF!</v>
      </c>
      <c r="H15" s="4" t="e">
        <f t="shared" si="0"/>
        <v>#REF!</v>
      </c>
      <c r="I15" s="4" t="e">
        <f t="shared" si="3"/>
        <v>#REF!</v>
      </c>
      <c r="J15" s="4" t="e">
        <f t="shared" si="0"/>
        <v>#REF!</v>
      </c>
      <c r="K15" s="4" t="e">
        <f t="shared" si="4"/>
        <v>#REF!</v>
      </c>
      <c r="L15" s="4" t="e">
        <f t="shared" si="0"/>
        <v>#REF!</v>
      </c>
      <c r="M15" s="4" t="e">
        <f t="shared" si="5"/>
        <v>#REF!</v>
      </c>
      <c r="N15" s="4" t="e">
        <f t="shared" si="0"/>
        <v>#REF!</v>
      </c>
      <c r="O15" s="4" t="e">
        <f t="shared" si="6"/>
        <v>#REF!</v>
      </c>
      <c r="P15" s="4" t="e">
        <f t="shared" si="0"/>
        <v>#REF!</v>
      </c>
      <c r="Q15" s="4" t="e">
        <f t="shared" si="7"/>
        <v>#REF!</v>
      </c>
      <c r="R15" s="4" t="e">
        <f t="shared" si="0"/>
        <v>#REF!</v>
      </c>
      <c r="S15" s="4" t="e">
        <f t="shared" si="8"/>
        <v>#REF!</v>
      </c>
      <c r="T15" s="4" t="e">
        <f t="shared" si="0"/>
        <v>#REF!</v>
      </c>
      <c r="U15" s="4" t="e">
        <f t="shared" si="9"/>
        <v>#REF!</v>
      </c>
      <c r="V15" s="4" t="e">
        <f t="shared" si="0"/>
        <v>#REF!</v>
      </c>
      <c r="W15" s="4" t="e">
        <f t="shared" si="10"/>
        <v>#REF!</v>
      </c>
    </row>
    <row r="16" spans="1:23" outlineLevel="1">
      <c r="A16">
        <v>10</v>
      </c>
      <c r="B16">
        <f>IFERROR(GETPIVOTDATA("Age_Calc",'Inputs &amp; Calcs'!#REF!,"Age_Calc",Q_Forecast5[[#This Row],[Age]]),0)</f>
        <v>0</v>
      </c>
      <c r="C16" t="e">
        <f>IF(VLOOKUP(Q_Forecast5[[#This Row],[Age]],#REF!,MATCH(DTU_RR,#REF!,0),FALSE)&gt;1,1,VLOOKUP(Q_Forecast5[[#This Row],[Age]],#REF!,MATCH(DTU_RR,#REF!,0),FALSE))</f>
        <v>#REF!</v>
      </c>
      <c r="D16" s="4" t="e">
        <f t="shared" si="1"/>
        <v>#REF!</v>
      </c>
      <c r="E16" s="4" t="e">
        <f t="shared" si="12"/>
        <v>#REF!</v>
      </c>
      <c r="F16" s="4" t="e">
        <f t="shared" si="2"/>
        <v>#REF!</v>
      </c>
      <c r="G16" s="4" t="e">
        <f t="shared" si="11"/>
        <v>#REF!</v>
      </c>
      <c r="H16" s="4" t="e">
        <f t="shared" si="0"/>
        <v>#REF!</v>
      </c>
      <c r="I16" s="4" t="e">
        <f t="shared" si="3"/>
        <v>#REF!</v>
      </c>
      <c r="J16" s="4" t="e">
        <f t="shared" si="0"/>
        <v>#REF!</v>
      </c>
      <c r="K16" s="4" t="e">
        <f t="shared" si="4"/>
        <v>#REF!</v>
      </c>
      <c r="L16" s="4" t="e">
        <f t="shared" si="0"/>
        <v>#REF!</v>
      </c>
      <c r="M16" s="4" t="e">
        <f t="shared" si="5"/>
        <v>#REF!</v>
      </c>
      <c r="N16" s="4" t="e">
        <f t="shared" si="0"/>
        <v>#REF!</v>
      </c>
      <c r="O16" s="4" t="e">
        <f t="shared" si="6"/>
        <v>#REF!</v>
      </c>
      <c r="P16" s="4" t="e">
        <f t="shared" si="0"/>
        <v>#REF!</v>
      </c>
      <c r="Q16" s="4" t="e">
        <f t="shared" si="7"/>
        <v>#REF!</v>
      </c>
      <c r="R16" s="4" t="e">
        <f t="shared" si="0"/>
        <v>#REF!</v>
      </c>
      <c r="S16" s="4" t="e">
        <f t="shared" si="8"/>
        <v>#REF!</v>
      </c>
      <c r="T16" s="4" t="e">
        <f t="shared" si="0"/>
        <v>#REF!</v>
      </c>
      <c r="U16" s="4" t="e">
        <f t="shared" si="9"/>
        <v>#REF!</v>
      </c>
      <c r="V16" s="4" t="e">
        <f t="shared" si="0"/>
        <v>#REF!</v>
      </c>
      <c r="W16" s="4" t="e">
        <f t="shared" si="10"/>
        <v>#REF!</v>
      </c>
    </row>
    <row r="17" spans="1:23" outlineLevel="1">
      <c r="A17">
        <v>11</v>
      </c>
      <c r="B17">
        <f>IFERROR(GETPIVOTDATA("Age_Calc",'Inputs &amp; Calcs'!#REF!,"Age_Calc",Q_Forecast5[[#This Row],[Age]]),0)</f>
        <v>0</v>
      </c>
      <c r="C17" t="e">
        <f>IF(VLOOKUP(Q_Forecast5[[#This Row],[Age]],#REF!,MATCH(DTU_RR,#REF!,0),FALSE)&gt;1,1,VLOOKUP(Q_Forecast5[[#This Row],[Age]],#REF!,MATCH(DTU_RR,#REF!,0),FALSE))</f>
        <v>#REF!</v>
      </c>
      <c r="D17" s="4" t="e">
        <f t="shared" si="1"/>
        <v>#REF!</v>
      </c>
      <c r="E17" s="4" t="e">
        <f t="shared" si="12"/>
        <v>#REF!</v>
      </c>
      <c r="F17" s="4" t="e">
        <f t="shared" si="2"/>
        <v>#REF!</v>
      </c>
      <c r="G17" s="4" t="e">
        <f t="shared" si="11"/>
        <v>#REF!</v>
      </c>
      <c r="H17" s="4" t="e">
        <f t="shared" si="0"/>
        <v>#REF!</v>
      </c>
      <c r="I17" s="4" t="e">
        <f t="shared" si="3"/>
        <v>#REF!</v>
      </c>
      <c r="J17" s="4" t="e">
        <f t="shared" si="0"/>
        <v>#REF!</v>
      </c>
      <c r="K17" s="4" t="e">
        <f t="shared" si="4"/>
        <v>#REF!</v>
      </c>
      <c r="L17" s="4" t="e">
        <f t="shared" si="0"/>
        <v>#REF!</v>
      </c>
      <c r="M17" s="4" t="e">
        <f t="shared" si="5"/>
        <v>#REF!</v>
      </c>
      <c r="N17" s="4" t="e">
        <f t="shared" si="0"/>
        <v>#REF!</v>
      </c>
      <c r="O17" s="4" t="e">
        <f t="shared" si="6"/>
        <v>#REF!</v>
      </c>
      <c r="P17" s="4" t="e">
        <f t="shared" si="0"/>
        <v>#REF!</v>
      </c>
      <c r="Q17" s="4" t="e">
        <f t="shared" si="7"/>
        <v>#REF!</v>
      </c>
      <c r="R17" s="4" t="e">
        <f t="shared" si="0"/>
        <v>#REF!</v>
      </c>
      <c r="S17" s="4" t="e">
        <f t="shared" si="8"/>
        <v>#REF!</v>
      </c>
      <c r="T17" s="4" t="e">
        <f t="shared" si="0"/>
        <v>#REF!</v>
      </c>
      <c r="U17" s="4" t="e">
        <f t="shared" si="9"/>
        <v>#REF!</v>
      </c>
      <c r="V17" s="4" t="e">
        <f t="shared" si="0"/>
        <v>#REF!</v>
      </c>
      <c r="W17" s="4" t="e">
        <f t="shared" si="10"/>
        <v>#REF!</v>
      </c>
    </row>
    <row r="18" spans="1:23" outlineLevel="1">
      <c r="A18">
        <v>12</v>
      </c>
      <c r="B18">
        <f>IFERROR(GETPIVOTDATA("Age_Calc",'Inputs &amp; Calcs'!#REF!,"Age_Calc",Q_Forecast5[[#This Row],[Age]]),0)</f>
        <v>0</v>
      </c>
      <c r="C18" t="e">
        <f>IF(VLOOKUP(Q_Forecast5[[#This Row],[Age]],#REF!,MATCH(DTU_RR,#REF!,0),FALSE)&gt;1,1,VLOOKUP(Q_Forecast5[[#This Row],[Age]],#REF!,MATCH(DTU_RR,#REF!,0),FALSE))</f>
        <v>#REF!</v>
      </c>
      <c r="D18" s="4" t="e">
        <f t="shared" si="1"/>
        <v>#REF!</v>
      </c>
      <c r="E18" s="4" t="e">
        <f t="shared" si="12"/>
        <v>#REF!</v>
      </c>
      <c r="F18" s="4" t="e">
        <f t="shared" si="2"/>
        <v>#REF!</v>
      </c>
      <c r="G18" s="4" t="e">
        <f t="shared" si="11"/>
        <v>#REF!</v>
      </c>
      <c r="H18" s="4" t="e">
        <f t="shared" si="0"/>
        <v>#REF!</v>
      </c>
      <c r="I18" s="4" t="e">
        <f t="shared" si="3"/>
        <v>#REF!</v>
      </c>
      <c r="J18" s="4" t="e">
        <f t="shared" si="0"/>
        <v>#REF!</v>
      </c>
      <c r="K18" s="4" t="e">
        <f t="shared" si="4"/>
        <v>#REF!</v>
      </c>
      <c r="L18" s="4" t="e">
        <f t="shared" si="0"/>
        <v>#REF!</v>
      </c>
      <c r="M18" s="4" t="e">
        <f t="shared" si="5"/>
        <v>#REF!</v>
      </c>
      <c r="N18" s="4" t="e">
        <f t="shared" si="0"/>
        <v>#REF!</v>
      </c>
      <c r="O18" s="4" t="e">
        <f t="shared" si="6"/>
        <v>#REF!</v>
      </c>
      <c r="P18" s="4" t="e">
        <f t="shared" si="0"/>
        <v>#REF!</v>
      </c>
      <c r="Q18" s="4" t="e">
        <f t="shared" si="7"/>
        <v>#REF!</v>
      </c>
      <c r="R18" s="4" t="e">
        <f t="shared" si="0"/>
        <v>#REF!</v>
      </c>
      <c r="S18" s="4" t="e">
        <f t="shared" si="8"/>
        <v>#REF!</v>
      </c>
      <c r="T18" s="4" t="e">
        <f t="shared" si="0"/>
        <v>#REF!</v>
      </c>
      <c r="U18" s="4" t="e">
        <f t="shared" si="9"/>
        <v>#REF!</v>
      </c>
      <c r="V18" s="4" t="e">
        <f t="shared" si="0"/>
        <v>#REF!</v>
      </c>
      <c r="W18" s="4" t="e">
        <f t="shared" si="10"/>
        <v>#REF!</v>
      </c>
    </row>
    <row r="19" spans="1:23" outlineLevel="1">
      <c r="A19">
        <v>13</v>
      </c>
      <c r="B19">
        <f>IFERROR(GETPIVOTDATA("Age_Calc",'Inputs &amp; Calcs'!#REF!,"Age_Calc",Q_Forecast5[[#This Row],[Age]]),0)</f>
        <v>0</v>
      </c>
      <c r="C19" t="e">
        <f>IF(VLOOKUP(Q_Forecast5[[#This Row],[Age]],#REF!,MATCH(DTU_RR,#REF!,0),FALSE)&gt;1,1,VLOOKUP(Q_Forecast5[[#This Row],[Age]],#REF!,MATCH(DTU_RR,#REF!,0),FALSE))</f>
        <v>#REF!</v>
      </c>
      <c r="D19" s="4" t="e">
        <f t="shared" si="1"/>
        <v>#REF!</v>
      </c>
      <c r="E19" s="4" t="e">
        <f t="shared" si="12"/>
        <v>#REF!</v>
      </c>
      <c r="F19" s="4" t="e">
        <f t="shared" si="2"/>
        <v>#REF!</v>
      </c>
      <c r="G19" s="4" t="e">
        <f t="shared" si="11"/>
        <v>#REF!</v>
      </c>
      <c r="H19" s="4" t="e">
        <f t="shared" si="0"/>
        <v>#REF!</v>
      </c>
      <c r="I19" s="4" t="e">
        <f t="shared" si="3"/>
        <v>#REF!</v>
      </c>
      <c r="J19" s="4" t="e">
        <f t="shared" si="0"/>
        <v>#REF!</v>
      </c>
      <c r="K19" s="4" t="e">
        <f t="shared" si="4"/>
        <v>#REF!</v>
      </c>
      <c r="L19" s="4" t="e">
        <f t="shared" si="0"/>
        <v>#REF!</v>
      </c>
      <c r="M19" s="4" t="e">
        <f t="shared" si="5"/>
        <v>#REF!</v>
      </c>
      <c r="N19" s="4" t="e">
        <f t="shared" si="0"/>
        <v>#REF!</v>
      </c>
      <c r="O19" s="4" t="e">
        <f t="shared" si="6"/>
        <v>#REF!</v>
      </c>
      <c r="P19" s="4" t="e">
        <f t="shared" si="0"/>
        <v>#REF!</v>
      </c>
      <c r="Q19" s="4" t="e">
        <f t="shared" si="7"/>
        <v>#REF!</v>
      </c>
      <c r="R19" s="4" t="e">
        <f t="shared" si="0"/>
        <v>#REF!</v>
      </c>
      <c r="S19" s="4" t="e">
        <f t="shared" si="8"/>
        <v>#REF!</v>
      </c>
      <c r="T19" s="4" t="e">
        <f t="shared" si="0"/>
        <v>#REF!</v>
      </c>
      <c r="U19" s="4" t="e">
        <f t="shared" si="9"/>
        <v>#REF!</v>
      </c>
      <c r="V19" s="4" t="e">
        <f t="shared" si="0"/>
        <v>#REF!</v>
      </c>
      <c r="W19" s="4" t="e">
        <f t="shared" si="10"/>
        <v>#REF!</v>
      </c>
    </row>
    <row r="20" spans="1:23" outlineLevel="1">
      <c r="A20">
        <v>14</v>
      </c>
      <c r="B20">
        <f>IFERROR(GETPIVOTDATA("Age_Calc",'Inputs &amp; Calcs'!#REF!,"Age_Calc",Q_Forecast5[[#This Row],[Age]]),0)</f>
        <v>0</v>
      </c>
      <c r="C20" t="e">
        <f>IF(VLOOKUP(Q_Forecast5[[#This Row],[Age]],#REF!,MATCH(DTU_RR,#REF!,0),FALSE)&gt;1,1,VLOOKUP(Q_Forecast5[[#This Row],[Age]],#REF!,MATCH(DTU_RR,#REF!,0),FALSE))</f>
        <v>#REF!</v>
      </c>
      <c r="D20" s="4" t="e">
        <f t="shared" si="1"/>
        <v>#REF!</v>
      </c>
      <c r="E20" s="4" t="e">
        <f t="shared" si="12"/>
        <v>#REF!</v>
      </c>
      <c r="F20" s="4" t="e">
        <f t="shared" si="2"/>
        <v>#REF!</v>
      </c>
      <c r="G20" s="4" t="e">
        <f t="shared" si="11"/>
        <v>#REF!</v>
      </c>
      <c r="H20" s="4" t="e">
        <f t="shared" si="0"/>
        <v>#REF!</v>
      </c>
      <c r="I20" s="4" t="e">
        <f t="shared" si="3"/>
        <v>#REF!</v>
      </c>
      <c r="J20" s="4" t="e">
        <f t="shared" si="0"/>
        <v>#REF!</v>
      </c>
      <c r="K20" s="4" t="e">
        <f t="shared" si="4"/>
        <v>#REF!</v>
      </c>
      <c r="L20" s="4" t="e">
        <f t="shared" si="0"/>
        <v>#REF!</v>
      </c>
      <c r="M20" s="4" t="e">
        <f t="shared" si="5"/>
        <v>#REF!</v>
      </c>
      <c r="N20" s="4" t="e">
        <f t="shared" si="0"/>
        <v>#REF!</v>
      </c>
      <c r="O20" s="4" t="e">
        <f t="shared" si="6"/>
        <v>#REF!</v>
      </c>
      <c r="P20" s="4" t="e">
        <f t="shared" si="0"/>
        <v>#REF!</v>
      </c>
      <c r="Q20" s="4" t="e">
        <f t="shared" si="7"/>
        <v>#REF!</v>
      </c>
      <c r="R20" s="4" t="e">
        <f t="shared" si="0"/>
        <v>#REF!</v>
      </c>
      <c r="S20" s="4" t="e">
        <f t="shared" si="8"/>
        <v>#REF!</v>
      </c>
      <c r="T20" s="4" t="e">
        <f t="shared" si="0"/>
        <v>#REF!</v>
      </c>
      <c r="U20" s="4" t="e">
        <f t="shared" si="9"/>
        <v>#REF!</v>
      </c>
      <c r="V20" s="4" t="e">
        <f t="shared" si="0"/>
        <v>#REF!</v>
      </c>
      <c r="W20" s="4" t="e">
        <f t="shared" si="10"/>
        <v>#REF!</v>
      </c>
    </row>
    <row r="21" spans="1:23" outlineLevel="1">
      <c r="A21">
        <v>15</v>
      </c>
      <c r="B21">
        <f>IFERROR(GETPIVOTDATA("Age_Calc",'Inputs &amp; Calcs'!#REF!,"Age_Calc",Q_Forecast5[[#This Row],[Age]]),0)</f>
        <v>0</v>
      </c>
      <c r="C21" t="e">
        <f>IF(VLOOKUP(Q_Forecast5[[#This Row],[Age]],#REF!,MATCH(DTU_RR,#REF!,0),FALSE)&gt;1,1,VLOOKUP(Q_Forecast5[[#This Row],[Age]],#REF!,MATCH(DTU_RR,#REF!,0),FALSE))</f>
        <v>#REF!</v>
      </c>
      <c r="D21" s="4" t="e">
        <f t="shared" si="1"/>
        <v>#REF!</v>
      </c>
      <c r="E21" s="4" t="e">
        <f t="shared" si="12"/>
        <v>#REF!</v>
      </c>
      <c r="F21" s="4" t="e">
        <f t="shared" si="2"/>
        <v>#REF!</v>
      </c>
      <c r="G21" s="4" t="e">
        <f t="shared" si="11"/>
        <v>#REF!</v>
      </c>
      <c r="H21" s="4" t="e">
        <f t="shared" si="0"/>
        <v>#REF!</v>
      </c>
      <c r="I21" s="4" t="e">
        <f t="shared" si="3"/>
        <v>#REF!</v>
      </c>
      <c r="J21" s="4" t="e">
        <f t="shared" si="0"/>
        <v>#REF!</v>
      </c>
      <c r="K21" s="4" t="e">
        <f t="shared" si="4"/>
        <v>#REF!</v>
      </c>
      <c r="L21" s="4" t="e">
        <f t="shared" si="0"/>
        <v>#REF!</v>
      </c>
      <c r="M21" s="4" t="e">
        <f t="shared" si="5"/>
        <v>#REF!</v>
      </c>
      <c r="N21" s="4" t="e">
        <f t="shared" si="0"/>
        <v>#REF!</v>
      </c>
      <c r="O21" s="4" t="e">
        <f t="shared" si="6"/>
        <v>#REF!</v>
      </c>
      <c r="P21" s="4" t="e">
        <f t="shared" si="0"/>
        <v>#REF!</v>
      </c>
      <c r="Q21" s="4" t="e">
        <f t="shared" si="7"/>
        <v>#REF!</v>
      </c>
      <c r="R21" s="4" t="e">
        <f t="shared" si="0"/>
        <v>#REF!</v>
      </c>
      <c r="S21" s="4" t="e">
        <f t="shared" si="8"/>
        <v>#REF!</v>
      </c>
      <c r="T21" s="4" t="e">
        <f t="shared" si="0"/>
        <v>#REF!</v>
      </c>
      <c r="U21" s="4" t="e">
        <f t="shared" si="9"/>
        <v>#REF!</v>
      </c>
      <c r="V21" s="4" t="e">
        <f t="shared" si="0"/>
        <v>#REF!</v>
      </c>
      <c r="W21" s="4" t="e">
        <f t="shared" si="10"/>
        <v>#REF!</v>
      </c>
    </row>
    <row r="22" spans="1:23" outlineLevel="1">
      <c r="A22">
        <v>16</v>
      </c>
      <c r="B22">
        <f>IFERROR(GETPIVOTDATA("Age_Calc",'Inputs &amp; Calcs'!#REF!,"Age_Calc",Q_Forecast5[[#This Row],[Age]]),0)</f>
        <v>0</v>
      </c>
      <c r="C22" t="e">
        <f>IF(VLOOKUP(Q_Forecast5[[#This Row],[Age]],#REF!,MATCH(DTU_RR,#REF!,0),FALSE)&gt;1,1,VLOOKUP(Q_Forecast5[[#This Row],[Age]],#REF!,MATCH(DTU_RR,#REF!,0),FALSE))</f>
        <v>#REF!</v>
      </c>
      <c r="D22" s="4" t="e">
        <f t="shared" si="1"/>
        <v>#REF!</v>
      </c>
      <c r="E22" s="4" t="e">
        <f t="shared" si="12"/>
        <v>#REF!</v>
      </c>
      <c r="F22" s="4" t="e">
        <f t="shared" si="2"/>
        <v>#REF!</v>
      </c>
      <c r="G22" s="4" t="e">
        <f t="shared" si="11"/>
        <v>#REF!</v>
      </c>
      <c r="H22" s="4" t="e">
        <f t="shared" ref="H22:V37" si="13">G22*$C22</f>
        <v>#REF!</v>
      </c>
      <c r="I22" s="4" t="e">
        <f t="shared" si="3"/>
        <v>#REF!</v>
      </c>
      <c r="J22" s="4" t="e">
        <f t="shared" si="13"/>
        <v>#REF!</v>
      </c>
      <c r="K22" s="4" t="e">
        <f t="shared" si="4"/>
        <v>#REF!</v>
      </c>
      <c r="L22" s="4" t="e">
        <f t="shared" si="13"/>
        <v>#REF!</v>
      </c>
      <c r="M22" s="4" t="e">
        <f t="shared" si="5"/>
        <v>#REF!</v>
      </c>
      <c r="N22" s="4" t="e">
        <f t="shared" si="13"/>
        <v>#REF!</v>
      </c>
      <c r="O22" s="4" t="e">
        <f t="shared" si="6"/>
        <v>#REF!</v>
      </c>
      <c r="P22" s="4" t="e">
        <f t="shared" si="13"/>
        <v>#REF!</v>
      </c>
      <c r="Q22" s="4" t="e">
        <f t="shared" si="7"/>
        <v>#REF!</v>
      </c>
      <c r="R22" s="4" t="e">
        <f t="shared" si="13"/>
        <v>#REF!</v>
      </c>
      <c r="S22" s="4" t="e">
        <f t="shared" si="8"/>
        <v>#REF!</v>
      </c>
      <c r="T22" s="4" t="e">
        <f t="shared" si="13"/>
        <v>#REF!</v>
      </c>
      <c r="U22" s="4" t="e">
        <f t="shared" si="9"/>
        <v>#REF!</v>
      </c>
      <c r="V22" s="4" t="e">
        <f t="shared" si="13"/>
        <v>#REF!</v>
      </c>
      <c r="W22" s="4" t="e">
        <f t="shared" si="10"/>
        <v>#REF!</v>
      </c>
    </row>
    <row r="23" spans="1:23" outlineLevel="1">
      <c r="A23">
        <v>17</v>
      </c>
      <c r="B23">
        <f>IFERROR(GETPIVOTDATA("Age_Calc",'Inputs &amp; Calcs'!#REF!,"Age_Calc",Q_Forecast5[[#This Row],[Age]]),0)</f>
        <v>0</v>
      </c>
      <c r="C23" t="e">
        <f>IF(VLOOKUP(Q_Forecast5[[#This Row],[Age]],#REF!,MATCH(DTU_RR,#REF!,0),FALSE)&gt;1,1,VLOOKUP(Q_Forecast5[[#This Row],[Age]],#REF!,MATCH(DTU_RR,#REF!,0),FALSE))</f>
        <v>#REF!</v>
      </c>
      <c r="D23" s="4" t="e">
        <f t="shared" si="1"/>
        <v>#REF!</v>
      </c>
      <c r="E23" s="4" t="e">
        <f t="shared" si="12"/>
        <v>#REF!</v>
      </c>
      <c r="F23" s="4" t="e">
        <f t="shared" ref="F23:F38" si="14">E23*$C23</f>
        <v>#REF!</v>
      </c>
      <c r="G23" s="4" t="e">
        <f t="shared" si="11"/>
        <v>#REF!</v>
      </c>
      <c r="H23" s="4" t="e">
        <f t="shared" si="13"/>
        <v>#REF!</v>
      </c>
      <c r="I23" s="4" t="e">
        <f t="shared" si="3"/>
        <v>#REF!</v>
      </c>
      <c r="J23" s="4" t="e">
        <f t="shared" si="13"/>
        <v>#REF!</v>
      </c>
      <c r="K23" s="4" t="e">
        <f t="shared" si="4"/>
        <v>#REF!</v>
      </c>
      <c r="L23" s="4" t="e">
        <f t="shared" si="13"/>
        <v>#REF!</v>
      </c>
      <c r="M23" s="4" t="e">
        <f t="shared" si="5"/>
        <v>#REF!</v>
      </c>
      <c r="N23" s="4" t="e">
        <f t="shared" si="13"/>
        <v>#REF!</v>
      </c>
      <c r="O23" s="4" t="e">
        <f t="shared" si="6"/>
        <v>#REF!</v>
      </c>
      <c r="P23" s="4" t="e">
        <f t="shared" si="13"/>
        <v>#REF!</v>
      </c>
      <c r="Q23" s="4" t="e">
        <f t="shared" si="7"/>
        <v>#REF!</v>
      </c>
      <c r="R23" s="4" t="e">
        <f t="shared" si="13"/>
        <v>#REF!</v>
      </c>
      <c r="S23" s="4" t="e">
        <f t="shared" si="8"/>
        <v>#REF!</v>
      </c>
      <c r="T23" s="4" t="e">
        <f t="shared" si="13"/>
        <v>#REF!</v>
      </c>
      <c r="U23" s="4" t="e">
        <f t="shared" si="9"/>
        <v>#REF!</v>
      </c>
      <c r="V23" s="4" t="e">
        <f t="shared" si="13"/>
        <v>#REF!</v>
      </c>
      <c r="W23" s="4" t="e">
        <f t="shared" si="10"/>
        <v>#REF!</v>
      </c>
    </row>
    <row r="24" spans="1:23" outlineLevel="1">
      <c r="A24">
        <v>18</v>
      </c>
      <c r="B24">
        <f>IFERROR(GETPIVOTDATA("Age_Calc",'Inputs &amp; Calcs'!#REF!,"Age_Calc",Q_Forecast5[[#This Row],[Age]]),0)</f>
        <v>0</v>
      </c>
      <c r="C24" t="e">
        <f>IF(VLOOKUP(Q_Forecast5[[#This Row],[Age]],#REF!,MATCH(DTU_RR,#REF!,0),FALSE)&gt;1,1,VLOOKUP(Q_Forecast5[[#This Row],[Age]],#REF!,MATCH(DTU_RR,#REF!,0),FALSE))</f>
        <v>#REF!</v>
      </c>
      <c r="D24" s="4" t="e">
        <f t="shared" si="1"/>
        <v>#REF!</v>
      </c>
      <c r="E24" s="4" t="e">
        <f t="shared" si="12"/>
        <v>#REF!</v>
      </c>
      <c r="F24" s="4" t="e">
        <f t="shared" si="14"/>
        <v>#REF!</v>
      </c>
      <c r="G24" s="4" t="e">
        <f t="shared" si="11"/>
        <v>#REF!</v>
      </c>
      <c r="H24" s="4" t="e">
        <f t="shared" si="13"/>
        <v>#REF!</v>
      </c>
      <c r="I24" s="4" t="e">
        <f t="shared" si="3"/>
        <v>#REF!</v>
      </c>
      <c r="J24" s="4" t="e">
        <f t="shared" si="13"/>
        <v>#REF!</v>
      </c>
      <c r="K24" s="4" t="e">
        <f t="shared" si="4"/>
        <v>#REF!</v>
      </c>
      <c r="L24" s="4" t="e">
        <f t="shared" si="13"/>
        <v>#REF!</v>
      </c>
      <c r="M24" s="4" t="e">
        <f t="shared" si="5"/>
        <v>#REF!</v>
      </c>
      <c r="N24" s="4" t="e">
        <f t="shared" si="13"/>
        <v>#REF!</v>
      </c>
      <c r="O24" s="4" t="e">
        <f t="shared" si="6"/>
        <v>#REF!</v>
      </c>
      <c r="P24" s="4" t="e">
        <f t="shared" si="13"/>
        <v>#REF!</v>
      </c>
      <c r="Q24" s="4" t="e">
        <f t="shared" si="7"/>
        <v>#REF!</v>
      </c>
      <c r="R24" s="4" t="e">
        <f t="shared" si="13"/>
        <v>#REF!</v>
      </c>
      <c r="S24" s="4" t="e">
        <f t="shared" si="8"/>
        <v>#REF!</v>
      </c>
      <c r="T24" s="4" t="e">
        <f t="shared" si="13"/>
        <v>#REF!</v>
      </c>
      <c r="U24" s="4" t="e">
        <f t="shared" si="9"/>
        <v>#REF!</v>
      </c>
      <c r="V24" s="4" t="e">
        <f t="shared" si="13"/>
        <v>#REF!</v>
      </c>
      <c r="W24" s="4" t="e">
        <f t="shared" si="10"/>
        <v>#REF!</v>
      </c>
    </row>
    <row r="25" spans="1:23" outlineLevel="1">
      <c r="A25">
        <v>19</v>
      </c>
      <c r="B25">
        <f>IFERROR(GETPIVOTDATA("Age_Calc",'Inputs &amp; Calcs'!#REF!,"Age_Calc",Q_Forecast5[[#This Row],[Age]]),0)</f>
        <v>0</v>
      </c>
      <c r="C25" t="e">
        <f>IF(VLOOKUP(Q_Forecast5[[#This Row],[Age]],#REF!,MATCH(DTU_RR,#REF!,0),FALSE)&gt;1,1,VLOOKUP(Q_Forecast5[[#This Row],[Age]],#REF!,MATCH(DTU_RR,#REF!,0),FALSE))</f>
        <v>#REF!</v>
      </c>
      <c r="D25" s="4" t="e">
        <f t="shared" si="1"/>
        <v>#REF!</v>
      </c>
      <c r="E25" s="4" t="e">
        <f t="shared" si="12"/>
        <v>#REF!</v>
      </c>
      <c r="F25" s="4" t="e">
        <f t="shared" si="14"/>
        <v>#REF!</v>
      </c>
      <c r="G25" s="4" t="e">
        <f t="shared" si="11"/>
        <v>#REF!</v>
      </c>
      <c r="H25" s="4" t="e">
        <f t="shared" si="13"/>
        <v>#REF!</v>
      </c>
      <c r="I25" s="4" t="e">
        <f t="shared" si="3"/>
        <v>#REF!</v>
      </c>
      <c r="J25" s="4" t="e">
        <f t="shared" si="13"/>
        <v>#REF!</v>
      </c>
      <c r="K25" s="4" t="e">
        <f t="shared" si="4"/>
        <v>#REF!</v>
      </c>
      <c r="L25" s="4" t="e">
        <f t="shared" si="13"/>
        <v>#REF!</v>
      </c>
      <c r="M25" s="4" t="e">
        <f t="shared" si="5"/>
        <v>#REF!</v>
      </c>
      <c r="N25" s="4" t="e">
        <f t="shared" si="13"/>
        <v>#REF!</v>
      </c>
      <c r="O25" s="4" t="e">
        <f t="shared" si="6"/>
        <v>#REF!</v>
      </c>
      <c r="P25" s="4" t="e">
        <f t="shared" si="13"/>
        <v>#REF!</v>
      </c>
      <c r="Q25" s="4" t="e">
        <f t="shared" si="7"/>
        <v>#REF!</v>
      </c>
      <c r="R25" s="4" t="e">
        <f t="shared" si="13"/>
        <v>#REF!</v>
      </c>
      <c r="S25" s="4" t="e">
        <f t="shared" si="8"/>
        <v>#REF!</v>
      </c>
      <c r="T25" s="4" t="e">
        <f t="shared" si="13"/>
        <v>#REF!</v>
      </c>
      <c r="U25" s="4" t="e">
        <f t="shared" si="9"/>
        <v>#REF!</v>
      </c>
      <c r="V25" s="4" t="e">
        <f t="shared" si="13"/>
        <v>#REF!</v>
      </c>
      <c r="W25" s="4" t="e">
        <f t="shared" si="10"/>
        <v>#REF!</v>
      </c>
    </row>
    <row r="26" spans="1:23" outlineLevel="1">
      <c r="A26">
        <v>20</v>
      </c>
      <c r="B26">
        <f>IFERROR(GETPIVOTDATA("Age_Calc",'Inputs &amp; Calcs'!#REF!,"Age_Calc",Q_Forecast5[[#This Row],[Age]]),0)</f>
        <v>0</v>
      </c>
      <c r="C26" t="e">
        <f>IF(VLOOKUP(Q_Forecast5[[#This Row],[Age]],#REF!,MATCH(DTU_RR,#REF!,0),FALSE)&gt;1,1,VLOOKUP(Q_Forecast5[[#This Row],[Age]],#REF!,MATCH(DTU_RR,#REF!,0),FALSE))</f>
        <v>#REF!</v>
      </c>
      <c r="D26" s="4" t="e">
        <f t="shared" si="1"/>
        <v>#REF!</v>
      </c>
      <c r="E26" s="4" t="e">
        <f t="shared" si="12"/>
        <v>#REF!</v>
      </c>
      <c r="F26" s="4" t="e">
        <f t="shared" si="14"/>
        <v>#REF!</v>
      </c>
      <c r="G26" s="4" t="e">
        <f t="shared" si="11"/>
        <v>#REF!</v>
      </c>
      <c r="H26" s="4" t="e">
        <f t="shared" si="13"/>
        <v>#REF!</v>
      </c>
      <c r="I26" s="4" t="e">
        <f t="shared" si="3"/>
        <v>#REF!</v>
      </c>
      <c r="J26" s="4" t="e">
        <f t="shared" si="13"/>
        <v>#REF!</v>
      </c>
      <c r="K26" s="4" t="e">
        <f t="shared" si="4"/>
        <v>#REF!</v>
      </c>
      <c r="L26" s="4" t="e">
        <f t="shared" si="13"/>
        <v>#REF!</v>
      </c>
      <c r="M26" s="4" t="e">
        <f t="shared" si="5"/>
        <v>#REF!</v>
      </c>
      <c r="N26" s="4" t="e">
        <f t="shared" si="13"/>
        <v>#REF!</v>
      </c>
      <c r="O26" s="4" t="e">
        <f t="shared" si="6"/>
        <v>#REF!</v>
      </c>
      <c r="P26" s="4" t="e">
        <f t="shared" si="13"/>
        <v>#REF!</v>
      </c>
      <c r="Q26" s="4" t="e">
        <f t="shared" si="7"/>
        <v>#REF!</v>
      </c>
      <c r="R26" s="4" t="e">
        <f t="shared" si="13"/>
        <v>#REF!</v>
      </c>
      <c r="S26" s="4" t="e">
        <f t="shared" si="8"/>
        <v>#REF!</v>
      </c>
      <c r="T26" s="4" t="e">
        <f t="shared" si="13"/>
        <v>#REF!</v>
      </c>
      <c r="U26" s="4" t="e">
        <f t="shared" si="9"/>
        <v>#REF!</v>
      </c>
      <c r="V26" s="4" t="e">
        <f t="shared" si="13"/>
        <v>#REF!</v>
      </c>
      <c r="W26" s="4" t="e">
        <f t="shared" si="10"/>
        <v>#REF!</v>
      </c>
    </row>
    <row r="27" spans="1:23" outlineLevel="1">
      <c r="A27">
        <v>21</v>
      </c>
      <c r="B27">
        <f>IFERROR(GETPIVOTDATA("Age_Calc",'Inputs &amp; Calcs'!#REF!,"Age_Calc",Q_Forecast5[[#This Row],[Age]]),0)</f>
        <v>0</v>
      </c>
      <c r="C27" t="e">
        <f>IF(VLOOKUP(Q_Forecast5[[#This Row],[Age]],#REF!,MATCH(DTU_RR,#REF!,0),FALSE)&gt;1,1,VLOOKUP(Q_Forecast5[[#This Row],[Age]],#REF!,MATCH(DTU_RR,#REF!,0),FALSE))</f>
        <v>#REF!</v>
      </c>
      <c r="D27" s="4" t="e">
        <f t="shared" si="1"/>
        <v>#REF!</v>
      </c>
      <c r="E27" s="4" t="e">
        <f t="shared" si="12"/>
        <v>#REF!</v>
      </c>
      <c r="F27" s="4" t="e">
        <f t="shared" si="14"/>
        <v>#REF!</v>
      </c>
      <c r="G27" s="4" t="e">
        <f t="shared" si="11"/>
        <v>#REF!</v>
      </c>
      <c r="H27" s="4" t="e">
        <f t="shared" si="13"/>
        <v>#REF!</v>
      </c>
      <c r="I27" s="4" t="e">
        <f t="shared" si="3"/>
        <v>#REF!</v>
      </c>
      <c r="J27" s="4" t="e">
        <f t="shared" si="13"/>
        <v>#REF!</v>
      </c>
      <c r="K27" s="4" t="e">
        <f t="shared" si="4"/>
        <v>#REF!</v>
      </c>
      <c r="L27" s="4" t="e">
        <f t="shared" si="13"/>
        <v>#REF!</v>
      </c>
      <c r="M27" s="4" t="e">
        <f t="shared" si="5"/>
        <v>#REF!</v>
      </c>
      <c r="N27" s="4" t="e">
        <f t="shared" si="13"/>
        <v>#REF!</v>
      </c>
      <c r="O27" s="4" t="e">
        <f t="shared" si="6"/>
        <v>#REF!</v>
      </c>
      <c r="P27" s="4" t="e">
        <f t="shared" si="13"/>
        <v>#REF!</v>
      </c>
      <c r="Q27" s="4" t="e">
        <f t="shared" si="7"/>
        <v>#REF!</v>
      </c>
      <c r="R27" s="4" t="e">
        <f t="shared" si="13"/>
        <v>#REF!</v>
      </c>
      <c r="S27" s="4" t="e">
        <f t="shared" si="8"/>
        <v>#REF!</v>
      </c>
      <c r="T27" s="4" t="e">
        <f t="shared" si="13"/>
        <v>#REF!</v>
      </c>
      <c r="U27" s="4" t="e">
        <f t="shared" si="9"/>
        <v>#REF!</v>
      </c>
      <c r="V27" s="4" t="e">
        <f t="shared" si="13"/>
        <v>#REF!</v>
      </c>
      <c r="W27" s="4" t="e">
        <f t="shared" si="10"/>
        <v>#REF!</v>
      </c>
    </row>
    <row r="28" spans="1:23" outlineLevel="1">
      <c r="A28">
        <v>22</v>
      </c>
      <c r="B28">
        <f>IFERROR(GETPIVOTDATA("Age_Calc",'Inputs &amp; Calcs'!#REF!,"Age_Calc",Q_Forecast5[[#This Row],[Age]]),0)</f>
        <v>0</v>
      </c>
      <c r="C28" t="e">
        <f>IF(VLOOKUP(Q_Forecast5[[#This Row],[Age]],#REF!,MATCH(DTU_RR,#REF!,0),FALSE)&gt;1,1,VLOOKUP(Q_Forecast5[[#This Row],[Age]],#REF!,MATCH(DTU_RR,#REF!,0),FALSE))</f>
        <v>#REF!</v>
      </c>
      <c r="D28" s="4" t="e">
        <f t="shared" si="1"/>
        <v>#REF!</v>
      </c>
      <c r="E28" s="4" t="e">
        <f t="shared" si="12"/>
        <v>#REF!</v>
      </c>
      <c r="F28" s="4" t="e">
        <f t="shared" si="14"/>
        <v>#REF!</v>
      </c>
      <c r="G28" s="4" t="e">
        <f t="shared" si="11"/>
        <v>#REF!</v>
      </c>
      <c r="H28" s="4" t="e">
        <f t="shared" si="13"/>
        <v>#REF!</v>
      </c>
      <c r="I28" s="4" t="e">
        <f t="shared" si="3"/>
        <v>#REF!</v>
      </c>
      <c r="J28" s="4" t="e">
        <f t="shared" si="13"/>
        <v>#REF!</v>
      </c>
      <c r="K28" s="4" t="e">
        <f t="shared" si="4"/>
        <v>#REF!</v>
      </c>
      <c r="L28" s="4" t="e">
        <f t="shared" si="13"/>
        <v>#REF!</v>
      </c>
      <c r="M28" s="4" t="e">
        <f t="shared" si="5"/>
        <v>#REF!</v>
      </c>
      <c r="N28" s="4" t="e">
        <f t="shared" si="13"/>
        <v>#REF!</v>
      </c>
      <c r="O28" s="4" t="e">
        <f t="shared" si="6"/>
        <v>#REF!</v>
      </c>
      <c r="P28" s="4" t="e">
        <f t="shared" si="13"/>
        <v>#REF!</v>
      </c>
      <c r="Q28" s="4" t="e">
        <f t="shared" si="7"/>
        <v>#REF!</v>
      </c>
      <c r="R28" s="4" t="e">
        <f t="shared" si="13"/>
        <v>#REF!</v>
      </c>
      <c r="S28" s="4" t="e">
        <f t="shared" si="8"/>
        <v>#REF!</v>
      </c>
      <c r="T28" s="4" t="e">
        <f t="shared" si="13"/>
        <v>#REF!</v>
      </c>
      <c r="U28" s="4" t="e">
        <f t="shared" si="9"/>
        <v>#REF!</v>
      </c>
      <c r="V28" s="4" t="e">
        <f t="shared" si="13"/>
        <v>#REF!</v>
      </c>
      <c r="W28" s="4" t="e">
        <f t="shared" si="10"/>
        <v>#REF!</v>
      </c>
    </row>
    <row r="29" spans="1:23" outlineLevel="1">
      <c r="A29">
        <v>23</v>
      </c>
      <c r="B29">
        <f>IFERROR(GETPIVOTDATA("Age_Calc",'Inputs &amp; Calcs'!#REF!,"Age_Calc",Q_Forecast5[[#This Row],[Age]]),0)</f>
        <v>0</v>
      </c>
      <c r="C29" t="e">
        <f>IF(VLOOKUP(Q_Forecast5[[#This Row],[Age]],#REF!,MATCH(DTU_RR,#REF!,0),FALSE)&gt;1,1,VLOOKUP(Q_Forecast5[[#This Row],[Age]],#REF!,MATCH(DTU_RR,#REF!,0),FALSE))</f>
        <v>#REF!</v>
      </c>
      <c r="D29" s="4" t="e">
        <f t="shared" si="1"/>
        <v>#REF!</v>
      </c>
      <c r="E29" s="4" t="e">
        <f t="shared" si="12"/>
        <v>#REF!</v>
      </c>
      <c r="F29" s="4" t="e">
        <f t="shared" si="14"/>
        <v>#REF!</v>
      </c>
      <c r="G29" s="4" t="e">
        <f t="shared" si="11"/>
        <v>#REF!</v>
      </c>
      <c r="H29" s="4" t="e">
        <f t="shared" si="13"/>
        <v>#REF!</v>
      </c>
      <c r="I29" s="4" t="e">
        <f t="shared" si="3"/>
        <v>#REF!</v>
      </c>
      <c r="J29" s="4" t="e">
        <f t="shared" si="13"/>
        <v>#REF!</v>
      </c>
      <c r="K29" s="4" t="e">
        <f t="shared" si="4"/>
        <v>#REF!</v>
      </c>
      <c r="L29" s="4" t="e">
        <f t="shared" si="13"/>
        <v>#REF!</v>
      </c>
      <c r="M29" s="4" t="e">
        <f t="shared" si="5"/>
        <v>#REF!</v>
      </c>
      <c r="N29" s="4" t="e">
        <f t="shared" si="13"/>
        <v>#REF!</v>
      </c>
      <c r="O29" s="4" t="e">
        <f t="shared" si="6"/>
        <v>#REF!</v>
      </c>
      <c r="P29" s="4" t="e">
        <f t="shared" si="13"/>
        <v>#REF!</v>
      </c>
      <c r="Q29" s="4" t="e">
        <f t="shared" si="7"/>
        <v>#REF!</v>
      </c>
      <c r="R29" s="4" t="e">
        <f t="shared" si="13"/>
        <v>#REF!</v>
      </c>
      <c r="S29" s="4" t="e">
        <f t="shared" si="8"/>
        <v>#REF!</v>
      </c>
      <c r="T29" s="4" t="e">
        <f t="shared" si="13"/>
        <v>#REF!</v>
      </c>
      <c r="U29" s="4" t="e">
        <f t="shared" si="9"/>
        <v>#REF!</v>
      </c>
      <c r="V29" s="4" t="e">
        <f t="shared" si="13"/>
        <v>#REF!</v>
      </c>
      <c r="W29" s="4" t="e">
        <f t="shared" si="10"/>
        <v>#REF!</v>
      </c>
    </row>
    <row r="30" spans="1:23" outlineLevel="1">
      <c r="A30">
        <v>24</v>
      </c>
      <c r="B30">
        <f>IFERROR(GETPIVOTDATA("Age_Calc",'Inputs &amp; Calcs'!#REF!,"Age_Calc",Q_Forecast5[[#This Row],[Age]]),0)</f>
        <v>0</v>
      </c>
      <c r="C30" t="e">
        <f>IF(VLOOKUP(Q_Forecast5[[#This Row],[Age]],#REF!,MATCH(DTU_RR,#REF!,0),FALSE)&gt;1,1,VLOOKUP(Q_Forecast5[[#This Row],[Age]],#REF!,MATCH(DTU_RR,#REF!,0),FALSE))</f>
        <v>#REF!</v>
      </c>
      <c r="D30" s="4" t="e">
        <f t="shared" si="1"/>
        <v>#REF!</v>
      </c>
      <c r="E30" s="4" t="e">
        <f t="shared" si="12"/>
        <v>#REF!</v>
      </c>
      <c r="F30" s="4" t="e">
        <f t="shared" si="14"/>
        <v>#REF!</v>
      </c>
      <c r="G30" s="4" t="e">
        <f t="shared" si="11"/>
        <v>#REF!</v>
      </c>
      <c r="H30" s="4" t="e">
        <f t="shared" si="13"/>
        <v>#REF!</v>
      </c>
      <c r="I30" s="4" t="e">
        <f t="shared" si="3"/>
        <v>#REF!</v>
      </c>
      <c r="J30" s="4" t="e">
        <f t="shared" si="13"/>
        <v>#REF!</v>
      </c>
      <c r="K30" s="4" t="e">
        <f t="shared" si="4"/>
        <v>#REF!</v>
      </c>
      <c r="L30" s="4" t="e">
        <f t="shared" si="13"/>
        <v>#REF!</v>
      </c>
      <c r="M30" s="4" t="e">
        <f t="shared" si="5"/>
        <v>#REF!</v>
      </c>
      <c r="N30" s="4" t="e">
        <f t="shared" si="13"/>
        <v>#REF!</v>
      </c>
      <c r="O30" s="4" t="e">
        <f t="shared" si="6"/>
        <v>#REF!</v>
      </c>
      <c r="P30" s="4" t="e">
        <f t="shared" si="13"/>
        <v>#REF!</v>
      </c>
      <c r="Q30" s="4" t="e">
        <f t="shared" si="7"/>
        <v>#REF!</v>
      </c>
      <c r="R30" s="4" t="e">
        <f t="shared" si="13"/>
        <v>#REF!</v>
      </c>
      <c r="S30" s="4" t="e">
        <f t="shared" si="8"/>
        <v>#REF!</v>
      </c>
      <c r="T30" s="4" t="e">
        <f t="shared" si="13"/>
        <v>#REF!</v>
      </c>
      <c r="U30" s="4" t="e">
        <f t="shared" si="9"/>
        <v>#REF!</v>
      </c>
      <c r="V30" s="4" t="e">
        <f t="shared" si="13"/>
        <v>#REF!</v>
      </c>
      <c r="W30" s="4" t="e">
        <f t="shared" si="10"/>
        <v>#REF!</v>
      </c>
    </row>
    <row r="31" spans="1:23" outlineLevel="1">
      <c r="A31">
        <v>25</v>
      </c>
      <c r="B31">
        <f>IFERROR(GETPIVOTDATA("Age_Calc",'Inputs &amp; Calcs'!#REF!,"Age_Calc",Q_Forecast5[[#This Row],[Age]]),0)</f>
        <v>0</v>
      </c>
      <c r="C31" t="e">
        <f>IF(VLOOKUP(Q_Forecast5[[#This Row],[Age]],#REF!,MATCH(DTU_RR,#REF!,0),FALSE)&gt;1,1,VLOOKUP(Q_Forecast5[[#This Row],[Age]],#REF!,MATCH(DTU_RR,#REF!,0),FALSE))</f>
        <v>#REF!</v>
      </c>
      <c r="D31" s="4" t="e">
        <f t="shared" si="1"/>
        <v>#REF!</v>
      </c>
      <c r="E31" s="4" t="e">
        <f t="shared" si="12"/>
        <v>#REF!</v>
      </c>
      <c r="F31" s="4" t="e">
        <f t="shared" si="14"/>
        <v>#REF!</v>
      </c>
      <c r="G31" s="4" t="e">
        <f t="shared" si="11"/>
        <v>#REF!</v>
      </c>
      <c r="H31" s="4" t="e">
        <f t="shared" si="13"/>
        <v>#REF!</v>
      </c>
      <c r="I31" s="4" t="e">
        <f t="shared" si="3"/>
        <v>#REF!</v>
      </c>
      <c r="J31" s="4" t="e">
        <f t="shared" si="13"/>
        <v>#REF!</v>
      </c>
      <c r="K31" s="4" t="e">
        <f t="shared" si="4"/>
        <v>#REF!</v>
      </c>
      <c r="L31" s="4" t="e">
        <f t="shared" si="13"/>
        <v>#REF!</v>
      </c>
      <c r="M31" s="4" t="e">
        <f t="shared" si="5"/>
        <v>#REF!</v>
      </c>
      <c r="N31" s="4" t="e">
        <f t="shared" si="13"/>
        <v>#REF!</v>
      </c>
      <c r="O31" s="4" t="e">
        <f t="shared" si="6"/>
        <v>#REF!</v>
      </c>
      <c r="P31" s="4" t="e">
        <f t="shared" si="13"/>
        <v>#REF!</v>
      </c>
      <c r="Q31" s="4" t="e">
        <f t="shared" si="7"/>
        <v>#REF!</v>
      </c>
      <c r="R31" s="4" t="e">
        <f t="shared" si="13"/>
        <v>#REF!</v>
      </c>
      <c r="S31" s="4" t="e">
        <f t="shared" si="8"/>
        <v>#REF!</v>
      </c>
      <c r="T31" s="4" t="e">
        <f t="shared" si="13"/>
        <v>#REF!</v>
      </c>
      <c r="U31" s="4" t="e">
        <f t="shared" si="9"/>
        <v>#REF!</v>
      </c>
      <c r="V31" s="4" t="e">
        <f t="shared" si="13"/>
        <v>#REF!</v>
      </c>
      <c r="W31" s="4" t="e">
        <f t="shared" si="10"/>
        <v>#REF!</v>
      </c>
    </row>
    <row r="32" spans="1:23" outlineLevel="1">
      <c r="A32">
        <v>26</v>
      </c>
      <c r="B32">
        <f>IFERROR(GETPIVOTDATA("Age_Calc",'Inputs &amp; Calcs'!#REF!,"Age_Calc",Q_Forecast5[[#This Row],[Age]]),0)</f>
        <v>0</v>
      </c>
      <c r="C32" t="e">
        <f>IF(VLOOKUP(Q_Forecast5[[#This Row],[Age]],#REF!,MATCH(DTU_RR,#REF!,0),FALSE)&gt;1,1,VLOOKUP(Q_Forecast5[[#This Row],[Age]],#REF!,MATCH(DTU_RR,#REF!,0),FALSE))</f>
        <v>#REF!</v>
      </c>
      <c r="D32" s="4" t="e">
        <f t="shared" si="1"/>
        <v>#REF!</v>
      </c>
      <c r="E32" s="4" t="e">
        <f t="shared" si="12"/>
        <v>#REF!</v>
      </c>
      <c r="F32" s="4" t="e">
        <f t="shared" si="14"/>
        <v>#REF!</v>
      </c>
      <c r="G32" s="4" t="e">
        <f t="shared" si="11"/>
        <v>#REF!</v>
      </c>
      <c r="H32" s="4" t="e">
        <f t="shared" si="13"/>
        <v>#REF!</v>
      </c>
      <c r="I32" s="4" t="e">
        <f t="shared" si="3"/>
        <v>#REF!</v>
      </c>
      <c r="J32" s="4" t="e">
        <f t="shared" si="13"/>
        <v>#REF!</v>
      </c>
      <c r="K32" s="4" t="e">
        <f t="shared" si="4"/>
        <v>#REF!</v>
      </c>
      <c r="L32" s="4" t="e">
        <f t="shared" si="13"/>
        <v>#REF!</v>
      </c>
      <c r="M32" s="4" t="e">
        <f t="shared" si="5"/>
        <v>#REF!</v>
      </c>
      <c r="N32" s="4" t="e">
        <f t="shared" si="13"/>
        <v>#REF!</v>
      </c>
      <c r="O32" s="4" t="e">
        <f t="shared" si="6"/>
        <v>#REF!</v>
      </c>
      <c r="P32" s="4" t="e">
        <f t="shared" si="13"/>
        <v>#REF!</v>
      </c>
      <c r="Q32" s="4" t="e">
        <f t="shared" si="7"/>
        <v>#REF!</v>
      </c>
      <c r="R32" s="4" t="e">
        <f t="shared" si="13"/>
        <v>#REF!</v>
      </c>
      <c r="S32" s="4" t="e">
        <f t="shared" si="8"/>
        <v>#REF!</v>
      </c>
      <c r="T32" s="4" t="e">
        <f t="shared" si="13"/>
        <v>#REF!</v>
      </c>
      <c r="U32" s="4" t="e">
        <f t="shared" si="9"/>
        <v>#REF!</v>
      </c>
      <c r="V32" s="4" t="e">
        <f t="shared" si="13"/>
        <v>#REF!</v>
      </c>
      <c r="W32" s="4" t="e">
        <f t="shared" si="10"/>
        <v>#REF!</v>
      </c>
    </row>
    <row r="33" spans="1:23" outlineLevel="1">
      <c r="A33">
        <v>27</v>
      </c>
      <c r="B33">
        <f>IFERROR(GETPIVOTDATA("Age_Calc",'Inputs &amp; Calcs'!#REF!,"Age_Calc",Q_Forecast5[[#This Row],[Age]]),0)</f>
        <v>0</v>
      </c>
      <c r="C33" t="e">
        <f>IF(VLOOKUP(Q_Forecast5[[#This Row],[Age]],#REF!,MATCH(DTU_RR,#REF!,0),FALSE)&gt;1,1,VLOOKUP(Q_Forecast5[[#This Row],[Age]],#REF!,MATCH(DTU_RR,#REF!,0),FALSE))</f>
        <v>#REF!</v>
      </c>
      <c r="D33" s="4" t="e">
        <f t="shared" si="1"/>
        <v>#REF!</v>
      </c>
      <c r="E33" s="4" t="e">
        <f t="shared" si="12"/>
        <v>#REF!</v>
      </c>
      <c r="F33" s="4" t="e">
        <f t="shared" si="14"/>
        <v>#REF!</v>
      </c>
      <c r="G33" s="4" t="e">
        <f t="shared" si="11"/>
        <v>#REF!</v>
      </c>
      <c r="H33" s="4" t="e">
        <f t="shared" si="13"/>
        <v>#REF!</v>
      </c>
      <c r="I33" s="4" t="e">
        <f t="shared" si="3"/>
        <v>#REF!</v>
      </c>
      <c r="J33" s="4" t="e">
        <f t="shared" si="13"/>
        <v>#REF!</v>
      </c>
      <c r="K33" s="4" t="e">
        <f t="shared" si="4"/>
        <v>#REF!</v>
      </c>
      <c r="L33" s="4" t="e">
        <f t="shared" si="13"/>
        <v>#REF!</v>
      </c>
      <c r="M33" s="4" t="e">
        <f t="shared" si="5"/>
        <v>#REF!</v>
      </c>
      <c r="N33" s="4" t="e">
        <f t="shared" si="13"/>
        <v>#REF!</v>
      </c>
      <c r="O33" s="4" t="e">
        <f t="shared" si="6"/>
        <v>#REF!</v>
      </c>
      <c r="P33" s="4" t="e">
        <f t="shared" si="13"/>
        <v>#REF!</v>
      </c>
      <c r="Q33" s="4" t="e">
        <f t="shared" si="7"/>
        <v>#REF!</v>
      </c>
      <c r="R33" s="4" t="e">
        <f t="shared" si="13"/>
        <v>#REF!</v>
      </c>
      <c r="S33" s="4" t="e">
        <f t="shared" si="8"/>
        <v>#REF!</v>
      </c>
      <c r="T33" s="4" t="e">
        <f t="shared" si="13"/>
        <v>#REF!</v>
      </c>
      <c r="U33" s="4" t="e">
        <f t="shared" si="9"/>
        <v>#REF!</v>
      </c>
      <c r="V33" s="4" t="e">
        <f t="shared" si="13"/>
        <v>#REF!</v>
      </c>
      <c r="W33" s="4" t="e">
        <f t="shared" si="10"/>
        <v>#REF!</v>
      </c>
    </row>
    <row r="34" spans="1:23" outlineLevel="1">
      <c r="A34">
        <v>28</v>
      </c>
      <c r="B34">
        <f>IFERROR(GETPIVOTDATA("Age_Calc",'Inputs &amp; Calcs'!#REF!,"Age_Calc",Q_Forecast5[[#This Row],[Age]]),0)</f>
        <v>0</v>
      </c>
      <c r="C34" t="e">
        <f>IF(VLOOKUP(Q_Forecast5[[#This Row],[Age]],#REF!,MATCH(DTU_RR,#REF!,0),FALSE)&gt;1,1,VLOOKUP(Q_Forecast5[[#This Row],[Age]],#REF!,MATCH(DTU_RR,#REF!,0),FALSE))</f>
        <v>#REF!</v>
      </c>
      <c r="D34" s="4" t="e">
        <f t="shared" si="1"/>
        <v>#REF!</v>
      </c>
      <c r="E34" s="4" t="e">
        <f t="shared" si="12"/>
        <v>#REF!</v>
      </c>
      <c r="F34" s="4" t="e">
        <f t="shared" si="14"/>
        <v>#REF!</v>
      </c>
      <c r="G34" s="4" t="e">
        <f t="shared" si="11"/>
        <v>#REF!</v>
      </c>
      <c r="H34" s="4" t="e">
        <f t="shared" si="13"/>
        <v>#REF!</v>
      </c>
      <c r="I34" s="4" t="e">
        <f t="shared" si="3"/>
        <v>#REF!</v>
      </c>
      <c r="J34" s="4" t="e">
        <f t="shared" si="13"/>
        <v>#REF!</v>
      </c>
      <c r="K34" s="4" t="e">
        <f t="shared" si="4"/>
        <v>#REF!</v>
      </c>
      <c r="L34" s="4" t="e">
        <f t="shared" si="13"/>
        <v>#REF!</v>
      </c>
      <c r="M34" s="4" t="e">
        <f t="shared" si="5"/>
        <v>#REF!</v>
      </c>
      <c r="N34" s="4" t="e">
        <f t="shared" si="13"/>
        <v>#REF!</v>
      </c>
      <c r="O34" s="4" t="e">
        <f t="shared" si="6"/>
        <v>#REF!</v>
      </c>
      <c r="P34" s="4" t="e">
        <f t="shared" si="13"/>
        <v>#REF!</v>
      </c>
      <c r="Q34" s="4" t="e">
        <f t="shared" si="7"/>
        <v>#REF!</v>
      </c>
      <c r="R34" s="4" t="e">
        <f t="shared" si="13"/>
        <v>#REF!</v>
      </c>
      <c r="S34" s="4" t="e">
        <f t="shared" si="8"/>
        <v>#REF!</v>
      </c>
      <c r="T34" s="4" t="e">
        <f t="shared" si="13"/>
        <v>#REF!</v>
      </c>
      <c r="U34" s="4" t="e">
        <f t="shared" si="9"/>
        <v>#REF!</v>
      </c>
      <c r="V34" s="4" t="e">
        <f t="shared" si="13"/>
        <v>#REF!</v>
      </c>
      <c r="W34" s="4" t="e">
        <f t="shared" si="10"/>
        <v>#REF!</v>
      </c>
    </row>
    <row r="35" spans="1:23" outlineLevel="1">
      <c r="A35">
        <v>29</v>
      </c>
      <c r="B35">
        <f>IFERROR(GETPIVOTDATA("Age_Calc",'Inputs &amp; Calcs'!#REF!,"Age_Calc",Q_Forecast5[[#This Row],[Age]]),0)</f>
        <v>0</v>
      </c>
      <c r="C35" t="e">
        <f>IF(VLOOKUP(Q_Forecast5[[#This Row],[Age]],#REF!,MATCH(DTU_RR,#REF!,0),FALSE)&gt;1,1,VLOOKUP(Q_Forecast5[[#This Row],[Age]],#REF!,MATCH(DTU_RR,#REF!,0),FALSE))</f>
        <v>#REF!</v>
      </c>
      <c r="D35" s="4" t="e">
        <f t="shared" si="1"/>
        <v>#REF!</v>
      </c>
      <c r="E35" s="4" t="e">
        <f t="shared" si="12"/>
        <v>#REF!</v>
      </c>
      <c r="F35" s="4" t="e">
        <f t="shared" si="14"/>
        <v>#REF!</v>
      </c>
      <c r="G35" s="4" t="e">
        <f t="shared" si="11"/>
        <v>#REF!</v>
      </c>
      <c r="H35" s="4" t="e">
        <f t="shared" si="13"/>
        <v>#REF!</v>
      </c>
      <c r="I35" s="4" t="e">
        <f t="shared" si="3"/>
        <v>#REF!</v>
      </c>
      <c r="J35" s="4" t="e">
        <f t="shared" si="13"/>
        <v>#REF!</v>
      </c>
      <c r="K35" s="4" t="e">
        <f t="shared" si="4"/>
        <v>#REF!</v>
      </c>
      <c r="L35" s="4" t="e">
        <f t="shared" si="13"/>
        <v>#REF!</v>
      </c>
      <c r="M35" s="4" t="e">
        <f t="shared" si="5"/>
        <v>#REF!</v>
      </c>
      <c r="N35" s="4" t="e">
        <f t="shared" si="13"/>
        <v>#REF!</v>
      </c>
      <c r="O35" s="4" t="e">
        <f t="shared" si="6"/>
        <v>#REF!</v>
      </c>
      <c r="P35" s="4" t="e">
        <f t="shared" si="13"/>
        <v>#REF!</v>
      </c>
      <c r="Q35" s="4" t="e">
        <f t="shared" si="7"/>
        <v>#REF!</v>
      </c>
      <c r="R35" s="4" t="e">
        <f t="shared" si="13"/>
        <v>#REF!</v>
      </c>
      <c r="S35" s="4" t="e">
        <f t="shared" si="8"/>
        <v>#REF!</v>
      </c>
      <c r="T35" s="4" t="e">
        <f t="shared" si="13"/>
        <v>#REF!</v>
      </c>
      <c r="U35" s="4" t="e">
        <f t="shared" si="9"/>
        <v>#REF!</v>
      </c>
      <c r="V35" s="4" t="e">
        <f t="shared" si="13"/>
        <v>#REF!</v>
      </c>
      <c r="W35" s="4" t="e">
        <f t="shared" si="10"/>
        <v>#REF!</v>
      </c>
    </row>
    <row r="36" spans="1:23" outlineLevel="1">
      <c r="A36">
        <v>30</v>
      </c>
      <c r="B36">
        <f>IFERROR(GETPIVOTDATA("Age_Calc",'Inputs &amp; Calcs'!#REF!,"Age_Calc",Q_Forecast5[[#This Row],[Age]]),0)</f>
        <v>0</v>
      </c>
      <c r="C36" t="e">
        <f>IF(VLOOKUP(Q_Forecast5[[#This Row],[Age]],#REF!,MATCH(DTU_RR,#REF!,0),FALSE)&gt;1,1,VLOOKUP(Q_Forecast5[[#This Row],[Age]],#REF!,MATCH(DTU_RR,#REF!,0),FALSE))</f>
        <v>#REF!</v>
      </c>
      <c r="D36" s="4" t="e">
        <f t="shared" si="1"/>
        <v>#REF!</v>
      </c>
      <c r="E36" s="4" t="e">
        <f t="shared" si="12"/>
        <v>#REF!</v>
      </c>
      <c r="F36" s="4" t="e">
        <f t="shared" si="14"/>
        <v>#REF!</v>
      </c>
      <c r="G36" s="4" t="e">
        <f t="shared" si="11"/>
        <v>#REF!</v>
      </c>
      <c r="H36" s="4" t="e">
        <f t="shared" si="13"/>
        <v>#REF!</v>
      </c>
      <c r="I36" s="4" t="e">
        <f t="shared" si="3"/>
        <v>#REF!</v>
      </c>
      <c r="J36" s="4" t="e">
        <f t="shared" si="13"/>
        <v>#REF!</v>
      </c>
      <c r="K36" s="4" t="e">
        <f t="shared" si="4"/>
        <v>#REF!</v>
      </c>
      <c r="L36" s="4" t="e">
        <f t="shared" si="13"/>
        <v>#REF!</v>
      </c>
      <c r="M36" s="4" t="e">
        <f t="shared" si="5"/>
        <v>#REF!</v>
      </c>
      <c r="N36" s="4" t="e">
        <f t="shared" si="13"/>
        <v>#REF!</v>
      </c>
      <c r="O36" s="4" t="e">
        <f t="shared" si="6"/>
        <v>#REF!</v>
      </c>
      <c r="P36" s="4" t="e">
        <f t="shared" si="13"/>
        <v>#REF!</v>
      </c>
      <c r="Q36" s="4" t="e">
        <f t="shared" si="7"/>
        <v>#REF!</v>
      </c>
      <c r="R36" s="4" t="e">
        <f t="shared" si="13"/>
        <v>#REF!</v>
      </c>
      <c r="S36" s="4" t="e">
        <f t="shared" si="8"/>
        <v>#REF!</v>
      </c>
      <c r="T36" s="4" t="e">
        <f t="shared" si="13"/>
        <v>#REF!</v>
      </c>
      <c r="U36" s="4" t="e">
        <f t="shared" si="9"/>
        <v>#REF!</v>
      </c>
      <c r="V36" s="4" t="e">
        <f t="shared" si="13"/>
        <v>#REF!</v>
      </c>
      <c r="W36" s="4" t="e">
        <f t="shared" si="10"/>
        <v>#REF!</v>
      </c>
    </row>
    <row r="37" spans="1:23" outlineLevel="1">
      <c r="A37">
        <v>31</v>
      </c>
      <c r="B37">
        <f>IFERROR(GETPIVOTDATA("Age_Calc",'Inputs &amp; Calcs'!#REF!,"Age_Calc",Q_Forecast5[[#This Row],[Age]]),0)</f>
        <v>0</v>
      </c>
      <c r="C37" t="e">
        <f>IF(VLOOKUP(Q_Forecast5[[#This Row],[Age]],#REF!,MATCH(DTU_RR,#REF!,0),FALSE)&gt;1,1,VLOOKUP(Q_Forecast5[[#This Row],[Age]],#REF!,MATCH(DTU_RR,#REF!,0),FALSE))</f>
        <v>#REF!</v>
      </c>
      <c r="D37" s="4" t="e">
        <f t="shared" si="1"/>
        <v>#REF!</v>
      </c>
      <c r="E37" s="4" t="e">
        <f t="shared" si="12"/>
        <v>#REF!</v>
      </c>
      <c r="F37" s="4" t="e">
        <f t="shared" si="14"/>
        <v>#REF!</v>
      </c>
      <c r="G37" s="4" t="e">
        <f t="shared" si="11"/>
        <v>#REF!</v>
      </c>
      <c r="H37" s="4" t="e">
        <f t="shared" si="13"/>
        <v>#REF!</v>
      </c>
      <c r="I37" s="4" t="e">
        <f t="shared" si="3"/>
        <v>#REF!</v>
      </c>
      <c r="J37" s="4" t="e">
        <f t="shared" si="13"/>
        <v>#REF!</v>
      </c>
      <c r="K37" s="4" t="e">
        <f t="shared" si="4"/>
        <v>#REF!</v>
      </c>
      <c r="L37" s="4" t="e">
        <f t="shared" si="13"/>
        <v>#REF!</v>
      </c>
      <c r="M37" s="4" t="e">
        <f t="shared" si="5"/>
        <v>#REF!</v>
      </c>
      <c r="N37" s="4" t="e">
        <f t="shared" si="13"/>
        <v>#REF!</v>
      </c>
      <c r="O37" s="4" t="e">
        <f t="shared" si="6"/>
        <v>#REF!</v>
      </c>
      <c r="P37" s="4" t="e">
        <f t="shared" si="13"/>
        <v>#REF!</v>
      </c>
      <c r="Q37" s="4" t="e">
        <f t="shared" si="7"/>
        <v>#REF!</v>
      </c>
      <c r="R37" s="4" t="e">
        <f t="shared" si="13"/>
        <v>#REF!</v>
      </c>
      <c r="S37" s="4" t="e">
        <f t="shared" si="8"/>
        <v>#REF!</v>
      </c>
      <c r="T37" s="4" t="e">
        <f t="shared" si="13"/>
        <v>#REF!</v>
      </c>
      <c r="U37" s="4" t="e">
        <f t="shared" si="9"/>
        <v>#REF!</v>
      </c>
      <c r="V37" s="4" t="e">
        <f t="shared" si="13"/>
        <v>#REF!</v>
      </c>
      <c r="W37" s="4" t="e">
        <f t="shared" si="10"/>
        <v>#REF!</v>
      </c>
    </row>
    <row r="38" spans="1:23" outlineLevel="1">
      <c r="A38">
        <v>32</v>
      </c>
      <c r="B38">
        <f>IFERROR(GETPIVOTDATA("Age_Calc",'Inputs &amp; Calcs'!#REF!,"Age_Calc",Q_Forecast5[[#This Row],[Age]]),0)</f>
        <v>0</v>
      </c>
      <c r="C38" t="e">
        <f>IF(VLOOKUP(Q_Forecast5[[#This Row],[Age]],#REF!,MATCH(DTU_RR,#REF!,0),FALSE)&gt;1,1,VLOOKUP(Q_Forecast5[[#This Row],[Age]],#REF!,MATCH(DTU_RR,#REF!,0),FALSE))</f>
        <v>#REF!</v>
      </c>
      <c r="D38" s="4" t="e">
        <f t="shared" si="1"/>
        <v>#REF!</v>
      </c>
      <c r="E38" s="4" t="e">
        <f t="shared" si="12"/>
        <v>#REF!</v>
      </c>
      <c r="F38" s="4" t="e">
        <f t="shared" si="14"/>
        <v>#REF!</v>
      </c>
      <c r="G38" s="4" t="e">
        <f t="shared" si="11"/>
        <v>#REF!</v>
      </c>
      <c r="H38" s="4" t="e">
        <f t="shared" ref="H38:V53" si="15">G38*$C38</f>
        <v>#REF!</v>
      </c>
      <c r="I38" s="4" t="e">
        <f t="shared" si="3"/>
        <v>#REF!</v>
      </c>
      <c r="J38" s="4" t="e">
        <f t="shared" si="15"/>
        <v>#REF!</v>
      </c>
      <c r="K38" s="4" t="e">
        <f t="shared" si="4"/>
        <v>#REF!</v>
      </c>
      <c r="L38" s="4" t="e">
        <f t="shared" si="15"/>
        <v>#REF!</v>
      </c>
      <c r="M38" s="4" t="e">
        <f t="shared" si="5"/>
        <v>#REF!</v>
      </c>
      <c r="N38" s="4" t="e">
        <f t="shared" si="15"/>
        <v>#REF!</v>
      </c>
      <c r="O38" s="4" t="e">
        <f t="shared" si="6"/>
        <v>#REF!</v>
      </c>
      <c r="P38" s="4" t="e">
        <f t="shared" si="15"/>
        <v>#REF!</v>
      </c>
      <c r="Q38" s="4" t="e">
        <f t="shared" si="7"/>
        <v>#REF!</v>
      </c>
      <c r="R38" s="4" t="e">
        <f t="shared" si="15"/>
        <v>#REF!</v>
      </c>
      <c r="S38" s="4" t="e">
        <f t="shared" si="8"/>
        <v>#REF!</v>
      </c>
      <c r="T38" s="4" t="e">
        <f t="shared" si="15"/>
        <v>#REF!</v>
      </c>
      <c r="U38" s="4" t="e">
        <f t="shared" si="9"/>
        <v>#REF!</v>
      </c>
      <c r="V38" s="4" t="e">
        <f t="shared" si="15"/>
        <v>#REF!</v>
      </c>
      <c r="W38" s="4" t="e">
        <f t="shared" si="10"/>
        <v>#REF!</v>
      </c>
    </row>
    <row r="39" spans="1:23" outlineLevel="1">
      <c r="A39">
        <v>33</v>
      </c>
      <c r="B39">
        <f>IFERROR(GETPIVOTDATA("Age_Calc",'Inputs &amp; Calcs'!#REF!,"Age_Calc",Q_Forecast5[[#This Row],[Age]]),0)</f>
        <v>0</v>
      </c>
      <c r="C39" t="e">
        <f>IF(VLOOKUP(Q_Forecast5[[#This Row],[Age]],#REF!,MATCH(DTU_RR,#REF!,0),FALSE)&gt;1,1,VLOOKUP(Q_Forecast5[[#This Row],[Age]],#REF!,MATCH(DTU_RR,#REF!,0),FALSE))</f>
        <v>#REF!</v>
      </c>
      <c r="D39" s="4" t="e">
        <f t="shared" si="1"/>
        <v>#REF!</v>
      </c>
      <c r="E39" s="4" t="e">
        <f t="shared" si="12"/>
        <v>#REF!</v>
      </c>
      <c r="F39" s="4" t="e">
        <f t="shared" ref="F39:F54" si="16">E39*$C39</f>
        <v>#REF!</v>
      </c>
      <c r="G39" s="4" t="e">
        <f t="shared" si="11"/>
        <v>#REF!</v>
      </c>
      <c r="H39" s="4" t="e">
        <f t="shared" si="15"/>
        <v>#REF!</v>
      </c>
      <c r="I39" s="4" t="e">
        <f t="shared" si="3"/>
        <v>#REF!</v>
      </c>
      <c r="J39" s="4" t="e">
        <f t="shared" si="15"/>
        <v>#REF!</v>
      </c>
      <c r="K39" s="4" t="e">
        <f t="shared" si="4"/>
        <v>#REF!</v>
      </c>
      <c r="L39" s="4" t="e">
        <f t="shared" si="15"/>
        <v>#REF!</v>
      </c>
      <c r="M39" s="4" t="e">
        <f t="shared" si="5"/>
        <v>#REF!</v>
      </c>
      <c r="N39" s="4" t="e">
        <f t="shared" si="15"/>
        <v>#REF!</v>
      </c>
      <c r="O39" s="4" t="e">
        <f t="shared" si="6"/>
        <v>#REF!</v>
      </c>
      <c r="P39" s="4" t="e">
        <f t="shared" si="15"/>
        <v>#REF!</v>
      </c>
      <c r="Q39" s="4" t="e">
        <f t="shared" si="7"/>
        <v>#REF!</v>
      </c>
      <c r="R39" s="4" t="e">
        <f t="shared" si="15"/>
        <v>#REF!</v>
      </c>
      <c r="S39" s="4" t="e">
        <f t="shared" si="8"/>
        <v>#REF!</v>
      </c>
      <c r="T39" s="4" t="e">
        <f t="shared" si="15"/>
        <v>#REF!</v>
      </c>
      <c r="U39" s="4" t="e">
        <f t="shared" si="9"/>
        <v>#REF!</v>
      </c>
      <c r="V39" s="4" t="e">
        <f t="shared" si="15"/>
        <v>#REF!</v>
      </c>
      <c r="W39" s="4" t="e">
        <f t="shared" si="10"/>
        <v>#REF!</v>
      </c>
    </row>
    <row r="40" spans="1:23" outlineLevel="1">
      <c r="A40">
        <v>34</v>
      </c>
      <c r="B40">
        <f>IFERROR(GETPIVOTDATA("Age_Calc",'Inputs &amp; Calcs'!#REF!,"Age_Calc",Q_Forecast5[[#This Row],[Age]]),0)</f>
        <v>0</v>
      </c>
      <c r="C40" t="e">
        <f>IF(VLOOKUP(Q_Forecast5[[#This Row],[Age]],#REF!,MATCH(DTU_RR,#REF!,0),FALSE)&gt;1,1,VLOOKUP(Q_Forecast5[[#This Row],[Age]],#REF!,MATCH(DTU_RR,#REF!,0),FALSE))</f>
        <v>#REF!</v>
      </c>
      <c r="D40" s="4" t="e">
        <f t="shared" si="1"/>
        <v>#REF!</v>
      </c>
      <c r="E40" s="4" t="e">
        <f t="shared" si="12"/>
        <v>#REF!</v>
      </c>
      <c r="F40" s="4" t="e">
        <f t="shared" si="16"/>
        <v>#REF!</v>
      </c>
      <c r="G40" s="4" t="e">
        <f t="shared" si="11"/>
        <v>#REF!</v>
      </c>
      <c r="H40" s="4" t="e">
        <f t="shared" si="15"/>
        <v>#REF!</v>
      </c>
      <c r="I40" s="4" t="e">
        <f t="shared" si="3"/>
        <v>#REF!</v>
      </c>
      <c r="J40" s="4" t="e">
        <f t="shared" si="15"/>
        <v>#REF!</v>
      </c>
      <c r="K40" s="4" t="e">
        <f t="shared" si="4"/>
        <v>#REF!</v>
      </c>
      <c r="L40" s="4" t="e">
        <f t="shared" si="15"/>
        <v>#REF!</v>
      </c>
      <c r="M40" s="4" t="e">
        <f t="shared" si="5"/>
        <v>#REF!</v>
      </c>
      <c r="N40" s="4" t="e">
        <f t="shared" si="15"/>
        <v>#REF!</v>
      </c>
      <c r="O40" s="4" t="e">
        <f t="shared" si="6"/>
        <v>#REF!</v>
      </c>
      <c r="P40" s="4" t="e">
        <f t="shared" si="15"/>
        <v>#REF!</v>
      </c>
      <c r="Q40" s="4" t="e">
        <f t="shared" si="7"/>
        <v>#REF!</v>
      </c>
      <c r="R40" s="4" t="e">
        <f t="shared" si="15"/>
        <v>#REF!</v>
      </c>
      <c r="S40" s="4" t="e">
        <f t="shared" si="8"/>
        <v>#REF!</v>
      </c>
      <c r="T40" s="4" t="e">
        <f t="shared" si="15"/>
        <v>#REF!</v>
      </c>
      <c r="U40" s="4" t="e">
        <f t="shared" si="9"/>
        <v>#REF!</v>
      </c>
      <c r="V40" s="4" t="e">
        <f t="shared" si="15"/>
        <v>#REF!</v>
      </c>
      <c r="W40" s="4" t="e">
        <f t="shared" si="10"/>
        <v>#REF!</v>
      </c>
    </row>
    <row r="41" spans="1:23" outlineLevel="1">
      <c r="A41">
        <v>35</v>
      </c>
      <c r="B41">
        <f>IFERROR(GETPIVOTDATA("Age_Calc",'Inputs &amp; Calcs'!#REF!,"Age_Calc",Q_Forecast5[[#This Row],[Age]]),0)</f>
        <v>0</v>
      </c>
      <c r="C41" t="e">
        <f>IF(VLOOKUP(Q_Forecast5[[#This Row],[Age]],#REF!,MATCH(DTU_RR,#REF!,0),FALSE)&gt;1,1,VLOOKUP(Q_Forecast5[[#This Row],[Age]],#REF!,MATCH(DTU_RR,#REF!,0),FALSE))</f>
        <v>#REF!</v>
      </c>
      <c r="D41" s="4" t="e">
        <f t="shared" si="1"/>
        <v>#REF!</v>
      </c>
      <c r="E41" s="4" t="e">
        <f t="shared" si="12"/>
        <v>#REF!</v>
      </c>
      <c r="F41" s="4" t="e">
        <f t="shared" si="16"/>
        <v>#REF!</v>
      </c>
      <c r="G41" s="4" t="e">
        <f t="shared" si="11"/>
        <v>#REF!</v>
      </c>
      <c r="H41" s="4" t="e">
        <f t="shared" si="15"/>
        <v>#REF!</v>
      </c>
      <c r="I41" s="4" t="e">
        <f t="shared" si="3"/>
        <v>#REF!</v>
      </c>
      <c r="J41" s="4" t="e">
        <f t="shared" si="15"/>
        <v>#REF!</v>
      </c>
      <c r="K41" s="4" t="e">
        <f t="shared" si="4"/>
        <v>#REF!</v>
      </c>
      <c r="L41" s="4" t="e">
        <f t="shared" si="15"/>
        <v>#REF!</v>
      </c>
      <c r="M41" s="4" t="e">
        <f t="shared" si="5"/>
        <v>#REF!</v>
      </c>
      <c r="N41" s="4" t="e">
        <f t="shared" si="15"/>
        <v>#REF!</v>
      </c>
      <c r="O41" s="4" t="e">
        <f t="shared" si="6"/>
        <v>#REF!</v>
      </c>
      <c r="P41" s="4" t="e">
        <f t="shared" si="15"/>
        <v>#REF!</v>
      </c>
      <c r="Q41" s="4" t="e">
        <f t="shared" si="7"/>
        <v>#REF!</v>
      </c>
      <c r="R41" s="4" t="e">
        <f t="shared" si="15"/>
        <v>#REF!</v>
      </c>
      <c r="S41" s="4" t="e">
        <f t="shared" si="8"/>
        <v>#REF!</v>
      </c>
      <c r="T41" s="4" t="e">
        <f t="shared" si="15"/>
        <v>#REF!</v>
      </c>
      <c r="U41" s="4" t="e">
        <f t="shared" si="9"/>
        <v>#REF!</v>
      </c>
      <c r="V41" s="4" t="e">
        <f t="shared" si="15"/>
        <v>#REF!</v>
      </c>
      <c r="W41" s="4" t="e">
        <f t="shared" si="10"/>
        <v>#REF!</v>
      </c>
    </row>
    <row r="42" spans="1:23" outlineLevel="1">
      <c r="A42">
        <v>36</v>
      </c>
      <c r="B42">
        <f>IFERROR(GETPIVOTDATA("Age_Calc",'Inputs &amp; Calcs'!#REF!,"Age_Calc",Q_Forecast5[[#This Row],[Age]]),0)</f>
        <v>0</v>
      </c>
      <c r="C42" t="e">
        <f>IF(VLOOKUP(Q_Forecast5[[#This Row],[Age]],#REF!,MATCH(DTU_RR,#REF!,0),FALSE)&gt;1,1,VLOOKUP(Q_Forecast5[[#This Row],[Age]],#REF!,MATCH(DTU_RR,#REF!,0),FALSE))</f>
        <v>#REF!</v>
      </c>
      <c r="D42" s="4" t="e">
        <f t="shared" si="1"/>
        <v>#REF!</v>
      </c>
      <c r="E42" s="4" t="e">
        <f t="shared" si="12"/>
        <v>#REF!</v>
      </c>
      <c r="F42" s="4" t="e">
        <f t="shared" si="16"/>
        <v>#REF!</v>
      </c>
      <c r="G42" s="4" t="e">
        <f t="shared" si="11"/>
        <v>#REF!</v>
      </c>
      <c r="H42" s="4" t="e">
        <f t="shared" si="15"/>
        <v>#REF!</v>
      </c>
      <c r="I42" s="4" t="e">
        <f t="shared" si="3"/>
        <v>#REF!</v>
      </c>
      <c r="J42" s="4" t="e">
        <f t="shared" si="15"/>
        <v>#REF!</v>
      </c>
      <c r="K42" s="4" t="e">
        <f t="shared" si="4"/>
        <v>#REF!</v>
      </c>
      <c r="L42" s="4" t="e">
        <f t="shared" si="15"/>
        <v>#REF!</v>
      </c>
      <c r="M42" s="4" t="e">
        <f t="shared" si="5"/>
        <v>#REF!</v>
      </c>
      <c r="N42" s="4" t="e">
        <f t="shared" si="15"/>
        <v>#REF!</v>
      </c>
      <c r="O42" s="4" t="e">
        <f t="shared" si="6"/>
        <v>#REF!</v>
      </c>
      <c r="P42" s="4" t="e">
        <f t="shared" si="15"/>
        <v>#REF!</v>
      </c>
      <c r="Q42" s="4" t="e">
        <f t="shared" si="7"/>
        <v>#REF!</v>
      </c>
      <c r="R42" s="4" t="e">
        <f t="shared" si="15"/>
        <v>#REF!</v>
      </c>
      <c r="S42" s="4" t="e">
        <f t="shared" si="8"/>
        <v>#REF!</v>
      </c>
      <c r="T42" s="4" t="e">
        <f t="shared" si="15"/>
        <v>#REF!</v>
      </c>
      <c r="U42" s="4" t="e">
        <f t="shared" si="9"/>
        <v>#REF!</v>
      </c>
      <c r="V42" s="4" t="e">
        <f t="shared" si="15"/>
        <v>#REF!</v>
      </c>
      <c r="W42" s="4" t="e">
        <f t="shared" si="10"/>
        <v>#REF!</v>
      </c>
    </row>
    <row r="43" spans="1:23" outlineLevel="1">
      <c r="A43">
        <v>37</v>
      </c>
      <c r="B43">
        <f>IFERROR(GETPIVOTDATA("Age_Calc",'Inputs &amp; Calcs'!#REF!,"Age_Calc",Q_Forecast5[[#This Row],[Age]]),0)</f>
        <v>0</v>
      </c>
      <c r="C43" t="e">
        <f>IF(VLOOKUP(Q_Forecast5[[#This Row],[Age]],#REF!,MATCH(DTU_RR,#REF!,0),FALSE)&gt;1,1,VLOOKUP(Q_Forecast5[[#This Row],[Age]],#REF!,MATCH(DTU_RR,#REF!,0),FALSE))</f>
        <v>#REF!</v>
      </c>
      <c r="D43" s="4" t="e">
        <f t="shared" si="1"/>
        <v>#REF!</v>
      </c>
      <c r="E43" s="4" t="e">
        <f t="shared" si="12"/>
        <v>#REF!</v>
      </c>
      <c r="F43" s="4" t="e">
        <f t="shared" si="16"/>
        <v>#REF!</v>
      </c>
      <c r="G43" s="4" t="e">
        <f t="shared" si="11"/>
        <v>#REF!</v>
      </c>
      <c r="H43" s="4" t="e">
        <f t="shared" si="15"/>
        <v>#REF!</v>
      </c>
      <c r="I43" s="4" t="e">
        <f t="shared" si="3"/>
        <v>#REF!</v>
      </c>
      <c r="J43" s="4" t="e">
        <f t="shared" si="15"/>
        <v>#REF!</v>
      </c>
      <c r="K43" s="4" t="e">
        <f t="shared" si="4"/>
        <v>#REF!</v>
      </c>
      <c r="L43" s="4" t="e">
        <f t="shared" si="15"/>
        <v>#REF!</v>
      </c>
      <c r="M43" s="4" t="e">
        <f t="shared" si="5"/>
        <v>#REF!</v>
      </c>
      <c r="N43" s="4" t="e">
        <f t="shared" si="15"/>
        <v>#REF!</v>
      </c>
      <c r="O43" s="4" t="e">
        <f t="shared" si="6"/>
        <v>#REF!</v>
      </c>
      <c r="P43" s="4" t="e">
        <f t="shared" si="15"/>
        <v>#REF!</v>
      </c>
      <c r="Q43" s="4" t="e">
        <f t="shared" si="7"/>
        <v>#REF!</v>
      </c>
      <c r="R43" s="4" t="e">
        <f t="shared" si="15"/>
        <v>#REF!</v>
      </c>
      <c r="S43" s="4" t="e">
        <f t="shared" si="8"/>
        <v>#REF!</v>
      </c>
      <c r="T43" s="4" t="e">
        <f t="shared" si="15"/>
        <v>#REF!</v>
      </c>
      <c r="U43" s="4" t="e">
        <f t="shared" si="9"/>
        <v>#REF!</v>
      </c>
      <c r="V43" s="4" t="e">
        <f t="shared" si="15"/>
        <v>#REF!</v>
      </c>
      <c r="W43" s="4" t="e">
        <f t="shared" si="10"/>
        <v>#REF!</v>
      </c>
    </row>
    <row r="44" spans="1:23" outlineLevel="1">
      <c r="A44">
        <v>38</v>
      </c>
      <c r="B44">
        <f>IFERROR(GETPIVOTDATA("Age_Calc",'Inputs &amp; Calcs'!#REF!,"Age_Calc",Q_Forecast5[[#This Row],[Age]]),0)</f>
        <v>0</v>
      </c>
      <c r="C44" t="e">
        <f>IF(VLOOKUP(Q_Forecast5[[#This Row],[Age]],#REF!,MATCH(DTU_RR,#REF!,0),FALSE)&gt;1,1,VLOOKUP(Q_Forecast5[[#This Row],[Age]],#REF!,MATCH(DTU_RR,#REF!,0),FALSE))</f>
        <v>#REF!</v>
      </c>
      <c r="D44" s="4" t="e">
        <f t="shared" si="1"/>
        <v>#REF!</v>
      </c>
      <c r="E44" s="4" t="e">
        <f t="shared" si="12"/>
        <v>#REF!</v>
      </c>
      <c r="F44" s="4" t="e">
        <f t="shared" si="16"/>
        <v>#REF!</v>
      </c>
      <c r="G44" s="4" t="e">
        <f t="shared" si="11"/>
        <v>#REF!</v>
      </c>
      <c r="H44" s="4" t="e">
        <f t="shared" si="15"/>
        <v>#REF!</v>
      </c>
      <c r="I44" s="4" t="e">
        <f t="shared" si="3"/>
        <v>#REF!</v>
      </c>
      <c r="J44" s="4" t="e">
        <f t="shared" si="15"/>
        <v>#REF!</v>
      </c>
      <c r="K44" s="4" t="e">
        <f t="shared" si="4"/>
        <v>#REF!</v>
      </c>
      <c r="L44" s="4" t="e">
        <f t="shared" si="15"/>
        <v>#REF!</v>
      </c>
      <c r="M44" s="4" t="e">
        <f t="shared" si="5"/>
        <v>#REF!</v>
      </c>
      <c r="N44" s="4" t="e">
        <f t="shared" si="15"/>
        <v>#REF!</v>
      </c>
      <c r="O44" s="4" t="e">
        <f t="shared" si="6"/>
        <v>#REF!</v>
      </c>
      <c r="P44" s="4" t="e">
        <f t="shared" si="15"/>
        <v>#REF!</v>
      </c>
      <c r="Q44" s="4" t="e">
        <f t="shared" si="7"/>
        <v>#REF!</v>
      </c>
      <c r="R44" s="4" t="e">
        <f t="shared" si="15"/>
        <v>#REF!</v>
      </c>
      <c r="S44" s="4" t="e">
        <f t="shared" si="8"/>
        <v>#REF!</v>
      </c>
      <c r="T44" s="4" t="e">
        <f t="shared" si="15"/>
        <v>#REF!</v>
      </c>
      <c r="U44" s="4" t="e">
        <f t="shared" si="9"/>
        <v>#REF!</v>
      </c>
      <c r="V44" s="4" t="e">
        <f t="shared" si="15"/>
        <v>#REF!</v>
      </c>
      <c r="W44" s="4" t="e">
        <f t="shared" si="10"/>
        <v>#REF!</v>
      </c>
    </row>
    <row r="45" spans="1:23" outlineLevel="1">
      <c r="A45">
        <v>39</v>
      </c>
      <c r="B45">
        <f>IFERROR(GETPIVOTDATA("Age_Calc",'Inputs &amp; Calcs'!#REF!,"Age_Calc",Q_Forecast5[[#This Row],[Age]]),0)</f>
        <v>0</v>
      </c>
      <c r="C45" t="e">
        <f>IF(VLOOKUP(Q_Forecast5[[#This Row],[Age]],#REF!,MATCH(DTU_RR,#REF!,0),FALSE)&gt;1,1,VLOOKUP(Q_Forecast5[[#This Row],[Age]],#REF!,MATCH(DTU_RR,#REF!,0),FALSE))</f>
        <v>#REF!</v>
      </c>
      <c r="D45" s="4" t="e">
        <f t="shared" si="1"/>
        <v>#REF!</v>
      </c>
      <c r="E45" s="4" t="e">
        <f t="shared" si="12"/>
        <v>#REF!</v>
      </c>
      <c r="F45" s="4" t="e">
        <f t="shared" si="16"/>
        <v>#REF!</v>
      </c>
      <c r="G45" s="4" t="e">
        <f t="shared" si="11"/>
        <v>#REF!</v>
      </c>
      <c r="H45" s="4" t="e">
        <f t="shared" si="15"/>
        <v>#REF!</v>
      </c>
      <c r="I45" s="4" t="e">
        <f t="shared" si="3"/>
        <v>#REF!</v>
      </c>
      <c r="J45" s="4" t="e">
        <f t="shared" si="15"/>
        <v>#REF!</v>
      </c>
      <c r="K45" s="4" t="e">
        <f t="shared" si="4"/>
        <v>#REF!</v>
      </c>
      <c r="L45" s="4" t="e">
        <f t="shared" si="15"/>
        <v>#REF!</v>
      </c>
      <c r="M45" s="4" t="e">
        <f t="shared" si="5"/>
        <v>#REF!</v>
      </c>
      <c r="N45" s="4" t="e">
        <f t="shared" si="15"/>
        <v>#REF!</v>
      </c>
      <c r="O45" s="4" t="e">
        <f t="shared" si="6"/>
        <v>#REF!</v>
      </c>
      <c r="P45" s="4" t="e">
        <f t="shared" si="15"/>
        <v>#REF!</v>
      </c>
      <c r="Q45" s="4" t="e">
        <f t="shared" si="7"/>
        <v>#REF!</v>
      </c>
      <c r="R45" s="4" t="e">
        <f t="shared" si="15"/>
        <v>#REF!</v>
      </c>
      <c r="S45" s="4" t="e">
        <f t="shared" si="8"/>
        <v>#REF!</v>
      </c>
      <c r="T45" s="4" t="e">
        <f t="shared" si="15"/>
        <v>#REF!</v>
      </c>
      <c r="U45" s="4" t="e">
        <f t="shared" si="9"/>
        <v>#REF!</v>
      </c>
      <c r="V45" s="4" t="e">
        <f t="shared" si="15"/>
        <v>#REF!</v>
      </c>
      <c r="W45" s="4" t="e">
        <f t="shared" si="10"/>
        <v>#REF!</v>
      </c>
    </row>
    <row r="46" spans="1:23" outlineLevel="1">
      <c r="A46">
        <v>40</v>
      </c>
      <c r="B46">
        <f>IFERROR(GETPIVOTDATA("Age_Calc",'Inputs &amp; Calcs'!#REF!,"Age_Calc",Q_Forecast5[[#This Row],[Age]]),0)</f>
        <v>0</v>
      </c>
      <c r="C46" t="e">
        <f>IF(VLOOKUP(Q_Forecast5[[#This Row],[Age]],#REF!,MATCH(DTU_RR,#REF!,0),FALSE)&gt;1,1,VLOOKUP(Q_Forecast5[[#This Row],[Age]],#REF!,MATCH(DTU_RR,#REF!,0),FALSE))</f>
        <v>#REF!</v>
      </c>
      <c r="D46" s="4" t="e">
        <f t="shared" si="1"/>
        <v>#REF!</v>
      </c>
      <c r="E46" s="4" t="e">
        <f t="shared" si="12"/>
        <v>#REF!</v>
      </c>
      <c r="F46" s="4" t="e">
        <f t="shared" si="16"/>
        <v>#REF!</v>
      </c>
      <c r="G46" s="4" t="e">
        <f t="shared" si="11"/>
        <v>#REF!</v>
      </c>
      <c r="H46" s="4" t="e">
        <f t="shared" si="15"/>
        <v>#REF!</v>
      </c>
      <c r="I46" s="4" t="e">
        <f t="shared" si="3"/>
        <v>#REF!</v>
      </c>
      <c r="J46" s="4" t="e">
        <f t="shared" si="15"/>
        <v>#REF!</v>
      </c>
      <c r="K46" s="4" t="e">
        <f t="shared" si="4"/>
        <v>#REF!</v>
      </c>
      <c r="L46" s="4" t="e">
        <f t="shared" si="15"/>
        <v>#REF!</v>
      </c>
      <c r="M46" s="4" t="e">
        <f t="shared" si="5"/>
        <v>#REF!</v>
      </c>
      <c r="N46" s="4" t="e">
        <f t="shared" si="15"/>
        <v>#REF!</v>
      </c>
      <c r="O46" s="4" t="e">
        <f t="shared" si="6"/>
        <v>#REF!</v>
      </c>
      <c r="P46" s="4" t="e">
        <f t="shared" si="15"/>
        <v>#REF!</v>
      </c>
      <c r="Q46" s="4" t="e">
        <f t="shared" si="7"/>
        <v>#REF!</v>
      </c>
      <c r="R46" s="4" t="e">
        <f t="shared" si="15"/>
        <v>#REF!</v>
      </c>
      <c r="S46" s="4" t="e">
        <f t="shared" si="8"/>
        <v>#REF!</v>
      </c>
      <c r="T46" s="4" t="e">
        <f t="shared" si="15"/>
        <v>#REF!</v>
      </c>
      <c r="U46" s="4" t="e">
        <f t="shared" si="9"/>
        <v>#REF!</v>
      </c>
      <c r="V46" s="4" t="e">
        <f t="shared" si="15"/>
        <v>#REF!</v>
      </c>
      <c r="W46" s="4" t="e">
        <f t="shared" si="10"/>
        <v>#REF!</v>
      </c>
    </row>
    <row r="47" spans="1:23" outlineLevel="1">
      <c r="A47">
        <v>41</v>
      </c>
      <c r="B47">
        <f>IFERROR(GETPIVOTDATA("Age_Calc",'Inputs &amp; Calcs'!#REF!,"Age_Calc",Q_Forecast5[[#This Row],[Age]]),0)</f>
        <v>0</v>
      </c>
      <c r="C47" t="e">
        <f>IF(VLOOKUP(Q_Forecast5[[#This Row],[Age]],#REF!,MATCH(DTU_RR,#REF!,0),FALSE)&gt;1,1,VLOOKUP(Q_Forecast5[[#This Row],[Age]],#REF!,MATCH(DTU_RR,#REF!,0),FALSE))</f>
        <v>#REF!</v>
      </c>
      <c r="D47" s="4" t="e">
        <f t="shared" si="1"/>
        <v>#REF!</v>
      </c>
      <c r="E47" s="4" t="e">
        <f t="shared" si="12"/>
        <v>#REF!</v>
      </c>
      <c r="F47" s="4" t="e">
        <f t="shared" si="16"/>
        <v>#REF!</v>
      </c>
      <c r="G47" s="4" t="e">
        <f t="shared" si="11"/>
        <v>#REF!</v>
      </c>
      <c r="H47" s="4" t="e">
        <f t="shared" si="15"/>
        <v>#REF!</v>
      </c>
      <c r="I47" s="4" t="e">
        <f t="shared" si="3"/>
        <v>#REF!</v>
      </c>
      <c r="J47" s="4" t="e">
        <f t="shared" si="15"/>
        <v>#REF!</v>
      </c>
      <c r="K47" s="4" t="e">
        <f t="shared" si="4"/>
        <v>#REF!</v>
      </c>
      <c r="L47" s="4" t="e">
        <f t="shared" si="15"/>
        <v>#REF!</v>
      </c>
      <c r="M47" s="4" t="e">
        <f t="shared" si="5"/>
        <v>#REF!</v>
      </c>
      <c r="N47" s="4" t="e">
        <f t="shared" si="15"/>
        <v>#REF!</v>
      </c>
      <c r="O47" s="4" t="e">
        <f t="shared" si="6"/>
        <v>#REF!</v>
      </c>
      <c r="P47" s="4" t="e">
        <f t="shared" si="15"/>
        <v>#REF!</v>
      </c>
      <c r="Q47" s="4" t="e">
        <f t="shared" si="7"/>
        <v>#REF!</v>
      </c>
      <c r="R47" s="4" t="e">
        <f t="shared" si="15"/>
        <v>#REF!</v>
      </c>
      <c r="S47" s="4" t="e">
        <f t="shared" si="8"/>
        <v>#REF!</v>
      </c>
      <c r="T47" s="4" t="e">
        <f t="shared" si="15"/>
        <v>#REF!</v>
      </c>
      <c r="U47" s="4" t="e">
        <f t="shared" si="9"/>
        <v>#REF!</v>
      </c>
      <c r="V47" s="4" t="e">
        <f t="shared" si="15"/>
        <v>#REF!</v>
      </c>
      <c r="W47" s="4" t="e">
        <f t="shared" si="10"/>
        <v>#REF!</v>
      </c>
    </row>
    <row r="48" spans="1:23" outlineLevel="1">
      <c r="A48">
        <v>42</v>
      </c>
      <c r="B48">
        <f>IFERROR(GETPIVOTDATA("Age_Calc",'Inputs &amp; Calcs'!#REF!,"Age_Calc",Q_Forecast5[[#This Row],[Age]]),0)</f>
        <v>0</v>
      </c>
      <c r="C48" t="e">
        <f>IF(VLOOKUP(Q_Forecast5[[#This Row],[Age]],#REF!,MATCH(DTU_RR,#REF!,0),FALSE)&gt;1,1,VLOOKUP(Q_Forecast5[[#This Row],[Age]],#REF!,MATCH(DTU_RR,#REF!,0),FALSE))</f>
        <v>#REF!</v>
      </c>
      <c r="D48" s="4" t="e">
        <f t="shared" si="1"/>
        <v>#REF!</v>
      </c>
      <c r="E48" s="4" t="e">
        <f t="shared" si="12"/>
        <v>#REF!</v>
      </c>
      <c r="F48" s="4" t="e">
        <f t="shared" si="16"/>
        <v>#REF!</v>
      </c>
      <c r="G48" s="4" t="e">
        <f t="shared" si="11"/>
        <v>#REF!</v>
      </c>
      <c r="H48" s="4" t="e">
        <f t="shared" si="15"/>
        <v>#REF!</v>
      </c>
      <c r="I48" s="4" t="e">
        <f t="shared" si="3"/>
        <v>#REF!</v>
      </c>
      <c r="J48" s="4" t="e">
        <f t="shared" si="15"/>
        <v>#REF!</v>
      </c>
      <c r="K48" s="4" t="e">
        <f t="shared" si="4"/>
        <v>#REF!</v>
      </c>
      <c r="L48" s="4" t="e">
        <f t="shared" si="15"/>
        <v>#REF!</v>
      </c>
      <c r="M48" s="4" t="e">
        <f t="shared" si="5"/>
        <v>#REF!</v>
      </c>
      <c r="N48" s="4" t="e">
        <f t="shared" si="15"/>
        <v>#REF!</v>
      </c>
      <c r="O48" s="4" t="e">
        <f t="shared" si="6"/>
        <v>#REF!</v>
      </c>
      <c r="P48" s="4" t="e">
        <f t="shared" si="15"/>
        <v>#REF!</v>
      </c>
      <c r="Q48" s="4" t="e">
        <f t="shared" si="7"/>
        <v>#REF!</v>
      </c>
      <c r="R48" s="4" t="e">
        <f t="shared" si="15"/>
        <v>#REF!</v>
      </c>
      <c r="S48" s="4" t="e">
        <f t="shared" si="8"/>
        <v>#REF!</v>
      </c>
      <c r="T48" s="4" t="e">
        <f t="shared" si="15"/>
        <v>#REF!</v>
      </c>
      <c r="U48" s="4" t="e">
        <f t="shared" si="9"/>
        <v>#REF!</v>
      </c>
      <c r="V48" s="4" t="e">
        <f t="shared" si="15"/>
        <v>#REF!</v>
      </c>
      <c r="W48" s="4" t="e">
        <f t="shared" si="10"/>
        <v>#REF!</v>
      </c>
    </row>
    <row r="49" spans="1:23" outlineLevel="1">
      <c r="A49">
        <v>43</v>
      </c>
      <c r="B49">
        <f>IFERROR(GETPIVOTDATA("Age_Calc",'Inputs &amp; Calcs'!#REF!,"Age_Calc",Q_Forecast5[[#This Row],[Age]]),0)</f>
        <v>0</v>
      </c>
      <c r="C49" t="e">
        <f>IF(VLOOKUP(Q_Forecast5[[#This Row],[Age]],#REF!,MATCH(DTU_RR,#REF!,0),FALSE)&gt;1,1,VLOOKUP(Q_Forecast5[[#This Row],[Age]],#REF!,MATCH(DTU_RR,#REF!,0),FALSE))</f>
        <v>#REF!</v>
      </c>
      <c r="D49" s="4" t="e">
        <f t="shared" si="1"/>
        <v>#REF!</v>
      </c>
      <c r="E49" s="4" t="e">
        <f t="shared" si="12"/>
        <v>#REF!</v>
      </c>
      <c r="F49" s="4" t="e">
        <f t="shared" si="16"/>
        <v>#REF!</v>
      </c>
      <c r="G49" s="4" t="e">
        <f t="shared" si="11"/>
        <v>#REF!</v>
      </c>
      <c r="H49" s="4" t="e">
        <f t="shared" si="15"/>
        <v>#REF!</v>
      </c>
      <c r="I49" s="4" t="e">
        <f t="shared" si="3"/>
        <v>#REF!</v>
      </c>
      <c r="J49" s="4" t="e">
        <f t="shared" si="15"/>
        <v>#REF!</v>
      </c>
      <c r="K49" s="4" t="e">
        <f t="shared" si="4"/>
        <v>#REF!</v>
      </c>
      <c r="L49" s="4" t="e">
        <f t="shared" si="15"/>
        <v>#REF!</v>
      </c>
      <c r="M49" s="4" t="e">
        <f t="shared" si="5"/>
        <v>#REF!</v>
      </c>
      <c r="N49" s="4" t="e">
        <f t="shared" si="15"/>
        <v>#REF!</v>
      </c>
      <c r="O49" s="4" t="e">
        <f t="shared" si="6"/>
        <v>#REF!</v>
      </c>
      <c r="P49" s="4" t="e">
        <f t="shared" si="15"/>
        <v>#REF!</v>
      </c>
      <c r="Q49" s="4" t="e">
        <f t="shared" si="7"/>
        <v>#REF!</v>
      </c>
      <c r="R49" s="4" t="e">
        <f t="shared" si="15"/>
        <v>#REF!</v>
      </c>
      <c r="S49" s="4" t="e">
        <f t="shared" si="8"/>
        <v>#REF!</v>
      </c>
      <c r="T49" s="4" t="e">
        <f t="shared" si="15"/>
        <v>#REF!</v>
      </c>
      <c r="U49" s="4" t="e">
        <f t="shared" si="9"/>
        <v>#REF!</v>
      </c>
      <c r="V49" s="4" t="e">
        <f t="shared" si="15"/>
        <v>#REF!</v>
      </c>
      <c r="W49" s="4" t="e">
        <f t="shared" si="10"/>
        <v>#REF!</v>
      </c>
    </row>
    <row r="50" spans="1:23" outlineLevel="1">
      <c r="A50">
        <v>44</v>
      </c>
      <c r="B50">
        <f>IFERROR(GETPIVOTDATA("Age_Calc",'Inputs &amp; Calcs'!#REF!,"Age_Calc",Q_Forecast5[[#This Row],[Age]]),0)</f>
        <v>0</v>
      </c>
      <c r="C50" t="e">
        <f>IF(VLOOKUP(Q_Forecast5[[#This Row],[Age]],#REF!,MATCH(DTU_RR,#REF!,0),FALSE)&gt;1,1,VLOOKUP(Q_Forecast5[[#This Row],[Age]],#REF!,MATCH(DTU_RR,#REF!,0),FALSE))</f>
        <v>#REF!</v>
      </c>
      <c r="D50" s="4" t="e">
        <f t="shared" si="1"/>
        <v>#REF!</v>
      </c>
      <c r="E50" s="4" t="e">
        <f t="shared" si="12"/>
        <v>#REF!</v>
      </c>
      <c r="F50" s="4" t="e">
        <f t="shared" si="16"/>
        <v>#REF!</v>
      </c>
      <c r="G50" s="4" t="e">
        <f t="shared" si="11"/>
        <v>#REF!</v>
      </c>
      <c r="H50" s="4" t="e">
        <f t="shared" si="15"/>
        <v>#REF!</v>
      </c>
      <c r="I50" s="4" t="e">
        <f t="shared" si="3"/>
        <v>#REF!</v>
      </c>
      <c r="J50" s="4" t="e">
        <f t="shared" si="15"/>
        <v>#REF!</v>
      </c>
      <c r="K50" s="4" t="e">
        <f t="shared" si="4"/>
        <v>#REF!</v>
      </c>
      <c r="L50" s="4" t="e">
        <f t="shared" si="15"/>
        <v>#REF!</v>
      </c>
      <c r="M50" s="4" t="e">
        <f t="shared" si="5"/>
        <v>#REF!</v>
      </c>
      <c r="N50" s="4" t="e">
        <f t="shared" si="15"/>
        <v>#REF!</v>
      </c>
      <c r="O50" s="4" t="e">
        <f t="shared" si="6"/>
        <v>#REF!</v>
      </c>
      <c r="P50" s="4" t="e">
        <f t="shared" si="15"/>
        <v>#REF!</v>
      </c>
      <c r="Q50" s="4" t="e">
        <f t="shared" si="7"/>
        <v>#REF!</v>
      </c>
      <c r="R50" s="4" t="e">
        <f t="shared" si="15"/>
        <v>#REF!</v>
      </c>
      <c r="S50" s="4" t="e">
        <f t="shared" si="8"/>
        <v>#REF!</v>
      </c>
      <c r="T50" s="4" t="e">
        <f t="shared" si="15"/>
        <v>#REF!</v>
      </c>
      <c r="U50" s="4" t="e">
        <f t="shared" si="9"/>
        <v>#REF!</v>
      </c>
      <c r="V50" s="4" t="e">
        <f t="shared" si="15"/>
        <v>#REF!</v>
      </c>
      <c r="W50" s="4" t="e">
        <f t="shared" si="10"/>
        <v>#REF!</v>
      </c>
    </row>
    <row r="51" spans="1:23" outlineLevel="1">
      <c r="A51">
        <v>45</v>
      </c>
      <c r="B51">
        <f>IFERROR(GETPIVOTDATA("Age_Calc",'Inputs &amp; Calcs'!#REF!,"Age_Calc",Q_Forecast5[[#This Row],[Age]]),0)</f>
        <v>0</v>
      </c>
      <c r="C51" t="e">
        <f>IF(VLOOKUP(Q_Forecast5[[#This Row],[Age]],#REF!,MATCH(DTU_RR,#REF!,0),FALSE)&gt;1,1,VLOOKUP(Q_Forecast5[[#This Row],[Age]],#REF!,MATCH(DTU_RR,#REF!,0),FALSE))</f>
        <v>#REF!</v>
      </c>
      <c r="D51" s="4" t="e">
        <f t="shared" si="1"/>
        <v>#REF!</v>
      </c>
      <c r="E51" s="4" t="e">
        <f t="shared" si="12"/>
        <v>#REF!</v>
      </c>
      <c r="F51" s="4" t="e">
        <f t="shared" si="16"/>
        <v>#REF!</v>
      </c>
      <c r="G51" s="4" t="e">
        <f t="shared" si="11"/>
        <v>#REF!</v>
      </c>
      <c r="H51" s="4" t="e">
        <f t="shared" si="15"/>
        <v>#REF!</v>
      </c>
      <c r="I51" s="4" t="e">
        <f t="shared" si="3"/>
        <v>#REF!</v>
      </c>
      <c r="J51" s="4" t="e">
        <f t="shared" si="15"/>
        <v>#REF!</v>
      </c>
      <c r="K51" s="4" t="e">
        <f t="shared" si="4"/>
        <v>#REF!</v>
      </c>
      <c r="L51" s="4" t="e">
        <f t="shared" si="15"/>
        <v>#REF!</v>
      </c>
      <c r="M51" s="4" t="e">
        <f t="shared" si="5"/>
        <v>#REF!</v>
      </c>
      <c r="N51" s="4" t="e">
        <f t="shared" si="15"/>
        <v>#REF!</v>
      </c>
      <c r="O51" s="4" t="e">
        <f t="shared" si="6"/>
        <v>#REF!</v>
      </c>
      <c r="P51" s="4" t="e">
        <f t="shared" si="15"/>
        <v>#REF!</v>
      </c>
      <c r="Q51" s="4" t="e">
        <f t="shared" si="7"/>
        <v>#REF!</v>
      </c>
      <c r="R51" s="4" t="e">
        <f t="shared" si="15"/>
        <v>#REF!</v>
      </c>
      <c r="S51" s="4" t="e">
        <f t="shared" si="8"/>
        <v>#REF!</v>
      </c>
      <c r="T51" s="4" t="e">
        <f t="shared" si="15"/>
        <v>#REF!</v>
      </c>
      <c r="U51" s="4" t="e">
        <f t="shared" si="9"/>
        <v>#REF!</v>
      </c>
      <c r="V51" s="4" t="e">
        <f t="shared" si="15"/>
        <v>#REF!</v>
      </c>
      <c r="W51" s="4" t="e">
        <f t="shared" si="10"/>
        <v>#REF!</v>
      </c>
    </row>
    <row r="52" spans="1:23" outlineLevel="1">
      <c r="A52">
        <v>46</v>
      </c>
      <c r="B52">
        <f>IFERROR(GETPIVOTDATA("Age_Calc",'Inputs &amp; Calcs'!#REF!,"Age_Calc",Q_Forecast5[[#This Row],[Age]]),0)</f>
        <v>0</v>
      </c>
      <c r="C52" t="e">
        <f>IF(VLOOKUP(Q_Forecast5[[#This Row],[Age]],#REF!,MATCH(DTU_RR,#REF!,0),FALSE)&gt;1,1,VLOOKUP(Q_Forecast5[[#This Row],[Age]],#REF!,MATCH(DTU_RR,#REF!,0),FALSE))</f>
        <v>#REF!</v>
      </c>
      <c r="D52" s="4" t="e">
        <f t="shared" si="1"/>
        <v>#REF!</v>
      </c>
      <c r="E52" s="4" t="e">
        <f t="shared" si="12"/>
        <v>#REF!</v>
      </c>
      <c r="F52" s="4" t="e">
        <f t="shared" si="16"/>
        <v>#REF!</v>
      </c>
      <c r="G52" s="4" t="e">
        <f t="shared" si="11"/>
        <v>#REF!</v>
      </c>
      <c r="H52" s="4" t="e">
        <f t="shared" si="15"/>
        <v>#REF!</v>
      </c>
      <c r="I52" s="4" t="e">
        <f t="shared" si="3"/>
        <v>#REF!</v>
      </c>
      <c r="J52" s="4" t="e">
        <f t="shared" si="15"/>
        <v>#REF!</v>
      </c>
      <c r="K52" s="4" t="e">
        <f t="shared" si="4"/>
        <v>#REF!</v>
      </c>
      <c r="L52" s="4" t="e">
        <f t="shared" si="15"/>
        <v>#REF!</v>
      </c>
      <c r="M52" s="4" t="e">
        <f t="shared" si="5"/>
        <v>#REF!</v>
      </c>
      <c r="N52" s="4" t="e">
        <f t="shared" si="15"/>
        <v>#REF!</v>
      </c>
      <c r="O52" s="4" t="e">
        <f t="shared" si="6"/>
        <v>#REF!</v>
      </c>
      <c r="P52" s="4" t="e">
        <f t="shared" si="15"/>
        <v>#REF!</v>
      </c>
      <c r="Q52" s="4" t="e">
        <f t="shared" si="7"/>
        <v>#REF!</v>
      </c>
      <c r="R52" s="4" t="e">
        <f t="shared" si="15"/>
        <v>#REF!</v>
      </c>
      <c r="S52" s="4" t="e">
        <f t="shared" si="8"/>
        <v>#REF!</v>
      </c>
      <c r="T52" s="4" t="e">
        <f t="shared" si="15"/>
        <v>#REF!</v>
      </c>
      <c r="U52" s="4" t="e">
        <f t="shared" si="9"/>
        <v>#REF!</v>
      </c>
      <c r="V52" s="4" t="e">
        <f t="shared" si="15"/>
        <v>#REF!</v>
      </c>
      <c r="W52" s="4" t="e">
        <f t="shared" si="10"/>
        <v>#REF!</v>
      </c>
    </row>
    <row r="53" spans="1:23" outlineLevel="1">
      <c r="A53">
        <v>47</v>
      </c>
      <c r="B53">
        <f>IFERROR(GETPIVOTDATA("Age_Calc",'Inputs &amp; Calcs'!#REF!,"Age_Calc",Q_Forecast5[[#This Row],[Age]]),0)</f>
        <v>0</v>
      </c>
      <c r="C53" t="e">
        <f>IF(VLOOKUP(Q_Forecast5[[#This Row],[Age]],#REF!,MATCH(DTU_RR,#REF!,0),FALSE)&gt;1,1,VLOOKUP(Q_Forecast5[[#This Row],[Age]],#REF!,MATCH(DTU_RR,#REF!,0),FALSE))</f>
        <v>#REF!</v>
      </c>
      <c r="D53" s="4" t="e">
        <f t="shared" si="1"/>
        <v>#REF!</v>
      </c>
      <c r="E53" s="4" t="e">
        <f t="shared" si="12"/>
        <v>#REF!</v>
      </c>
      <c r="F53" s="4" t="e">
        <f t="shared" si="16"/>
        <v>#REF!</v>
      </c>
      <c r="G53" s="4" t="e">
        <f t="shared" si="11"/>
        <v>#REF!</v>
      </c>
      <c r="H53" s="4" t="e">
        <f t="shared" si="15"/>
        <v>#REF!</v>
      </c>
      <c r="I53" s="4" t="e">
        <f t="shared" si="3"/>
        <v>#REF!</v>
      </c>
      <c r="J53" s="4" t="e">
        <f t="shared" si="15"/>
        <v>#REF!</v>
      </c>
      <c r="K53" s="4" t="e">
        <f t="shared" si="4"/>
        <v>#REF!</v>
      </c>
      <c r="L53" s="4" t="e">
        <f t="shared" si="15"/>
        <v>#REF!</v>
      </c>
      <c r="M53" s="4" t="e">
        <f t="shared" si="5"/>
        <v>#REF!</v>
      </c>
      <c r="N53" s="4" t="e">
        <f t="shared" si="15"/>
        <v>#REF!</v>
      </c>
      <c r="O53" s="4" t="e">
        <f t="shared" si="6"/>
        <v>#REF!</v>
      </c>
      <c r="P53" s="4" t="e">
        <f t="shared" si="15"/>
        <v>#REF!</v>
      </c>
      <c r="Q53" s="4" t="e">
        <f t="shared" si="7"/>
        <v>#REF!</v>
      </c>
      <c r="R53" s="4" t="e">
        <f t="shared" si="15"/>
        <v>#REF!</v>
      </c>
      <c r="S53" s="4" t="e">
        <f t="shared" si="8"/>
        <v>#REF!</v>
      </c>
      <c r="T53" s="4" t="e">
        <f t="shared" si="15"/>
        <v>#REF!</v>
      </c>
      <c r="U53" s="4" t="e">
        <f t="shared" si="9"/>
        <v>#REF!</v>
      </c>
      <c r="V53" s="4" t="e">
        <f t="shared" si="15"/>
        <v>#REF!</v>
      </c>
      <c r="W53" s="4" t="e">
        <f t="shared" si="10"/>
        <v>#REF!</v>
      </c>
    </row>
    <row r="54" spans="1:23" outlineLevel="1">
      <c r="A54">
        <v>48</v>
      </c>
      <c r="B54">
        <f>IFERROR(GETPIVOTDATA("Age_Calc",'Inputs &amp; Calcs'!#REF!,"Age_Calc",Q_Forecast5[[#This Row],[Age]]),0)</f>
        <v>0</v>
      </c>
      <c r="C54" t="e">
        <f>IF(VLOOKUP(Q_Forecast5[[#This Row],[Age]],#REF!,MATCH(DTU_RR,#REF!,0),FALSE)&gt;1,1,VLOOKUP(Q_Forecast5[[#This Row],[Age]],#REF!,MATCH(DTU_RR,#REF!,0),FALSE))</f>
        <v>#REF!</v>
      </c>
      <c r="D54" s="4" t="e">
        <f t="shared" si="1"/>
        <v>#REF!</v>
      </c>
      <c r="E54" s="4" t="e">
        <f t="shared" si="12"/>
        <v>#REF!</v>
      </c>
      <c r="F54" s="4" t="e">
        <f t="shared" si="16"/>
        <v>#REF!</v>
      </c>
      <c r="G54" s="4" t="e">
        <f t="shared" si="11"/>
        <v>#REF!</v>
      </c>
      <c r="H54" s="4" t="e">
        <f t="shared" ref="H54:V69" si="17">G54*$C54</f>
        <v>#REF!</v>
      </c>
      <c r="I54" s="4" t="e">
        <f t="shared" si="3"/>
        <v>#REF!</v>
      </c>
      <c r="J54" s="4" t="e">
        <f t="shared" si="17"/>
        <v>#REF!</v>
      </c>
      <c r="K54" s="4" t="e">
        <f t="shared" si="4"/>
        <v>#REF!</v>
      </c>
      <c r="L54" s="4" t="e">
        <f t="shared" si="17"/>
        <v>#REF!</v>
      </c>
      <c r="M54" s="4" t="e">
        <f t="shared" si="5"/>
        <v>#REF!</v>
      </c>
      <c r="N54" s="4" t="e">
        <f t="shared" si="17"/>
        <v>#REF!</v>
      </c>
      <c r="O54" s="4" t="e">
        <f t="shared" si="6"/>
        <v>#REF!</v>
      </c>
      <c r="P54" s="4" t="e">
        <f t="shared" si="17"/>
        <v>#REF!</v>
      </c>
      <c r="Q54" s="4" t="e">
        <f t="shared" si="7"/>
        <v>#REF!</v>
      </c>
      <c r="R54" s="4" t="e">
        <f t="shared" si="17"/>
        <v>#REF!</v>
      </c>
      <c r="S54" s="4" t="e">
        <f t="shared" si="8"/>
        <v>#REF!</v>
      </c>
      <c r="T54" s="4" t="e">
        <f t="shared" si="17"/>
        <v>#REF!</v>
      </c>
      <c r="U54" s="4" t="e">
        <f t="shared" si="9"/>
        <v>#REF!</v>
      </c>
      <c r="V54" s="4" t="e">
        <f t="shared" si="17"/>
        <v>#REF!</v>
      </c>
      <c r="W54" s="4" t="e">
        <f t="shared" si="10"/>
        <v>#REF!</v>
      </c>
    </row>
    <row r="55" spans="1:23" outlineLevel="1">
      <c r="A55">
        <v>49</v>
      </c>
      <c r="B55">
        <f>IFERROR(GETPIVOTDATA("Age_Calc",'Inputs &amp; Calcs'!#REF!,"Age_Calc",Q_Forecast5[[#This Row],[Age]]),0)</f>
        <v>0</v>
      </c>
      <c r="C55" t="e">
        <f>IF(VLOOKUP(Q_Forecast5[[#This Row],[Age]],#REF!,MATCH(DTU_RR,#REF!,0),FALSE)&gt;1,1,VLOOKUP(Q_Forecast5[[#This Row],[Age]],#REF!,MATCH(DTU_RR,#REF!,0),FALSE))</f>
        <v>#REF!</v>
      </c>
      <c r="D55" s="4" t="e">
        <f t="shared" si="1"/>
        <v>#REF!</v>
      </c>
      <c r="E55" s="4" t="e">
        <f t="shared" si="12"/>
        <v>#REF!</v>
      </c>
      <c r="F55" s="4" t="e">
        <f t="shared" ref="F55:F70" si="18">E55*$C55</f>
        <v>#REF!</v>
      </c>
      <c r="G55" s="4" t="e">
        <f t="shared" si="11"/>
        <v>#REF!</v>
      </c>
      <c r="H55" s="4" t="e">
        <f t="shared" si="17"/>
        <v>#REF!</v>
      </c>
      <c r="I55" s="4" t="e">
        <f t="shared" si="3"/>
        <v>#REF!</v>
      </c>
      <c r="J55" s="4" t="e">
        <f t="shared" si="17"/>
        <v>#REF!</v>
      </c>
      <c r="K55" s="4" t="e">
        <f t="shared" si="4"/>
        <v>#REF!</v>
      </c>
      <c r="L55" s="4" t="e">
        <f t="shared" si="17"/>
        <v>#REF!</v>
      </c>
      <c r="M55" s="4" t="e">
        <f t="shared" si="5"/>
        <v>#REF!</v>
      </c>
      <c r="N55" s="4" t="e">
        <f t="shared" si="17"/>
        <v>#REF!</v>
      </c>
      <c r="O55" s="4" t="e">
        <f t="shared" si="6"/>
        <v>#REF!</v>
      </c>
      <c r="P55" s="4" t="e">
        <f t="shared" si="17"/>
        <v>#REF!</v>
      </c>
      <c r="Q55" s="4" t="e">
        <f t="shared" si="7"/>
        <v>#REF!</v>
      </c>
      <c r="R55" s="4" t="e">
        <f t="shared" si="17"/>
        <v>#REF!</v>
      </c>
      <c r="S55" s="4" t="e">
        <f t="shared" si="8"/>
        <v>#REF!</v>
      </c>
      <c r="T55" s="4" t="e">
        <f t="shared" si="17"/>
        <v>#REF!</v>
      </c>
      <c r="U55" s="4" t="e">
        <f t="shared" si="9"/>
        <v>#REF!</v>
      </c>
      <c r="V55" s="4" t="e">
        <f t="shared" si="17"/>
        <v>#REF!</v>
      </c>
      <c r="W55" s="4" t="e">
        <f t="shared" si="10"/>
        <v>#REF!</v>
      </c>
    </row>
    <row r="56" spans="1:23" outlineLevel="1">
      <c r="A56">
        <v>50</v>
      </c>
      <c r="B56">
        <f>IFERROR(GETPIVOTDATA("Age_Calc",'Inputs &amp; Calcs'!#REF!,"Age_Calc",Q_Forecast5[[#This Row],[Age]]),0)</f>
        <v>0</v>
      </c>
      <c r="C56" t="e">
        <f>IF(VLOOKUP(Q_Forecast5[[#This Row],[Age]],#REF!,MATCH(DTU_RR,#REF!,0),FALSE)&gt;1,1,VLOOKUP(Q_Forecast5[[#This Row],[Age]],#REF!,MATCH(DTU_RR,#REF!,0),FALSE))</f>
        <v>#REF!</v>
      </c>
      <c r="D56" s="4" t="e">
        <f t="shared" si="1"/>
        <v>#REF!</v>
      </c>
      <c r="E56" s="4" t="e">
        <f t="shared" si="12"/>
        <v>#REF!</v>
      </c>
      <c r="F56" s="4" t="e">
        <f t="shared" si="18"/>
        <v>#REF!</v>
      </c>
      <c r="G56" s="4" t="e">
        <f t="shared" si="11"/>
        <v>#REF!</v>
      </c>
      <c r="H56" s="4" t="e">
        <f t="shared" si="17"/>
        <v>#REF!</v>
      </c>
      <c r="I56" s="4" t="e">
        <f t="shared" si="3"/>
        <v>#REF!</v>
      </c>
      <c r="J56" s="4" t="e">
        <f t="shared" si="17"/>
        <v>#REF!</v>
      </c>
      <c r="K56" s="4" t="e">
        <f t="shared" si="4"/>
        <v>#REF!</v>
      </c>
      <c r="L56" s="4" t="e">
        <f t="shared" si="17"/>
        <v>#REF!</v>
      </c>
      <c r="M56" s="4" t="e">
        <f t="shared" si="5"/>
        <v>#REF!</v>
      </c>
      <c r="N56" s="4" t="e">
        <f t="shared" si="17"/>
        <v>#REF!</v>
      </c>
      <c r="O56" s="4" t="e">
        <f t="shared" si="6"/>
        <v>#REF!</v>
      </c>
      <c r="P56" s="4" t="e">
        <f t="shared" si="17"/>
        <v>#REF!</v>
      </c>
      <c r="Q56" s="4" t="e">
        <f t="shared" si="7"/>
        <v>#REF!</v>
      </c>
      <c r="R56" s="4" t="e">
        <f t="shared" si="17"/>
        <v>#REF!</v>
      </c>
      <c r="S56" s="4" t="e">
        <f t="shared" si="8"/>
        <v>#REF!</v>
      </c>
      <c r="T56" s="4" t="e">
        <f t="shared" si="17"/>
        <v>#REF!</v>
      </c>
      <c r="U56" s="4" t="e">
        <f t="shared" si="9"/>
        <v>#REF!</v>
      </c>
      <c r="V56" s="4" t="e">
        <f t="shared" si="17"/>
        <v>#REF!</v>
      </c>
      <c r="W56" s="4" t="e">
        <f t="shared" si="10"/>
        <v>#REF!</v>
      </c>
    </row>
    <row r="57" spans="1:23" outlineLevel="1">
      <c r="A57">
        <v>51</v>
      </c>
      <c r="B57">
        <f>IFERROR(GETPIVOTDATA("Age_Calc",'Inputs &amp; Calcs'!#REF!,"Age_Calc",Q_Forecast5[[#This Row],[Age]]),0)</f>
        <v>0</v>
      </c>
      <c r="C57" t="e">
        <f>IF(VLOOKUP(Q_Forecast5[[#This Row],[Age]],#REF!,MATCH(DTU_RR,#REF!,0),FALSE)&gt;1,1,VLOOKUP(Q_Forecast5[[#This Row],[Age]],#REF!,MATCH(DTU_RR,#REF!,0),FALSE))</f>
        <v>#REF!</v>
      </c>
      <c r="D57" s="4" t="e">
        <f t="shared" si="1"/>
        <v>#REF!</v>
      </c>
      <c r="E57" s="4" t="e">
        <f t="shared" si="12"/>
        <v>#REF!</v>
      </c>
      <c r="F57" s="4" t="e">
        <f t="shared" si="18"/>
        <v>#REF!</v>
      </c>
      <c r="G57" s="4" t="e">
        <f t="shared" si="11"/>
        <v>#REF!</v>
      </c>
      <c r="H57" s="4" t="e">
        <f t="shared" si="17"/>
        <v>#REF!</v>
      </c>
      <c r="I57" s="4" t="e">
        <f t="shared" si="3"/>
        <v>#REF!</v>
      </c>
      <c r="J57" s="4" t="e">
        <f t="shared" si="17"/>
        <v>#REF!</v>
      </c>
      <c r="K57" s="4" t="e">
        <f t="shared" si="4"/>
        <v>#REF!</v>
      </c>
      <c r="L57" s="4" t="e">
        <f t="shared" si="17"/>
        <v>#REF!</v>
      </c>
      <c r="M57" s="4" t="e">
        <f t="shared" si="5"/>
        <v>#REF!</v>
      </c>
      <c r="N57" s="4" t="e">
        <f t="shared" si="17"/>
        <v>#REF!</v>
      </c>
      <c r="O57" s="4" t="e">
        <f t="shared" si="6"/>
        <v>#REF!</v>
      </c>
      <c r="P57" s="4" t="e">
        <f t="shared" si="17"/>
        <v>#REF!</v>
      </c>
      <c r="Q57" s="4" t="e">
        <f t="shared" si="7"/>
        <v>#REF!</v>
      </c>
      <c r="R57" s="4" t="e">
        <f t="shared" si="17"/>
        <v>#REF!</v>
      </c>
      <c r="S57" s="4" t="e">
        <f t="shared" si="8"/>
        <v>#REF!</v>
      </c>
      <c r="T57" s="4" t="e">
        <f t="shared" si="17"/>
        <v>#REF!</v>
      </c>
      <c r="U57" s="4" t="e">
        <f t="shared" si="9"/>
        <v>#REF!</v>
      </c>
      <c r="V57" s="4" t="e">
        <f t="shared" si="17"/>
        <v>#REF!</v>
      </c>
      <c r="W57" s="4" t="e">
        <f t="shared" si="10"/>
        <v>#REF!</v>
      </c>
    </row>
    <row r="58" spans="1:23" outlineLevel="1">
      <c r="A58">
        <v>52</v>
      </c>
      <c r="B58">
        <f>IFERROR(GETPIVOTDATA("Age_Calc",'Inputs &amp; Calcs'!#REF!,"Age_Calc",Q_Forecast5[[#This Row],[Age]]),0)</f>
        <v>0</v>
      </c>
      <c r="C58" t="e">
        <f>IF(VLOOKUP(Q_Forecast5[[#This Row],[Age]],#REF!,MATCH(DTU_RR,#REF!,0),FALSE)&gt;1,1,VLOOKUP(Q_Forecast5[[#This Row],[Age]],#REF!,MATCH(DTU_RR,#REF!,0),FALSE))</f>
        <v>#REF!</v>
      </c>
      <c r="D58" s="4" t="e">
        <f t="shared" si="1"/>
        <v>#REF!</v>
      </c>
      <c r="E58" s="4" t="e">
        <f t="shared" si="12"/>
        <v>#REF!</v>
      </c>
      <c r="F58" s="4" t="e">
        <f t="shared" si="18"/>
        <v>#REF!</v>
      </c>
      <c r="G58" s="4" t="e">
        <f t="shared" si="11"/>
        <v>#REF!</v>
      </c>
      <c r="H58" s="4" t="e">
        <f t="shared" si="17"/>
        <v>#REF!</v>
      </c>
      <c r="I58" s="4" t="e">
        <f t="shared" si="3"/>
        <v>#REF!</v>
      </c>
      <c r="J58" s="4" t="e">
        <f t="shared" si="17"/>
        <v>#REF!</v>
      </c>
      <c r="K58" s="4" t="e">
        <f t="shared" si="4"/>
        <v>#REF!</v>
      </c>
      <c r="L58" s="4" t="e">
        <f t="shared" si="17"/>
        <v>#REF!</v>
      </c>
      <c r="M58" s="4" t="e">
        <f t="shared" si="5"/>
        <v>#REF!</v>
      </c>
      <c r="N58" s="4" t="e">
        <f t="shared" si="17"/>
        <v>#REF!</v>
      </c>
      <c r="O58" s="4" t="e">
        <f t="shared" si="6"/>
        <v>#REF!</v>
      </c>
      <c r="P58" s="4" t="e">
        <f t="shared" si="17"/>
        <v>#REF!</v>
      </c>
      <c r="Q58" s="4" t="e">
        <f t="shared" si="7"/>
        <v>#REF!</v>
      </c>
      <c r="R58" s="4" t="e">
        <f t="shared" si="17"/>
        <v>#REF!</v>
      </c>
      <c r="S58" s="4" t="e">
        <f t="shared" si="8"/>
        <v>#REF!</v>
      </c>
      <c r="T58" s="4" t="e">
        <f t="shared" si="17"/>
        <v>#REF!</v>
      </c>
      <c r="U58" s="4" t="e">
        <f t="shared" si="9"/>
        <v>#REF!</v>
      </c>
      <c r="V58" s="4" t="e">
        <f t="shared" si="17"/>
        <v>#REF!</v>
      </c>
      <c r="W58" s="4" t="e">
        <f t="shared" si="10"/>
        <v>#REF!</v>
      </c>
    </row>
    <row r="59" spans="1:23" outlineLevel="1">
      <c r="A59">
        <v>53</v>
      </c>
      <c r="B59">
        <f>IFERROR(GETPIVOTDATA("Age_Calc",'Inputs &amp; Calcs'!#REF!,"Age_Calc",Q_Forecast5[[#This Row],[Age]]),0)</f>
        <v>0</v>
      </c>
      <c r="C59" t="e">
        <f>IF(VLOOKUP(Q_Forecast5[[#This Row],[Age]],#REF!,MATCH(DTU_RR,#REF!,0),FALSE)&gt;1,1,VLOOKUP(Q_Forecast5[[#This Row],[Age]],#REF!,MATCH(DTU_RR,#REF!,0),FALSE))</f>
        <v>#REF!</v>
      </c>
      <c r="D59" s="4" t="e">
        <f t="shared" si="1"/>
        <v>#REF!</v>
      </c>
      <c r="E59" s="4" t="e">
        <f t="shared" si="12"/>
        <v>#REF!</v>
      </c>
      <c r="F59" s="4" t="e">
        <f t="shared" si="18"/>
        <v>#REF!</v>
      </c>
      <c r="G59" s="4" t="e">
        <f t="shared" si="11"/>
        <v>#REF!</v>
      </c>
      <c r="H59" s="4" t="e">
        <f t="shared" si="17"/>
        <v>#REF!</v>
      </c>
      <c r="I59" s="4" t="e">
        <f t="shared" si="3"/>
        <v>#REF!</v>
      </c>
      <c r="J59" s="4" t="e">
        <f t="shared" si="17"/>
        <v>#REF!</v>
      </c>
      <c r="K59" s="4" t="e">
        <f t="shared" si="4"/>
        <v>#REF!</v>
      </c>
      <c r="L59" s="4" t="e">
        <f t="shared" si="17"/>
        <v>#REF!</v>
      </c>
      <c r="M59" s="4" t="e">
        <f t="shared" si="5"/>
        <v>#REF!</v>
      </c>
      <c r="N59" s="4" t="e">
        <f t="shared" si="17"/>
        <v>#REF!</v>
      </c>
      <c r="O59" s="4" t="e">
        <f t="shared" si="6"/>
        <v>#REF!</v>
      </c>
      <c r="P59" s="4" t="e">
        <f t="shared" si="17"/>
        <v>#REF!</v>
      </c>
      <c r="Q59" s="4" t="e">
        <f t="shared" si="7"/>
        <v>#REF!</v>
      </c>
      <c r="R59" s="4" t="e">
        <f t="shared" si="17"/>
        <v>#REF!</v>
      </c>
      <c r="S59" s="4" t="e">
        <f t="shared" si="8"/>
        <v>#REF!</v>
      </c>
      <c r="T59" s="4" t="e">
        <f t="shared" si="17"/>
        <v>#REF!</v>
      </c>
      <c r="U59" s="4" t="e">
        <f t="shared" si="9"/>
        <v>#REF!</v>
      </c>
      <c r="V59" s="4" t="e">
        <f t="shared" si="17"/>
        <v>#REF!</v>
      </c>
      <c r="W59" s="4" t="e">
        <f t="shared" si="10"/>
        <v>#REF!</v>
      </c>
    </row>
    <row r="60" spans="1:23" outlineLevel="1">
      <c r="A60">
        <v>54</v>
      </c>
      <c r="B60">
        <f>IFERROR(GETPIVOTDATA("Age_Calc",'Inputs &amp; Calcs'!#REF!,"Age_Calc",Q_Forecast5[[#This Row],[Age]]),0)</f>
        <v>0</v>
      </c>
      <c r="C60" t="e">
        <f>IF(VLOOKUP(Q_Forecast5[[#This Row],[Age]],#REF!,MATCH(DTU_RR,#REF!,0),FALSE)&gt;1,1,VLOOKUP(Q_Forecast5[[#This Row],[Age]],#REF!,MATCH(DTU_RR,#REF!,0),FALSE))</f>
        <v>#REF!</v>
      </c>
      <c r="D60" s="4" t="e">
        <f t="shared" si="1"/>
        <v>#REF!</v>
      </c>
      <c r="E60" s="4" t="e">
        <f t="shared" si="12"/>
        <v>#REF!</v>
      </c>
      <c r="F60" s="4" t="e">
        <f t="shared" si="18"/>
        <v>#REF!</v>
      </c>
      <c r="G60" s="4" t="e">
        <f t="shared" si="11"/>
        <v>#REF!</v>
      </c>
      <c r="H60" s="4" t="e">
        <f t="shared" si="17"/>
        <v>#REF!</v>
      </c>
      <c r="I60" s="4" t="e">
        <f t="shared" si="3"/>
        <v>#REF!</v>
      </c>
      <c r="J60" s="4" t="e">
        <f t="shared" si="17"/>
        <v>#REF!</v>
      </c>
      <c r="K60" s="4" t="e">
        <f t="shared" si="4"/>
        <v>#REF!</v>
      </c>
      <c r="L60" s="4" t="e">
        <f t="shared" si="17"/>
        <v>#REF!</v>
      </c>
      <c r="M60" s="4" t="e">
        <f t="shared" si="5"/>
        <v>#REF!</v>
      </c>
      <c r="N60" s="4" t="e">
        <f t="shared" si="17"/>
        <v>#REF!</v>
      </c>
      <c r="O60" s="4" t="e">
        <f t="shared" si="6"/>
        <v>#REF!</v>
      </c>
      <c r="P60" s="4" t="e">
        <f t="shared" si="17"/>
        <v>#REF!</v>
      </c>
      <c r="Q60" s="4" t="e">
        <f t="shared" si="7"/>
        <v>#REF!</v>
      </c>
      <c r="R60" s="4" t="e">
        <f t="shared" si="17"/>
        <v>#REF!</v>
      </c>
      <c r="S60" s="4" t="e">
        <f t="shared" si="8"/>
        <v>#REF!</v>
      </c>
      <c r="T60" s="4" t="e">
        <f t="shared" si="17"/>
        <v>#REF!</v>
      </c>
      <c r="U60" s="4" t="e">
        <f t="shared" si="9"/>
        <v>#REF!</v>
      </c>
      <c r="V60" s="4" t="e">
        <f t="shared" si="17"/>
        <v>#REF!</v>
      </c>
      <c r="W60" s="4" t="e">
        <f t="shared" si="10"/>
        <v>#REF!</v>
      </c>
    </row>
    <row r="61" spans="1:23" outlineLevel="1">
      <c r="A61">
        <v>55</v>
      </c>
      <c r="B61">
        <f>IFERROR(GETPIVOTDATA("Age_Calc",'Inputs &amp; Calcs'!#REF!,"Age_Calc",Q_Forecast5[[#This Row],[Age]]),0)</f>
        <v>0</v>
      </c>
      <c r="C61" t="e">
        <f>IF(VLOOKUP(Q_Forecast5[[#This Row],[Age]],#REF!,MATCH(DTU_RR,#REF!,0),FALSE)&gt;1,1,VLOOKUP(Q_Forecast5[[#This Row],[Age]],#REF!,MATCH(DTU_RR,#REF!,0),FALSE))</f>
        <v>#REF!</v>
      </c>
      <c r="D61" s="4" t="e">
        <f t="shared" si="1"/>
        <v>#REF!</v>
      </c>
      <c r="E61" s="4" t="e">
        <f t="shared" si="12"/>
        <v>#REF!</v>
      </c>
      <c r="F61" s="4" t="e">
        <f t="shared" si="18"/>
        <v>#REF!</v>
      </c>
      <c r="G61" s="4" t="e">
        <f t="shared" si="11"/>
        <v>#REF!</v>
      </c>
      <c r="H61" s="4" t="e">
        <f t="shared" si="17"/>
        <v>#REF!</v>
      </c>
      <c r="I61" s="4" t="e">
        <f t="shared" si="3"/>
        <v>#REF!</v>
      </c>
      <c r="J61" s="4" t="e">
        <f t="shared" si="17"/>
        <v>#REF!</v>
      </c>
      <c r="K61" s="4" t="e">
        <f t="shared" si="4"/>
        <v>#REF!</v>
      </c>
      <c r="L61" s="4" t="e">
        <f t="shared" si="17"/>
        <v>#REF!</v>
      </c>
      <c r="M61" s="4" t="e">
        <f t="shared" si="5"/>
        <v>#REF!</v>
      </c>
      <c r="N61" s="4" t="e">
        <f t="shared" si="17"/>
        <v>#REF!</v>
      </c>
      <c r="O61" s="4" t="e">
        <f t="shared" si="6"/>
        <v>#REF!</v>
      </c>
      <c r="P61" s="4" t="e">
        <f t="shared" si="17"/>
        <v>#REF!</v>
      </c>
      <c r="Q61" s="4" t="e">
        <f t="shared" si="7"/>
        <v>#REF!</v>
      </c>
      <c r="R61" s="4" t="e">
        <f t="shared" si="17"/>
        <v>#REF!</v>
      </c>
      <c r="S61" s="4" t="e">
        <f t="shared" si="8"/>
        <v>#REF!</v>
      </c>
      <c r="T61" s="4" t="e">
        <f t="shared" si="17"/>
        <v>#REF!</v>
      </c>
      <c r="U61" s="4" t="e">
        <f t="shared" si="9"/>
        <v>#REF!</v>
      </c>
      <c r="V61" s="4" t="e">
        <f t="shared" si="17"/>
        <v>#REF!</v>
      </c>
      <c r="W61" s="4" t="e">
        <f t="shared" si="10"/>
        <v>#REF!</v>
      </c>
    </row>
    <row r="62" spans="1:23" outlineLevel="1">
      <c r="A62">
        <v>56</v>
      </c>
      <c r="B62">
        <f>IFERROR(GETPIVOTDATA("Age_Calc",'Inputs &amp; Calcs'!#REF!,"Age_Calc",Q_Forecast5[[#This Row],[Age]]),0)</f>
        <v>0</v>
      </c>
      <c r="C62" t="e">
        <f>IF(VLOOKUP(Q_Forecast5[[#This Row],[Age]],#REF!,MATCH(DTU_RR,#REF!,0),FALSE)&gt;1,1,VLOOKUP(Q_Forecast5[[#This Row],[Age]],#REF!,MATCH(DTU_RR,#REF!,0),FALSE))</f>
        <v>#REF!</v>
      </c>
      <c r="D62" s="4" t="e">
        <f t="shared" si="1"/>
        <v>#REF!</v>
      </c>
      <c r="E62" s="4" t="e">
        <f t="shared" si="12"/>
        <v>#REF!</v>
      </c>
      <c r="F62" s="4" t="e">
        <f t="shared" si="18"/>
        <v>#REF!</v>
      </c>
      <c r="G62" s="4" t="e">
        <f t="shared" si="11"/>
        <v>#REF!</v>
      </c>
      <c r="H62" s="4" t="e">
        <f t="shared" si="17"/>
        <v>#REF!</v>
      </c>
      <c r="I62" s="4" t="e">
        <f t="shared" si="3"/>
        <v>#REF!</v>
      </c>
      <c r="J62" s="4" t="e">
        <f t="shared" si="17"/>
        <v>#REF!</v>
      </c>
      <c r="K62" s="4" t="e">
        <f t="shared" si="4"/>
        <v>#REF!</v>
      </c>
      <c r="L62" s="4" t="e">
        <f t="shared" si="17"/>
        <v>#REF!</v>
      </c>
      <c r="M62" s="4" t="e">
        <f t="shared" si="5"/>
        <v>#REF!</v>
      </c>
      <c r="N62" s="4" t="e">
        <f t="shared" si="17"/>
        <v>#REF!</v>
      </c>
      <c r="O62" s="4" t="e">
        <f t="shared" si="6"/>
        <v>#REF!</v>
      </c>
      <c r="P62" s="4" t="e">
        <f t="shared" si="17"/>
        <v>#REF!</v>
      </c>
      <c r="Q62" s="4" t="e">
        <f t="shared" si="7"/>
        <v>#REF!</v>
      </c>
      <c r="R62" s="4" t="e">
        <f t="shared" si="17"/>
        <v>#REF!</v>
      </c>
      <c r="S62" s="4" t="e">
        <f t="shared" si="8"/>
        <v>#REF!</v>
      </c>
      <c r="T62" s="4" t="e">
        <f t="shared" si="17"/>
        <v>#REF!</v>
      </c>
      <c r="U62" s="4" t="e">
        <f t="shared" si="9"/>
        <v>#REF!</v>
      </c>
      <c r="V62" s="4" t="e">
        <f t="shared" si="17"/>
        <v>#REF!</v>
      </c>
      <c r="W62" s="4" t="e">
        <f t="shared" si="10"/>
        <v>#REF!</v>
      </c>
    </row>
    <row r="63" spans="1:23" outlineLevel="1">
      <c r="A63">
        <v>57</v>
      </c>
      <c r="B63">
        <f>IFERROR(GETPIVOTDATA("Age_Calc",'Inputs &amp; Calcs'!#REF!,"Age_Calc",Q_Forecast5[[#This Row],[Age]]),0)</f>
        <v>0</v>
      </c>
      <c r="C63" t="e">
        <f>IF(VLOOKUP(Q_Forecast5[[#This Row],[Age]],#REF!,MATCH(DTU_RR,#REF!,0),FALSE)&gt;1,1,VLOOKUP(Q_Forecast5[[#This Row],[Age]],#REF!,MATCH(DTU_RR,#REF!,0),FALSE))</f>
        <v>#REF!</v>
      </c>
      <c r="D63" s="4" t="e">
        <f t="shared" si="1"/>
        <v>#REF!</v>
      </c>
      <c r="E63" s="4" t="e">
        <f t="shared" si="12"/>
        <v>#REF!</v>
      </c>
      <c r="F63" s="4" t="e">
        <f t="shared" si="18"/>
        <v>#REF!</v>
      </c>
      <c r="G63" s="4" t="e">
        <f t="shared" si="11"/>
        <v>#REF!</v>
      </c>
      <c r="H63" s="4" t="e">
        <f t="shared" si="17"/>
        <v>#REF!</v>
      </c>
      <c r="I63" s="4" t="e">
        <f t="shared" si="3"/>
        <v>#REF!</v>
      </c>
      <c r="J63" s="4" t="e">
        <f t="shared" si="17"/>
        <v>#REF!</v>
      </c>
      <c r="K63" s="4" t="e">
        <f t="shared" si="4"/>
        <v>#REF!</v>
      </c>
      <c r="L63" s="4" t="e">
        <f t="shared" si="17"/>
        <v>#REF!</v>
      </c>
      <c r="M63" s="4" t="e">
        <f t="shared" si="5"/>
        <v>#REF!</v>
      </c>
      <c r="N63" s="4" t="e">
        <f t="shared" si="17"/>
        <v>#REF!</v>
      </c>
      <c r="O63" s="4" t="e">
        <f t="shared" si="6"/>
        <v>#REF!</v>
      </c>
      <c r="P63" s="4" t="e">
        <f t="shared" si="17"/>
        <v>#REF!</v>
      </c>
      <c r="Q63" s="4" t="e">
        <f t="shared" si="7"/>
        <v>#REF!</v>
      </c>
      <c r="R63" s="4" t="e">
        <f t="shared" si="17"/>
        <v>#REF!</v>
      </c>
      <c r="S63" s="4" t="e">
        <f t="shared" si="8"/>
        <v>#REF!</v>
      </c>
      <c r="T63" s="4" t="e">
        <f t="shared" si="17"/>
        <v>#REF!</v>
      </c>
      <c r="U63" s="4" t="e">
        <f t="shared" si="9"/>
        <v>#REF!</v>
      </c>
      <c r="V63" s="4" t="e">
        <f t="shared" si="17"/>
        <v>#REF!</v>
      </c>
      <c r="W63" s="4" t="e">
        <f t="shared" si="10"/>
        <v>#REF!</v>
      </c>
    </row>
    <row r="64" spans="1:23" outlineLevel="1">
      <c r="A64">
        <v>58</v>
      </c>
      <c r="B64">
        <f>IFERROR(GETPIVOTDATA("Age_Calc",'Inputs &amp; Calcs'!#REF!,"Age_Calc",Q_Forecast5[[#This Row],[Age]]),0)</f>
        <v>0</v>
      </c>
      <c r="C64" t="e">
        <f>IF(VLOOKUP(Q_Forecast5[[#This Row],[Age]],#REF!,MATCH(DTU_RR,#REF!,0),FALSE)&gt;1,1,VLOOKUP(Q_Forecast5[[#This Row],[Age]],#REF!,MATCH(DTU_RR,#REF!,0),FALSE))</f>
        <v>#REF!</v>
      </c>
      <c r="D64" s="4" t="e">
        <f t="shared" si="1"/>
        <v>#REF!</v>
      </c>
      <c r="E64" s="4" t="e">
        <f t="shared" si="12"/>
        <v>#REF!</v>
      </c>
      <c r="F64" s="4" t="e">
        <f t="shared" si="18"/>
        <v>#REF!</v>
      </c>
      <c r="G64" s="4" t="e">
        <f t="shared" si="11"/>
        <v>#REF!</v>
      </c>
      <c r="H64" s="4" t="e">
        <f t="shared" si="17"/>
        <v>#REF!</v>
      </c>
      <c r="I64" s="4" t="e">
        <f t="shared" si="3"/>
        <v>#REF!</v>
      </c>
      <c r="J64" s="4" t="e">
        <f t="shared" si="17"/>
        <v>#REF!</v>
      </c>
      <c r="K64" s="4" t="e">
        <f t="shared" si="4"/>
        <v>#REF!</v>
      </c>
      <c r="L64" s="4" t="e">
        <f t="shared" si="17"/>
        <v>#REF!</v>
      </c>
      <c r="M64" s="4" t="e">
        <f t="shared" si="5"/>
        <v>#REF!</v>
      </c>
      <c r="N64" s="4" t="e">
        <f t="shared" si="17"/>
        <v>#REF!</v>
      </c>
      <c r="O64" s="4" t="e">
        <f t="shared" si="6"/>
        <v>#REF!</v>
      </c>
      <c r="P64" s="4" t="e">
        <f t="shared" si="17"/>
        <v>#REF!</v>
      </c>
      <c r="Q64" s="4" t="e">
        <f t="shared" si="7"/>
        <v>#REF!</v>
      </c>
      <c r="R64" s="4" t="e">
        <f t="shared" si="17"/>
        <v>#REF!</v>
      </c>
      <c r="S64" s="4" t="e">
        <f t="shared" si="8"/>
        <v>#REF!</v>
      </c>
      <c r="T64" s="4" t="e">
        <f t="shared" si="17"/>
        <v>#REF!</v>
      </c>
      <c r="U64" s="4" t="e">
        <f t="shared" si="9"/>
        <v>#REF!</v>
      </c>
      <c r="V64" s="4" t="e">
        <f t="shared" si="17"/>
        <v>#REF!</v>
      </c>
      <c r="W64" s="4" t="e">
        <f t="shared" si="10"/>
        <v>#REF!</v>
      </c>
    </row>
    <row r="65" spans="1:23" outlineLevel="1">
      <c r="A65">
        <v>59</v>
      </c>
      <c r="B65">
        <f>IFERROR(GETPIVOTDATA("Age_Calc",'Inputs &amp; Calcs'!#REF!,"Age_Calc",Q_Forecast5[[#This Row],[Age]]),0)</f>
        <v>0</v>
      </c>
      <c r="C65" t="e">
        <f>IF(VLOOKUP(Q_Forecast5[[#This Row],[Age]],#REF!,MATCH(DTU_RR,#REF!,0),FALSE)&gt;1,1,VLOOKUP(Q_Forecast5[[#This Row],[Age]],#REF!,MATCH(DTU_RR,#REF!,0),FALSE))</f>
        <v>#REF!</v>
      </c>
      <c r="D65" s="4" t="e">
        <f t="shared" si="1"/>
        <v>#REF!</v>
      </c>
      <c r="E65" s="4" t="e">
        <f t="shared" si="12"/>
        <v>#REF!</v>
      </c>
      <c r="F65" s="4" t="e">
        <f t="shared" si="18"/>
        <v>#REF!</v>
      </c>
      <c r="G65" s="4" t="e">
        <f t="shared" si="11"/>
        <v>#REF!</v>
      </c>
      <c r="H65" s="4" t="e">
        <f t="shared" si="17"/>
        <v>#REF!</v>
      </c>
      <c r="I65" s="4" t="e">
        <f t="shared" si="3"/>
        <v>#REF!</v>
      </c>
      <c r="J65" s="4" t="e">
        <f t="shared" si="17"/>
        <v>#REF!</v>
      </c>
      <c r="K65" s="4" t="e">
        <f t="shared" si="4"/>
        <v>#REF!</v>
      </c>
      <c r="L65" s="4" t="e">
        <f t="shared" si="17"/>
        <v>#REF!</v>
      </c>
      <c r="M65" s="4" t="e">
        <f t="shared" si="5"/>
        <v>#REF!</v>
      </c>
      <c r="N65" s="4" t="e">
        <f t="shared" si="17"/>
        <v>#REF!</v>
      </c>
      <c r="O65" s="4" t="e">
        <f t="shared" si="6"/>
        <v>#REF!</v>
      </c>
      <c r="P65" s="4" t="e">
        <f t="shared" si="17"/>
        <v>#REF!</v>
      </c>
      <c r="Q65" s="4" t="e">
        <f t="shared" si="7"/>
        <v>#REF!</v>
      </c>
      <c r="R65" s="4" t="e">
        <f t="shared" si="17"/>
        <v>#REF!</v>
      </c>
      <c r="S65" s="4" t="e">
        <f t="shared" si="8"/>
        <v>#REF!</v>
      </c>
      <c r="T65" s="4" t="e">
        <f t="shared" si="17"/>
        <v>#REF!</v>
      </c>
      <c r="U65" s="4" t="e">
        <f t="shared" si="9"/>
        <v>#REF!</v>
      </c>
      <c r="V65" s="4" t="e">
        <f t="shared" si="17"/>
        <v>#REF!</v>
      </c>
      <c r="W65" s="4" t="e">
        <f t="shared" si="10"/>
        <v>#REF!</v>
      </c>
    </row>
    <row r="66" spans="1:23" outlineLevel="1">
      <c r="A66">
        <v>60</v>
      </c>
      <c r="B66">
        <f>IFERROR(GETPIVOTDATA("Age_Calc",'Inputs &amp; Calcs'!#REF!,"Age_Calc",Q_Forecast5[[#This Row],[Age]]),0)</f>
        <v>0</v>
      </c>
      <c r="C66" t="e">
        <f>IF(VLOOKUP(Q_Forecast5[[#This Row],[Age]],#REF!,MATCH(DTU_RR,#REF!,0),FALSE)&gt;1,1,VLOOKUP(Q_Forecast5[[#This Row],[Age]],#REF!,MATCH(DTU_RR,#REF!,0),FALSE))</f>
        <v>#REF!</v>
      </c>
      <c r="D66" s="4" t="e">
        <f t="shared" si="1"/>
        <v>#REF!</v>
      </c>
      <c r="E66" s="4" t="e">
        <f t="shared" si="12"/>
        <v>#REF!</v>
      </c>
      <c r="F66" s="4" t="e">
        <f t="shared" si="18"/>
        <v>#REF!</v>
      </c>
      <c r="G66" s="4" t="e">
        <f t="shared" si="11"/>
        <v>#REF!</v>
      </c>
      <c r="H66" s="4" t="e">
        <f t="shared" si="17"/>
        <v>#REF!</v>
      </c>
      <c r="I66" s="4" t="e">
        <f t="shared" si="3"/>
        <v>#REF!</v>
      </c>
      <c r="J66" s="4" t="e">
        <f t="shared" si="17"/>
        <v>#REF!</v>
      </c>
      <c r="K66" s="4" t="e">
        <f t="shared" si="4"/>
        <v>#REF!</v>
      </c>
      <c r="L66" s="4" t="e">
        <f t="shared" si="17"/>
        <v>#REF!</v>
      </c>
      <c r="M66" s="4" t="e">
        <f t="shared" si="5"/>
        <v>#REF!</v>
      </c>
      <c r="N66" s="4" t="e">
        <f t="shared" si="17"/>
        <v>#REF!</v>
      </c>
      <c r="O66" s="4" t="e">
        <f t="shared" si="6"/>
        <v>#REF!</v>
      </c>
      <c r="P66" s="4" t="e">
        <f t="shared" si="17"/>
        <v>#REF!</v>
      </c>
      <c r="Q66" s="4" t="e">
        <f t="shared" si="7"/>
        <v>#REF!</v>
      </c>
      <c r="R66" s="4" t="e">
        <f t="shared" si="17"/>
        <v>#REF!</v>
      </c>
      <c r="S66" s="4" t="e">
        <f t="shared" si="8"/>
        <v>#REF!</v>
      </c>
      <c r="T66" s="4" t="e">
        <f t="shared" si="17"/>
        <v>#REF!</v>
      </c>
      <c r="U66" s="4" t="e">
        <f t="shared" si="9"/>
        <v>#REF!</v>
      </c>
      <c r="V66" s="4" t="e">
        <f t="shared" si="17"/>
        <v>#REF!</v>
      </c>
      <c r="W66" s="4" t="e">
        <f t="shared" si="10"/>
        <v>#REF!</v>
      </c>
    </row>
    <row r="67" spans="1:23" outlineLevel="1">
      <c r="A67">
        <v>61</v>
      </c>
      <c r="B67">
        <f>IFERROR(GETPIVOTDATA("Age_Calc",'Inputs &amp; Calcs'!#REF!,"Age_Calc",Q_Forecast5[[#This Row],[Age]]),0)</f>
        <v>0</v>
      </c>
      <c r="C67" t="e">
        <f>IF(VLOOKUP(Q_Forecast5[[#This Row],[Age]],#REF!,MATCH(DTU_RR,#REF!,0),FALSE)&gt;1,1,VLOOKUP(Q_Forecast5[[#This Row],[Age]],#REF!,MATCH(DTU_RR,#REF!,0),FALSE))</f>
        <v>#REF!</v>
      </c>
      <c r="D67" s="4" t="e">
        <f t="shared" si="1"/>
        <v>#REF!</v>
      </c>
      <c r="E67" s="4" t="e">
        <f t="shared" si="12"/>
        <v>#REF!</v>
      </c>
      <c r="F67" s="4" t="e">
        <f t="shared" si="18"/>
        <v>#REF!</v>
      </c>
      <c r="G67" s="4" t="e">
        <f t="shared" si="11"/>
        <v>#REF!</v>
      </c>
      <c r="H67" s="4" t="e">
        <f t="shared" si="17"/>
        <v>#REF!</v>
      </c>
      <c r="I67" s="4" t="e">
        <f t="shared" si="3"/>
        <v>#REF!</v>
      </c>
      <c r="J67" s="4" t="e">
        <f t="shared" si="17"/>
        <v>#REF!</v>
      </c>
      <c r="K67" s="4" t="e">
        <f t="shared" si="4"/>
        <v>#REF!</v>
      </c>
      <c r="L67" s="4" t="e">
        <f t="shared" si="17"/>
        <v>#REF!</v>
      </c>
      <c r="M67" s="4" t="e">
        <f t="shared" si="5"/>
        <v>#REF!</v>
      </c>
      <c r="N67" s="4" t="e">
        <f t="shared" si="17"/>
        <v>#REF!</v>
      </c>
      <c r="O67" s="4" t="e">
        <f t="shared" si="6"/>
        <v>#REF!</v>
      </c>
      <c r="P67" s="4" t="e">
        <f t="shared" si="17"/>
        <v>#REF!</v>
      </c>
      <c r="Q67" s="4" t="e">
        <f t="shared" si="7"/>
        <v>#REF!</v>
      </c>
      <c r="R67" s="4" t="e">
        <f t="shared" si="17"/>
        <v>#REF!</v>
      </c>
      <c r="S67" s="4" t="e">
        <f t="shared" si="8"/>
        <v>#REF!</v>
      </c>
      <c r="T67" s="4" t="e">
        <f t="shared" si="17"/>
        <v>#REF!</v>
      </c>
      <c r="U67" s="4" t="e">
        <f t="shared" si="9"/>
        <v>#REF!</v>
      </c>
      <c r="V67" s="4" t="e">
        <f t="shared" si="17"/>
        <v>#REF!</v>
      </c>
      <c r="W67" s="4" t="e">
        <f t="shared" si="10"/>
        <v>#REF!</v>
      </c>
    </row>
    <row r="68" spans="1:23" outlineLevel="1">
      <c r="A68">
        <v>62</v>
      </c>
      <c r="B68">
        <f>IFERROR(GETPIVOTDATA("Age_Calc",'Inputs &amp; Calcs'!#REF!,"Age_Calc",Q_Forecast5[[#This Row],[Age]]),0)</f>
        <v>0</v>
      </c>
      <c r="C68" t="e">
        <f>IF(VLOOKUP(Q_Forecast5[[#This Row],[Age]],#REF!,MATCH(DTU_RR,#REF!,0),FALSE)&gt;1,1,VLOOKUP(Q_Forecast5[[#This Row],[Age]],#REF!,MATCH(DTU_RR,#REF!,0),FALSE))</f>
        <v>#REF!</v>
      </c>
      <c r="D68" s="4" t="e">
        <f t="shared" si="1"/>
        <v>#REF!</v>
      </c>
      <c r="E68" s="4" t="e">
        <f t="shared" si="12"/>
        <v>#REF!</v>
      </c>
      <c r="F68" s="4" t="e">
        <f t="shared" si="18"/>
        <v>#REF!</v>
      </c>
      <c r="G68" s="4" t="e">
        <f t="shared" si="11"/>
        <v>#REF!</v>
      </c>
      <c r="H68" s="4" t="e">
        <f t="shared" si="17"/>
        <v>#REF!</v>
      </c>
      <c r="I68" s="4" t="e">
        <f t="shared" si="3"/>
        <v>#REF!</v>
      </c>
      <c r="J68" s="4" t="e">
        <f t="shared" si="17"/>
        <v>#REF!</v>
      </c>
      <c r="K68" s="4" t="e">
        <f t="shared" si="4"/>
        <v>#REF!</v>
      </c>
      <c r="L68" s="4" t="e">
        <f t="shared" si="17"/>
        <v>#REF!</v>
      </c>
      <c r="M68" s="4" t="e">
        <f t="shared" si="5"/>
        <v>#REF!</v>
      </c>
      <c r="N68" s="4" t="e">
        <f t="shared" si="17"/>
        <v>#REF!</v>
      </c>
      <c r="O68" s="4" t="e">
        <f t="shared" si="6"/>
        <v>#REF!</v>
      </c>
      <c r="P68" s="4" t="e">
        <f t="shared" si="17"/>
        <v>#REF!</v>
      </c>
      <c r="Q68" s="4" t="e">
        <f t="shared" si="7"/>
        <v>#REF!</v>
      </c>
      <c r="R68" s="4" t="e">
        <f t="shared" si="17"/>
        <v>#REF!</v>
      </c>
      <c r="S68" s="4" t="e">
        <f t="shared" si="8"/>
        <v>#REF!</v>
      </c>
      <c r="T68" s="4" t="e">
        <f t="shared" si="17"/>
        <v>#REF!</v>
      </c>
      <c r="U68" s="4" t="e">
        <f t="shared" si="9"/>
        <v>#REF!</v>
      </c>
      <c r="V68" s="4" t="e">
        <f t="shared" si="17"/>
        <v>#REF!</v>
      </c>
      <c r="W68" s="4" t="e">
        <f t="shared" si="10"/>
        <v>#REF!</v>
      </c>
    </row>
    <row r="69" spans="1:23" outlineLevel="1">
      <c r="A69">
        <v>63</v>
      </c>
      <c r="B69">
        <f>IFERROR(GETPIVOTDATA("Age_Calc",'Inputs &amp; Calcs'!#REF!,"Age_Calc",Q_Forecast5[[#This Row],[Age]]),0)</f>
        <v>0</v>
      </c>
      <c r="C69" t="e">
        <f>IF(VLOOKUP(Q_Forecast5[[#This Row],[Age]],#REF!,MATCH(DTU_RR,#REF!,0),FALSE)&gt;1,1,VLOOKUP(Q_Forecast5[[#This Row],[Age]],#REF!,MATCH(DTU_RR,#REF!,0),FALSE))</f>
        <v>#REF!</v>
      </c>
      <c r="D69" s="4" t="e">
        <f t="shared" si="1"/>
        <v>#REF!</v>
      </c>
      <c r="E69" s="4" t="e">
        <f t="shared" si="12"/>
        <v>#REF!</v>
      </c>
      <c r="F69" s="4" t="e">
        <f t="shared" si="18"/>
        <v>#REF!</v>
      </c>
      <c r="G69" s="4" t="e">
        <f t="shared" si="11"/>
        <v>#REF!</v>
      </c>
      <c r="H69" s="4" t="e">
        <f t="shared" si="17"/>
        <v>#REF!</v>
      </c>
      <c r="I69" s="4" t="e">
        <f t="shared" si="3"/>
        <v>#REF!</v>
      </c>
      <c r="J69" s="4" t="e">
        <f t="shared" si="17"/>
        <v>#REF!</v>
      </c>
      <c r="K69" s="4" t="e">
        <f t="shared" si="4"/>
        <v>#REF!</v>
      </c>
      <c r="L69" s="4" t="e">
        <f t="shared" si="17"/>
        <v>#REF!</v>
      </c>
      <c r="M69" s="4" t="e">
        <f t="shared" si="5"/>
        <v>#REF!</v>
      </c>
      <c r="N69" s="4" t="e">
        <f t="shared" si="17"/>
        <v>#REF!</v>
      </c>
      <c r="O69" s="4" t="e">
        <f t="shared" si="6"/>
        <v>#REF!</v>
      </c>
      <c r="P69" s="4" t="e">
        <f t="shared" si="17"/>
        <v>#REF!</v>
      </c>
      <c r="Q69" s="4" t="e">
        <f t="shared" si="7"/>
        <v>#REF!</v>
      </c>
      <c r="R69" s="4" t="e">
        <f t="shared" si="17"/>
        <v>#REF!</v>
      </c>
      <c r="S69" s="4" t="e">
        <f t="shared" si="8"/>
        <v>#REF!</v>
      </c>
      <c r="T69" s="4" t="e">
        <f t="shared" si="17"/>
        <v>#REF!</v>
      </c>
      <c r="U69" s="4" t="e">
        <f t="shared" si="9"/>
        <v>#REF!</v>
      </c>
      <c r="V69" s="4" t="e">
        <f t="shared" si="17"/>
        <v>#REF!</v>
      </c>
      <c r="W69" s="4" t="e">
        <f t="shared" si="10"/>
        <v>#REF!</v>
      </c>
    </row>
    <row r="70" spans="1:23" outlineLevel="1">
      <c r="A70">
        <v>64</v>
      </c>
      <c r="B70">
        <f>IFERROR(GETPIVOTDATA("Age_Calc",'Inputs &amp; Calcs'!#REF!,"Age_Calc",Q_Forecast5[[#This Row],[Age]]),0)</f>
        <v>0</v>
      </c>
      <c r="C70" t="e">
        <f>IF(VLOOKUP(Q_Forecast5[[#This Row],[Age]],#REF!,MATCH(DTU_RR,#REF!,0),FALSE)&gt;1,1,VLOOKUP(Q_Forecast5[[#This Row],[Age]],#REF!,MATCH(DTU_RR,#REF!,0),FALSE))</f>
        <v>#REF!</v>
      </c>
      <c r="D70" s="4" t="e">
        <f t="shared" si="1"/>
        <v>#REF!</v>
      </c>
      <c r="E70" s="4" t="e">
        <f t="shared" si="12"/>
        <v>#REF!</v>
      </c>
      <c r="F70" s="4" t="e">
        <f t="shared" si="18"/>
        <v>#REF!</v>
      </c>
      <c r="G70" s="4" t="e">
        <f t="shared" si="11"/>
        <v>#REF!</v>
      </c>
      <c r="H70" s="4" t="e">
        <f t="shared" ref="H70:V85" si="19">G70*$C70</f>
        <v>#REF!</v>
      </c>
      <c r="I70" s="4" t="e">
        <f t="shared" si="3"/>
        <v>#REF!</v>
      </c>
      <c r="J70" s="4" t="e">
        <f t="shared" si="19"/>
        <v>#REF!</v>
      </c>
      <c r="K70" s="4" t="e">
        <f t="shared" si="4"/>
        <v>#REF!</v>
      </c>
      <c r="L70" s="4" t="e">
        <f t="shared" si="19"/>
        <v>#REF!</v>
      </c>
      <c r="M70" s="4" t="e">
        <f t="shared" si="5"/>
        <v>#REF!</v>
      </c>
      <c r="N70" s="4" t="e">
        <f t="shared" si="19"/>
        <v>#REF!</v>
      </c>
      <c r="O70" s="4" t="e">
        <f t="shared" si="6"/>
        <v>#REF!</v>
      </c>
      <c r="P70" s="4" t="e">
        <f t="shared" si="19"/>
        <v>#REF!</v>
      </c>
      <c r="Q70" s="4" t="e">
        <f t="shared" si="7"/>
        <v>#REF!</v>
      </c>
      <c r="R70" s="4" t="e">
        <f t="shared" si="19"/>
        <v>#REF!</v>
      </c>
      <c r="S70" s="4" t="e">
        <f t="shared" si="8"/>
        <v>#REF!</v>
      </c>
      <c r="T70" s="4" t="e">
        <f t="shared" si="19"/>
        <v>#REF!</v>
      </c>
      <c r="U70" s="4" t="e">
        <f t="shared" si="9"/>
        <v>#REF!</v>
      </c>
      <c r="V70" s="4" t="e">
        <f t="shared" si="19"/>
        <v>#REF!</v>
      </c>
      <c r="W70" s="4" t="e">
        <f t="shared" si="10"/>
        <v>#REF!</v>
      </c>
    </row>
    <row r="71" spans="1:23" outlineLevel="1">
      <c r="A71">
        <v>65</v>
      </c>
      <c r="B71">
        <f>IFERROR(GETPIVOTDATA("Age_Calc",'Inputs &amp; Calcs'!#REF!,"Age_Calc",Q_Forecast5[[#This Row],[Age]]),0)</f>
        <v>0</v>
      </c>
      <c r="C71" t="e">
        <f>IF(VLOOKUP(Q_Forecast5[[#This Row],[Age]],#REF!,MATCH(DTU_RR,#REF!,0),FALSE)&gt;1,1,VLOOKUP(Q_Forecast5[[#This Row],[Age]],#REF!,MATCH(DTU_RR,#REF!,0),FALSE))</f>
        <v>#REF!</v>
      </c>
      <c r="D71" s="4" t="e">
        <f t="shared" ref="D71:D97" si="20">B71*$C71</f>
        <v>#REF!</v>
      </c>
      <c r="E71" s="4" t="e">
        <f t="shared" si="12"/>
        <v>#REF!</v>
      </c>
      <c r="F71" s="4" t="e">
        <f t="shared" ref="F71:F86" si="21">E71*$C71</f>
        <v>#REF!</v>
      </c>
      <c r="G71" s="4" t="e">
        <f t="shared" si="11"/>
        <v>#REF!</v>
      </c>
      <c r="H71" s="4" t="e">
        <f t="shared" si="19"/>
        <v>#REF!</v>
      </c>
      <c r="I71" s="4" t="e">
        <f t="shared" ref="I71:I97" si="22">G70-H70</f>
        <v>#REF!</v>
      </c>
      <c r="J71" s="4" t="e">
        <f t="shared" si="19"/>
        <v>#REF!</v>
      </c>
      <c r="K71" s="4" t="e">
        <f t="shared" ref="K71:K97" si="23">I70-J70</f>
        <v>#REF!</v>
      </c>
      <c r="L71" s="4" t="e">
        <f t="shared" si="19"/>
        <v>#REF!</v>
      </c>
      <c r="M71" s="4" t="e">
        <f t="shared" ref="M71:M97" si="24">K70-L70</f>
        <v>#REF!</v>
      </c>
      <c r="N71" s="4" t="e">
        <f t="shared" si="19"/>
        <v>#REF!</v>
      </c>
      <c r="O71" s="4" t="e">
        <f t="shared" ref="O71:O97" si="25">M70-N70</f>
        <v>#REF!</v>
      </c>
      <c r="P71" s="4" t="e">
        <f t="shared" si="19"/>
        <v>#REF!</v>
      </c>
      <c r="Q71" s="4" t="e">
        <f t="shared" ref="Q71:Q97" si="26">O70-P70</f>
        <v>#REF!</v>
      </c>
      <c r="R71" s="4" t="e">
        <f t="shared" si="19"/>
        <v>#REF!</v>
      </c>
      <c r="S71" s="4" t="e">
        <f t="shared" ref="S71:S97" si="27">Q70-R70</f>
        <v>#REF!</v>
      </c>
      <c r="T71" s="4" t="e">
        <f t="shared" si="19"/>
        <v>#REF!</v>
      </c>
      <c r="U71" s="4" t="e">
        <f t="shared" ref="U71:U97" si="28">S70-T70</f>
        <v>#REF!</v>
      </c>
      <c r="V71" s="4" t="e">
        <f t="shared" si="19"/>
        <v>#REF!</v>
      </c>
      <c r="W71" s="4" t="e">
        <f t="shared" ref="W71:W97" si="29">U70-V70</f>
        <v>#REF!</v>
      </c>
    </row>
    <row r="72" spans="1:23" outlineLevel="1">
      <c r="A72">
        <v>66</v>
      </c>
      <c r="B72">
        <f>IFERROR(GETPIVOTDATA("Age_Calc",'Inputs &amp; Calcs'!#REF!,"Age_Calc",Q_Forecast5[[#This Row],[Age]]),0)</f>
        <v>0</v>
      </c>
      <c r="C72" t="e">
        <f>IF(VLOOKUP(Q_Forecast5[[#This Row],[Age]],#REF!,MATCH(DTU_RR,#REF!,0),FALSE)&gt;1,1,VLOOKUP(Q_Forecast5[[#This Row],[Age]],#REF!,MATCH(DTU_RR,#REF!,0),FALSE))</f>
        <v>#REF!</v>
      </c>
      <c r="D72" s="4" t="e">
        <f t="shared" si="20"/>
        <v>#REF!</v>
      </c>
      <c r="E72" s="4" t="e">
        <f t="shared" si="12"/>
        <v>#REF!</v>
      </c>
      <c r="F72" s="4" t="e">
        <f t="shared" si="21"/>
        <v>#REF!</v>
      </c>
      <c r="G72" s="4" t="e">
        <f t="shared" ref="G72:G97" si="30">E71-F71</f>
        <v>#REF!</v>
      </c>
      <c r="H72" s="4" t="e">
        <f t="shared" si="19"/>
        <v>#REF!</v>
      </c>
      <c r="I72" s="4" t="e">
        <f t="shared" si="22"/>
        <v>#REF!</v>
      </c>
      <c r="J72" s="4" t="e">
        <f t="shared" si="19"/>
        <v>#REF!</v>
      </c>
      <c r="K72" s="4" t="e">
        <f t="shared" si="23"/>
        <v>#REF!</v>
      </c>
      <c r="L72" s="4" t="e">
        <f t="shared" si="19"/>
        <v>#REF!</v>
      </c>
      <c r="M72" s="4" t="e">
        <f t="shared" si="24"/>
        <v>#REF!</v>
      </c>
      <c r="N72" s="4" t="e">
        <f t="shared" si="19"/>
        <v>#REF!</v>
      </c>
      <c r="O72" s="4" t="e">
        <f t="shared" si="25"/>
        <v>#REF!</v>
      </c>
      <c r="P72" s="4" t="e">
        <f t="shared" si="19"/>
        <v>#REF!</v>
      </c>
      <c r="Q72" s="4" t="e">
        <f t="shared" si="26"/>
        <v>#REF!</v>
      </c>
      <c r="R72" s="4" t="e">
        <f t="shared" si="19"/>
        <v>#REF!</v>
      </c>
      <c r="S72" s="4" t="e">
        <f t="shared" si="27"/>
        <v>#REF!</v>
      </c>
      <c r="T72" s="4" t="e">
        <f t="shared" si="19"/>
        <v>#REF!</v>
      </c>
      <c r="U72" s="4" t="e">
        <f t="shared" si="28"/>
        <v>#REF!</v>
      </c>
      <c r="V72" s="4" t="e">
        <f t="shared" si="19"/>
        <v>#REF!</v>
      </c>
      <c r="W72" s="4" t="e">
        <f t="shared" si="29"/>
        <v>#REF!</v>
      </c>
    </row>
    <row r="73" spans="1:23" outlineLevel="1">
      <c r="A73">
        <v>67</v>
      </c>
      <c r="B73">
        <f>IFERROR(GETPIVOTDATA("Age_Calc",'Inputs &amp; Calcs'!#REF!,"Age_Calc",Q_Forecast5[[#This Row],[Age]]),0)</f>
        <v>0</v>
      </c>
      <c r="C73" t="e">
        <f>IF(VLOOKUP(Q_Forecast5[[#This Row],[Age]],#REF!,MATCH(DTU_RR,#REF!,0),FALSE)&gt;1,1,VLOOKUP(Q_Forecast5[[#This Row],[Age]],#REF!,MATCH(DTU_RR,#REF!,0),FALSE))</f>
        <v>#REF!</v>
      </c>
      <c r="D73" s="4" t="e">
        <f t="shared" si="20"/>
        <v>#REF!</v>
      </c>
      <c r="E73" s="4" t="e">
        <f t="shared" si="12"/>
        <v>#REF!</v>
      </c>
      <c r="F73" s="4" t="e">
        <f t="shared" si="21"/>
        <v>#REF!</v>
      </c>
      <c r="G73" s="4" t="e">
        <f t="shared" si="30"/>
        <v>#REF!</v>
      </c>
      <c r="H73" s="4" t="e">
        <f t="shared" si="19"/>
        <v>#REF!</v>
      </c>
      <c r="I73" s="4" t="e">
        <f t="shared" si="22"/>
        <v>#REF!</v>
      </c>
      <c r="J73" s="4" t="e">
        <f t="shared" si="19"/>
        <v>#REF!</v>
      </c>
      <c r="K73" s="4" t="e">
        <f t="shared" si="23"/>
        <v>#REF!</v>
      </c>
      <c r="L73" s="4" t="e">
        <f t="shared" si="19"/>
        <v>#REF!</v>
      </c>
      <c r="M73" s="4" t="e">
        <f t="shared" si="24"/>
        <v>#REF!</v>
      </c>
      <c r="N73" s="4" t="e">
        <f t="shared" si="19"/>
        <v>#REF!</v>
      </c>
      <c r="O73" s="4" t="e">
        <f t="shared" si="25"/>
        <v>#REF!</v>
      </c>
      <c r="P73" s="4" t="e">
        <f t="shared" si="19"/>
        <v>#REF!</v>
      </c>
      <c r="Q73" s="4" t="e">
        <f t="shared" si="26"/>
        <v>#REF!</v>
      </c>
      <c r="R73" s="4" t="e">
        <f t="shared" si="19"/>
        <v>#REF!</v>
      </c>
      <c r="S73" s="4" t="e">
        <f t="shared" si="27"/>
        <v>#REF!</v>
      </c>
      <c r="T73" s="4" t="e">
        <f t="shared" si="19"/>
        <v>#REF!</v>
      </c>
      <c r="U73" s="4" t="e">
        <f t="shared" si="28"/>
        <v>#REF!</v>
      </c>
      <c r="V73" s="4" t="e">
        <f t="shared" si="19"/>
        <v>#REF!</v>
      </c>
      <c r="W73" s="4" t="e">
        <f t="shared" si="29"/>
        <v>#REF!</v>
      </c>
    </row>
    <row r="74" spans="1:23" outlineLevel="1">
      <c r="A74">
        <v>68</v>
      </c>
      <c r="B74">
        <f>IFERROR(GETPIVOTDATA("Age_Calc",'Inputs &amp; Calcs'!#REF!,"Age_Calc",Q_Forecast5[[#This Row],[Age]]),0)</f>
        <v>0</v>
      </c>
      <c r="C74" t="e">
        <f>IF(VLOOKUP(Q_Forecast5[[#This Row],[Age]],#REF!,MATCH(DTU_RR,#REF!,0),FALSE)&gt;1,1,VLOOKUP(Q_Forecast5[[#This Row],[Age]],#REF!,MATCH(DTU_RR,#REF!,0),FALSE))</f>
        <v>#REF!</v>
      </c>
      <c r="D74" s="4" t="e">
        <f t="shared" si="20"/>
        <v>#REF!</v>
      </c>
      <c r="E74" s="4" t="e">
        <f t="shared" ref="E74:E97" si="31">B73-D73</f>
        <v>#REF!</v>
      </c>
      <c r="F74" s="4" t="e">
        <f t="shared" si="21"/>
        <v>#REF!</v>
      </c>
      <c r="G74" s="4" t="e">
        <f t="shared" si="30"/>
        <v>#REF!</v>
      </c>
      <c r="H74" s="4" t="e">
        <f t="shared" si="19"/>
        <v>#REF!</v>
      </c>
      <c r="I74" s="4" t="e">
        <f t="shared" si="22"/>
        <v>#REF!</v>
      </c>
      <c r="J74" s="4" t="e">
        <f t="shared" si="19"/>
        <v>#REF!</v>
      </c>
      <c r="K74" s="4" t="e">
        <f t="shared" si="23"/>
        <v>#REF!</v>
      </c>
      <c r="L74" s="4" t="e">
        <f t="shared" si="19"/>
        <v>#REF!</v>
      </c>
      <c r="M74" s="4" t="e">
        <f t="shared" si="24"/>
        <v>#REF!</v>
      </c>
      <c r="N74" s="4" t="e">
        <f t="shared" si="19"/>
        <v>#REF!</v>
      </c>
      <c r="O74" s="4" t="e">
        <f t="shared" si="25"/>
        <v>#REF!</v>
      </c>
      <c r="P74" s="4" t="e">
        <f t="shared" si="19"/>
        <v>#REF!</v>
      </c>
      <c r="Q74" s="4" t="e">
        <f t="shared" si="26"/>
        <v>#REF!</v>
      </c>
      <c r="R74" s="4" t="e">
        <f t="shared" si="19"/>
        <v>#REF!</v>
      </c>
      <c r="S74" s="4" t="e">
        <f t="shared" si="27"/>
        <v>#REF!</v>
      </c>
      <c r="T74" s="4" t="e">
        <f t="shared" si="19"/>
        <v>#REF!</v>
      </c>
      <c r="U74" s="4" t="e">
        <f t="shared" si="28"/>
        <v>#REF!</v>
      </c>
      <c r="V74" s="4" t="e">
        <f t="shared" si="19"/>
        <v>#REF!</v>
      </c>
      <c r="W74" s="4" t="e">
        <f t="shared" si="29"/>
        <v>#REF!</v>
      </c>
    </row>
    <row r="75" spans="1:23" outlineLevel="1">
      <c r="A75">
        <v>69</v>
      </c>
      <c r="B75">
        <f>IFERROR(GETPIVOTDATA("Age_Calc",'Inputs &amp; Calcs'!#REF!,"Age_Calc",Q_Forecast5[[#This Row],[Age]]),0)</f>
        <v>0</v>
      </c>
      <c r="C75" t="e">
        <f>IF(VLOOKUP(Q_Forecast5[[#This Row],[Age]],#REF!,MATCH(DTU_RR,#REF!,0),FALSE)&gt;1,1,VLOOKUP(Q_Forecast5[[#This Row],[Age]],#REF!,MATCH(DTU_RR,#REF!,0),FALSE))</f>
        <v>#REF!</v>
      </c>
      <c r="D75" s="4" t="e">
        <f t="shared" si="20"/>
        <v>#REF!</v>
      </c>
      <c r="E75" s="4" t="e">
        <f t="shared" si="31"/>
        <v>#REF!</v>
      </c>
      <c r="F75" s="4" t="e">
        <f t="shared" si="21"/>
        <v>#REF!</v>
      </c>
      <c r="G75" s="4" t="e">
        <f t="shared" si="30"/>
        <v>#REF!</v>
      </c>
      <c r="H75" s="4" t="e">
        <f t="shared" si="19"/>
        <v>#REF!</v>
      </c>
      <c r="I75" s="4" t="e">
        <f t="shared" si="22"/>
        <v>#REF!</v>
      </c>
      <c r="J75" s="4" t="e">
        <f t="shared" si="19"/>
        <v>#REF!</v>
      </c>
      <c r="K75" s="4" t="e">
        <f t="shared" si="23"/>
        <v>#REF!</v>
      </c>
      <c r="L75" s="4" t="e">
        <f t="shared" si="19"/>
        <v>#REF!</v>
      </c>
      <c r="M75" s="4" t="e">
        <f t="shared" si="24"/>
        <v>#REF!</v>
      </c>
      <c r="N75" s="4" t="e">
        <f t="shared" si="19"/>
        <v>#REF!</v>
      </c>
      <c r="O75" s="4" t="e">
        <f t="shared" si="25"/>
        <v>#REF!</v>
      </c>
      <c r="P75" s="4" t="e">
        <f t="shared" si="19"/>
        <v>#REF!</v>
      </c>
      <c r="Q75" s="4" t="e">
        <f t="shared" si="26"/>
        <v>#REF!</v>
      </c>
      <c r="R75" s="4" t="e">
        <f t="shared" si="19"/>
        <v>#REF!</v>
      </c>
      <c r="S75" s="4" t="e">
        <f t="shared" si="27"/>
        <v>#REF!</v>
      </c>
      <c r="T75" s="4" t="e">
        <f t="shared" si="19"/>
        <v>#REF!</v>
      </c>
      <c r="U75" s="4" t="e">
        <f t="shared" si="28"/>
        <v>#REF!</v>
      </c>
      <c r="V75" s="4" t="e">
        <f t="shared" si="19"/>
        <v>#REF!</v>
      </c>
      <c r="W75" s="4" t="e">
        <f t="shared" si="29"/>
        <v>#REF!</v>
      </c>
    </row>
    <row r="76" spans="1:23" outlineLevel="1">
      <c r="A76">
        <v>70</v>
      </c>
      <c r="B76">
        <f>IFERROR(GETPIVOTDATA("Age_Calc",'Inputs &amp; Calcs'!#REF!,"Age_Calc",Q_Forecast5[[#This Row],[Age]]),0)</f>
        <v>0</v>
      </c>
      <c r="C76" t="e">
        <f>IF(VLOOKUP(Q_Forecast5[[#This Row],[Age]],#REF!,MATCH(DTU_RR,#REF!,0),FALSE)&gt;1,1,VLOOKUP(Q_Forecast5[[#This Row],[Age]],#REF!,MATCH(DTU_RR,#REF!,0),FALSE))</f>
        <v>#REF!</v>
      </c>
      <c r="D76" s="4" t="e">
        <f t="shared" si="20"/>
        <v>#REF!</v>
      </c>
      <c r="E76" s="4" t="e">
        <f t="shared" si="31"/>
        <v>#REF!</v>
      </c>
      <c r="F76" s="4" t="e">
        <f t="shared" si="21"/>
        <v>#REF!</v>
      </c>
      <c r="G76" s="4" t="e">
        <f t="shared" si="30"/>
        <v>#REF!</v>
      </c>
      <c r="H76" s="4" t="e">
        <f t="shared" si="19"/>
        <v>#REF!</v>
      </c>
      <c r="I76" s="4" t="e">
        <f t="shared" si="22"/>
        <v>#REF!</v>
      </c>
      <c r="J76" s="4" t="e">
        <f t="shared" si="19"/>
        <v>#REF!</v>
      </c>
      <c r="K76" s="4" t="e">
        <f t="shared" si="23"/>
        <v>#REF!</v>
      </c>
      <c r="L76" s="4" t="e">
        <f t="shared" si="19"/>
        <v>#REF!</v>
      </c>
      <c r="M76" s="4" t="e">
        <f t="shared" si="24"/>
        <v>#REF!</v>
      </c>
      <c r="N76" s="4" t="e">
        <f t="shared" si="19"/>
        <v>#REF!</v>
      </c>
      <c r="O76" s="4" t="e">
        <f t="shared" si="25"/>
        <v>#REF!</v>
      </c>
      <c r="P76" s="4" t="e">
        <f t="shared" si="19"/>
        <v>#REF!</v>
      </c>
      <c r="Q76" s="4" t="e">
        <f t="shared" si="26"/>
        <v>#REF!</v>
      </c>
      <c r="R76" s="4" t="e">
        <f t="shared" si="19"/>
        <v>#REF!</v>
      </c>
      <c r="S76" s="4" t="e">
        <f t="shared" si="27"/>
        <v>#REF!</v>
      </c>
      <c r="T76" s="4" t="e">
        <f t="shared" si="19"/>
        <v>#REF!</v>
      </c>
      <c r="U76" s="4" t="e">
        <f t="shared" si="28"/>
        <v>#REF!</v>
      </c>
      <c r="V76" s="4" t="e">
        <f t="shared" si="19"/>
        <v>#REF!</v>
      </c>
      <c r="W76" s="4" t="e">
        <f t="shared" si="29"/>
        <v>#REF!</v>
      </c>
    </row>
    <row r="77" spans="1:23" outlineLevel="1">
      <c r="A77">
        <v>71</v>
      </c>
      <c r="B77">
        <f>IFERROR(GETPIVOTDATA("Age_Calc",'Inputs &amp; Calcs'!#REF!,"Age_Calc",Q_Forecast5[[#This Row],[Age]]),0)</f>
        <v>0</v>
      </c>
      <c r="C77" t="e">
        <f>IF(VLOOKUP(Q_Forecast5[[#This Row],[Age]],#REF!,MATCH(DTU_RR,#REF!,0),FALSE)&gt;1,1,VLOOKUP(Q_Forecast5[[#This Row],[Age]],#REF!,MATCH(DTU_RR,#REF!,0),FALSE))</f>
        <v>#REF!</v>
      </c>
      <c r="D77" s="4" t="e">
        <f t="shared" si="20"/>
        <v>#REF!</v>
      </c>
      <c r="E77" s="4" t="e">
        <f t="shared" si="31"/>
        <v>#REF!</v>
      </c>
      <c r="F77" s="4" t="e">
        <f t="shared" si="21"/>
        <v>#REF!</v>
      </c>
      <c r="G77" s="4" t="e">
        <f t="shared" si="30"/>
        <v>#REF!</v>
      </c>
      <c r="H77" s="4" t="e">
        <f t="shared" si="19"/>
        <v>#REF!</v>
      </c>
      <c r="I77" s="4" t="e">
        <f t="shared" si="22"/>
        <v>#REF!</v>
      </c>
      <c r="J77" s="4" t="e">
        <f t="shared" si="19"/>
        <v>#REF!</v>
      </c>
      <c r="K77" s="4" t="e">
        <f t="shared" si="23"/>
        <v>#REF!</v>
      </c>
      <c r="L77" s="4" t="e">
        <f t="shared" si="19"/>
        <v>#REF!</v>
      </c>
      <c r="M77" s="4" t="e">
        <f t="shared" si="24"/>
        <v>#REF!</v>
      </c>
      <c r="N77" s="4" t="e">
        <f t="shared" si="19"/>
        <v>#REF!</v>
      </c>
      <c r="O77" s="4" t="e">
        <f t="shared" si="25"/>
        <v>#REF!</v>
      </c>
      <c r="P77" s="4" t="e">
        <f t="shared" si="19"/>
        <v>#REF!</v>
      </c>
      <c r="Q77" s="4" t="e">
        <f t="shared" si="26"/>
        <v>#REF!</v>
      </c>
      <c r="R77" s="4" t="e">
        <f t="shared" si="19"/>
        <v>#REF!</v>
      </c>
      <c r="S77" s="4" t="e">
        <f t="shared" si="27"/>
        <v>#REF!</v>
      </c>
      <c r="T77" s="4" t="e">
        <f t="shared" si="19"/>
        <v>#REF!</v>
      </c>
      <c r="U77" s="4" t="e">
        <f t="shared" si="28"/>
        <v>#REF!</v>
      </c>
      <c r="V77" s="4" t="e">
        <f t="shared" si="19"/>
        <v>#REF!</v>
      </c>
      <c r="W77" s="4" t="e">
        <f t="shared" si="29"/>
        <v>#REF!</v>
      </c>
    </row>
    <row r="78" spans="1:23" outlineLevel="1">
      <c r="A78">
        <v>72</v>
      </c>
      <c r="B78">
        <f>IFERROR(GETPIVOTDATA("Age_Calc",'Inputs &amp; Calcs'!#REF!,"Age_Calc",Q_Forecast5[[#This Row],[Age]]),0)</f>
        <v>0</v>
      </c>
      <c r="C78" t="e">
        <f>IF(VLOOKUP(Q_Forecast5[[#This Row],[Age]],#REF!,MATCH(DTU_RR,#REF!,0),FALSE)&gt;1,1,VLOOKUP(Q_Forecast5[[#This Row],[Age]],#REF!,MATCH(DTU_RR,#REF!,0),FALSE))</f>
        <v>#REF!</v>
      </c>
      <c r="D78" s="4" t="e">
        <f t="shared" si="20"/>
        <v>#REF!</v>
      </c>
      <c r="E78" s="4" t="e">
        <f t="shared" si="31"/>
        <v>#REF!</v>
      </c>
      <c r="F78" s="4" t="e">
        <f t="shared" si="21"/>
        <v>#REF!</v>
      </c>
      <c r="G78" s="4" t="e">
        <f t="shared" si="30"/>
        <v>#REF!</v>
      </c>
      <c r="H78" s="4" t="e">
        <f t="shared" si="19"/>
        <v>#REF!</v>
      </c>
      <c r="I78" s="4" t="e">
        <f t="shared" si="22"/>
        <v>#REF!</v>
      </c>
      <c r="J78" s="4" t="e">
        <f t="shared" si="19"/>
        <v>#REF!</v>
      </c>
      <c r="K78" s="4" t="e">
        <f t="shared" si="23"/>
        <v>#REF!</v>
      </c>
      <c r="L78" s="4" t="e">
        <f t="shared" si="19"/>
        <v>#REF!</v>
      </c>
      <c r="M78" s="4" t="e">
        <f t="shared" si="24"/>
        <v>#REF!</v>
      </c>
      <c r="N78" s="4" t="e">
        <f t="shared" si="19"/>
        <v>#REF!</v>
      </c>
      <c r="O78" s="4" t="e">
        <f t="shared" si="25"/>
        <v>#REF!</v>
      </c>
      <c r="P78" s="4" t="e">
        <f t="shared" si="19"/>
        <v>#REF!</v>
      </c>
      <c r="Q78" s="4" t="e">
        <f t="shared" si="26"/>
        <v>#REF!</v>
      </c>
      <c r="R78" s="4" t="e">
        <f t="shared" si="19"/>
        <v>#REF!</v>
      </c>
      <c r="S78" s="4" t="e">
        <f t="shared" si="27"/>
        <v>#REF!</v>
      </c>
      <c r="T78" s="4" t="e">
        <f t="shared" si="19"/>
        <v>#REF!</v>
      </c>
      <c r="U78" s="4" t="e">
        <f t="shared" si="28"/>
        <v>#REF!</v>
      </c>
      <c r="V78" s="4" t="e">
        <f t="shared" si="19"/>
        <v>#REF!</v>
      </c>
      <c r="W78" s="4" t="e">
        <f t="shared" si="29"/>
        <v>#REF!</v>
      </c>
    </row>
    <row r="79" spans="1:23" outlineLevel="1">
      <c r="A79">
        <v>73</v>
      </c>
      <c r="B79">
        <f>IFERROR(GETPIVOTDATA("Age_Calc",'Inputs &amp; Calcs'!#REF!,"Age_Calc",Q_Forecast5[[#This Row],[Age]]),0)</f>
        <v>0</v>
      </c>
      <c r="C79" t="e">
        <f>IF(VLOOKUP(Q_Forecast5[[#This Row],[Age]],#REF!,MATCH(DTU_RR,#REF!,0),FALSE)&gt;1,1,VLOOKUP(Q_Forecast5[[#This Row],[Age]],#REF!,MATCH(DTU_RR,#REF!,0),FALSE))</f>
        <v>#REF!</v>
      </c>
      <c r="D79" s="4" t="e">
        <f t="shared" si="20"/>
        <v>#REF!</v>
      </c>
      <c r="E79" s="4" t="e">
        <f t="shared" si="31"/>
        <v>#REF!</v>
      </c>
      <c r="F79" s="4" t="e">
        <f t="shared" si="21"/>
        <v>#REF!</v>
      </c>
      <c r="G79" s="4" t="e">
        <f t="shared" si="30"/>
        <v>#REF!</v>
      </c>
      <c r="H79" s="4" t="e">
        <f t="shared" si="19"/>
        <v>#REF!</v>
      </c>
      <c r="I79" s="4" t="e">
        <f t="shared" si="22"/>
        <v>#REF!</v>
      </c>
      <c r="J79" s="4" t="e">
        <f t="shared" si="19"/>
        <v>#REF!</v>
      </c>
      <c r="K79" s="4" t="e">
        <f t="shared" si="23"/>
        <v>#REF!</v>
      </c>
      <c r="L79" s="4" t="e">
        <f t="shared" si="19"/>
        <v>#REF!</v>
      </c>
      <c r="M79" s="4" t="e">
        <f t="shared" si="24"/>
        <v>#REF!</v>
      </c>
      <c r="N79" s="4" t="e">
        <f t="shared" si="19"/>
        <v>#REF!</v>
      </c>
      <c r="O79" s="4" t="e">
        <f t="shared" si="25"/>
        <v>#REF!</v>
      </c>
      <c r="P79" s="4" t="e">
        <f t="shared" si="19"/>
        <v>#REF!</v>
      </c>
      <c r="Q79" s="4" t="e">
        <f t="shared" si="26"/>
        <v>#REF!</v>
      </c>
      <c r="R79" s="4" t="e">
        <f t="shared" si="19"/>
        <v>#REF!</v>
      </c>
      <c r="S79" s="4" t="e">
        <f t="shared" si="27"/>
        <v>#REF!</v>
      </c>
      <c r="T79" s="4" t="e">
        <f t="shared" si="19"/>
        <v>#REF!</v>
      </c>
      <c r="U79" s="4" t="e">
        <f t="shared" si="28"/>
        <v>#REF!</v>
      </c>
      <c r="V79" s="4" t="e">
        <f t="shared" si="19"/>
        <v>#REF!</v>
      </c>
      <c r="W79" s="4" t="e">
        <f t="shared" si="29"/>
        <v>#REF!</v>
      </c>
    </row>
    <row r="80" spans="1:23" outlineLevel="1">
      <c r="A80">
        <v>74</v>
      </c>
      <c r="B80">
        <f>IFERROR(GETPIVOTDATA("Age_Calc",'Inputs &amp; Calcs'!#REF!,"Age_Calc",Q_Forecast5[[#This Row],[Age]]),0)</f>
        <v>0</v>
      </c>
      <c r="C80" t="e">
        <f>IF(VLOOKUP(Q_Forecast5[[#This Row],[Age]],#REF!,MATCH(DTU_RR,#REF!,0),FALSE)&gt;1,1,VLOOKUP(Q_Forecast5[[#This Row],[Age]],#REF!,MATCH(DTU_RR,#REF!,0),FALSE))</f>
        <v>#REF!</v>
      </c>
      <c r="D80" s="4" t="e">
        <f t="shared" si="20"/>
        <v>#REF!</v>
      </c>
      <c r="E80" s="4" t="e">
        <f t="shared" si="31"/>
        <v>#REF!</v>
      </c>
      <c r="F80" s="4" t="e">
        <f t="shared" si="21"/>
        <v>#REF!</v>
      </c>
      <c r="G80" s="4" t="e">
        <f t="shared" si="30"/>
        <v>#REF!</v>
      </c>
      <c r="H80" s="4" t="e">
        <f t="shared" si="19"/>
        <v>#REF!</v>
      </c>
      <c r="I80" s="4" t="e">
        <f t="shared" si="22"/>
        <v>#REF!</v>
      </c>
      <c r="J80" s="4" t="e">
        <f t="shared" si="19"/>
        <v>#REF!</v>
      </c>
      <c r="K80" s="4" t="e">
        <f t="shared" si="23"/>
        <v>#REF!</v>
      </c>
      <c r="L80" s="4" t="e">
        <f t="shared" si="19"/>
        <v>#REF!</v>
      </c>
      <c r="M80" s="4" t="e">
        <f t="shared" si="24"/>
        <v>#REF!</v>
      </c>
      <c r="N80" s="4" t="e">
        <f t="shared" si="19"/>
        <v>#REF!</v>
      </c>
      <c r="O80" s="4" t="e">
        <f t="shared" si="25"/>
        <v>#REF!</v>
      </c>
      <c r="P80" s="4" t="e">
        <f t="shared" si="19"/>
        <v>#REF!</v>
      </c>
      <c r="Q80" s="4" t="e">
        <f t="shared" si="26"/>
        <v>#REF!</v>
      </c>
      <c r="R80" s="4" t="e">
        <f t="shared" si="19"/>
        <v>#REF!</v>
      </c>
      <c r="S80" s="4" t="e">
        <f t="shared" si="27"/>
        <v>#REF!</v>
      </c>
      <c r="T80" s="4" t="e">
        <f t="shared" si="19"/>
        <v>#REF!</v>
      </c>
      <c r="U80" s="4" t="e">
        <f t="shared" si="28"/>
        <v>#REF!</v>
      </c>
      <c r="V80" s="4" t="e">
        <f t="shared" si="19"/>
        <v>#REF!</v>
      </c>
      <c r="W80" s="4" t="e">
        <f t="shared" si="29"/>
        <v>#REF!</v>
      </c>
    </row>
    <row r="81" spans="1:23" outlineLevel="1">
      <c r="A81">
        <v>75</v>
      </c>
      <c r="B81">
        <f>IFERROR(GETPIVOTDATA("Age_Calc",'Inputs &amp; Calcs'!#REF!,"Age_Calc",Q_Forecast5[[#This Row],[Age]]),0)</f>
        <v>0</v>
      </c>
      <c r="C81" t="e">
        <f>IF(VLOOKUP(Q_Forecast5[[#This Row],[Age]],#REF!,MATCH(DTU_RR,#REF!,0),FALSE)&gt;1,1,VLOOKUP(Q_Forecast5[[#This Row],[Age]],#REF!,MATCH(DTU_RR,#REF!,0),FALSE))</f>
        <v>#REF!</v>
      </c>
      <c r="D81" s="4" t="e">
        <f t="shared" si="20"/>
        <v>#REF!</v>
      </c>
      <c r="E81" s="4" t="e">
        <f t="shared" si="31"/>
        <v>#REF!</v>
      </c>
      <c r="F81" s="4" t="e">
        <f t="shared" si="21"/>
        <v>#REF!</v>
      </c>
      <c r="G81" s="4" t="e">
        <f t="shared" si="30"/>
        <v>#REF!</v>
      </c>
      <c r="H81" s="4" t="e">
        <f t="shared" si="19"/>
        <v>#REF!</v>
      </c>
      <c r="I81" s="4" t="e">
        <f t="shared" si="22"/>
        <v>#REF!</v>
      </c>
      <c r="J81" s="4" t="e">
        <f t="shared" si="19"/>
        <v>#REF!</v>
      </c>
      <c r="K81" s="4" t="e">
        <f t="shared" si="23"/>
        <v>#REF!</v>
      </c>
      <c r="L81" s="4" t="e">
        <f t="shared" si="19"/>
        <v>#REF!</v>
      </c>
      <c r="M81" s="4" t="e">
        <f t="shared" si="24"/>
        <v>#REF!</v>
      </c>
      <c r="N81" s="4" t="e">
        <f t="shared" si="19"/>
        <v>#REF!</v>
      </c>
      <c r="O81" s="4" t="e">
        <f t="shared" si="25"/>
        <v>#REF!</v>
      </c>
      <c r="P81" s="4" t="e">
        <f t="shared" si="19"/>
        <v>#REF!</v>
      </c>
      <c r="Q81" s="4" t="e">
        <f t="shared" si="26"/>
        <v>#REF!</v>
      </c>
      <c r="R81" s="4" t="e">
        <f t="shared" si="19"/>
        <v>#REF!</v>
      </c>
      <c r="S81" s="4" t="e">
        <f t="shared" si="27"/>
        <v>#REF!</v>
      </c>
      <c r="T81" s="4" t="e">
        <f t="shared" si="19"/>
        <v>#REF!</v>
      </c>
      <c r="U81" s="4" t="e">
        <f t="shared" si="28"/>
        <v>#REF!</v>
      </c>
      <c r="V81" s="4" t="e">
        <f t="shared" si="19"/>
        <v>#REF!</v>
      </c>
      <c r="W81" s="4" t="e">
        <f t="shared" si="29"/>
        <v>#REF!</v>
      </c>
    </row>
    <row r="82" spans="1:23" outlineLevel="1">
      <c r="A82">
        <v>76</v>
      </c>
      <c r="B82">
        <f>IFERROR(GETPIVOTDATA("Age_Calc",'Inputs &amp; Calcs'!#REF!,"Age_Calc",Q_Forecast5[[#This Row],[Age]]),0)</f>
        <v>0</v>
      </c>
      <c r="C82" t="e">
        <f>IF(VLOOKUP(Q_Forecast5[[#This Row],[Age]],#REF!,MATCH(DTU_RR,#REF!,0),FALSE)&gt;1,1,VLOOKUP(Q_Forecast5[[#This Row],[Age]],#REF!,MATCH(DTU_RR,#REF!,0),FALSE))</f>
        <v>#REF!</v>
      </c>
      <c r="D82" s="4" t="e">
        <f t="shared" si="20"/>
        <v>#REF!</v>
      </c>
      <c r="E82" s="4" t="e">
        <f t="shared" si="31"/>
        <v>#REF!</v>
      </c>
      <c r="F82" s="4" t="e">
        <f t="shared" si="21"/>
        <v>#REF!</v>
      </c>
      <c r="G82" s="4" t="e">
        <f t="shared" si="30"/>
        <v>#REF!</v>
      </c>
      <c r="H82" s="4" t="e">
        <f t="shared" si="19"/>
        <v>#REF!</v>
      </c>
      <c r="I82" s="4" t="e">
        <f t="shared" si="22"/>
        <v>#REF!</v>
      </c>
      <c r="J82" s="4" t="e">
        <f t="shared" si="19"/>
        <v>#REF!</v>
      </c>
      <c r="K82" s="4" t="e">
        <f t="shared" si="23"/>
        <v>#REF!</v>
      </c>
      <c r="L82" s="4" t="e">
        <f t="shared" si="19"/>
        <v>#REF!</v>
      </c>
      <c r="M82" s="4" t="e">
        <f t="shared" si="24"/>
        <v>#REF!</v>
      </c>
      <c r="N82" s="4" t="e">
        <f t="shared" si="19"/>
        <v>#REF!</v>
      </c>
      <c r="O82" s="4" t="e">
        <f t="shared" si="25"/>
        <v>#REF!</v>
      </c>
      <c r="P82" s="4" t="e">
        <f t="shared" si="19"/>
        <v>#REF!</v>
      </c>
      <c r="Q82" s="4" t="e">
        <f t="shared" si="26"/>
        <v>#REF!</v>
      </c>
      <c r="R82" s="4" t="e">
        <f t="shared" si="19"/>
        <v>#REF!</v>
      </c>
      <c r="S82" s="4" t="e">
        <f t="shared" si="27"/>
        <v>#REF!</v>
      </c>
      <c r="T82" s="4" t="e">
        <f t="shared" si="19"/>
        <v>#REF!</v>
      </c>
      <c r="U82" s="4" t="e">
        <f t="shared" si="28"/>
        <v>#REF!</v>
      </c>
      <c r="V82" s="4" t="e">
        <f t="shared" si="19"/>
        <v>#REF!</v>
      </c>
      <c r="W82" s="4" t="e">
        <f t="shared" si="29"/>
        <v>#REF!</v>
      </c>
    </row>
    <row r="83" spans="1:23" outlineLevel="1">
      <c r="A83">
        <v>77</v>
      </c>
      <c r="B83">
        <f>IFERROR(GETPIVOTDATA("Age_Calc",'Inputs &amp; Calcs'!#REF!,"Age_Calc",Q_Forecast5[[#This Row],[Age]]),0)</f>
        <v>0</v>
      </c>
      <c r="C83" t="e">
        <f>IF(VLOOKUP(Q_Forecast5[[#This Row],[Age]],#REF!,MATCH(DTU_RR,#REF!,0),FALSE)&gt;1,1,VLOOKUP(Q_Forecast5[[#This Row],[Age]],#REF!,MATCH(DTU_RR,#REF!,0),FALSE))</f>
        <v>#REF!</v>
      </c>
      <c r="D83" s="4" t="e">
        <f t="shared" si="20"/>
        <v>#REF!</v>
      </c>
      <c r="E83" s="4" t="e">
        <f t="shared" si="31"/>
        <v>#REF!</v>
      </c>
      <c r="F83" s="4" t="e">
        <f t="shared" si="21"/>
        <v>#REF!</v>
      </c>
      <c r="G83" s="4" t="e">
        <f t="shared" si="30"/>
        <v>#REF!</v>
      </c>
      <c r="H83" s="4" t="e">
        <f t="shared" si="19"/>
        <v>#REF!</v>
      </c>
      <c r="I83" s="4" t="e">
        <f t="shared" si="22"/>
        <v>#REF!</v>
      </c>
      <c r="J83" s="4" t="e">
        <f t="shared" si="19"/>
        <v>#REF!</v>
      </c>
      <c r="K83" s="4" t="e">
        <f t="shared" si="23"/>
        <v>#REF!</v>
      </c>
      <c r="L83" s="4" t="e">
        <f t="shared" si="19"/>
        <v>#REF!</v>
      </c>
      <c r="M83" s="4" t="e">
        <f t="shared" si="24"/>
        <v>#REF!</v>
      </c>
      <c r="N83" s="4" t="e">
        <f t="shared" si="19"/>
        <v>#REF!</v>
      </c>
      <c r="O83" s="4" t="e">
        <f t="shared" si="25"/>
        <v>#REF!</v>
      </c>
      <c r="P83" s="4" t="e">
        <f t="shared" si="19"/>
        <v>#REF!</v>
      </c>
      <c r="Q83" s="4" t="e">
        <f t="shared" si="26"/>
        <v>#REF!</v>
      </c>
      <c r="R83" s="4" t="e">
        <f t="shared" si="19"/>
        <v>#REF!</v>
      </c>
      <c r="S83" s="4" t="e">
        <f t="shared" si="27"/>
        <v>#REF!</v>
      </c>
      <c r="T83" s="4" t="e">
        <f t="shared" si="19"/>
        <v>#REF!</v>
      </c>
      <c r="U83" s="4" t="e">
        <f t="shared" si="28"/>
        <v>#REF!</v>
      </c>
      <c r="V83" s="4" t="e">
        <f t="shared" si="19"/>
        <v>#REF!</v>
      </c>
      <c r="W83" s="4" t="e">
        <f t="shared" si="29"/>
        <v>#REF!</v>
      </c>
    </row>
    <row r="84" spans="1:23" outlineLevel="1">
      <c r="A84">
        <v>78</v>
      </c>
      <c r="B84">
        <f>IFERROR(GETPIVOTDATA("Age_Calc",'Inputs &amp; Calcs'!#REF!,"Age_Calc",Q_Forecast5[[#This Row],[Age]]),0)</f>
        <v>0</v>
      </c>
      <c r="C84" t="e">
        <f>IF(VLOOKUP(Q_Forecast5[[#This Row],[Age]],#REF!,MATCH(DTU_RR,#REF!,0),FALSE)&gt;1,1,VLOOKUP(Q_Forecast5[[#This Row],[Age]],#REF!,MATCH(DTU_RR,#REF!,0),FALSE))</f>
        <v>#REF!</v>
      </c>
      <c r="D84" s="4" t="e">
        <f t="shared" si="20"/>
        <v>#REF!</v>
      </c>
      <c r="E84" s="4" t="e">
        <f t="shared" si="31"/>
        <v>#REF!</v>
      </c>
      <c r="F84" s="4" t="e">
        <f t="shared" si="21"/>
        <v>#REF!</v>
      </c>
      <c r="G84" s="4" t="e">
        <f t="shared" si="30"/>
        <v>#REF!</v>
      </c>
      <c r="H84" s="4" t="e">
        <f t="shared" si="19"/>
        <v>#REF!</v>
      </c>
      <c r="I84" s="4" t="e">
        <f t="shared" si="22"/>
        <v>#REF!</v>
      </c>
      <c r="J84" s="4" t="e">
        <f t="shared" si="19"/>
        <v>#REF!</v>
      </c>
      <c r="K84" s="4" t="e">
        <f t="shared" si="23"/>
        <v>#REF!</v>
      </c>
      <c r="L84" s="4" t="e">
        <f t="shared" si="19"/>
        <v>#REF!</v>
      </c>
      <c r="M84" s="4" t="e">
        <f t="shared" si="24"/>
        <v>#REF!</v>
      </c>
      <c r="N84" s="4" t="e">
        <f t="shared" si="19"/>
        <v>#REF!</v>
      </c>
      <c r="O84" s="4" t="e">
        <f t="shared" si="25"/>
        <v>#REF!</v>
      </c>
      <c r="P84" s="4" t="e">
        <f t="shared" si="19"/>
        <v>#REF!</v>
      </c>
      <c r="Q84" s="4" t="e">
        <f t="shared" si="26"/>
        <v>#REF!</v>
      </c>
      <c r="R84" s="4" t="e">
        <f t="shared" si="19"/>
        <v>#REF!</v>
      </c>
      <c r="S84" s="4" t="e">
        <f t="shared" si="27"/>
        <v>#REF!</v>
      </c>
      <c r="T84" s="4" t="e">
        <f t="shared" si="19"/>
        <v>#REF!</v>
      </c>
      <c r="U84" s="4" t="e">
        <f t="shared" si="28"/>
        <v>#REF!</v>
      </c>
      <c r="V84" s="4" t="e">
        <f t="shared" si="19"/>
        <v>#REF!</v>
      </c>
      <c r="W84" s="4" t="e">
        <f t="shared" si="29"/>
        <v>#REF!</v>
      </c>
    </row>
    <row r="85" spans="1:23" outlineLevel="1">
      <c r="A85">
        <v>79</v>
      </c>
      <c r="B85">
        <f>IFERROR(GETPIVOTDATA("Age_Calc",'Inputs &amp; Calcs'!#REF!,"Age_Calc",Q_Forecast5[[#This Row],[Age]]),0)</f>
        <v>0</v>
      </c>
      <c r="C85" t="e">
        <f>IF(VLOOKUP(Q_Forecast5[[#This Row],[Age]],#REF!,MATCH(DTU_RR,#REF!,0),FALSE)&gt;1,1,VLOOKUP(Q_Forecast5[[#This Row],[Age]],#REF!,MATCH(DTU_RR,#REF!,0),FALSE))</f>
        <v>#REF!</v>
      </c>
      <c r="D85" s="4" t="e">
        <f t="shared" si="20"/>
        <v>#REF!</v>
      </c>
      <c r="E85" s="4" t="e">
        <f t="shared" si="31"/>
        <v>#REF!</v>
      </c>
      <c r="F85" s="4" t="e">
        <f t="shared" si="21"/>
        <v>#REF!</v>
      </c>
      <c r="G85" s="4" t="e">
        <f t="shared" si="30"/>
        <v>#REF!</v>
      </c>
      <c r="H85" s="4" t="e">
        <f t="shared" si="19"/>
        <v>#REF!</v>
      </c>
      <c r="I85" s="4" t="e">
        <f t="shared" si="22"/>
        <v>#REF!</v>
      </c>
      <c r="J85" s="4" t="e">
        <f t="shared" si="19"/>
        <v>#REF!</v>
      </c>
      <c r="K85" s="4" t="e">
        <f t="shared" si="23"/>
        <v>#REF!</v>
      </c>
      <c r="L85" s="4" t="e">
        <f t="shared" si="19"/>
        <v>#REF!</v>
      </c>
      <c r="M85" s="4" t="e">
        <f t="shared" si="24"/>
        <v>#REF!</v>
      </c>
      <c r="N85" s="4" t="e">
        <f t="shared" si="19"/>
        <v>#REF!</v>
      </c>
      <c r="O85" s="4" t="e">
        <f t="shared" si="25"/>
        <v>#REF!</v>
      </c>
      <c r="P85" s="4" t="e">
        <f t="shared" si="19"/>
        <v>#REF!</v>
      </c>
      <c r="Q85" s="4" t="e">
        <f t="shared" si="26"/>
        <v>#REF!</v>
      </c>
      <c r="R85" s="4" t="e">
        <f t="shared" si="19"/>
        <v>#REF!</v>
      </c>
      <c r="S85" s="4" t="e">
        <f t="shared" si="27"/>
        <v>#REF!</v>
      </c>
      <c r="T85" s="4" t="e">
        <f t="shared" si="19"/>
        <v>#REF!</v>
      </c>
      <c r="U85" s="4" t="e">
        <f t="shared" si="28"/>
        <v>#REF!</v>
      </c>
      <c r="V85" s="4" t="e">
        <f t="shared" si="19"/>
        <v>#REF!</v>
      </c>
      <c r="W85" s="4" t="e">
        <f t="shared" si="29"/>
        <v>#REF!</v>
      </c>
    </row>
    <row r="86" spans="1:23" outlineLevel="1">
      <c r="A86">
        <v>80</v>
      </c>
      <c r="B86">
        <f>IFERROR(GETPIVOTDATA("Age_Calc",'Inputs &amp; Calcs'!#REF!,"Age_Calc",Q_Forecast5[[#This Row],[Age]]),0)</f>
        <v>0</v>
      </c>
      <c r="C86" t="e">
        <f>IF(VLOOKUP(Q_Forecast5[[#This Row],[Age]],#REF!,MATCH(DTU_RR,#REF!,0),FALSE)&gt;1,1,VLOOKUP(Q_Forecast5[[#This Row],[Age]],#REF!,MATCH(DTU_RR,#REF!,0),FALSE))</f>
        <v>#REF!</v>
      </c>
      <c r="D86" s="4" t="e">
        <f t="shared" si="20"/>
        <v>#REF!</v>
      </c>
      <c r="E86" s="4" t="e">
        <f t="shared" si="31"/>
        <v>#REF!</v>
      </c>
      <c r="F86" s="4" t="e">
        <f t="shared" si="21"/>
        <v>#REF!</v>
      </c>
      <c r="G86" s="4" t="e">
        <f t="shared" si="30"/>
        <v>#REF!</v>
      </c>
      <c r="H86" s="4" t="e">
        <f t="shared" ref="H86:H97" si="32">G86*$C86</f>
        <v>#REF!</v>
      </c>
      <c r="I86" s="4" t="e">
        <f t="shared" si="22"/>
        <v>#REF!</v>
      </c>
      <c r="J86" s="4" t="e">
        <f t="shared" ref="J86:J97" si="33">I86*$C86</f>
        <v>#REF!</v>
      </c>
      <c r="K86" s="4" t="e">
        <f t="shared" si="23"/>
        <v>#REF!</v>
      </c>
      <c r="L86" s="4" t="e">
        <f t="shared" ref="L86:L97" si="34">K86*$C86</f>
        <v>#REF!</v>
      </c>
      <c r="M86" s="4" t="e">
        <f t="shared" si="24"/>
        <v>#REF!</v>
      </c>
      <c r="N86" s="4" t="e">
        <f t="shared" ref="N86:N97" si="35">M86*$C86</f>
        <v>#REF!</v>
      </c>
      <c r="O86" s="4" t="e">
        <f t="shared" si="25"/>
        <v>#REF!</v>
      </c>
      <c r="P86" s="4" t="e">
        <f t="shared" ref="P86:P97" si="36">O86*$C86</f>
        <v>#REF!</v>
      </c>
      <c r="Q86" s="4" t="e">
        <f t="shared" si="26"/>
        <v>#REF!</v>
      </c>
      <c r="R86" s="4" t="e">
        <f t="shared" ref="R86:R97" si="37">Q86*$C86</f>
        <v>#REF!</v>
      </c>
      <c r="S86" s="4" t="e">
        <f t="shared" si="27"/>
        <v>#REF!</v>
      </c>
      <c r="T86" s="4" t="e">
        <f t="shared" ref="T86:T97" si="38">S86*$C86</f>
        <v>#REF!</v>
      </c>
      <c r="U86" s="4" t="e">
        <f t="shared" si="28"/>
        <v>#REF!</v>
      </c>
      <c r="V86" s="4" t="e">
        <f t="shared" ref="V86:V97" si="39">U86*$C86</f>
        <v>#REF!</v>
      </c>
      <c r="W86" s="4" t="e">
        <f t="shared" si="29"/>
        <v>#REF!</v>
      </c>
    </row>
    <row r="87" spans="1:23" outlineLevel="1">
      <c r="A87">
        <v>81</v>
      </c>
      <c r="B87">
        <f>IFERROR(GETPIVOTDATA("Age_Calc",'Inputs &amp; Calcs'!#REF!,"Age_Calc",Q_Forecast5[[#This Row],[Age]]),0)</f>
        <v>0</v>
      </c>
      <c r="C87" t="e">
        <f>IF(VLOOKUP(Q_Forecast5[[#This Row],[Age]],#REF!,MATCH(DTU_RR,#REF!,0),FALSE)&gt;1,1,VLOOKUP(Q_Forecast5[[#This Row],[Age]],#REF!,MATCH(DTU_RR,#REF!,0),FALSE))</f>
        <v>#REF!</v>
      </c>
      <c r="D87" s="4" t="e">
        <f t="shared" si="20"/>
        <v>#REF!</v>
      </c>
      <c r="E87" s="4" t="e">
        <f t="shared" si="31"/>
        <v>#REF!</v>
      </c>
      <c r="F87" s="4" t="e">
        <f t="shared" ref="F87:F97" si="40">E87*$C87</f>
        <v>#REF!</v>
      </c>
      <c r="G87" s="4" t="e">
        <f t="shared" si="30"/>
        <v>#REF!</v>
      </c>
      <c r="H87" s="4" t="e">
        <f t="shared" si="32"/>
        <v>#REF!</v>
      </c>
      <c r="I87" s="4" t="e">
        <f t="shared" si="22"/>
        <v>#REF!</v>
      </c>
      <c r="J87" s="4" t="e">
        <f t="shared" si="33"/>
        <v>#REF!</v>
      </c>
      <c r="K87" s="4" t="e">
        <f t="shared" si="23"/>
        <v>#REF!</v>
      </c>
      <c r="L87" s="4" t="e">
        <f t="shared" si="34"/>
        <v>#REF!</v>
      </c>
      <c r="M87" s="4" t="e">
        <f t="shared" si="24"/>
        <v>#REF!</v>
      </c>
      <c r="N87" s="4" t="e">
        <f t="shared" si="35"/>
        <v>#REF!</v>
      </c>
      <c r="O87" s="4" t="e">
        <f t="shared" si="25"/>
        <v>#REF!</v>
      </c>
      <c r="P87" s="4" t="e">
        <f t="shared" si="36"/>
        <v>#REF!</v>
      </c>
      <c r="Q87" s="4" t="e">
        <f t="shared" si="26"/>
        <v>#REF!</v>
      </c>
      <c r="R87" s="4" t="e">
        <f t="shared" si="37"/>
        <v>#REF!</v>
      </c>
      <c r="S87" s="4" t="e">
        <f t="shared" si="27"/>
        <v>#REF!</v>
      </c>
      <c r="T87" s="4" t="e">
        <f t="shared" si="38"/>
        <v>#REF!</v>
      </c>
      <c r="U87" s="4" t="e">
        <f t="shared" si="28"/>
        <v>#REF!</v>
      </c>
      <c r="V87" s="4" t="e">
        <f t="shared" si="39"/>
        <v>#REF!</v>
      </c>
      <c r="W87" s="4" t="e">
        <f t="shared" si="29"/>
        <v>#REF!</v>
      </c>
    </row>
    <row r="88" spans="1:23" outlineLevel="1">
      <c r="A88">
        <v>82</v>
      </c>
      <c r="B88">
        <f>IFERROR(GETPIVOTDATA("Age_Calc",'Inputs &amp; Calcs'!#REF!,"Age_Calc",Q_Forecast5[[#This Row],[Age]]),0)</f>
        <v>0</v>
      </c>
      <c r="C88" t="e">
        <f>IF(VLOOKUP(Q_Forecast5[[#This Row],[Age]],#REF!,MATCH(DTU_RR,#REF!,0),FALSE)&gt;1,1,VLOOKUP(Q_Forecast5[[#This Row],[Age]],#REF!,MATCH(DTU_RR,#REF!,0),FALSE))</f>
        <v>#REF!</v>
      </c>
      <c r="D88" s="4" t="e">
        <f t="shared" si="20"/>
        <v>#REF!</v>
      </c>
      <c r="E88" s="4" t="e">
        <f t="shared" si="31"/>
        <v>#REF!</v>
      </c>
      <c r="F88" s="4" t="e">
        <f t="shared" si="40"/>
        <v>#REF!</v>
      </c>
      <c r="G88" s="4" t="e">
        <f t="shared" si="30"/>
        <v>#REF!</v>
      </c>
      <c r="H88" s="4" t="e">
        <f t="shared" si="32"/>
        <v>#REF!</v>
      </c>
      <c r="I88" s="4" t="e">
        <f t="shared" si="22"/>
        <v>#REF!</v>
      </c>
      <c r="J88" s="4" t="e">
        <f t="shared" si="33"/>
        <v>#REF!</v>
      </c>
      <c r="K88" s="4" t="e">
        <f t="shared" si="23"/>
        <v>#REF!</v>
      </c>
      <c r="L88" s="4" t="e">
        <f t="shared" si="34"/>
        <v>#REF!</v>
      </c>
      <c r="M88" s="4" t="e">
        <f t="shared" si="24"/>
        <v>#REF!</v>
      </c>
      <c r="N88" s="4" t="e">
        <f t="shared" si="35"/>
        <v>#REF!</v>
      </c>
      <c r="O88" s="4" t="e">
        <f t="shared" si="25"/>
        <v>#REF!</v>
      </c>
      <c r="P88" s="4" t="e">
        <f t="shared" si="36"/>
        <v>#REF!</v>
      </c>
      <c r="Q88" s="4" t="e">
        <f t="shared" si="26"/>
        <v>#REF!</v>
      </c>
      <c r="R88" s="4" t="e">
        <f t="shared" si="37"/>
        <v>#REF!</v>
      </c>
      <c r="S88" s="4" t="e">
        <f t="shared" si="27"/>
        <v>#REF!</v>
      </c>
      <c r="T88" s="4" t="e">
        <f t="shared" si="38"/>
        <v>#REF!</v>
      </c>
      <c r="U88" s="4" t="e">
        <f t="shared" si="28"/>
        <v>#REF!</v>
      </c>
      <c r="V88" s="4" t="e">
        <f t="shared" si="39"/>
        <v>#REF!</v>
      </c>
      <c r="W88" s="4" t="e">
        <f t="shared" si="29"/>
        <v>#REF!</v>
      </c>
    </row>
    <row r="89" spans="1:23" outlineLevel="1">
      <c r="A89">
        <v>83</v>
      </c>
      <c r="B89">
        <f>IFERROR(GETPIVOTDATA("Age_Calc",'Inputs &amp; Calcs'!#REF!,"Age_Calc",Q_Forecast5[[#This Row],[Age]]),0)</f>
        <v>0</v>
      </c>
      <c r="C89" t="e">
        <f>IF(VLOOKUP(Q_Forecast5[[#This Row],[Age]],#REF!,MATCH(DTU_RR,#REF!,0),FALSE)&gt;1,1,VLOOKUP(Q_Forecast5[[#This Row],[Age]],#REF!,MATCH(DTU_RR,#REF!,0),FALSE))</f>
        <v>#REF!</v>
      </c>
      <c r="D89" s="4" t="e">
        <f t="shared" si="20"/>
        <v>#REF!</v>
      </c>
      <c r="E89" s="4" t="e">
        <f t="shared" si="31"/>
        <v>#REF!</v>
      </c>
      <c r="F89" s="4" t="e">
        <f t="shared" si="40"/>
        <v>#REF!</v>
      </c>
      <c r="G89" s="4" t="e">
        <f t="shared" si="30"/>
        <v>#REF!</v>
      </c>
      <c r="H89" s="4" t="e">
        <f t="shared" si="32"/>
        <v>#REF!</v>
      </c>
      <c r="I89" s="4" t="e">
        <f t="shared" si="22"/>
        <v>#REF!</v>
      </c>
      <c r="J89" s="4" t="e">
        <f t="shared" si="33"/>
        <v>#REF!</v>
      </c>
      <c r="K89" s="4" t="e">
        <f t="shared" si="23"/>
        <v>#REF!</v>
      </c>
      <c r="L89" s="4" t="e">
        <f t="shared" si="34"/>
        <v>#REF!</v>
      </c>
      <c r="M89" s="4" t="e">
        <f t="shared" si="24"/>
        <v>#REF!</v>
      </c>
      <c r="N89" s="4" t="e">
        <f t="shared" si="35"/>
        <v>#REF!</v>
      </c>
      <c r="O89" s="4" t="e">
        <f t="shared" si="25"/>
        <v>#REF!</v>
      </c>
      <c r="P89" s="4" t="e">
        <f t="shared" si="36"/>
        <v>#REF!</v>
      </c>
      <c r="Q89" s="4" t="e">
        <f t="shared" si="26"/>
        <v>#REF!</v>
      </c>
      <c r="R89" s="4" t="e">
        <f t="shared" si="37"/>
        <v>#REF!</v>
      </c>
      <c r="S89" s="4" t="e">
        <f t="shared" si="27"/>
        <v>#REF!</v>
      </c>
      <c r="T89" s="4" t="e">
        <f t="shared" si="38"/>
        <v>#REF!</v>
      </c>
      <c r="U89" s="4" t="e">
        <f t="shared" si="28"/>
        <v>#REF!</v>
      </c>
      <c r="V89" s="4" t="e">
        <f t="shared" si="39"/>
        <v>#REF!</v>
      </c>
      <c r="W89" s="4" t="e">
        <f t="shared" si="29"/>
        <v>#REF!</v>
      </c>
    </row>
    <row r="90" spans="1:23" outlineLevel="1">
      <c r="A90">
        <v>84</v>
      </c>
      <c r="B90">
        <f>IFERROR(GETPIVOTDATA("Age_Calc",'Inputs &amp; Calcs'!#REF!,"Age_Calc",Q_Forecast5[[#This Row],[Age]]),0)</f>
        <v>0</v>
      </c>
      <c r="C90" t="e">
        <f>IF(VLOOKUP(Q_Forecast5[[#This Row],[Age]],#REF!,MATCH(DTU_RR,#REF!,0),FALSE)&gt;1,1,VLOOKUP(Q_Forecast5[[#This Row],[Age]],#REF!,MATCH(DTU_RR,#REF!,0),FALSE))</f>
        <v>#REF!</v>
      </c>
      <c r="D90" s="4" t="e">
        <f t="shared" si="20"/>
        <v>#REF!</v>
      </c>
      <c r="E90" s="4" t="e">
        <f t="shared" si="31"/>
        <v>#REF!</v>
      </c>
      <c r="F90" s="4" t="e">
        <f t="shared" si="40"/>
        <v>#REF!</v>
      </c>
      <c r="G90" s="4" t="e">
        <f t="shared" si="30"/>
        <v>#REF!</v>
      </c>
      <c r="H90" s="4" t="e">
        <f t="shared" si="32"/>
        <v>#REF!</v>
      </c>
      <c r="I90" s="4" t="e">
        <f t="shared" si="22"/>
        <v>#REF!</v>
      </c>
      <c r="J90" s="4" t="e">
        <f t="shared" si="33"/>
        <v>#REF!</v>
      </c>
      <c r="K90" s="4" t="e">
        <f t="shared" si="23"/>
        <v>#REF!</v>
      </c>
      <c r="L90" s="4" t="e">
        <f t="shared" si="34"/>
        <v>#REF!</v>
      </c>
      <c r="M90" s="4" t="e">
        <f t="shared" si="24"/>
        <v>#REF!</v>
      </c>
      <c r="N90" s="4" t="e">
        <f t="shared" si="35"/>
        <v>#REF!</v>
      </c>
      <c r="O90" s="4" t="e">
        <f t="shared" si="25"/>
        <v>#REF!</v>
      </c>
      <c r="P90" s="4" t="e">
        <f t="shared" si="36"/>
        <v>#REF!</v>
      </c>
      <c r="Q90" s="4" t="e">
        <f t="shared" si="26"/>
        <v>#REF!</v>
      </c>
      <c r="R90" s="4" t="e">
        <f t="shared" si="37"/>
        <v>#REF!</v>
      </c>
      <c r="S90" s="4" t="e">
        <f t="shared" si="27"/>
        <v>#REF!</v>
      </c>
      <c r="T90" s="4" t="e">
        <f t="shared" si="38"/>
        <v>#REF!</v>
      </c>
      <c r="U90" s="4" t="e">
        <f t="shared" si="28"/>
        <v>#REF!</v>
      </c>
      <c r="V90" s="4" t="e">
        <f t="shared" si="39"/>
        <v>#REF!</v>
      </c>
      <c r="W90" s="4" t="e">
        <f t="shared" si="29"/>
        <v>#REF!</v>
      </c>
    </row>
    <row r="91" spans="1:23" outlineLevel="1">
      <c r="A91">
        <v>85</v>
      </c>
      <c r="B91">
        <f>IFERROR(GETPIVOTDATA("Age_Calc",'Inputs &amp; Calcs'!#REF!,"Age_Calc",Q_Forecast5[[#This Row],[Age]]),0)</f>
        <v>0</v>
      </c>
      <c r="C91" t="e">
        <f>IF(VLOOKUP(Q_Forecast5[[#This Row],[Age]],#REF!,MATCH(DTU_RR,#REF!,0),FALSE)&gt;1,1,VLOOKUP(Q_Forecast5[[#This Row],[Age]],#REF!,MATCH(DTU_RR,#REF!,0),FALSE))</f>
        <v>#REF!</v>
      </c>
      <c r="D91" s="4" t="e">
        <f t="shared" si="20"/>
        <v>#REF!</v>
      </c>
      <c r="E91" s="4" t="e">
        <f t="shared" si="31"/>
        <v>#REF!</v>
      </c>
      <c r="F91" s="4" t="e">
        <f t="shared" si="40"/>
        <v>#REF!</v>
      </c>
      <c r="G91" s="4" t="e">
        <f t="shared" si="30"/>
        <v>#REF!</v>
      </c>
      <c r="H91" s="4" t="e">
        <f t="shared" si="32"/>
        <v>#REF!</v>
      </c>
      <c r="I91" s="4" t="e">
        <f t="shared" si="22"/>
        <v>#REF!</v>
      </c>
      <c r="J91" s="4" t="e">
        <f t="shared" si="33"/>
        <v>#REF!</v>
      </c>
      <c r="K91" s="4" t="e">
        <f t="shared" si="23"/>
        <v>#REF!</v>
      </c>
      <c r="L91" s="4" t="e">
        <f t="shared" si="34"/>
        <v>#REF!</v>
      </c>
      <c r="M91" s="4" t="e">
        <f t="shared" si="24"/>
        <v>#REF!</v>
      </c>
      <c r="N91" s="4" t="e">
        <f t="shared" si="35"/>
        <v>#REF!</v>
      </c>
      <c r="O91" s="4" t="e">
        <f t="shared" si="25"/>
        <v>#REF!</v>
      </c>
      <c r="P91" s="4" t="e">
        <f t="shared" si="36"/>
        <v>#REF!</v>
      </c>
      <c r="Q91" s="4" t="e">
        <f t="shared" si="26"/>
        <v>#REF!</v>
      </c>
      <c r="R91" s="4" t="e">
        <f t="shared" si="37"/>
        <v>#REF!</v>
      </c>
      <c r="S91" s="4" t="e">
        <f t="shared" si="27"/>
        <v>#REF!</v>
      </c>
      <c r="T91" s="4" t="e">
        <f t="shared" si="38"/>
        <v>#REF!</v>
      </c>
      <c r="U91" s="4" t="e">
        <f t="shared" si="28"/>
        <v>#REF!</v>
      </c>
      <c r="V91" s="4" t="e">
        <f t="shared" si="39"/>
        <v>#REF!</v>
      </c>
      <c r="W91" s="4" t="e">
        <f t="shared" si="29"/>
        <v>#REF!</v>
      </c>
    </row>
    <row r="92" spans="1:23" outlineLevel="1">
      <c r="A92">
        <v>86</v>
      </c>
      <c r="B92">
        <f>IFERROR(GETPIVOTDATA("Age_Calc",'Inputs &amp; Calcs'!#REF!,"Age_Calc",Q_Forecast5[[#This Row],[Age]]),0)</f>
        <v>0</v>
      </c>
      <c r="C92" t="e">
        <f>IF(VLOOKUP(Q_Forecast5[[#This Row],[Age]],#REF!,MATCH(DTU_RR,#REF!,0),FALSE)&gt;1,1,VLOOKUP(Q_Forecast5[[#This Row],[Age]],#REF!,MATCH(DTU_RR,#REF!,0),FALSE))</f>
        <v>#REF!</v>
      </c>
      <c r="D92" s="4" t="e">
        <f t="shared" si="20"/>
        <v>#REF!</v>
      </c>
      <c r="E92" s="4" t="e">
        <f t="shared" si="31"/>
        <v>#REF!</v>
      </c>
      <c r="F92" s="4" t="e">
        <f t="shared" si="40"/>
        <v>#REF!</v>
      </c>
      <c r="G92" s="4" t="e">
        <f t="shared" si="30"/>
        <v>#REF!</v>
      </c>
      <c r="H92" s="4" t="e">
        <f t="shared" si="32"/>
        <v>#REF!</v>
      </c>
      <c r="I92" s="4" t="e">
        <f t="shared" si="22"/>
        <v>#REF!</v>
      </c>
      <c r="J92" s="4" t="e">
        <f t="shared" si="33"/>
        <v>#REF!</v>
      </c>
      <c r="K92" s="4" t="e">
        <f t="shared" si="23"/>
        <v>#REF!</v>
      </c>
      <c r="L92" s="4" t="e">
        <f t="shared" si="34"/>
        <v>#REF!</v>
      </c>
      <c r="M92" s="4" t="e">
        <f t="shared" si="24"/>
        <v>#REF!</v>
      </c>
      <c r="N92" s="4" t="e">
        <f t="shared" si="35"/>
        <v>#REF!</v>
      </c>
      <c r="O92" s="4" t="e">
        <f t="shared" si="25"/>
        <v>#REF!</v>
      </c>
      <c r="P92" s="4" t="e">
        <f t="shared" si="36"/>
        <v>#REF!</v>
      </c>
      <c r="Q92" s="4" t="e">
        <f t="shared" si="26"/>
        <v>#REF!</v>
      </c>
      <c r="R92" s="4" t="e">
        <f t="shared" si="37"/>
        <v>#REF!</v>
      </c>
      <c r="S92" s="4" t="e">
        <f t="shared" si="27"/>
        <v>#REF!</v>
      </c>
      <c r="T92" s="4" t="e">
        <f t="shared" si="38"/>
        <v>#REF!</v>
      </c>
      <c r="U92" s="4" t="e">
        <f t="shared" si="28"/>
        <v>#REF!</v>
      </c>
      <c r="V92" s="4" t="e">
        <f t="shared" si="39"/>
        <v>#REF!</v>
      </c>
      <c r="W92" s="4" t="e">
        <f t="shared" si="29"/>
        <v>#REF!</v>
      </c>
    </row>
    <row r="93" spans="1:23" outlineLevel="1">
      <c r="A93">
        <v>87</v>
      </c>
      <c r="B93">
        <f>IFERROR(GETPIVOTDATA("Age_Calc",'Inputs &amp; Calcs'!#REF!,"Age_Calc",Q_Forecast5[[#This Row],[Age]]),0)</f>
        <v>0</v>
      </c>
      <c r="C93" t="e">
        <f>IF(VLOOKUP(Q_Forecast5[[#This Row],[Age]],#REF!,MATCH(DTU_RR,#REF!,0),FALSE)&gt;1,1,VLOOKUP(Q_Forecast5[[#This Row],[Age]],#REF!,MATCH(DTU_RR,#REF!,0),FALSE))</f>
        <v>#REF!</v>
      </c>
      <c r="D93" s="4" t="e">
        <f t="shared" si="20"/>
        <v>#REF!</v>
      </c>
      <c r="E93" s="4" t="e">
        <f t="shared" si="31"/>
        <v>#REF!</v>
      </c>
      <c r="F93" s="4" t="e">
        <f t="shared" si="40"/>
        <v>#REF!</v>
      </c>
      <c r="G93" s="4" t="e">
        <f t="shared" si="30"/>
        <v>#REF!</v>
      </c>
      <c r="H93" s="4" t="e">
        <f t="shared" si="32"/>
        <v>#REF!</v>
      </c>
      <c r="I93" s="4" t="e">
        <f t="shared" si="22"/>
        <v>#REF!</v>
      </c>
      <c r="J93" s="4" t="e">
        <f t="shared" si="33"/>
        <v>#REF!</v>
      </c>
      <c r="K93" s="4" t="e">
        <f t="shared" si="23"/>
        <v>#REF!</v>
      </c>
      <c r="L93" s="4" t="e">
        <f t="shared" si="34"/>
        <v>#REF!</v>
      </c>
      <c r="M93" s="4" t="e">
        <f t="shared" si="24"/>
        <v>#REF!</v>
      </c>
      <c r="N93" s="4" t="e">
        <f t="shared" si="35"/>
        <v>#REF!</v>
      </c>
      <c r="O93" s="4" t="e">
        <f t="shared" si="25"/>
        <v>#REF!</v>
      </c>
      <c r="P93" s="4" t="e">
        <f t="shared" si="36"/>
        <v>#REF!</v>
      </c>
      <c r="Q93" s="4" t="e">
        <f t="shared" si="26"/>
        <v>#REF!</v>
      </c>
      <c r="R93" s="4" t="e">
        <f t="shared" si="37"/>
        <v>#REF!</v>
      </c>
      <c r="S93" s="4" t="e">
        <f t="shared" si="27"/>
        <v>#REF!</v>
      </c>
      <c r="T93" s="4" t="e">
        <f t="shared" si="38"/>
        <v>#REF!</v>
      </c>
      <c r="U93" s="4" t="e">
        <f t="shared" si="28"/>
        <v>#REF!</v>
      </c>
      <c r="V93" s="4" t="e">
        <f t="shared" si="39"/>
        <v>#REF!</v>
      </c>
      <c r="W93" s="4" t="e">
        <f t="shared" si="29"/>
        <v>#REF!</v>
      </c>
    </row>
    <row r="94" spans="1:23" outlineLevel="1">
      <c r="A94">
        <v>88</v>
      </c>
      <c r="B94">
        <f>IFERROR(GETPIVOTDATA("Age_Calc",'Inputs &amp; Calcs'!#REF!,"Age_Calc",Q_Forecast5[[#This Row],[Age]]),0)</f>
        <v>0</v>
      </c>
      <c r="C94" t="e">
        <f>IF(VLOOKUP(Q_Forecast5[[#This Row],[Age]],#REF!,MATCH(DTU_RR,#REF!,0),FALSE)&gt;1,1,VLOOKUP(Q_Forecast5[[#This Row],[Age]],#REF!,MATCH(DTU_RR,#REF!,0),FALSE))</f>
        <v>#REF!</v>
      </c>
      <c r="D94" s="4" t="e">
        <f t="shared" si="20"/>
        <v>#REF!</v>
      </c>
      <c r="E94" s="4" t="e">
        <f t="shared" si="31"/>
        <v>#REF!</v>
      </c>
      <c r="F94" s="4" t="e">
        <f t="shared" si="40"/>
        <v>#REF!</v>
      </c>
      <c r="G94" s="4" t="e">
        <f t="shared" si="30"/>
        <v>#REF!</v>
      </c>
      <c r="H94" s="4" t="e">
        <f t="shared" si="32"/>
        <v>#REF!</v>
      </c>
      <c r="I94" s="4" t="e">
        <f t="shared" si="22"/>
        <v>#REF!</v>
      </c>
      <c r="J94" s="4" t="e">
        <f t="shared" si="33"/>
        <v>#REF!</v>
      </c>
      <c r="K94" s="4" t="e">
        <f t="shared" si="23"/>
        <v>#REF!</v>
      </c>
      <c r="L94" s="4" t="e">
        <f t="shared" si="34"/>
        <v>#REF!</v>
      </c>
      <c r="M94" s="4" t="e">
        <f t="shared" si="24"/>
        <v>#REF!</v>
      </c>
      <c r="N94" s="4" t="e">
        <f t="shared" si="35"/>
        <v>#REF!</v>
      </c>
      <c r="O94" s="4" t="e">
        <f t="shared" si="25"/>
        <v>#REF!</v>
      </c>
      <c r="P94" s="4" t="e">
        <f t="shared" si="36"/>
        <v>#REF!</v>
      </c>
      <c r="Q94" s="4" t="e">
        <f t="shared" si="26"/>
        <v>#REF!</v>
      </c>
      <c r="R94" s="4" t="e">
        <f t="shared" si="37"/>
        <v>#REF!</v>
      </c>
      <c r="S94" s="4" t="e">
        <f t="shared" si="27"/>
        <v>#REF!</v>
      </c>
      <c r="T94" s="4" t="e">
        <f t="shared" si="38"/>
        <v>#REF!</v>
      </c>
      <c r="U94" s="4" t="e">
        <f t="shared" si="28"/>
        <v>#REF!</v>
      </c>
      <c r="V94" s="4" t="e">
        <f t="shared" si="39"/>
        <v>#REF!</v>
      </c>
      <c r="W94" s="4" t="e">
        <f t="shared" si="29"/>
        <v>#REF!</v>
      </c>
    </row>
    <row r="95" spans="1:23" outlineLevel="1">
      <c r="A95">
        <v>89</v>
      </c>
      <c r="B95">
        <f>IFERROR(GETPIVOTDATA("Age_Calc",'Inputs &amp; Calcs'!#REF!,"Age_Calc",Q_Forecast5[[#This Row],[Age]]),0)</f>
        <v>0</v>
      </c>
      <c r="C95" t="e">
        <f>IF(VLOOKUP(Q_Forecast5[[#This Row],[Age]],#REF!,MATCH(DTU_RR,#REF!,0),FALSE)&gt;1,1,VLOOKUP(Q_Forecast5[[#This Row],[Age]],#REF!,MATCH(DTU_RR,#REF!,0),FALSE))</f>
        <v>#REF!</v>
      </c>
      <c r="D95" s="4" t="e">
        <f t="shared" si="20"/>
        <v>#REF!</v>
      </c>
      <c r="E95" s="4" t="e">
        <f t="shared" si="31"/>
        <v>#REF!</v>
      </c>
      <c r="F95" s="4" t="e">
        <f t="shared" si="40"/>
        <v>#REF!</v>
      </c>
      <c r="G95" s="4" t="e">
        <f t="shared" si="30"/>
        <v>#REF!</v>
      </c>
      <c r="H95" s="4" t="e">
        <f t="shared" si="32"/>
        <v>#REF!</v>
      </c>
      <c r="I95" s="4" t="e">
        <f t="shared" si="22"/>
        <v>#REF!</v>
      </c>
      <c r="J95" s="4" t="e">
        <f t="shared" si="33"/>
        <v>#REF!</v>
      </c>
      <c r="K95" s="4" t="e">
        <f t="shared" si="23"/>
        <v>#REF!</v>
      </c>
      <c r="L95" s="4" t="e">
        <f t="shared" si="34"/>
        <v>#REF!</v>
      </c>
      <c r="M95" s="4" t="e">
        <f t="shared" si="24"/>
        <v>#REF!</v>
      </c>
      <c r="N95" s="4" t="e">
        <f t="shared" si="35"/>
        <v>#REF!</v>
      </c>
      <c r="O95" s="4" t="e">
        <f t="shared" si="25"/>
        <v>#REF!</v>
      </c>
      <c r="P95" s="4" t="e">
        <f t="shared" si="36"/>
        <v>#REF!</v>
      </c>
      <c r="Q95" s="4" t="e">
        <f t="shared" si="26"/>
        <v>#REF!</v>
      </c>
      <c r="R95" s="4" t="e">
        <f t="shared" si="37"/>
        <v>#REF!</v>
      </c>
      <c r="S95" s="4" t="e">
        <f t="shared" si="27"/>
        <v>#REF!</v>
      </c>
      <c r="T95" s="4" t="e">
        <f t="shared" si="38"/>
        <v>#REF!</v>
      </c>
      <c r="U95" s="4" t="e">
        <f t="shared" si="28"/>
        <v>#REF!</v>
      </c>
      <c r="V95" s="4" t="e">
        <f t="shared" si="39"/>
        <v>#REF!</v>
      </c>
      <c r="W95" s="4" t="e">
        <f t="shared" si="29"/>
        <v>#REF!</v>
      </c>
    </row>
    <row r="96" spans="1:23" outlineLevel="1">
      <c r="A96">
        <v>90</v>
      </c>
      <c r="B96">
        <f>IFERROR(GETPIVOTDATA("Age_Calc",'Inputs &amp; Calcs'!#REF!,"Age_Calc",Q_Forecast5[[#This Row],[Age]]),0)</f>
        <v>0</v>
      </c>
      <c r="C96" t="e">
        <f>IF(VLOOKUP(Q_Forecast5[[#This Row],[Age]],#REF!,MATCH(DTU_RR,#REF!,0),FALSE)&gt;1,1,VLOOKUP(Q_Forecast5[[#This Row],[Age]],#REF!,MATCH(DTU_RR,#REF!,0),FALSE))</f>
        <v>#REF!</v>
      </c>
      <c r="D96" s="4" t="e">
        <f t="shared" si="20"/>
        <v>#REF!</v>
      </c>
      <c r="E96" s="4" t="e">
        <f t="shared" si="31"/>
        <v>#REF!</v>
      </c>
      <c r="F96" s="4" t="e">
        <f t="shared" si="40"/>
        <v>#REF!</v>
      </c>
      <c r="G96" s="4" t="e">
        <f t="shared" si="30"/>
        <v>#REF!</v>
      </c>
      <c r="H96" s="4" t="e">
        <f t="shared" si="32"/>
        <v>#REF!</v>
      </c>
      <c r="I96" s="4" t="e">
        <f t="shared" si="22"/>
        <v>#REF!</v>
      </c>
      <c r="J96" s="4" t="e">
        <f t="shared" si="33"/>
        <v>#REF!</v>
      </c>
      <c r="K96" s="4" t="e">
        <f t="shared" si="23"/>
        <v>#REF!</v>
      </c>
      <c r="L96" s="4" t="e">
        <f t="shared" si="34"/>
        <v>#REF!</v>
      </c>
      <c r="M96" s="4" t="e">
        <f t="shared" si="24"/>
        <v>#REF!</v>
      </c>
      <c r="N96" s="4" t="e">
        <f t="shared" si="35"/>
        <v>#REF!</v>
      </c>
      <c r="O96" s="4" t="e">
        <f t="shared" si="25"/>
        <v>#REF!</v>
      </c>
      <c r="P96" s="4" t="e">
        <f t="shared" si="36"/>
        <v>#REF!</v>
      </c>
      <c r="Q96" s="4" t="e">
        <f t="shared" si="26"/>
        <v>#REF!</v>
      </c>
      <c r="R96" s="4" t="e">
        <f t="shared" si="37"/>
        <v>#REF!</v>
      </c>
      <c r="S96" s="4" t="e">
        <f t="shared" si="27"/>
        <v>#REF!</v>
      </c>
      <c r="T96" s="4" t="e">
        <f t="shared" si="38"/>
        <v>#REF!</v>
      </c>
      <c r="U96" s="4" t="e">
        <f t="shared" si="28"/>
        <v>#REF!</v>
      </c>
      <c r="V96" s="4" t="e">
        <f t="shared" si="39"/>
        <v>#REF!</v>
      </c>
      <c r="W96" s="4" t="e">
        <f t="shared" si="29"/>
        <v>#REF!</v>
      </c>
    </row>
    <row r="97" spans="1:23" outlineLevel="1">
      <c r="A97">
        <v>91</v>
      </c>
      <c r="B97">
        <f>IFERROR(GETPIVOTDATA("Age_Calc",'Inputs &amp; Calcs'!#REF!,"Age_Calc",Q_Forecast5[[#This Row],[Age]]),0)</f>
        <v>0</v>
      </c>
      <c r="C97" t="e">
        <f>IF(VLOOKUP(Q_Forecast5[[#This Row],[Age]],#REF!,MATCH(DTU_RR,#REF!,0),FALSE)&gt;1,1,VLOOKUP(Q_Forecast5[[#This Row],[Age]],#REF!,MATCH(DTU_RR,#REF!,0),FALSE))</f>
        <v>#REF!</v>
      </c>
      <c r="D97" s="4" t="e">
        <f t="shared" si="20"/>
        <v>#REF!</v>
      </c>
      <c r="E97" s="4" t="e">
        <f t="shared" si="31"/>
        <v>#REF!</v>
      </c>
      <c r="F97" s="4" t="e">
        <f t="shared" si="40"/>
        <v>#REF!</v>
      </c>
      <c r="G97" s="4" t="e">
        <f t="shared" si="30"/>
        <v>#REF!</v>
      </c>
      <c r="H97" s="4" t="e">
        <f t="shared" si="32"/>
        <v>#REF!</v>
      </c>
      <c r="I97" s="4" t="e">
        <f t="shared" si="22"/>
        <v>#REF!</v>
      </c>
      <c r="J97" s="4" t="e">
        <f t="shared" si="33"/>
        <v>#REF!</v>
      </c>
      <c r="K97" s="4" t="e">
        <f t="shared" si="23"/>
        <v>#REF!</v>
      </c>
      <c r="L97" s="4" t="e">
        <f t="shared" si="34"/>
        <v>#REF!</v>
      </c>
      <c r="M97" s="4" t="e">
        <f t="shared" si="24"/>
        <v>#REF!</v>
      </c>
      <c r="N97" s="4" t="e">
        <f t="shared" si="35"/>
        <v>#REF!</v>
      </c>
      <c r="O97" s="4" t="e">
        <f t="shared" si="25"/>
        <v>#REF!</v>
      </c>
      <c r="P97" s="4" t="e">
        <f t="shared" si="36"/>
        <v>#REF!</v>
      </c>
      <c r="Q97" s="4" t="e">
        <f t="shared" si="26"/>
        <v>#REF!</v>
      </c>
      <c r="R97" s="4" t="e">
        <f t="shared" si="37"/>
        <v>#REF!</v>
      </c>
      <c r="S97" s="4" t="e">
        <f t="shared" si="27"/>
        <v>#REF!</v>
      </c>
      <c r="T97" s="4" t="e">
        <f t="shared" si="38"/>
        <v>#REF!</v>
      </c>
      <c r="U97" s="4" t="e">
        <f t="shared" si="28"/>
        <v>#REF!</v>
      </c>
      <c r="V97" s="4" t="e">
        <f t="shared" si="39"/>
        <v>#REF!</v>
      </c>
      <c r="W97" s="4" t="e">
        <f t="shared" si="29"/>
        <v>#REF!</v>
      </c>
    </row>
    <row r="98" spans="1:23">
      <c r="A98" t="s">
        <v>40</v>
      </c>
      <c r="B98" s="1">
        <f>SUM(Q_Forecast5[No of Assets])</f>
        <v>0</v>
      </c>
      <c r="C98" s="1"/>
      <c r="D98" s="4" t="e">
        <f>SUM(Q_Forecast5[Renew 14/15])</f>
        <v>#REF!</v>
      </c>
      <c r="E98" s="4" t="e">
        <f>SUM(Q_Forecast5[Surv 14/15])</f>
        <v>#REF!</v>
      </c>
      <c r="F98" s="4" t="e">
        <f>SUM(Q_Forecast5[Renew 15/16])</f>
        <v>#REF!</v>
      </c>
      <c r="G98" s="4" t="e">
        <f>SUM(Q_Forecast5[Surv 15/16])</f>
        <v>#REF!</v>
      </c>
      <c r="H98" s="4" t="e">
        <f>SUM(Q_Forecast5[Renew 16/17])</f>
        <v>#REF!</v>
      </c>
      <c r="I98" s="4" t="e">
        <f>SUM(Q_Forecast5[Surv 16/17])</f>
        <v>#REF!</v>
      </c>
      <c r="J98" s="4" t="e">
        <f>SUM(Q_Forecast5[Renew 17/18])</f>
        <v>#REF!</v>
      </c>
      <c r="K98" s="4" t="e">
        <f>SUM(Q_Forecast5[Surv 17/18])</f>
        <v>#REF!</v>
      </c>
      <c r="L98" s="4" t="e">
        <f>SUM(Q_Forecast5[Renew 18/19])</f>
        <v>#REF!</v>
      </c>
      <c r="M98" s="4" t="e">
        <f>SUM(Q_Forecast5[Surv 18/19])</f>
        <v>#REF!</v>
      </c>
      <c r="N98" s="4" t="e">
        <f>SUM(Q_Forecast5[Renew 19/20])</f>
        <v>#REF!</v>
      </c>
      <c r="O98" s="4" t="e">
        <f>SUM(Q_Forecast5[Surv 19/20])</f>
        <v>#REF!</v>
      </c>
      <c r="P98" s="4" t="e">
        <f>SUM(Q_Forecast5[Renew 20/21])</f>
        <v>#REF!</v>
      </c>
      <c r="Q98" s="4" t="e">
        <f>SUM(Q_Forecast5[Surv 20/21])</f>
        <v>#REF!</v>
      </c>
      <c r="R98" s="4" t="e">
        <f>SUM(Q_Forecast5[Renew 21/22])</f>
        <v>#REF!</v>
      </c>
      <c r="S98" s="4" t="e">
        <f>SUM(Q_Forecast5[Surv 21/22])</f>
        <v>#REF!</v>
      </c>
      <c r="T98" s="4" t="e">
        <f>SUM(Q_Forecast5[Renew 22/23])</f>
        <v>#REF!</v>
      </c>
      <c r="U98" s="4" t="e">
        <f>SUM(Q_Forecast5[Surv 22/23])</f>
        <v>#REF!</v>
      </c>
      <c r="V98" s="4" t="e">
        <f>SUM(Q_Forecast5[Renew 23/24])</f>
        <v>#REF!</v>
      </c>
      <c r="W98" s="4" t="e">
        <f>SUM(Q_Forecast5[Surv 22/232])</f>
        <v>#REF!</v>
      </c>
    </row>
    <row r="99" spans="1:23">
      <c r="E99" s="4"/>
      <c r="F99" s="4"/>
    </row>
    <row r="100" spans="1:23">
      <c r="A100" s="8" t="s">
        <v>38</v>
      </c>
      <c r="E100" s="4"/>
      <c r="F100" s="4"/>
    </row>
    <row r="101" spans="1:23">
      <c r="A101" s="6" t="s">
        <v>39</v>
      </c>
      <c r="B101" s="6" t="s">
        <v>26</v>
      </c>
      <c r="C101" s="6" t="s">
        <v>27</v>
      </c>
      <c r="D101" s="6" t="s">
        <v>28</v>
      </c>
      <c r="E101" s="7" t="s">
        <v>29</v>
      </c>
      <c r="F101" s="7" t="s">
        <v>30</v>
      </c>
      <c r="G101" s="7" t="s">
        <v>31</v>
      </c>
      <c r="H101" s="7" t="s">
        <v>32</v>
      </c>
      <c r="I101" s="7" t="s">
        <v>33</v>
      </c>
      <c r="J101" s="7" t="s">
        <v>34</v>
      </c>
      <c r="K101" s="7" t="s">
        <v>35</v>
      </c>
      <c r="L101" s="4"/>
      <c r="M101" s="4"/>
      <c r="N101" s="4"/>
      <c r="O101" s="4"/>
      <c r="P101" s="4"/>
      <c r="Q101" s="4"/>
      <c r="R101" s="4"/>
      <c r="S101" s="4"/>
      <c r="T101" s="4"/>
      <c r="U101" s="4"/>
      <c r="V101" s="4"/>
      <c r="W101" s="4"/>
    </row>
    <row r="102" spans="1:23">
      <c r="A102" s="6" t="s">
        <v>36</v>
      </c>
      <c r="B102" s="5" t="e">
        <f>Q_Forecast5[[#Totals],[Renew 14/15]]</f>
        <v>#REF!</v>
      </c>
      <c r="C102" s="5" t="e">
        <f>Q_Forecast5[[#Totals],[Renew 15/16]]</f>
        <v>#REF!</v>
      </c>
      <c r="D102" s="5" t="e">
        <f>Q_Forecast5[[#Totals],[Renew 16/17]]</f>
        <v>#REF!</v>
      </c>
      <c r="E102" s="5" t="e">
        <f>Q_Forecast5[[#Totals],[Renew 17/18]]</f>
        <v>#REF!</v>
      </c>
      <c r="F102" s="5" t="e">
        <f>Q_Forecast5[[#Totals],[Renew 18/19]]</f>
        <v>#REF!</v>
      </c>
      <c r="G102" s="5" t="e">
        <f>Q_Forecast5[[#Totals],[Renew 19/20]]</f>
        <v>#REF!</v>
      </c>
      <c r="H102" s="5" t="e">
        <f>Q_Forecast5[[#Totals],[Renew 20/21]]</f>
        <v>#REF!</v>
      </c>
      <c r="I102" s="5" t="e">
        <f>Q_Forecast5[[#Totals],[Renew 21/22]]</f>
        <v>#REF!</v>
      </c>
      <c r="J102" s="5" t="e">
        <f>Q_Forecast5[[#Totals],[Renew 22/23]]</f>
        <v>#REF!</v>
      </c>
      <c r="K102" s="5" t="e">
        <f>Q_Forecast5[[#Totals],[Renew 23/24]]</f>
        <v>#REF!</v>
      </c>
      <c r="L102" s="4"/>
      <c r="N102" s="4"/>
      <c r="P102" s="4"/>
      <c r="R102" s="4"/>
      <c r="T102" s="4"/>
      <c r="V102" s="4"/>
    </row>
    <row r="103" spans="1:23">
      <c r="A103" s="6" t="s">
        <v>37</v>
      </c>
      <c r="B103" s="10" t="e">
        <f t="shared" ref="B103:J103" si="41">B102*Unit_Cost</f>
        <v>#REF!</v>
      </c>
      <c r="C103" s="10" t="e">
        <f t="shared" si="41"/>
        <v>#REF!</v>
      </c>
      <c r="D103" s="10" t="e">
        <f t="shared" si="41"/>
        <v>#REF!</v>
      </c>
      <c r="E103" s="10" t="e">
        <f t="shared" si="41"/>
        <v>#REF!</v>
      </c>
      <c r="F103" s="10" t="e">
        <f t="shared" si="41"/>
        <v>#REF!</v>
      </c>
      <c r="G103" s="10" t="e">
        <f t="shared" si="41"/>
        <v>#REF!</v>
      </c>
      <c r="H103" s="10" t="e">
        <f t="shared" si="41"/>
        <v>#REF!</v>
      </c>
      <c r="I103" s="10" t="e">
        <f t="shared" si="41"/>
        <v>#REF!</v>
      </c>
      <c r="J103" s="10" t="e">
        <f t="shared" si="41"/>
        <v>#REF!</v>
      </c>
      <c r="K103" s="10" t="e">
        <f>K102*Unit_Cost</f>
        <v>#REF!</v>
      </c>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'Inputs &amp; Calcs'!#REF!</xm:f>
          </x14:formula1>
          <xm:sqref>B1</xm:sqref>
        </x14:dataValidation>
        <x14:dataValidation type="list" allowBlank="1" showInputMessage="1" showErrorMessage="1">
          <x14:formula1>
            <xm:f>'Inputs &amp; Calcs'!$C$114:$Y$114</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pageSetUpPr fitToPage="1"/>
  </sheetPr>
  <dimension ref="A1:AD83"/>
  <sheetViews>
    <sheetView showGridLines="0" topLeftCell="A46" zoomScale="80" zoomScaleNormal="80" workbookViewId="0">
      <selection activeCell="O17" sqref="O17"/>
    </sheetView>
  </sheetViews>
  <sheetFormatPr defaultRowHeight="14.25"/>
  <cols>
    <col min="1" max="1" width="36.85546875" style="12" customWidth="1"/>
    <col min="2" max="2" width="14.140625" style="12" customWidth="1"/>
    <col min="3" max="4" width="13.28515625" style="12" bestFit="1" customWidth="1"/>
    <col min="5" max="5" width="13.42578125" style="12" customWidth="1"/>
    <col min="6" max="6" width="13.28515625" style="12" bestFit="1" customWidth="1"/>
    <col min="7" max="7" width="14.140625" style="12" customWidth="1"/>
    <col min="8" max="21" width="15.28515625" style="12" customWidth="1"/>
    <col min="22" max="27" width="14.42578125" style="12" customWidth="1"/>
    <col min="28" max="30" width="13" style="12" bestFit="1" customWidth="1"/>
    <col min="31" max="16384" width="9.140625" style="12"/>
  </cols>
  <sheetData>
    <row r="1" spans="1:30" ht="27.75" customHeight="1">
      <c r="A1" s="41" t="s">
        <v>67</v>
      </c>
      <c r="B1" s="42"/>
      <c r="C1" s="42"/>
      <c r="D1" s="42"/>
      <c r="E1" s="42"/>
      <c r="F1" s="42"/>
      <c r="G1" s="42"/>
      <c r="H1" s="42"/>
      <c r="I1" s="42"/>
      <c r="J1" s="42"/>
      <c r="K1" s="42"/>
      <c r="L1" s="42"/>
      <c r="M1" s="42"/>
      <c r="N1" s="42"/>
      <c r="O1" s="42"/>
      <c r="P1" s="42"/>
      <c r="Q1" s="42"/>
      <c r="R1" s="42"/>
      <c r="S1" s="42"/>
      <c r="T1" s="42"/>
      <c r="U1" s="42"/>
      <c r="V1" s="42"/>
      <c r="W1" s="42"/>
      <c r="X1" s="42"/>
      <c r="Y1" s="42"/>
      <c r="Z1" s="42"/>
      <c r="AA1" s="42"/>
    </row>
    <row r="2" spans="1:30">
      <c r="Q2" s="64"/>
      <c r="R2" s="64"/>
      <c r="S2" s="64"/>
      <c r="T2" s="64"/>
      <c r="U2" s="64"/>
      <c r="V2" s="64"/>
      <c r="W2" s="64"/>
      <c r="X2" s="64"/>
      <c r="Y2" s="64"/>
      <c r="Z2" s="64"/>
      <c r="AA2" s="64"/>
    </row>
    <row r="3" spans="1:30" s="64" customFormat="1" ht="18">
      <c r="A3" s="63" t="s">
        <v>103</v>
      </c>
      <c r="B3" s="42"/>
      <c r="C3" s="42"/>
      <c r="D3" s="42"/>
      <c r="E3" s="42"/>
      <c r="F3" s="42"/>
      <c r="G3" s="42"/>
      <c r="H3" s="42"/>
      <c r="I3" s="42"/>
      <c r="J3" s="42"/>
      <c r="K3" s="42"/>
      <c r="L3" s="42"/>
      <c r="M3" s="42"/>
      <c r="N3" s="42"/>
      <c r="O3" s="42"/>
      <c r="P3" s="42"/>
      <c r="Q3" s="42"/>
      <c r="R3" s="42"/>
      <c r="S3" s="42"/>
      <c r="T3" s="42"/>
      <c r="U3" s="42"/>
      <c r="V3" s="42"/>
      <c r="W3" s="42"/>
      <c r="X3" s="42"/>
      <c r="Y3" s="42"/>
      <c r="Z3" s="42"/>
      <c r="AA3" s="42"/>
      <c r="AB3" s="76"/>
      <c r="AC3" s="76"/>
      <c r="AD3" s="76"/>
    </row>
    <row r="4" spans="1:30" s="64" customFormat="1" ht="15">
      <c r="A4" s="76"/>
      <c r="B4" s="76"/>
      <c r="C4" s="76"/>
      <c r="D4" s="76"/>
      <c r="E4" s="76"/>
      <c r="F4" s="76"/>
      <c r="G4" s="76"/>
      <c r="H4" s="76"/>
      <c r="I4" s="76"/>
      <c r="J4" s="76"/>
      <c r="K4" s="76"/>
      <c r="L4" s="76"/>
      <c r="M4" s="76"/>
      <c r="N4" s="76"/>
      <c r="O4" s="76"/>
      <c r="P4" s="76"/>
      <c r="Q4" s="76"/>
      <c r="R4" s="76"/>
      <c r="S4" s="76"/>
      <c r="T4" s="76"/>
      <c r="U4" s="76"/>
      <c r="V4" s="76"/>
      <c r="W4" s="76"/>
      <c r="X4" s="76"/>
      <c r="Y4" s="76"/>
      <c r="Z4" s="76"/>
    </row>
    <row r="5" spans="1:30" s="64" customFormat="1" ht="18">
      <c r="A5" s="61" t="s">
        <v>101</v>
      </c>
      <c r="B5" s="76"/>
      <c r="C5" s="76"/>
      <c r="D5" s="76"/>
      <c r="E5" s="76"/>
      <c r="F5" s="76"/>
      <c r="G5" s="76"/>
      <c r="H5" s="76"/>
      <c r="I5" s="76"/>
      <c r="J5" s="76"/>
      <c r="K5" s="76"/>
      <c r="L5" s="76"/>
      <c r="M5" s="76"/>
      <c r="N5" s="76"/>
      <c r="O5" s="76"/>
      <c r="P5" s="76"/>
      <c r="Q5" s="76"/>
      <c r="R5" s="76"/>
      <c r="S5" s="76"/>
      <c r="T5" s="76"/>
      <c r="U5" s="76"/>
      <c r="V5" s="76"/>
      <c r="W5" s="76"/>
      <c r="X5" s="76"/>
      <c r="Y5" s="76"/>
      <c r="Z5" s="76"/>
    </row>
    <row r="6" spans="1:30" s="64" customFormat="1" ht="15">
      <c r="A6" s="76" t="s">
        <v>166</v>
      </c>
      <c r="B6" s="76"/>
      <c r="C6" s="76"/>
      <c r="D6" s="76"/>
      <c r="E6" s="76"/>
      <c r="F6" s="76"/>
      <c r="G6" s="76"/>
      <c r="H6" s="76"/>
      <c r="I6" s="76"/>
      <c r="J6" s="76"/>
      <c r="K6" s="76"/>
      <c r="L6" s="76"/>
      <c r="M6" s="76"/>
      <c r="N6" s="76"/>
      <c r="O6" s="76"/>
      <c r="P6" s="76"/>
      <c r="Q6" s="76"/>
      <c r="R6" s="76"/>
      <c r="S6" s="76"/>
      <c r="T6" s="76"/>
      <c r="U6" s="76"/>
      <c r="V6" s="76"/>
      <c r="W6" s="76"/>
      <c r="X6" s="76"/>
      <c r="Y6" s="76"/>
      <c r="Z6" s="76"/>
    </row>
    <row r="7" spans="1:30" s="64" customFormat="1" ht="15">
      <c r="A7" s="76"/>
      <c r="B7" s="76"/>
      <c r="C7" s="76"/>
      <c r="D7" s="76"/>
      <c r="E7" s="76"/>
      <c r="F7" s="76"/>
      <c r="G7" s="76"/>
      <c r="H7" s="76"/>
      <c r="I7" s="76"/>
      <c r="J7" s="76"/>
      <c r="K7" s="76"/>
      <c r="L7" s="76"/>
      <c r="M7" s="76"/>
      <c r="N7" s="76"/>
      <c r="O7" s="76"/>
      <c r="P7" s="76"/>
      <c r="Q7" s="76"/>
      <c r="R7" s="76"/>
      <c r="S7" s="76"/>
      <c r="T7" s="76"/>
      <c r="U7" s="76"/>
      <c r="V7" s="76"/>
      <c r="W7" s="76"/>
      <c r="X7" s="76"/>
      <c r="Y7" s="76"/>
      <c r="Z7" s="76"/>
    </row>
    <row r="8" spans="1:30" s="64" customFormat="1" ht="15">
      <c r="A8" s="43" t="s">
        <v>88</v>
      </c>
      <c r="D8" s="134"/>
      <c r="E8" s="134"/>
      <c r="F8" s="139"/>
      <c r="G8" s="140"/>
      <c r="H8" s="141" t="s">
        <v>212</v>
      </c>
      <c r="I8" s="140"/>
      <c r="J8" s="142"/>
      <c r="K8" s="76"/>
      <c r="L8" s="76"/>
      <c r="M8" s="76"/>
      <c r="N8" s="76"/>
      <c r="O8" s="76"/>
      <c r="P8" s="76"/>
      <c r="Q8" s="76"/>
      <c r="R8" s="76"/>
      <c r="S8" s="76"/>
      <c r="T8" s="76"/>
      <c r="U8" s="76"/>
      <c r="V8" s="76"/>
      <c r="W8" s="76"/>
      <c r="X8" s="76"/>
      <c r="Y8" s="76"/>
      <c r="Z8" s="76"/>
    </row>
    <row r="9" spans="1:30" s="64" customFormat="1" ht="15">
      <c r="A9" s="143" t="s">
        <v>70</v>
      </c>
      <c r="B9" s="143" t="s">
        <v>119</v>
      </c>
      <c r="C9" s="143" t="s">
        <v>121</v>
      </c>
      <c r="D9" s="181">
        <v>2017</v>
      </c>
      <c r="E9" s="181">
        <v>2018</v>
      </c>
      <c r="F9" s="182">
        <v>2019</v>
      </c>
      <c r="G9" s="181">
        <v>2020</v>
      </c>
      <c r="H9" s="181">
        <v>2021</v>
      </c>
      <c r="I9" s="181">
        <v>2022</v>
      </c>
      <c r="J9" s="183">
        <v>2023</v>
      </c>
      <c r="K9" s="181">
        <v>2024</v>
      </c>
      <c r="L9" s="181">
        <v>2025</v>
      </c>
      <c r="M9" s="181">
        <v>2026</v>
      </c>
      <c r="N9" s="181">
        <v>2027</v>
      </c>
      <c r="O9" s="76"/>
      <c r="P9" s="76"/>
      <c r="Q9" s="76"/>
      <c r="R9" s="76"/>
      <c r="S9" s="76"/>
      <c r="T9" s="76"/>
      <c r="U9" s="76"/>
      <c r="V9" s="76"/>
      <c r="W9" s="76"/>
      <c r="X9" s="76"/>
      <c r="Y9" s="76"/>
      <c r="Z9" s="76"/>
    </row>
    <row r="10" spans="1:30" s="64" customFormat="1" ht="15">
      <c r="A10" s="88" t="str">
        <f>'Inputs &amp; Calcs'!A162</f>
        <v>Overhead Structures</v>
      </c>
      <c r="B10" s="88" t="str">
        <f>'Inputs &amp; Calcs'!B162</f>
        <v>Poles</v>
      </c>
      <c r="C10" s="88" t="str">
        <f>'Inputs &amp; Calcs'!C162</f>
        <v>Low Voltage</v>
      </c>
      <c r="D10" s="105">
        <f>(('Inputs &amp; Calcs'!$F39*'Inputs &amp; Calcs'!D69)+('Inputs &amp; Calcs'!$D39*(1-'Inputs &amp; Calcs'!D69)))</f>
        <v>5.0600000000000005E-4</v>
      </c>
      <c r="E10" s="105">
        <f>(('Inputs &amp; Calcs'!$F39*'Inputs &amp; Calcs'!E69)+('Inputs &amp; Calcs'!$D39*(1-'Inputs &amp; Calcs'!E69)))</f>
        <v>5.0600000000000005E-4</v>
      </c>
      <c r="F10" s="105">
        <f>(('Inputs &amp; Calcs'!$F39*'Inputs &amp; Calcs'!F69)+('Inputs &amp; Calcs'!$D39*(1-'Inputs &amp; Calcs'!F69)))</f>
        <v>5.0600000000000005E-4</v>
      </c>
      <c r="G10" s="105">
        <f>(('Inputs &amp; Calcs'!$F39*'Inputs &amp; Calcs'!G69)+('Inputs &amp; Calcs'!$D39*(1-'Inputs &amp; Calcs'!G69)))</f>
        <v>5.0600000000000005E-4</v>
      </c>
      <c r="H10" s="105">
        <f>(('Inputs &amp; Calcs'!$F39*'Inputs &amp; Calcs'!H69)+('Inputs &amp; Calcs'!$D39*(1-'Inputs &amp; Calcs'!H69)))</f>
        <v>5.0600000000000005E-4</v>
      </c>
      <c r="I10" s="105">
        <f>(('Inputs &amp; Calcs'!$F39*'Inputs &amp; Calcs'!I69)+('Inputs &amp; Calcs'!$D39*(1-'Inputs &amp; Calcs'!I69)))</f>
        <v>5.0600000000000005E-4</v>
      </c>
      <c r="J10" s="105">
        <f>(('Inputs &amp; Calcs'!$F39*'Inputs &amp; Calcs'!J69)+('Inputs &amp; Calcs'!$D39*(1-'Inputs &amp; Calcs'!J69)))</f>
        <v>5.0600000000000005E-4</v>
      </c>
      <c r="K10" s="105">
        <f>(('Inputs &amp; Calcs'!$F39*'Inputs &amp; Calcs'!K69)+('Inputs &amp; Calcs'!$D39*(1-'Inputs &amp; Calcs'!K69)))</f>
        <v>5.0600000000000005E-4</v>
      </c>
      <c r="L10" s="105">
        <f>(('Inputs &amp; Calcs'!$F39*'Inputs &amp; Calcs'!L69)+('Inputs &amp; Calcs'!$D39*(1-'Inputs &amp; Calcs'!L69)))</f>
        <v>5.0600000000000005E-4</v>
      </c>
      <c r="M10" s="105">
        <f>(('Inputs &amp; Calcs'!$F39*'Inputs &amp; Calcs'!M69)+('Inputs &amp; Calcs'!$D39*(1-'Inputs &amp; Calcs'!M69)))</f>
        <v>5.0600000000000005E-4</v>
      </c>
      <c r="N10" s="105">
        <f>(('Inputs &amp; Calcs'!$F39*'Inputs &amp; Calcs'!N69)+('Inputs &amp; Calcs'!$D39*(1-'Inputs &amp; Calcs'!N69)))</f>
        <v>5.0600000000000005E-4</v>
      </c>
      <c r="O10" s="76"/>
      <c r="P10" s="76"/>
      <c r="Q10" s="76"/>
      <c r="R10" s="76"/>
      <c r="S10" s="76"/>
      <c r="T10" s="76"/>
      <c r="U10" s="76"/>
      <c r="V10" s="76"/>
      <c r="W10" s="76"/>
      <c r="X10" s="76"/>
      <c r="Y10" s="76"/>
      <c r="Z10" s="76"/>
    </row>
    <row r="11" spans="1:30" s="64" customFormat="1" ht="15">
      <c r="A11" s="88" t="str">
        <f>'Inputs &amp; Calcs'!A163</f>
        <v>Overhead Structures</v>
      </c>
      <c r="B11" s="88" t="str">
        <f>'Inputs &amp; Calcs'!B163</f>
        <v>Poles</v>
      </c>
      <c r="C11" s="88" t="str">
        <f>'Inputs &amp; Calcs'!C163</f>
        <v>Distribution</v>
      </c>
      <c r="D11" s="105">
        <f>(('Inputs &amp; Calcs'!$F40*'Inputs &amp; Calcs'!D70)+('Inputs &amp; Calcs'!$D40*(1-'Inputs &amp; Calcs'!D70)))</f>
        <v>5.5593999999999991E-3</v>
      </c>
      <c r="E11" s="105">
        <f>(('Inputs &amp; Calcs'!$F40*'Inputs &amp; Calcs'!E70)+('Inputs &amp; Calcs'!$D40*(1-'Inputs &amp; Calcs'!E70)))</f>
        <v>5.9659999999999999E-3</v>
      </c>
      <c r="F11" s="105">
        <f>(('Inputs &amp; Calcs'!$F40*'Inputs &amp; Calcs'!F70)+('Inputs &amp; Calcs'!$D40*(1-'Inputs &amp; Calcs'!F70)))</f>
        <v>5.9659999999999999E-3</v>
      </c>
      <c r="G11" s="105">
        <f>(('Inputs &amp; Calcs'!$F40*'Inputs &amp; Calcs'!G70)+('Inputs &amp; Calcs'!$D40*(1-'Inputs &amp; Calcs'!G70)))</f>
        <v>5.5593999999999991E-3</v>
      </c>
      <c r="H11" s="105">
        <f>(('Inputs &amp; Calcs'!$F40*'Inputs &amp; Calcs'!H70)+('Inputs &amp; Calcs'!$D40*(1-'Inputs &amp; Calcs'!H70)))</f>
        <v>5.5593999999999991E-3</v>
      </c>
      <c r="I11" s="105">
        <f>(('Inputs &amp; Calcs'!$F40*'Inputs &amp; Calcs'!I70)+('Inputs &amp; Calcs'!$D40*(1-'Inputs &amp; Calcs'!I70)))</f>
        <v>5.5593999999999991E-3</v>
      </c>
      <c r="J11" s="105">
        <f>(('Inputs &amp; Calcs'!$F40*'Inputs &amp; Calcs'!J70)+('Inputs &amp; Calcs'!$D40*(1-'Inputs &amp; Calcs'!J70)))</f>
        <v>5.5593999999999991E-3</v>
      </c>
      <c r="K11" s="105">
        <f>(('Inputs &amp; Calcs'!$F40*'Inputs &amp; Calcs'!K70)+('Inputs &amp; Calcs'!$D40*(1-'Inputs &amp; Calcs'!K70)))</f>
        <v>5.5593999999999991E-3</v>
      </c>
      <c r="L11" s="105">
        <f>(('Inputs &amp; Calcs'!$F40*'Inputs &amp; Calcs'!L70)+('Inputs &amp; Calcs'!$D40*(1-'Inputs &amp; Calcs'!L70)))</f>
        <v>5.5593999999999991E-3</v>
      </c>
      <c r="M11" s="105">
        <f>(('Inputs &amp; Calcs'!$F40*'Inputs &amp; Calcs'!M70)+('Inputs &amp; Calcs'!$D40*(1-'Inputs &amp; Calcs'!M70)))</f>
        <v>5.5593999999999991E-3</v>
      </c>
      <c r="N11" s="105">
        <f>(('Inputs &amp; Calcs'!$F40*'Inputs &amp; Calcs'!N70)+('Inputs &amp; Calcs'!$D40*(1-'Inputs &amp; Calcs'!N70)))</f>
        <v>5.5593999999999991E-3</v>
      </c>
      <c r="O11" s="76"/>
      <c r="P11" s="76"/>
      <c r="Q11" s="76"/>
      <c r="R11" s="76"/>
      <c r="S11" s="76"/>
      <c r="T11" s="76"/>
      <c r="U11" s="76"/>
      <c r="V11" s="76"/>
      <c r="W11" s="76"/>
      <c r="X11" s="76"/>
      <c r="Y11" s="76"/>
      <c r="Z11" s="76"/>
    </row>
    <row r="12" spans="1:30" s="64" customFormat="1" ht="15">
      <c r="A12" s="88" t="str">
        <f>'Inputs &amp; Calcs'!A164</f>
        <v>Overhead Structures</v>
      </c>
      <c r="B12" s="88" t="str">
        <f>'Inputs &amp; Calcs'!B164</f>
        <v>Poles</v>
      </c>
      <c r="C12" s="88" t="str">
        <f>'Inputs &amp; Calcs'!C164</f>
        <v>Subtransmission</v>
      </c>
      <c r="D12" s="105">
        <f>(('Inputs &amp; Calcs'!$F41*'Inputs &amp; Calcs'!D71)+('Inputs &amp; Calcs'!$D41*(1-'Inputs &amp; Calcs'!D71)))</f>
        <v>1.0943E-2</v>
      </c>
      <c r="E12" s="105">
        <f>(('Inputs &amp; Calcs'!$F41*'Inputs &amp; Calcs'!E71)+('Inputs &amp; Calcs'!$D41*(1-'Inputs &amp; Calcs'!E71)))</f>
        <v>1.0943E-2</v>
      </c>
      <c r="F12" s="105">
        <f>(('Inputs &amp; Calcs'!$F41*'Inputs &amp; Calcs'!F71)+('Inputs &amp; Calcs'!$D41*(1-'Inputs &amp; Calcs'!F71)))</f>
        <v>1.0943E-2</v>
      </c>
      <c r="G12" s="105">
        <f>(('Inputs &amp; Calcs'!$F41*'Inputs &amp; Calcs'!G71)+('Inputs &amp; Calcs'!$D41*(1-'Inputs &amp; Calcs'!G71)))</f>
        <v>1.0943E-2</v>
      </c>
      <c r="H12" s="105">
        <f>(('Inputs &amp; Calcs'!$F41*'Inputs &amp; Calcs'!H71)+('Inputs &amp; Calcs'!$D41*(1-'Inputs &amp; Calcs'!H71)))</f>
        <v>1.0943E-2</v>
      </c>
      <c r="I12" s="105">
        <f>(('Inputs &amp; Calcs'!$F41*'Inputs &amp; Calcs'!I71)+('Inputs &amp; Calcs'!$D41*(1-'Inputs &amp; Calcs'!I71)))</f>
        <v>1.0943E-2</v>
      </c>
      <c r="J12" s="105">
        <f>(('Inputs &amp; Calcs'!$F41*'Inputs &amp; Calcs'!J71)+('Inputs &amp; Calcs'!$D41*(1-'Inputs &amp; Calcs'!J71)))</f>
        <v>1.0943E-2</v>
      </c>
      <c r="K12" s="105">
        <f>(('Inputs &amp; Calcs'!$F41*'Inputs &amp; Calcs'!K71)+('Inputs &amp; Calcs'!$D41*(1-'Inputs &amp; Calcs'!K71)))</f>
        <v>1.0943E-2</v>
      </c>
      <c r="L12" s="105">
        <f>(('Inputs &amp; Calcs'!$F41*'Inputs &amp; Calcs'!L71)+('Inputs &amp; Calcs'!$D41*(1-'Inputs &amp; Calcs'!L71)))</f>
        <v>1.0943E-2</v>
      </c>
      <c r="M12" s="105">
        <f>(('Inputs &amp; Calcs'!$F41*'Inputs &amp; Calcs'!M71)+('Inputs &amp; Calcs'!$D41*(1-'Inputs &amp; Calcs'!M71)))</f>
        <v>1.0943E-2</v>
      </c>
      <c r="N12" s="105">
        <f>(('Inputs &amp; Calcs'!$F41*'Inputs &amp; Calcs'!N71)+('Inputs &amp; Calcs'!$D41*(1-'Inputs &amp; Calcs'!N71)))</f>
        <v>1.0943E-2</v>
      </c>
      <c r="O12" s="76"/>
      <c r="P12" s="76"/>
      <c r="Q12" s="76"/>
      <c r="R12" s="76"/>
      <c r="S12" s="76"/>
      <c r="T12" s="76"/>
      <c r="U12" s="76"/>
      <c r="V12" s="76"/>
      <c r="W12" s="76"/>
      <c r="X12" s="76"/>
      <c r="Y12" s="76"/>
      <c r="Z12" s="76"/>
    </row>
    <row r="13" spans="1:30" s="64" customFormat="1" ht="15">
      <c r="A13" s="88" t="str">
        <f>'Inputs &amp; Calcs'!A165</f>
        <v>Overhead Structures</v>
      </c>
      <c r="B13" s="88" t="str">
        <f>'Inputs &amp; Calcs'!B165</f>
        <v>Crossarms</v>
      </c>
      <c r="C13" s="88" t="str">
        <f>'Inputs &amp; Calcs'!C165</f>
        <v>Low Voltage</v>
      </c>
      <c r="D13" s="105">
        <f>(('Inputs &amp; Calcs'!$F42*'Inputs &amp; Calcs'!D72)+('Inputs &amp; Calcs'!$D42*(1-'Inputs &amp; Calcs'!D72)))</f>
        <v>1.6699999999999999E-5</v>
      </c>
      <c r="E13" s="105">
        <f>(('Inputs &amp; Calcs'!$F42*'Inputs &amp; Calcs'!E72)+('Inputs &amp; Calcs'!$D42*(1-'Inputs &amp; Calcs'!E72)))</f>
        <v>1.6699999999999999E-5</v>
      </c>
      <c r="F13" s="105">
        <f>(('Inputs &amp; Calcs'!$F42*'Inputs &amp; Calcs'!F72)+('Inputs &amp; Calcs'!$D42*(1-'Inputs &amp; Calcs'!F72)))</f>
        <v>1.6699999999999999E-5</v>
      </c>
      <c r="G13" s="105">
        <f>(('Inputs &amp; Calcs'!$F42*'Inputs &amp; Calcs'!G72)+('Inputs &amp; Calcs'!$D42*(1-'Inputs &amp; Calcs'!G72)))</f>
        <v>1.6699999999999999E-5</v>
      </c>
      <c r="H13" s="105">
        <f>(('Inputs &amp; Calcs'!$F42*'Inputs &amp; Calcs'!H72)+('Inputs &amp; Calcs'!$D42*(1-'Inputs &amp; Calcs'!H72)))</f>
        <v>1.6699999999999999E-5</v>
      </c>
      <c r="I13" s="105">
        <f>(('Inputs &amp; Calcs'!$F42*'Inputs &amp; Calcs'!I72)+('Inputs &amp; Calcs'!$D42*(1-'Inputs &amp; Calcs'!I72)))</f>
        <v>1.6699999999999999E-5</v>
      </c>
      <c r="J13" s="105">
        <f>(('Inputs &amp; Calcs'!$F42*'Inputs &amp; Calcs'!J72)+('Inputs &amp; Calcs'!$D42*(1-'Inputs &amp; Calcs'!J72)))</f>
        <v>1.6699999999999999E-5</v>
      </c>
      <c r="K13" s="105">
        <f>(('Inputs &amp; Calcs'!$F42*'Inputs &amp; Calcs'!K72)+('Inputs &amp; Calcs'!$D42*(1-'Inputs &amp; Calcs'!K72)))</f>
        <v>1.6699999999999999E-5</v>
      </c>
      <c r="L13" s="105">
        <f>(('Inputs &amp; Calcs'!$F42*'Inputs &amp; Calcs'!L72)+('Inputs &amp; Calcs'!$D42*(1-'Inputs &amp; Calcs'!L72)))</f>
        <v>1.6699999999999999E-5</v>
      </c>
      <c r="M13" s="105">
        <f>(('Inputs &amp; Calcs'!$F42*'Inputs &amp; Calcs'!M72)+('Inputs &amp; Calcs'!$D42*(1-'Inputs &amp; Calcs'!M72)))</f>
        <v>1.6699999999999999E-5</v>
      </c>
      <c r="N13" s="105">
        <f>(('Inputs &amp; Calcs'!$F42*'Inputs &amp; Calcs'!N72)+('Inputs &amp; Calcs'!$D42*(1-'Inputs &amp; Calcs'!N72)))</f>
        <v>1.6699999999999999E-5</v>
      </c>
      <c r="O13" s="76"/>
      <c r="P13" s="76"/>
      <c r="Q13" s="76"/>
      <c r="R13" s="76"/>
      <c r="S13" s="76"/>
      <c r="T13" s="76"/>
      <c r="U13" s="76"/>
      <c r="V13" s="76"/>
      <c r="W13" s="76"/>
      <c r="X13" s="76"/>
      <c r="Y13" s="76"/>
      <c r="Z13" s="76"/>
    </row>
    <row r="14" spans="1:30" s="64" customFormat="1" ht="15">
      <c r="A14" s="88" t="str">
        <f>'Inputs &amp; Calcs'!A166</f>
        <v>Overhead Structures</v>
      </c>
      <c r="B14" s="88" t="str">
        <f>'Inputs &amp; Calcs'!B166</f>
        <v>Crossarms</v>
      </c>
      <c r="C14" s="88" t="str">
        <f>'Inputs &amp; Calcs'!C166</f>
        <v>Distribution</v>
      </c>
      <c r="D14" s="105">
        <f>(('Inputs &amp; Calcs'!$F43*'Inputs &amp; Calcs'!D73)+('Inputs &amp; Calcs'!$D43*(1-'Inputs &amp; Calcs'!D73)))</f>
        <v>2.95772762771192E-3</v>
      </c>
      <c r="E14" s="105">
        <f>(('Inputs &amp; Calcs'!$F43*'Inputs &amp; Calcs'!E73)+('Inputs &amp; Calcs'!$D43*(1-'Inputs &amp; Calcs'!E73)))</f>
        <v>3.0846253322299256E-3</v>
      </c>
      <c r="F14" s="105">
        <f>(('Inputs &amp; Calcs'!$F43*'Inputs &amp; Calcs'!F73)+('Inputs &amp; Calcs'!$D43*(1-'Inputs &amp; Calcs'!F73)))</f>
        <v>3.0846253322299256E-3</v>
      </c>
      <c r="G14" s="105">
        <f>(('Inputs &amp; Calcs'!$F43*'Inputs &amp; Calcs'!G73)+('Inputs &amp; Calcs'!$D43*(1-'Inputs &amp; Calcs'!G73)))</f>
        <v>2.95772762771192E-3</v>
      </c>
      <c r="H14" s="105">
        <f>(('Inputs &amp; Calcs'!$F43*'Inputs &amp; Calcs'!H73)+('Inputs &amp; Calcs'!$D43*(1-'Inputs &amp; Calcs'!H73)))</f>
        <v>2.95772762771192E-3</v>
      </c>
      <c r="I14" s="105">
        <f>(('Inputs &amp; Calcs'!$F43*'Inputs &amp; Calcs'!I73)+('Inputs &amp; Calcs'!$D43*(1-'Inputs &amp; Calcs'!I73)))</f>
        <v>2.95772762771192E-3</v>
      </c>
      <c r="J14" s="105">
        <f>(('Inputs &amp; Calcs'!$F43*'Inputs &amp; Calcs'!J73)+('Inputs &amp; Calcs'!$D43*(1-'Inputs &amp; Calcs'!J73)))</f>
        <v>2.95772762771192E-3</v>
      </c>
      <c r="K14" s="105">
        <f>(('Inputs &amp; Calcs'!$F43*'Inputs &amp; Calcs'!K73)+('Inputs &amp; Calcs'!$D43*(1-'Inputs &amp; Calcs'!K73)))</f>
        <v>2.95772762771192E-3</v>
      </c>
      <c r="L14" s="105">
        <f>(('Inputs &amp; Calcs'!$F43*'Inputs &amp; Calcs'!L73)+('Inputs &amp; Calcs'!$D43*(1-'Inputs &amp; Calcs'!L73)))</f>
        <v>2.95772762771192E-3</v>
      </c>
      <c r="M14" s="105">
        <f>(('Inputs &amp; Calcs'!$F43*'Inputs &amp; Calcs'!M73)+('Inputs &amp; Calcs'!$D43*(1-'Inputs &amp; Calcs'!M73)))</f>
        <v>2.95772762771192E-3</v>
      </c>
      <c r="N14" s="105">
        <f>(('Inputs &amp; Calcs'!$F43*'Inputs &amp; Calcs'!N73)+('Inputs &amp; Calcs'!$D43*(1-'Inputs &amp; Calcs'!N73)))</f>
        <v>2.95772762771192E-3</v>
      </c>
      <c r="O14" s="76"/>
      <c r="P14" s="76"/>
      <c r="Q14" s="76"/>
      <c r="R14" s="76"/>
      <c r="S14" s="76"/>
      <c r="T14" s="76"/>
      <c r="U14" s="76"/>
      <c r="V14" s="76"/>
      <c r="W14" s="76"/>
      <c r="X14" s="76"/>
      <c r="Y14" s="76"/>
      <c r="Z14" s="76"/>
    </row>
    <row r="15" spans="1:30" s="64" customFormat="1" ht="15">
      <c r="A15" s="88" t="str">
        <f>'Inputs &amp; Calcs'!A167</f>
        <v>Overhead Structures</v>
      </c>
      <c r="B15" s="88" t="str">
        <f>'Inputs &amp; Calcs'!B167</f>
        <v>Crossarms</v>
      </c>
      <c r="C15" s="88" t="str">
        <f>'Inputs &amp; Calcs'!C167</f>
        <v>Subtransmission</v>
      </c>
      <c r="D15" s="105">
        <f>(('Inputs &amp; Calcs'!$F44*'Inputs &amp; Calcs'!D74)+('Inputs &amp; Calcs'!$D44*(1-'Inputs &amp; Calcs'!D74)))</f>
        <v>7.4090000000000007E-4</v>
      </c>
      <c r="E15" s="105">
        <f>(('Inputs &amp; Calcs'!$F44*'Inputs &amp; Calcs'!E74)+('Inputs &amp; Calcs'!$D44*(1-'Inputs &amp; Calcs'!E74)))</f>
        <v>7.4090000000000007E-4</v>
      </c>
      <c r="F15" s="105">
        <f>(('Inputs &amp; Calcs'!$F44*'Inputs &amp; Calcs'!F74)+('Inputs &amp; Calcs'!$D44*(1-'Inputs &amp; Calcs'!F74)))</f>
        <v>7.4090000000000007E-4</v>
      </c>
      <c r="G15" s="105">
        <f>(('Inputs &amp; Calcs'!$F44*'Inputs &amp; Calcs'!G74)+('Inputs &amp; Calcs'!$D44*(1-'Inputs &amp; Calcs'!G74)))</f>
        <v>7.4090000000000007E-4</v>
      </c>
      <c r="H15" s="105">
        <f>(('Inputs &amp; Calcs'!$F44*'Inputs &amp; Calcs'!H74)+('Inputs &amp; Calcs'!$D44*(1-'Inputs &amp; Calcs'!H74)))</f>
        <v>7.4090000000000007E-4</v>
      </c>
      <c r="I15" s="105">
        <f>(('Inputs &amp; Calcs'!$F44*'Inputs &amp; Calcs'!I74)+('Inputs &amp; Calcs'!$D44*(1-'Inputs &amp; Calcs'!I74)))</f>
        <v>7.4090000000000007E-4</v>
      </c>
      <c r="J15" s="105">
        <f>(('Inputs &amp; Calcs'!$F44*'Inputs &amp; Calcs'!J74)+('Inputs &amp; Calcs'!$D44*(1-'Inputs &amp; Calcs'!J74)))</f>
        <v>7.4090000000000007E-4</v>
      </c>
      <c r="K15" s="105">
        <f>(('Inputs &amp; Calcs'!$F44*'Inputs &amp; Calcs'!K74)+('Inputs &amp; Calcs'!$D44*(1-'Inputs &amp; Calcs'!K74)))</f>
        <v>7.4090000000000007E-4</v>
      </c>
      <c r="L15" s="105">
        <f>(('Inputs &amp; Calcs'!$F44*'Inputs &amp; Calcs'!L74)+('Inputs &amp; Calcs'!$D44*(1-'Inputs &amp; Calcs'!L74)))</f>
        <v>7.4090000000000007E-4</v>
      </c>
      <c r="M15" s="105">
        <f>(('Inputs &amp; Calcs'!$F44*'Inputs &amp; Calcs'!M74)+('Inputs &amp; Calcs'!$D44*(1-'Inputs &amp; Calcs'!M74)))</f>
        <v>7.4090000000000007E-4</v>
      </c>
      <c r="N15" s="105">
        <f>(('Inputs &amp; Calcs'!$F44*'Inputs &amp; Calcs'!N74)+('Inputs &amp; Calcs'!$D44*(1-'Inputs &amp; Calcs'!N74)))</f>
        <v>7.4090000000000007E-4</v>
      </c>
      <c r="O15" s="76"/>
      <c r="P15" s="76"/>
      <c r="Q15" s="76"/>
      <c r="R15" s="76"/>
      <c r="S15" s="76"/>
      <c r="T15" s="76"/>
      <c r="U15" s="76"/>
      <c r="V15" s="76"/>
      <c r="W15" s="76"/>
      <c r="X15" s="76"/>
      <c r="Y15" s="76"/>
      <c r="Z15" s="76"/>
    </row>
    <row r="16" spans="1:30" s="64" customFormat="1" ht="15">
      <c r="A16" s="88" t="str">
        <f>'Inputs &amp; Calcs'!A168</f>
        <v>Overhead Conductor</v>
      </c>
      <c r="B16" s="88" t="str">
        <f>'Inputs &amp; Calcs'!B168</f>
        <v>Conductor</v>
      </c>
      <c r="C16" s="88" t="str">
        <f>'Inputs &amp; Calcs'!C168</f>
        <v>Low Voltage</v>
      </c>
      <c r="D16" s="105">
        <f>(('Inputs &amp; Calcs'!$F45*'Inputs &amp; Calcs'!D75)+('Inputs &amp; Calcs'!$D45*(1-'Inputs &amp; Calcs'!D75)))</f>
        <v>3.5200000000000006E-3</v>
      </c>
      <c r="E16" s="105">
        <f>(('Inputs &amp; Calcs'!$F45*'Inputs &amp; Calcs'!E75)+('Inputs &amp; Calcs'!$D45*(1-'Inputs &amp; Calcs'!E75)))</f>
        <v>3.5200000000000006E-3</v>
      </c>
      <c r="F16" s="105">
        <f>(('Inputs &amp; Calcs'!$F45*'Inputs &amp; Calcs'!F75)+('Inputs &amp; Calcs'!$D45*(1-'Inputs &amp; Calcs'!F75)))</f>
        <v>3.5200000000000006E-3</v>
      </c>
      <c r="G16" s="105">
        <f>(('Inputs &amp; Calcs'!$F45*'Inputs &amp; Calcs'!G75)+('Inputs &amp; Calcs'!$D45*(1-'Inputs &amp; Calcs'!G75)))</f>
        <v>3.5200000000000006E-3</v>
      </c>
      <c r="H16" s="105">
        <f>(('Inputs &amp; Calcs'!$F45*'Inputs &amp; Calcs'!H75)+('Inputs &amp; Calcs'!$D45*(1-'Inputs &amp; Calcs'!H75)))</f>
        <v>3.5200000000000006E-3</v>
      </c>
      <c r="I16" s="105">
        <f>(('Inputs &amp; Calcs'!$F45*'Inputs &amp; Calcs'!I75)+('Inputs &amp; Calcs'!$D45*(1-'Inputs &amp; Calcs'!I75)))</f>
        <v>3.5200000000000006E-3</v>
      </c>
      <c r="J16" s="105">
        <f>(('Inputs &amp; Calcs'!$F45*'Inputs &amp; Calcs'!J75)+('Inputs &amp; Calcs'!$D45*(1-'Inputs &amp; Calcs'!J75)))</f>
        <v>3.5200000000000006E-3</v>
      </c>
      <c r="K16" s="105">
        <f>(('Inputs &amp; Calcs'!$F45*'Inputs &amp; Calcs'!K75)+('Inputs &amp; Calcs'!$D45*(1-'Inputs &amp; Calcs'!K75)))</f>
        <v>3.5200000000000006E-3</v>
      </c>
      <c r="L16" s="105">
        <f>(('Inputs &amp; Calcs'!$F45*'Inputs &amp; Calcs'!L75)+('Inputs &amp; Calcs'!$D45*(1-'Inputs &amp; Calcs'!L75)))</f>
        <v>3.5200000000000006E-3</v>
      </c>
      <c r="M16" s="105">
        <f>(('Inputs &amp; Calcs'!$F45*'Inputs &amp; Calcs'!M75)+('Inputs &amp; Calcs'!$D45*(1-'Inputs &amp; Calcs'!M75)))</f>
        <v>3.5200000000000006E-3</v>
      </c>
      <c r="N16" s="105">
        <f>(('Inputs &amp; Calcs'!$F45*'Inputs &amp; Calcs'!N75)+('Inputs &amp; Calcs'!$D45*(1-'Inputs &amp; Calcs'!N75)))</f>
        <v>3.5200000000000006E-3</v>
      </c>
      <c r="O16" s="76"/>
      <c r="P16" s="76"/>
      <c r="Q16" s="76"/>
      <c r="R16" s="76"/>
      <c r="S16" s="76"/>
      <c r="T16" s="76"/>
      <c r="U16" s="76"/>
      <c r="V16" s="76"/>
      <c r="W16" s="76"/>
      <c r="X16" s="76"/>
      <c r="Y16" s="76"/>
      <c r="Z16" s="76"/>
    </row>
    <row r="17" spans="1:26" s="64" customFormat="1" ht="15">
      <c r="A17" s="88" t="str">
        <f>'Inputs &amp; Calcs'!A169</f>
        <v>Overhead Conductor</v>
      </c>
      <c r="B17" s="88" t="str">
        <f>'Inputs &amp; Calcs'!B169</f>
        <v>Conductor</v>
      </c>
      <c r="C17" s="88" t="str">
        <f>'Inputs &amp; Calcs'!C169</f>
        <v>Distribution</v>
      </c>
      <c r="D17" s="105">
        <f>(('Inputs &amp; Calcs'!$F46*'Inputs &amp; Calcs'!D76)+('Inputs &amp; Calcs'!$D46*(1-'Inputs &amp; Calcs'!D76)))</f>
        <v>4.7629871991530716E-2</v>
      </c>
      <c r="E17" s="105">
        <f>(('Inputs &amp; Calcs'!$F46*'Inputs &amp; Calcs'!E76)+('Inputs &amp; Calcs'!$D46*(1-'Inputs &amp; Calcs'!E76)))</f>
        <v>4.7629871991530716E-2</v>
      </c>
      <c r="F17" s="105">
        <f>(('Inputs &amp; Calcs'!$F46*'Inputs &amp; Calcs'!F76)+('Inputs &amp; Calcs'!$D46*(1-'Inputs &amp; Calcs'!F76)))</f>
        <v>4.7629871991530716E-2</v>
      </c>
      <c r="G17" s="105">
        <f>(('Inputs &amp; Calcs'!$F46*'Inputs &amp; Calcs'!G76)+('Inputs &amp; Calcs'!$D46*(1-'Inputs &amp; Calcs'!G76)))</f>
        <v>4.7629871991530716E-2</v>
      </c>
      <c r="H17" s="105">
        <f>(('Inputs &amp; Calcs'!$F46*'Inputs &amp; Calcs'!H76)+('Inputs &amp; Calcs'!$D46*(1-'Inputs &amp; Calcs'!H76)))</f>
        <v>4.7629871991530716E-2</v>
      </c>
      <c r="I17" s="105">
        <f>(('Inputs &amp; Calcs'!$F46*'Inputs &amp; Calcs'!I76)+('Inputs &amp; Calcs'!$D46*(1-'Inputs &amp; Calcs'!I76)))</f>
        <v>4.7629871991530716E-2</v>
      </c>
      <c r="J17" s="105">
        <f>(('Inputs &amp; Calcs'!$F46*'Inputs &amp; Calcs'!J76)+('Inputs &amp; Calcs'!$D46*(1-'Inputs &amp; Calcs'!J76)))</f>
        <v>4.7629871991530716E-2</v>
      </c>
      <c r="K17" s="105">
        <f>(('Inputs &amp; Calcs'!$F46*'Inputs &amp; Calcs'!K76)+('Inputs &amp; Calcs'!$D46*(1-'Inputs &amp; Calcs'!K76)))</f>
        <v>4.7629871991530716E-2</v>
      </c>
      <c r="L17" s="105">
        <f>(('Inputs &amp; Calcs'!$F46*'Inputs &amp; Calcs'!L76)+('Inputs &amp; Calcs'!$D46*(1-'Inputs &amp; Calcs'!L76)))</f>
        <v>4.7629871991530716E-2</v>
      </c>
      <c r="M17" s="105">
        <f>(('Inputs &amp; Calcs'!$F46*'Inputs &amp; Calcs'!M76)+('Inputs &amp; Calcs'!$D46*(1-'Inputs &amp; Calcs'!M76)))</f>
        <v>4.7629871991530716E-2</v>
      </c>
      <c r="N17" s="105">
        <f>(('Inputs &amp; Calcs'!$F46*'Inputs &amp; Calcs'!N76)+('Inputs &amp; Calcs'!$D46*(1-'Inputs &amp; Calcs'!N76)))</f>
        <v>4.7629871991530716E-2</v>
      </c>
      <c r="O17" s="76"/>
      <c r="P17" s="76"/>
      <c r="Q17" s="76"/>
      <c r="R17" s="76"/>
      <c r="S17" s="76"/>
      <c r="T17" s="76"/>
      <c r="U17" s="76"/>
      <c r="V17" s="76"/>
      <c r="W17" s="76"/>
      <c r="X17" s="76"/>
      <c r="Y17" s="76"/>
      <c r="Z17" s="76"/>
    </row>
    <row r="18" spans="1:26" s="64" customFormat="1" ht="15">
      <c r="A18" s="88" t="str">
        <f>'Inputs &amp; Calcs'!A170</f>
        <v>Overhead Conductor</v>
      </c>
      <c r="B18" s="88" t="str">
        <f>'Inputs &amp; Calcs'!B170</f>
        <v>Conductor</v>
      </c>
      <c r="C18" s="88" t="str">
        <f>'Inputs &amp; Calcs'!C170</f>
        <v>Subtransmission</v>
      </c>
      <c r="D18" s="105">
        <f>(('Inputs &amp; Calcs'!$F47*'Inputs &amp; Calcs'!D77)+('Inputs &amp; Calcs'!$D47*(1-'Inputs &amp; Calcs'!D77)))</f>
        <v>3.5339999999999995E-6</v>
      </c>
      <c r="E18" s="105">
        <f>(('Inputs &amp; Calcs'!$F47*'Inputs &amp; Calcs'!E77)+('Inputs &amp; Calcs'!$D47*(1-'Inputs &amp; Calcs'!E77)))</f>
        <v>3.5339999999999995E-6</v>
      </c>
      <c r="F18" s="105">
        <f>(('Inputs &amp; Calcs'!$F47*'Inputs &amp; Calcs'!F77)+('Inputs &amp; Calcs'!$D47*(1-'Inputs &amp; Calcs'!F77)))</f>
        <v>3.5339999999999995E-6</v>
      </c>
      <c r="G18" s="105">
        <f>(('Inputs &amp; Calcs'!$F47*'Inputs &amp; Calcs'!G77)+('Inputs &amp; Calcs'!$D47*(1-'Inputs &amp; Calcs'!G77)))</f>
        <v>3.5339999999999995E-6</v>
      </c>
      <c r="H18" s="105">
        <f>(('Inputs &amp; Calcs'!$F47*'Inputs &amp; Calcs'!H77)+('Inputs &amp; Calcs'!$D47*(1-'Inputs &amp; Calcs'!H77)))</f>
        <v>3.5339999999999995E-6</v>
      </c>
      <c r="I18" s="105">
        <f>(('Inputs &amp; Calcs'!$F47*'Inputs &amp; Calcs'!I77)+('Inputs &amp; Calcs'!$D47*(1-'Inputs &amp; Calcs'!I77)))</f>
        <v>3.5339999999999995E-6</v>
      </c>
      <c r="J18" s="105">
        <f>(('Inputs &amp; Calcs'!$F47*'Inputs &amp; Calcs'!J77)+('Inputs &amp; Calcs'!$D47*(1-'Inputs &amp; Calcs'!J77)))</f>
        <v>3.5339999999999995E-6</v>
      </c>
      <c r="K18" s="105">
        <f>(('Inputs &amp; Calcs'!$F47*'Inputs &amp; Calcs'!K77)+('Inputs &amp; Calcs'!$D47*(1-'Inputs &amp; Calcs'!K77)))</f>
        <v>3.5339999999999995E-6</v>
      </c>
      <c r="L18" s="105">
        <f>(('Inputs &amp; Calcs'!$F47*'Inputs &amp; Calcs'!L77)+('Inputs &amp; Calcs'!$D47*(1-'Inputs &amp; Calcs'!L77)))</f>
        <v>3.5339999999999995E-6</v>
      </c>
      <c r="M18" s="105">
        <f>(('Inputs &amp; Calcs'!$F47*'Inputs &amp; Calcs'!M77)+('Inputs &amp; Calcs'!$D47*(1-'Inputs &amp; Calcs'!M77)))</f>
        <v>3.5339999999999995E-6</v>
      </c>
      <c r="N18" s="105">
        <f>(('Inputs &amp; Calcs'!$F47*'Inputs &amp; Calcs'!N77)+('Inputs &amp; Calcs'!$D47*(1-'Inputs &amp; Calcs'!N77)))</f>
        <v>3.5339999999999995E-6</v>
      </c>
      <c r="O18" s="76"/>
      <c r="P18" s="76"/>
      <c r="Q18" s="76"/>
      <c r="R18" s="76"/>
      <c r="S18" s="76"/>
      <c r="T18" s="76"/>
      <c r="U18" s="76"/>
      <c r="V18" s="76"/>
      <c r="W18" s="76"/>
      <c r="X18" s="76"/>
      <c r="Y18" s="76"/>
      <c r="Z18" s="76"/>
    </row>
    <row r="19" spans="1:26" s="64" customFormat="1" ht="15">
      <c r="A19" s="88" t="str">
        <f>'Inputs &amp; Calcs'!A171</f>
        <v>Distribution Transformers</v>
      </c>
      <c r="B19" s="88" t="str">
        <f>'Inputs &amp; Calcs'!B171</f>
        <v>Pole Mounted Transformers</v>
      </c>
      <c r="C19" s="88" t="str">
        <f>'Inputs &amp; Calcs'!C171</f>
        <v>Pole Mounted Transformers</v>
      </c>
      <c r="D19" s="105">
        <f>(('Inputs &amp; Calcs'!$F48*'Inputs &amp; Calcs'!D78)+('Inputs &amp; Calcs'!$D48*(1-'Inputs &amp; Calcs'!D78)))</f>
        <v>5.8017300000000006E-3</v>
      </c>
      <c r="E19" s="105">
        <f>(('Inputs &amp; Calcs'!$F48*'Inputs &amp; Calcs'!E78)+('Inputs &amp; Calcs'!$D48*(1-'Inputs &amp; Calcs'!E78)))</f>
        <v>5.8017300000000006E-3</v>
      </c>
      <c r="F19" s="105">
        <f>(('Inputs &amp; Calcs'!$F48*'Inputs &amp; Calcs'!F78)+('Inputs &amp; Calcs'!$D48*(1-'Inputs &amp; Calcs'!F78)))</f>
        <v>5.8017300000000006E-3</v>
      </c>
      <c r="G19" s="105">
        <f>(('Inputs &amp; Calcs'!$F48*'Inputs &amp; Calcs'!G78)+('Inputs &amp; Calcs'!$D48*(1-'Inputs &amp; Calcs'!G78)))</f>
        <v>5.8017300000000006E-3</v>
      </c>
      <c r="H19" s="105">
        <f>(('Inputs &amp; Calcs'!$F48*'Inputs &amp; Calcs'!H78)+('Inputs &amp; Calcs'!$D48*(1-'Inputs &amp; Calcs'!H78)))</f>
        <v>5.8017300000000006E-3</v>
      </c>
      <c r="I19" s="105">
        <f>(('Inputs &amp; Calcs'!$F48*'Inputs &amp; Calcs'!I78)+('Inputs &amp; Calcs'!$D48*(1-'Inputs &amp; Calcs'!I78)))</f>
        <v>5.8017300000000006E-3</v>
      </c>
      <c r="J19" s="105">
        <f>(('Inputs &amp; Calcs'!$F48*'Inputs &amp; Calcs'!J78)+('Inputs &amp; Calcs'!$D48*(1-'Inputs &amp; Calcs'!J78)))</f>
        <v>5.8017300000000006E-3</v>
      </c>
      <c r="K19" s="105">
        <f>(('Inputs &amp; Calcs'!$F48*'Inputs &amp; Calcs'!K78)+('Inputs &amp; Calcs'!$D48*(1-'Inputs &amp; Calcs'!K78)))</f>
        <v>5.8017300000000006E-3</v>
      </c>
      <c r="L19" s="105">
        <f>(('Inputs &amp; Calcs'!$F48*'Inputs &amp; Calcs'!L78)+('Inputs &amp; Calcs'!$D48*(1-'Inputs &amp; Calcs'!L78)))</f>
        <v>5.8017300000000006E-3</v>
      </c>
      <c r="M19" s="105">
        <f>(('Inputs &amp; Calcs'!$F48*'Inputs &amp; Calcs'!M78)+('Inputs &amp; Calcs'!$D48*(1-'Inputs &amp; Calcs'!M78)))</f>
        <v>5.8017300000000006E-3</v>
      </c>
      <c r="N19" s="105">
        <f>(('Inputs &amp; Calcs'!$F48*'Inputs &amp; Calcs'!N78)+('Inputs &amp; Calcs'!$D48*(1-'Inputs &amp; Calcs'!N78)))</f>
        <v>5.8017300000000006E-3</v>
      </c>
      <c r="O19" s="76"/>
      <c r="P19" s="76"/>
      <c r="Q19" s="76"/>
      <c r="R19" s="76"/>
      <c r="S19" s="76"/>
      <c r="T19" s="76"/>
      <c r="U19" s="76"/>
      <c r="V19" s="76"/>
      <c r="W19" s="76"/>
      <c r="X19" s="76"/>
      <c r="Y19" s="76"/>
      <c r="Z19" s="76"/>
    </row>
    <row r="20" spans="1:26" s="64" customFormat="1" ht="15">
      <c r="A20" s="88" t="str">
        <f>'Inputs &amp; Calcs'!A172</f>
        <v>Distribution Transformers</v>
      </c>
      <c r="B20" s="88" t="str">
        <f>'Inputs &amp; Calcs'!B172</f>
        <v>Pole Mounted Transformers</v>
      </c>
      <c r="C20" s="88" t="str">
        <f>'Inputs &amp; Calcs'!C172</f>
        <v>LV Fusing</v>
      </c>
      <c r="D20" s="105">
        <f>(('Inputs &amp; Calcs'!$F49*'Inputs &amp; Calcs'!D79)+('Inputs &amp; Calcs'!$D49*(1-'Inputs &amp; Calcs'!D79)))</f>
        <v>5.8017300000000006E-3</v>
      </c>
      <c r="E20" s="105">
        <f>(('Inputs &amp; Calcs'!$F49*'Inputs &amp; Calcs'!E79)+('Inputs &amp; Calcs'!$D49*(1-'Inputs &amp; Calcs'!E79)))</f>
        <v>5.8017300000000006E-3</v>
      </c>
      <c r="F20" s="105">
        <f>(('Inputs &amp; Calcs'!$F49*'Inputs &amp; Calcs'!F79)+('Inputs &amp; Calcs'!$D49*(1-'Inputs &amp; Calcs'!F79)))</f>
        <v>5.8017300000000006E-3</v>
      </c>
      <c r="G20" s="105">
        <f>(('Inputs &amp; Calcs'!$F49*'Inputs &amp; Calcs'!G79)+('Inputs &amp; Calcs'!$D49*(1-'Inputs &amp; Calcs'!G79)))</f>
        <v>5.8017300000000006E-3</v>
      </c>
      <c r="H20" s="105">
        <f>(('Inputs &amp; Calcs'!$F49*'Inputs &amp; Calcs'!H79)+('Inputs &amp; Calcs'!$D49*(1-'Inputs &amp; Calcs'!H79)))</f>
        <v>5.8017300000000006E-3</v>
      </c>
      <c r="I20" s="105">
        <f>(('Inputs &amp; Calcs'!$F49*'Inputs &amp; Calcs'!I79)+('Inputs &amp; Calcs'!$D49*(1-'Inputs &amp; Calcs'!I79)))</f>
        <v>5.8017300000000006E-3</v>
      </c>
      <c r="J20" s="105">
        <f>(('Inputs &amp; Calcs'!$F49*'Inputs &amp; Calcs'!J79)+('Inputs &amp; Calcs'!$D49*(1-'Inputs &amp; Calcs'!J79)))</f>
        <v>5.8017300000000006E-3</v>
      </c>
      <c r="K20" s="105">
        <f>(('Inputs &amp; Calcs'!$F49*'Inputs &amp; Calcs'!K79)+('Inputs &amp; Calcs'!$D49*(1-'Inputs &amp; Calcs'!K79)))</f>
        <v>5.8017300000000006E-3</v>
      </c>
      <c r="L20" s="105">
        <f>(('Inputs &amp; Calcs'!$F49*'Inputs &amp; Calcs'!L79)+('Inputs &amp; Calcs'!$D49*(1-'Inputs &amp; Calcs'!L79)))</f>
        <v>5.8017300000000006E-3</v>
      </c>
      <c r="M20" s="105">
        <f>(('Inputs &amp; Calcs'!$F49*'Inputs &amp; Calcs'!M79)+('Inputs &amp; Calcs'!$D49*(1-'Inputs &amp; Calcs'!M79)))</f>
        <v>5.8017300000000006E-3</v>
      </c>
      <c r="N20" s="105">
        <f>(('Inputs &amp; Calcs'!$F49*'Inputs &amp; Calcs'!N79)+('Inputs &amp; Calcs'!$D49*(1-'Inputs &amp; Calcs'!N79)))</f>
        <v>5.8017300000000006E-3</v>
      </c>
      <c r="O20" s="76"/>
      <c r="P20" s="76"/>
      <c r="Q20" s="76"/>
      <c r="R20" s="76"/>
      <c r="S20" s="76"/>
      <c r="T20" s="76"/>
      <c r="U20" s="76"/>
      <c r="V20" s="76"/>
      <c r="W20" s="76"/>
      <c r="X20" s="76"/>
      <c r="Y20" s="76"/>
      <c r="Z20" s="76"/>
    </row>
    <row r="21" spans="1:26" s="64" customFormat="1" ht="15">
      <c r="A21" s="88" t="str">
        <f>'Inputs &amp; Calcs'!A173</f>
        <v>Distribution Transformers</v>
      </c>
      <c r="B21" s="88" t="str">
        <f>'Inputs &amp; Calcs'!B173</f>
        <v>Ground Mounted Transformers</v>
      </c>
      <c r="C21" s="88" t="str">
        <f>'Inputs &amp; Calcs'!C173</f>
        <v>Ground Mounted Transformers</v>
      </c>
      <c r="D21" s="105">
        <f>(('Inputs &amp; Calcs'!$F50*'Inputs &amp; Calcs'!D80)+('Inputs &amp; Calcs'!$D50*(1-'Inputs &amp; Calcs'!D80)))</f>
        <v>1.7179343999999999E-2</v>
      </c>
      <c r="E21" s="105">
        <f>(('Inputs &amp; Calcs'!$F50*'Inputs &amp; Calcs'!E80)+('Inputs &amp; Calcs'!$D50*(1-'Inputs &amp; Calcs'!E80)))</f>
        <v>1.7179343999999999E-2</v>
      </c>
      <c r="F21" s="105">
        <f>(('Inputs &amp; Calcs'!$F50*'Inputs &amp; Calcs'!F80)+('Inputs &amp; Calcs'!$D50*(1-'Inputs &amp; Calcs'!F80)))</f>
        <v>1.7179343999999999E-2</v>
      </c>
      <c r="G21" s="105">
        <f>(('Inputs &amp; Calcs'!$F50*'Inputs &amp; Calcs'!G80)+('Inputs &amp; Calcs'!$D50*(1-'Inputs &amp; Calcs'!G80)))</f>
        <v>1.7179343999999999E-2</v>
      </c>
      <c r="H21" s="105">
        <f>(('Inputs &amp; Calcs'!$F50*'Inputs &amp; Calcs'!H80)+('Inputs &amp; Calcs'!$D50*(1-'Inputs &amp; Calcs'!H80)))</f>
        <v>1.7179343999999999E-2</v>
      </c>
      <c r="I21" s="105">
        <f>(('Inputs &amp; Calcs'!$F50*'Inputs &amp; Calcs'!I80)+('Inputs &amp; Calcs'!$D50*(1-'Inputs &amp; Calcs'!I80)))</f>
        <v>1.7179343999999999E-2</v>
      </c>
      <c r="J21" s="105">
        <f>(('Inputs &amp; Calcs'!$F50*'Inputs &amp; Calcs'!J80)+('Inputs &amp; Calcs'!$D50*(1-'Inputs &amp; Calcs'!J80)))</f>
        <v>1.7179343999999999E-2</v>
      </c>
      <c r="K21" s="105">
        <f>(('Inputs &amp; Calcs'!$F50*'Inputs &amp; Calcs'!K80)+('Inputs &amp; Calcs'!$D50*(1-'Inputs &amp; Calcs'!K80)))</f>
        <v>1.7179343999999999E-2</v>
      </c>
      <c r="L21" s="105">
        <f>(('Inputs &amp; Calcs'!$F50*'Inputs &amp; Calcs'!L80)+('Inputs &amp; Calcs'!$D50*(1-'Inputs &amp; Calcs'!L80)))</f>
        <v>1.7179343999999999E-2</v>
      </c>
      <c r="M21" s="105">
        <f>(('Inputs &amp; Calcs'!$F50*'Inputs &amp; Calcs'!M80)+('Inputs &amp; Calcs'!$D50*(1-'Inputs &amp; Calcs'!M80)))</f>
        <v>1.7179343999999999E-2</v>
      </c>
      <c r="N21" s="105">
        <f>(('Inputs &amp; Calcs'!$F50*'Inputs &amp; Calcs'!N80)+('Inputs &amp; Calcs'!$D50*(1-'Inputs &amp; Calcs'!N80)))</f>
        <v>1.7179343999999999E-2</v>
      </c>
      <c r="O21" s="76"/>
      <c r="P21" s="76"/>
      <c r="Q21" s="76"/>
      <c r="R21" s="76"/>
      <c r="S21" s="76"/>
      <c r="T21" s="76"/>
      <c r="U21" s="76"/>
      <c r="V21" s="76"/>
      <c r="W21" s="76"/>
      <c r="X21" s="76"/>
      <c r="Y21" s="76"/>
      <c r="Z21" s="76"/>
    </row>
    <row r="22" spans="1:26" s="64" customFormat="1" ht="15">
      <c r="A22" s="88" t="str">
        <f>'Inputs &amp; Calcs'!A174</f>
        <v>Distribution Transformers</v>
      </c>
      <c r="B22" s="88" t="str">
        <f>'Inputs &amp; Calcs'!B174</f>
        <v>Distribution Other</v>
      </c>
      <c r="C22" s="88" t="str">
        <f>'Inputs &amp; Calcs'!C174</f>
        <v>Distribution Other</v>
      </c>
      <c r="D22" s="105">
        <f>(('Inputs &amp; Calcs'!$F51*'Inputs &amp; Calcs'!D81)+('Inputs &amp; Calcs'!$D51*(1-'Inputs &amp; Calcs'!D81)))</f>
        <v>1.7179343999999999E-2</v>
      </c>
      <c r="E22" s="105">
        <f>(('Inputs &amp; Calcs'!$F51*'Inputs &amp; Calcs'!E81)+('Inputs &amp; Calcs'!$D51*(1-'Inputs &amp; Calcs'!E81)))</f>
        <v>1.7179343999999999E-2</v>
      </c>
      <c r="F22" s="105">
        <f>(('Inputs &amp; Calcs'!$F51*'Inputs &amp; Calcs'!F81)+('Inputs &amp; Calcs'!$D51*(1-'Inputs &amp; Calcs'!F81)))</f>
        <v>1.7179343999999999E-2</v>
      </c>
      <c r="G22" s="105">
        <f>(('Inputs &amp; Calcs'!$F51*'Inputs &amp; Calcs'!G81)+('Inputs &amp; Calcs'!$D51*(1-'Inputs &amp; Calcs'!G81)))</f>
        <v>1.7179343999999999E-2</v>
      </c>
      <c r="H22" s="105">
        <f>(('Inputs &amp; Calcs'!$F51*'Inputs &amp; Calcs'!H81)+('Inputs &amp; Calcs'!$D51*(1-'Inputs &amp; Calcs'!H81)))</f>
        <v>1.7179343999999999E-2</v>
      </c>
      <c r="I22" s="105">
        <f>(('Inputs &amp; Calcs'!$F51*'Inputs &amp; Calcs'!I81)+('Inputs &amp; Calcs'!$D51*(1-'Inputs &amp; Calcs'!I81)))</f>
        <v>1.7179343999999999E-2</v>
      </c>
      <c r="J22" s="105">
        <f>(('Inputs &amp; Calcs'!$F51*'Inputs &amp; Calcs'!J81)+('Inputs &amp; Calcs'!$D51*(1-'Inputs &amp; Calcs'!J81)))</f>
        <v>1.7179343999999999E-2</v>
      </c>
      <c r="K22" s="105">
        <f>(('Inputs &amp; Calcs'!$F51*'Inputs &amp; Calcs'!K81)+('Inputs &amp; Calcs'!$D51*(1-'Inputs &amp; Calcs'!K81)))</f>
        <v>1.7179343999999999E-2</v>
      </c>
      <c r="L22" s="105">
        <f>(('Inputs &amp; Calcs'!$F51*'Inputs &amp; Calcs'!L81)+('Inputs &amp; Calcs'!$D51*(1-'Inputs &amp; Calcs'!L81)))</f>
        <v>1.7179343999999999E-2</v>
      </c>
      <c r="M22" s="105">
        <f>(('Inputs &amp; Calcs'!$F51*'Inputs &amp; Calcs'!M81)+('Inputs &amp; Calcs'!$D51*(1-'Inputs &amp; Calcs'!M81)))</f>
        <v>1.7179343999999999E-2</v>
      </c>
      <c r="N22" s="105">
        <f>(('Inputs &amp; Calcs'!$F51*'Inputs &amp; Calcs'!N81)+('Inputs &amp; Calcs'!$D51*(1-'Inputs &amp; Calcs'!N81)))</f>
        <v>1.7179343999999999E-2</v>
      </c>
      <c r="O22" s="76"/>
      <c r="P22" s="76"/>
      <c r="Q22" s="76"/>
      <c r="R22" s="76"/>
      <c r="S22" s="76"/>
      <c r="T22" s="76"/>
      <c r="U22" s="76"/>
      <c r="V22" s="76"/>
      <c r="W22" s="76"/>
      <c r="X22" s="76"/>
      <c r="Y22" s="76"/>
      <c r="Z22" s="76"/>
    </row>
    <row r="23" spans="1:26" s="64" customFormat="1" ht="15">
      <c r="A23" s="88" t="str">
        <f>'Inputs &amp; Calcs'!A175</f>
        <v>Distribution Switchgear</v>
      </c>
      <c r="B23" s="88" t="str">
        <f>'Inputs &amp; Calcs'!B175</f>
        <v>Pole Mounted Switches</v>
      </c>
      <c r="C23" s="88" t="str">
        <f>'Inputs &amp; Calcs'!C175</f>
        <v>Air Break</v>
      </c>
      <c r="D23" s="105">
        <f>(('Inputs &amp; Calcs'!$F52*'Inputs &amp; Calcs'!D82)+('Inputs &amp; Calcs'!$D52*(1-'Inputs &amp; Calcs'!D82)))</f>
        <v>1.0843882290000002E-2</v>
      </c>
      <c r="E23" s="105">
        <f>(('Inputs &amp; Calcs'!$F52*'Inputs &amp; Calcs'!E82)+('Inputs &amp; Calcs'!$D52*(1-'Inputs &amp; Calcs'!E82)))</f>
        <v>1.0843882290000002E-2</v>
      </c>
      <c r="F23" s="105">
        <f>(('Inputs &amp; Calcs'!$F52*'Inputs &amp; Calcs'!F82)+('Inputs &amp; Calcs'!$D52*(1-'Inputs &amp; Calcs'!F82)))</f>
        <v>1.0843882290000002E-2</v>
      </c>
      <c r="G23" s="105">
        <f>(('Inputs &amp; Calcs'!$F52*'Inputs &amp; Calcs'!G82)+('Inputs &amp; Calcs'!$D52*(1-'Inputs &amp; Calcs'!G82)))</f>
        <v>1.0843882290000002E-2</v>
      </c>
      <c r="H23" s="105">
        <f>(('Inputs &amp; Calcs'!$F52*'Inputs &amp; Calcs'!H82)+('Inputs &amp; Calcs'!$D52*(1-'Inputs &amp; Calcs'!H82)))</f>
        <v>1.0843882290000002E-2</v>
      </c>
      <c r="I23" s="105">
        <f>(('Inputs &amp; Calcs'!$F52*'Inputs &amp; Calcs'!I82)+('Inputs &amp; Calcs'!$D52*(1-'Inputs &amp; Calcs'!I82)))</f>
        <v>1.0843882290000002E-2</v>
      </c>
      <c r="J23" s="105">
        <f>(('Inputs &amp; Calcs'!$F52*'Inputs &amp; Calcs'!J82)+('Inputs &amp; Calcs'!$D52*(1-'Inputs &amp; Calcs'!J82)))</f>
        <v>1.0843882290000002E-2</v>
      </c>
      <c r="K23" s="105">
        <f>(('Inputs &amp; Calcs'!$F52*'Inputs &amp; Calcs'!K82)+('Inputs &amp; Calcs'!$D52*(1-'Inputs &amp; Calcs'!K82)))</f>
        <v>1.0843882290000002E-2</v>
      </c>
      <c r="L23" s="105">
        <f>(('Inputs &amp; Calcs'!$F52*'Inputs &amp; Calcs'!L82)+('Inputs &amp; Calcs'!$D52*(1-'Inputs &amp; Calcs'!L82)))</f>
        <v>1.0843882290000002E-2</v>
      </c>
      <c r="M23" s="105">
        <f>(('Inputs &amp; Calcs'!$F52*'Inputs &amp; Calcs'!M82)+('Inputs &amp; Calcs'!$D52*(1-'Inputs &amp; Calcs'!M82)))</f>
        <v>1.0843882290000002E-2</v>
      </c>
      <c r="N23" s="105">
        <f>(('Inputs &amp; Calcs'!$F52*'Inputs &amp; Calcs'!N82)+('Inputs &amp; Calcs'!$D52*(1-'Inputs &amp; Calcs'!N82)))</f>
        <v>1.0843882290000002E-2</v>
      </c>
      <c r="O23" s="76"/>
      <c r="P23" s="76"/>
      <c r="Q23" s="76"/>
      <c r="R23" s="76"/>
      <c r="S23" s="76"/>
      <c r="T23" s="76"/>
      <c r="U23" s="76"/>
      <c r="V23" s="76"/>
      <c r="W23" s="76"/>
      <c r="X23" s="76"/>
      <c r="Y23" s="76"/>
      <c r="Z23" s="76"/>
    </row>
    <row r="24" spans="1:26" s="64" customFormat="1" ht="15">
      <c r="A24" s="88" t="str">
        <f>'Inputs &amp; Calcs'!A176</f>
        <v>Distribution Switchgear</v>
      </c>
      <c r="B24" s="88" t="str">
        <f>'Inputs &amp; Calcs'!B176</f>
        <v>HV Fuses</v>
      </c>
      <c r="C24" s="88" t="str">
        <f>'Inputs &amp; Calcs'!C176</f>
        <v>HV Fuses</v>
      </c>
      <c r="D24" s="105">
        <f>(('Inputs &amp; Calcs'!$F53*'Inputs &amp; Calcs'!D83)+('Inputs &amp; Calcs'!$D53*(1-'Inputs &amp; Calcs'!D83)))</f>
        <v>4.4000000000000002E-4</v>
      </c>
      <c r="E24" s="105">
        <f>(('Inputs &amp; Calcs'!$F53*'Inputs &amp; Calcs'!E83)+('Inputs &amp; Calcs'!$D53*(1-'Inputs &amp; Calcs'!E83)))</f>
        <v>4.4000000000000002E-4</v>
      </c>
      <c r="F24" s="105">
        <f>(('Inputs &amp; Calcs'!$F53*'Inputs &amp; Calcs'!F83)+('Inputs &amp; Calcs'!$D53*(1-'Inputs &amp; Calcs'!F83)))</f>
        <v>4.4000000000000002E-4</v>
      </c>
      <c r="G24" s="105">
        <f>(('Inputs &amp; Calcs'!$F53*'Inputs &amp; Calcs'!G83)+('Inputs &amp; Calcs'!$D53*(1-'Inputs &amp; Calcs'!G83)))</f>
        <v>4.4000000000000002E-4</v>
      </c>
      <c r="H24" s="105">
        <f>(('Inputs &amp; Calcs'!$F53*'Inputs &amp; Calcs'!H83)+('Inputs &amp; Calcs'!$D53*(1-'Inputs &amp; Calcs'!H83)))</f>
        <v>4.4000000000000002E-4</v>
      </c>
      <c r="I24" s="105">
        <f>(('Inputs &amp; Calcs'!$F53*'Inputs &amp; Calcs'!I83)+('Inputs &amp; Calcs'!$D53*(1-'Inputs &amp; Calcs'!I83)))</f>
        <v>4.4000000000000002E-4</v>
      </c>
      <c r="J24" s="105">
        <f>(('Inputs &amp; Calcs'!$F53*'Inputs &amp; Calcs'!J83)+('Inputs &amp; Calcs'!$D53*(1-'Inputs &amp; Calcs'!J83)))</f>
        <v>4.4000000000000002E-4</v>
      </c>
      <c r="K24" s="105">
        <f>(('Inputs &amp; Calcs'!$F53*'Inputs &amp; Calcs'!K83)+('Inputs &amp; Calcs'!$D53*(1-'Inputs &amp; Calcs'!K83)))</f>
        <v>4.4000000000000002E-4</v>
      </c>
      <c r="L24" s="105">
        <f>(('Inputs &amp; Calcs'!$F53*'Inputs &amp; Calcs'!L83)+('Inputs &amp; Calcs'!$D53*(1-'Inputs &amp; Calcs'!L83)))</f>
        <v>4.4000000000000002E-4</v>
      </c>
      <c r="M24" s="105">
        <f>(('Inputs &amp; Calcs'!$F53*'Inputs &amp; Calcs'!M83)+('Inputs &amp; Calcs'!$D53*(1-'Inputs &amp; Calcs'!M83)))</f>
        <v>4.4000000000000002E-4</v>
      </c>
      <c r="N24" s="105">
        <f>(('Inputs &amp; Calcs'!$F53*'Inputs &amp; Calcs'!N83)+('Inputs &amp; Calcs'!$D53*(1-'Inputs &amp; Calcs'!N83)))</f>
        <v>4.4000000000000002E-4</v>
      </c>
      <c r="O24" s="76"/>
      <c r="P24" s="76"/>
      <c r="Q24" s="76"/>
      <c r="R24" s="76"/>
      <c r="S24" s="76"/>
      <c r="T24" s="76"/>
      <c r="U24" s="76"/>
      <c r="V24" s="76"/>
      <c r="W24" s="76"/>
      <c r="X24" s="76"/>
      <c r="Y24" s="76"/>
      <c r="Z24" s="76"/>
    </row>
    <row r="25" spans="1:26" s="64" customFormat="1" ht="15">
      <c r="A25" s="88" t="str">
        <f>'Inputs &amp; Calcs'!A177</f>
        <v>Distribution Switchgear</v>
      </c>
      <c r="B25" s="88" t="str">
        <f>'Inputs &amp; Calcs'!B177</f>
        <v>Ground Mounted Switchgear</v>
      </c>
      <c r="C25" s="88" t="str">
        <f>'Inputs &amp; Calcs'!C177</f>
        <v>RMU</v>
      </c>
      <c r="D25" s="105">
        <f>(('Inputs &amp; Calcs'!$F54*'Inputs &amp; Calcs'!D84)+('Inputs &amp; Calcs'!$D54*(1-'Inputs &amp; Calcs'!D84)))</f>
        <v>2.4874004073584047E-2</v>
      </c>
      <c r="E25" s="105">
        <f>(('Inputs &amp; Calcs'!$F54*'Inputs &amp; Calcs'!E84)+('Inputs &amp; Calcs'!$D54*(1-'Inputs &amp; Calcs'!E84)))</f>
        <v>2.4874004073584047E-2</v>
      </c>
      <c r="F25" s="105">
        <f>(('Inputs &amp; Calcs'!$F54*'Inputs &amp; Calcs'!F84)+('Inputs &amp; Calcs'!$D54*(1-'Inputs &amp; Calcs'!F84)))</f>
        <v>2.4874004073584047E-2</v>
      </c>
      <c r="G25" s="105">
        <f>(('Inputs &amp; Calcs'!$F54*'Inputs &amp; Calcs'!G84)+('Inputs &amp; Calcs'!$D54*(1-'Inputs &amp; Calcs'!G84)))</f>
        <v>2.4874004073584047E-2</v>
      </c>
      <c r="H25" s="105">
        <f>(('Inputs &amp; Calcs'!$F54*'Inputs &amp; Calcs'!H84)+('Inputs &amp; Calcs'!$D54*(1-'Inputs &amp; Calcs'!H84)))</f>
        <v>2.4874004073584047E-2</v>
      </c>
      <c r="I25" s="105">
        <f>(('Inputs &amp; Calcs'!$F54*'Inputs &amp; Calcs'!I84)+('Inputs &amp; Calcs'!$D54*(1-'Inputs &amp; Calcs'!I84)))</f>
        <v>2.4874004073584047E-2</v>
      </c>
      <c r="J25" s="105">
        <f>(('Inputs &amp; Calcs'!$F54*'Inputs &amp; Calcs'!J84)+('Inputs &amp; Calcs'!$D54*(1-'Inputs &amp; Calcs'!J84)))</f>
        <v>2.4874004073584047E-2</v>
      </c>
      <c r="K25" s="105">
        <f>(('Inputs &amp; Calcs'!$F54*'Inputs &amp; Calcs'!K84)+('Inputs &amp; Calcs'!$D54*(1-'Inputs &amp; Calcs'!K84)))</f>
        <v>2.4874004073584047E-2</v>
      </c>
      <c r="L25" s="105">
        <f>(('Inputs &amp; Calcs'!$F54*'Inputs &amp; Calcs'!L84)+('Inputs &amp; Calcs'!$D54*(1-'Inputs &amp; Calcs'!L84)))</f>
        <v>2.4874004073584047E-2</v>
      </c>
      <c r="M25" s="105">
        <f>(('Inputs &amp; Calcs'!$F54*'Inputs &amp; Calcs'!M84)+('Inputs &amp; Calcs'!$D54*(1-'Inputs &amp; Calcs'!M84)))</f>
        <v>2.4874004073584047E-2</v>
      </c>
      <c r="N25" s="105">
        <f>(('Inputs &amp; Calcs'!$F54*'Inputs &amp; Calcs'!N84)+('Inputs &amp; Calcs'!$D54*(1-'Inputs &amp; Calcs'!N84)))</f>
        <v>2.4874004073584047E-2</v>
      </c>
      <c r="O25" s="76"/>
      <c r="P25" s="76"/>
      <c r="Q25" s="76"/>
      <c r="R25" s="76"/>
      <c r="S25" s="76"/>
      <c r="T25" s="76"/>
      <c r="U25" s="76"/>
      <c r="V25" s="76"/>
      <c r="W25" s="76"/>
      <c r="X25" s="76"/>
      <c r="Y25" s="76"/>
      <c r="Z25" s="76"/>
    </row>
    <row r="26" spans="1:26" s="64" customFormat="1" ht="15">
      <c r="A26" s="88" t="str">
        <f>'Inputs &amp; Calcs'!A178</f>
        <v>Distribution Switchgear</v>
      </c>
      <c r="B26" s="88" t="str">
        <f>'Inputs &amp; Calcs'!B178</f>
        <v>Circuit Breakers/Reclosers/Sectionalisers</v>
      </c>
      <c r="C26" s="88" t="str">
        <f>'Inputs &amp; Calcs'!C178</f>
        <v>Circuit Breakers/Reclosers/Sectionalisers</v>
      </c>
      <c r="D26" s="105">
        <f>(('Inputs &amp; Calcs'!$F55*'Inputs &amp; Calcs'!D85)+('Inputs &amp; Calcs'!$D55*(1-'Inputs &amp; Calcs'!D85)))</f>
        <v>2.232E-2</v>
      </c>
      <c r="E26" s="105">
        <f>(('Inputs &amp; Calcs'!$F55*'Inputs &amp; Calcs'!E85)+('Inputs &amp; Calcs'!$D55*(1-'Inputs &amp; Calcs'!E85)))</f>
        <v>2.232E-2</v>
      </c>
      <c r="F26" s="105">
        <f>(('Inputs &amp; Calcs'!$F55*'Inputs &amp; Calcs'!F85)+('Inputs &amp; Calcs'!$D55*(1-'Inputs &amp; Calcs'!F85)))</f>
        <v>2.232E-2</v>
      </c>
      <c r="G26" s="105">
        <f>(('Inputs &amp; Calcs'!$F55*'Inputs &amp; Calcs'!G85)+('Inputs &amp; Calcs'!$D55*(1-'Inputs &amp; Calcs'!G85)))</f>
        <v>2.232E-2</v>
      </c>
      <c r="H26" s="105">
        <f>(('Inputs &amp; Calcs'!$F55*'Inputs &amp; Calcs'!H85)+('Inputs &amp; Calcs'!$D55*(1-'Inputs &amp; Calcs'!H85)))</f>
        <v>2.232E-2</v>
      </c>
      <c r="I26" s="105">
        <f>(('Inputs &amp; Calcs'!$F55*'Inputs &amp; Calcs'!I85)+('Inputs &amp; Calcs'!$D55*(1-'Inputs &amp; Calcs'!I85)))</f>
        <v>2.232E-2</v>
      </c>
      <c r="J26" s="105">
        <f>(('Inputs &amp; Calcs'!$F55*'Inputs &amp; Calcs'!J85)+('Inputs &amp; Calcs'!$D55*(1-'Inputs &amp; Calcs'!J85)))</f>
        <v>2.232E-2</v>
      </c>
      <c r="K26" s="105">
        <f>(('Inputs &amp; Calcs'!$F55*'Inputs &amp; Calcs'!K85)+('Inputs &amp; Calcs'!$D55*(1-'Inputs &amp; Calcs'!K85)))</f>
        <v>2.232E-2</v>
      </c>
      <c r="L26" s="105">
        <f>(('Inputs &amp; Calcs'!$F55*'Inputs &amp; Calcs'!L85)+('Inputs &amp; Calcs'!$D55*(1-'Inputs &amp; Calcs'!L85)))</f>
        <v>2.232E-2</v>
      </c>
      <c r="M26" s="105">
        <f>(('Inputs &amp; Calcs'!$F55*'Inputs &amp; Calcs'!M85)+('Inputs &amp; Calcs'!$D55*(1-'Inputs &amp; Calcs'!M85)))</f>
        <v>2.232E-2</v>
      </c>
      <c r="N26" s="105">
        <f>(('Inputs &amp; Calcs'!$F55*'Inputs &amp; Calcs'!N85)+('Inputs &amp; Calcs'!$D55*(1-'Inputs &amp; Calcs'!N85)))</f>
        <v>2.232E-2</v>
      </c>
      <c r="O26" s="76"/>
      <c r="P26" s="76"/>
      <c r="Q26" s="76"/>
      <c r="R26" s="76"/>
      <c r="S26" s="76"/>
      <c r="T26" s="76"/>
      <c r="U26" s="76"/>
      <c r="V26" s="76"/>
      <c r="W26" s="76"/>
      <c r="X26" s="76"/>
      <c r="Y26" s="76"/>
      <c r="Z26" s="76"/>
    </row>
    <row r="27" spans="1:26" s="64" customFormat="1" ht="15">
      <c r="A27" s="88" t="str">
        <f>'Inputs &amp; Calcs'!A179</f>
        <v>Cables</v>
      </c>
      <c r="B27" s="88" t="str">
        <f>'Inputs &amp; Calcs'!B179</f>
        <v>Low Voltage Cables</v>
      </c>
      <c r="C27" s="88" t="str">
        <f>'Inputs &amp; Calcs'!C179</f>
        <v>Cables</v>
      </c>
      <c r="D27" s="105">
        <f>(('Inputs &amp; Calcs'!$F56*'Inputs &amp; Calcs'!D86)+('Inputs &amp; Calcs'!$D56*(1-'Inputs &amp; Calcs'!D86)))</f>
        <v>0.12809999999999999</v>
      </c>
      <c r="E27" s="105">
        <f>(('Inputs &amp; Calcs'!$F56*'Inputs &amp; Calcs'!E86)+('Inputs &amp; Calcs'!$D56*(1-'Inputs &amp; Calcs'!E86)))</f>
        <v>0.12809999999999999</v>
      </c>
      <c r="F27" s="105">
        <f>(('Inputs &amp; Calcs'!$F56*'Inputs &amp; Calcs'!F86)+('Inputs &amp; Calcs'!$D56*(1-'Inputs &amp; Calcs'!F86)))</f>
        <v>0.12809999999999999</v>
      </c>
      <c r="G27" s="105">
        <f>(('Inputs &amp; Calcs'!$F56*'Inputs &amp; Calcs'!G86)+('Inputs &amp; Calcs'!$D56*(1-'Inputs &amp; Calcs'!G86)))</f>
        <v>0.12809999999999999</v>
      </c>
      <c r="H27" s="105">
        <f>(('Inputs &amp; Calcs'!$F56*'Inputs &amp; Calcs'!H86)+('Inputs &amp; Calcs'!$D56*(1-'Inputs &amp; Calcs'!H86)))</f>
        <v>0.12809999999999999</v>
      </c>
      <c r="I27" s="105">
        <f>(('Inputs &amp; Calcs'!$F56*'Inputs &amp; Calcs'!I86)+('Inputs &amp; Calcs'!$D56*(1-'Inputs &amp; Calcs'!I86)))</f>
        <v>0.12809999999999999</v>
      </c>
      <c r="J27" s="105">
        <f>(('Inputs &amp; Calcs'!$F56*'Inputs &amp; Calcs'!J86)+('Inputs &amp; Calcs'!$D56*(1-'Inputs &amp; Calcs'!J86)))</f>
        <v>0.12809999999999999</v>
      </c>
      <c r="K27" s="105">
        <f>(('Inputs &amp; Calcs'!$F56*'Inputs &amp; Calcs'!K86)+('Inputs &amp; Calcs'!$D56*(1-'Inputs &amp; Calcs'!K86)))</f>
        <v>0.12809999999999999</v>
      </c>
      <c r="L27" s="105">
        <f>(('Inputs &amp; Calcs'!$F56*'Inputs &amp; Calcs'!L86)+('Inputs &amp; Calcs'!$D56*(1-'Inputs &amp; Calcs'!L86)))</f>
        <v>0.12809999999999999</v>
      </c>
      <c r="M27" s="105">
        <f>(('Inputs &amp; Calcs'!$F56*'Inputs &amp; Calcs'!M86)+('Inputs &amp; Calcs'!$D56*(1-'Inputs &amp; Calcs'!M86)))</f>
        <v>0.12809999999999999</v>
      </c>
      <c r="N27" s="105">
        <f>(('Inputs &amp; Calcs'!$F56*'Inputs &amp; Calcs'!N86)+('Inputs &amp; Calcs'!$D56*(1-'Inputs &amp; Calcs'!N86)))</f>
        <v>0.12809999999999999</v>
      </c>
      <c r="O27" s="76"/>
      <c r="P27" s="76"/>
      <c r="Q27" s="76"/>
      <c r="R27" s="76"/>
      <c r="S27" s="76"/>
      <c r="T27" s="76"/>
      <c r="U27" s="76"/>
      <c r="V27" s="76"/>
      <c r="W27" s="76"/>
      <c r="X27" s="76"/>
      <c r="Y27" s="76"/>
      <c r="Z27" s="76"/>
    </row>
    <row r="28" spans="1:26" s="64" customFormat="1" ht="15">
      <c r="A28" s="88" t="str">
        <f>'Inputs &amp; Calcs'!A180</f>
        <v>Cables</v>
      </c>
      <c r="B28" s="88" t="str">
        <f>'Inputs &amp; Calcs'!B180</f>
        <v>Distribution Cables</v>
      </c>
      <c r="C28" s="88" t="str">
        <f>'Inputs &amp; Calcs'!C180</f>
        <v>Cables</v>
      </c>
      <c r="D28" s="105">
        <f>(('Inputs &amp; Calcs'!$F57*'Inputs &amp; Calcs'!D87)+('Inputs &amp; Calcs'!$D57*(1-'Inputs &amp; Calcs'!D87)))</f>
        <v>0.21210000000000001</v>
      </c>
      <c r="E28" s="105">
        <f>(('Inputs &amp; Calcs'!$F57*'Inputs &amp; Calcs'!E87)+('Inputs &amp; Calcs'!$D57*(1-'Inputs &amp; Calcs'!E87)))</f>
        <v>0.21210000000000001</v>
      </c>
      <c r="F28" s="105">
        <f>(('Inputs &amp; Calcs'!$F57*'Inputs &amp; Calcs'!F87)+('Inputs &amp; Calcs'!$D57*(1-'Inputs &amp; Calcs'!F87)))</f>
        <v>0.21210000000000001</v>
      </c>
      <c r="G28" s="105">
        <f>(('Inputs &amp; Calcs'!$F57*'Inputs &amp; Calcs'!G87)+('Inputs &amp; Calcs'!$D57*(1-'Inputs &amp; Calcs'!G87)))</f>
        <v>0.21210000000000001</v>
      </c>
      <c r="H28" s="105">
        <f>(('Inputs &amp; Calcs'!$F57*'Inputs &amp; Calcs'!H87)+('Inputs &amp; Calcs'!$D57*(1-'Inputs &amp; Calcs'!H87)))</f>
        <v>0.21210000000000001</v>
      </c>
      <c r="I28" s="105">
        <f>(('Inputs &amp; Calcs'!$F57*'Inputs &amp; Calcs'!I87)+('Inputs &amp; Calcs'!$D57*(1-'Inputs &amp; Calcs'!I87)))</f>
        <v>0.21210000000000001</v>
      </c>
      <c r="J28" s="105">
        <f>(('Inputs &amp; Calcs'!$F57*'Inputs &amp; Calcs'!J87)+('Inputs &amp; Calcs'!$D57*(1-'Inputs &amp; Calcs'!J87)))</f>
        <v>0.21210000000000001</v>
      </c>
      <c r="K28" s="105">
        <f>(('Inputs &amp; Calcs'!$F57*'Inputs &amp; Calcs'!K87)+('Inputs &amp; Calcs'!$D57*(1-'Inputs &amp; Calcs'!K87)))</f>
        <v>0.21210000000000001</v>
      </c>
      <c r="L28" s="105">
        <f>(('Inputs &amp; Calcs'!$F57*'Inputs &amp; Calcs'!L87)+('Inputs &amp; Calcs'!$D57*(1-'Inputs &amp; Calcs'!L87)))</f>
        <v>0.21210000000000001</v>
      </c>
      <c r="M28" s="105">
        <f>(('Inputs &amp; Calcs'!$F57*'Inputs &amp; Calcs'!M87)+('Inputs &amp; Calcs'!$D57*(1-'Inputs &amp; Calcs'!M87)))</f>
        <v>0.21210000000000001</v>
      </c>
      <c r="N28" s="105">
        <f>(('Inputs &amp; Calcs'!$F57*'Inputs &amp; Calcs'!N87)+('Inputs &amp; Calcs'!$D57*(1-'Inputs &amp; Calcs'!N87)))</f>
        <v>0.21210000000000001</v>
      </c>
      <c r="O28" s="76"/>
      <c r="P28" s="76"/>
      <c r="Q28" s="76"/>
      <c r="R28" s="76"/>
      <c r="S28" s="76"/>
      <c r="T28" s="76"/>
      <c r="U28" s="76"/>
      <c r="V28" s="76"/>
      <c r="W28" s="76"/>
      <c r="X28" s="76"/>
      <c r="Y28" s="76"/>
      <c r="Z28" s="76"/>
    </row>
    <row r="29" spans="1:26" s="64" customFormat="1" ht="15">
      <c r="A29" s="88" t="str">
        <f>'Inputs &amp; Calcs'!A181</f>
        <v>Cables</v>
      </c>
      <c r="B29" s="88" t="str">
        <f>'Inputs &amp; Calcs'!B181</f>
        <v>Subtransmission Cables</v>
      </c>
      <c r="C29" s="88" t="str">
        <f>'Inputs &amp; Calcs'!C181</f>
        <v>Cables</v>
      </c>
      <c r="D29" s="105">
        <f>(('Inputs &amp; Calcs'!$F58*'Inputs &amp; Calcs'!D88)+('Inputs &amp; Calcs'!$D58*(1-'Inputs &amp; Calcs'!D88)))</f>
        <v>4.8999999999999998E-3</v>
      </c>
      <c r="E29" s="105">
        <f>(('Inputs &amp; Calcs'!$F58*'Inputs &amp; Calcs'!E88)+('Inputs &amp; Calcs'!$D58*(1-'Inputs &amp; Calcs'!E88)))</f>
        <v>4.8999999999999998E-3</v>
      </c>
      <c r="F29" s="105">
        <f>(('Inputs &amp; Calcs'!$F58*'Inputs &amp; Calcs'!F88)+('Inputs &amp; Calcs'!$D58*(1-'Inputs &amp; Calcs'!F88)))</f>
        <v>4.8999999999999998E-3</v>
      </c>
      <c r="G29" s="105">
        <f>(('Inputs &amp; Calcs'!$F58*'Inputs &amp; Calcs'!G88)+('Inputs &amp; Calcs'!$D58*(1-'Inputs &amp; Calcs'!G88)))</f>
        <v>4.8999999999999998E-3</v>
      </c>
      <c r="H29" s="105">
        <f>(('Inputs &amp; Calcs'!$F58*'Inputs &amp; Calcs'!H88)+('Inputs &amp; Calcs'!$D58*(1-'Inputs &amp; Calcs'!H88)))</f>
        <v>4.8999999999999998E-3</v>
      </c>
      <c r="I29" s="105">
        <f>(('Inputs &amp; Calcs'!$F58*'Inputs &amp; Calcs'!I88)+('Inputs &amp; Calcs'!$D58*(1-'Inputs &amp; Calcs'!I88)))</f>
        <v>4.8999999999999998E-3</v>
      </c>
      <c r="J29" s="105">
        <f>(('Inputs &amp; Calcs'!$F58*'Inputs &amp; Calcs'!J88)+('Inputs &amp; Calcs'!$D58*(1-'Inputs &amp; Calcs'!J88)))</f>
        <v>4.8999999999999998E-3</v>
      </c>
      <c r="K29" s="105">
        <f>(('Inputs &amp; Calcs'!$F58*'Inputs &amp; Calcs'!K88)+('Inputs &amp; Calcs'!$D58*(1-'Inputs &amp; Calcs'!K88)))</f>
        <v>4.8999999999999998E-3</v>
      </c>
      <c r="L29" s="105">
        <f>(('Inputs &amp; Calcs'!$F58*'Inputs &amp; Calcs'!L88)+('Inputs &amp; Calcs'!$D58*(1-'Inputs &amp; Calcs'!L88)))</f>
        <v>4.8999999999999998E-3</v>
      </c>
      <c r="M29" s="105">
        <f>(('Inputs &amp; Calcs'!$F58*'Inputs &amp; Calcs'!M88)+('Inputs &amp; Calcs'!$D58*(1-'Inputs &amp; Calcs'!M88)))</f>
        <v>4.8999999999999998E-3</v>
      </c>
      <c r="N29" s="105">
        <f>(('Inputs &amp; Calcs'!$F58*'Inputs &amp; Calcs'!N88)+('Inputs &amp; Calcs'!$D58*(1-'Inputs &amp; Calcs'!N88)))</f>
        <v>4.8999999999999998E-3</v>
      </c>
      <c r="O29" s="76"/>
      <c r="P29" s="76"/>
      <c r="Q29" s="76"/>
      <c r="R29" s="76"/>
      <c r="S29" s="76"/>
      <c r="T29" s="76"/>
      <c r="U29" s="76"/>
      <c r="V29" s="76"/>
      <c r="W29" s="76"/>
      <c r="X29" s="76"/>
      <c r="Y29" s="76"/>
      <c r="Z29" s="76"/>
    </row>
    <row r="30" spans="1:26" s="64" customFormat="1" ht="15">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s="64" customFormat="1" ht="15">
      <c r="A31" s="43" t="s">
        <v>89</v>
      </c>
      <c r="D31" s="134"/>
      <c r="E31" s="134"/>
      <c r="F31" s="139"/>
      <c r="G31" s="140"/>
      <c r="H31" s="141" t="s">
        <v>212</v>
      </c>
      <c r="I31" s="140"/>
      <c r="J31" s="142"/>
      <c r="K31" s="76"/>
      <c r="L31" s="76"/>
      <c r="M31" s="76"/>
      <c r="N31" s="76"/>
      <c r="O31" s="76"/>
      <c r="P31" s="76"/>
      <c r="Q31" s="76"/>
      <c r="R31" s="76"/>
      <c r="S31" s="76"/>
      <c r="T31" s="76"/>
      <c r="U31" s="76"/>
      <c r="V31" s="76"/>
      <c r="W31" s="76"/>
      <c r="X31" s="76"/>
      <c r="Y31" s="76"/>
      <c r="Z31" s="76"/>
    </row>
    <row r="32" spans="1:26" s="64" customFormat="1" ht="15">
      <c r="A32" s="143" t="s">
        <v>70</v>
      </c>
      <c r="B32" s="143" t="s">
        <v>119</v>
      </c>
      <c r="C32" s="143" t="s">
        <v>121</v>
      </c>
      <c r="D32" s="181">
        <v>2017</v>
      </c>
      <c r="E32" s="181">
        <v>2018</v>
      </c>
      <c r="F32" s="182">
        <v>2019</v>
      </c>
      <c r="G32" s="181">
        <v>2020</v>
      </c>
      <c r="H32" s="181">
        <v>2021</v>
      </c>
      <c r="I32" s="181">
        <v>2022</v>
      </c>
      <c r="J32" s="183">
        <v>2023</v>
      </c>
      <c r="K32" s="181">
        <v>2024</v>
      </c>
      <c r="L32" s="181">
        <v>2025</v>
      </c>
      <c r="M32" s="181">
        <v>2026</v>
      </c>
      <c r="N32" s="181">
        <v>2027</v>
      </c>
      <c r="O32" s="76"/>
      <c r="P32" s="76"/>
      <c r="Q32" s="76"/>
      <c r="R32" s="76"/>
      <c r="S32" s="76"/>
      <c r="T32" s="76"/>
      <c r="U32" s="76"/>
      <c r="V32" s="76"/>
      <c r="W32" s="76"/>
      <c r="X32" s="76"/>
      <c r="Y32" s="76"/>
      <c r="Z32" s="76"/>
    </row>
    <row r="33" spans="1:26" s="64" customFormat="1" ht="15">
      <c r="A33" s="88" t="str">
        <f>'Inputs &amp; Calcs'!A39</f>
        <v>Overhead Structures</v>
      </c>
      <c r="B33" s="88" t="str">
        <f>'Inputs &amp; Calcs'!B39</f>
        <v>Poles</v>
      </c>
      <c r="C33" s="88" t="str">
        <f>'Inputs &amp; Calcs'!C39</f>
        <v>Low Voltage</v>
      </c>
      <c r="D33" s="82">
        <f>(('Inputs &amp; Calcs'!$G39*'Inputs &amp; Calcs'!D69)+('Inputs &amp; Calcs'!$E39*(1-'Inputs &amp; Calcs'!D69)))</f>
        <v>3.1444999999999993E-6</v>
      </c>
      <c r="E33" s="82">
        <f>(('Inputs &amp; Calcs'!$G39*'Inputs &amp; Calcs'!E69)+('Inputs &amp; Calcs'!$E39*(1-'Inputs &amp; Calcs'!E69)))</f>
        <v>3.1444999999999997E-6</v>
      </c>
      <c r="F33" s="82">
        <f>(('Inputs &amp; Calcs'!$G39*'Inputs &amp; Calcs'!F69)+('Inputs &amp; Calcs'!$E39*(1-'Inputs &amp; Calcs'!F69)))</f>
        <v>3.1444999999999997E-6</v>
      </c>
      <c r="G33" s="82">
        <f>(('Inputs &amp; Calcs'!$G39*'Inputs &amp; Calcs'!G69)+('Inputs &amp; Calcs'!$E39*(1-'Inputs &amp; Calcs'!G69)))</f>
        <v>3.1444999999999993E-6</v>
      </c>
      <c r="H33" s="82">
        <f>(('Inputs &amp; Calcs'!$G39*'Inputs &amp; Calcs'!H69)+('Inputs &amp; Calcs'!$E39*(1-'Inputs &amp; Calcs'!H69)))</f>
        <v>3.1444999999999993E-6</v>
      </c>
      <c r="I33" s="82">
        <f>(('Inputs &amp; Calcs'!$G39*'Inputs &amp; Calcs'!I69)+('Inputs &amp; Calcs'!$E39*(1-'Inputs &amp; Calcs'!I69)))</f>
        <v>3.1444999999999993E-6</v>
      </c>
      <c r="J33" s="82">
        <f>(('Inputs &amp; Calcs'!$G39*'Inputs &amp; Calcs'!J69)+('Inputs &amp; Calcs'!$E39*(1-'Inputs &amp; Calcs'!J69)))</f>
        <v>3.1444999999999993E-6</v>
      </c>
      <c r="K33" s="82">
        <f>(('Inputs &amp; Calcs'!$G39*'Inputs &amp; Calcs'!K69)+('Inputs &amp; Calcs'!$E39*(1-'Inputs &amp; Calcs'!K69)))</f>
        <v>3.1444999999999993E-6</v>
      </c>
      <c r="L33" s="82">
        <f>(('Inputs &amp; Calcs'!$G39*'Inputs &amp; Calcs'!L69)+('Inputs &amp; Calcs'!$E39*(1-'Inputs &amp; Calcs'!L69)))</f>
        <v>3.1444999999999993E-6</v>
      </c>
      <c r="M33" s="82">
        <f>(('Inputs &amp; Calcs'!$G39*'Inputs &amp; Calcs'!M69)+('Inputs &amp; Calcs'!$E39*(1-'Inputs &amp; Calcs'!M69)))</f>
        <v>3.1444999999999993E-6</v>
      </c>
      <c r="N33" s="82">
        <f>(('Inputs &amp; Calcs'!$G39*'Inputs &amp; Calcs'!N69)+('Inputs &amp; Calcs'!$E39*(1-'Inputs &amp; Calcs'!N69)))</f>
        <v>3.1444999999999993E-6</v>
      </c>
      <c r="O33" s="76"/>
      <c r="P33" s="76"/>
      <c r="Q33" s="76"/>
      <c r="R33" s="76"/>
      <c r="S33" s="76"/>
      <c r="T33" s="76"/>
      <c r="U33" s="76"/>
      <c r="V33" s="76"/>
      <c r="W33" s="76"/>
      <c r="X33" s="76"/>
      <c r="Y33" s="76"/>
      <c r="Z33" s="76"/>
    </row>
    <row r="34" spans="1:26" s="64" customFormat="1" ht="15">
      <c r="A34" s="88" t="str">
        <f>'Inputs &amp; Calcs'!A40</f>
        <v>Overhead Structures</v>
      </c>
      <c r="B34" s="88" t="str">
        <f>'Inputs &amp; Calcs'!B40</f>
        <v>Poles</v>
      </c>
      <c r="C34" s="88" t="str">
        <f>'Inputs &amp; Calcs'!C40</f>
        <v>Distribution</v>
      </c>
      <c r="D34" s="82">
        <f>(('Inputs &amp; Calcs'!$G40*'Inputs &amp; Calcs'!D70)+('Inputs &amp; Calcs'!$E40*(1-'Inputs &amp; Calcs'!D70)))</f>
        <v>3.4765599999999998E-5</v>
      </c>
      <c r="E34" s="82">
        <f>(('Inputs &amp; Calcs'!$G40*'Inputs &amp; Calcs'!E70)+('Inputs &amp; Calcs'!$E40*(1-'Inputs &amp; Calcs'!E70)))</f>
        <v>3.5144000000000001E-5</v>
      </c>
      <c r="F34" s="82">
        <f>(('Inputs &amp; Calcs'!$G40*'Inputs &amp; Calcs'!F70)+('Inputs &amp; Calcs'!$E40*(1-'Inputs &amp; Calcs'!F70)))</f>
        <v>3.5144000000000001E-5</v>
      </c>
      <c r="G34" s="82">
        <f>(('Inputs &amp; Calcs'!$G40*'Inputs &amp; Calcs'!G70)+('Inputs &amp; Calcs'!$E40*(1-'Inputs &amp; Calcs'!G70)))</f>
        <v>3.4765599999999998E-5</v>
      </c>
      <c r="H34" s="82">
        <f>(('Inputs &amp; Calcs'!$G40*'Inputs &amp; Calcs'!H70)+('Inputs &amp; Calcs'!$E40*(1-'Inputs &amp; Calcs'!H70)))</f>
        <v>3.4765599999999998E-5</v>
      </c>
      <c r="I34" s="82">
        <f>(('Inputs &amp; Calcs'!$G40*'Inputs &amp; Calcs'!I70)+('Inputs &amp; Calcs'!$E40*(1-'Inputs &amp; Calcs'!I70)))</f>
        <v>3.4765599999999998E-5</v>
      </c>
      <c r="J34" s="82">
        <f>(('Inputs &amp; Calcs'!$G40*'Inputs &amp; Calcs'!J70)+('Inputs &amp; Calcs'!$E40*(1-'Inputs &amp; Calcs'!J70)))</f>
        <v>3.4765599999999998E-5</v>
      </c>
      <c r="K34" s="82">
        <f>(('Inputs &amp; Calcs'!$G40*'Inputs &amp; Calcs'!K70)+('Inputs &amp; Calcs'!$E40*(1-'Inputs &amp; Calcs'!K70)))</f>
        <v>3.4765599999999998E-5</v>
      </c>
      <c r="L34" s="82">
        <f>(('Inputs &amp; Calcs'!$G40*'Inputs &amp; Calcs'!L70)+('Inputs &amp; Calcs'!$E40*(1-'Inputs &amp; Calcs'!L70)))</f>
        <v>3.4765599999999998E-5</v>
      </c>
      <c r="M34" s="82">
        <f>(('Inputs &amp; Calcs'!$G40*'Inputs &amp; Calcs'!M70)+('Inputs &amp; Calcs'!$E40*(1-'Inputs &amp; Calcs'!M70)))</f>
        <v>3.4765599999999998E-5</v>
      </c>
      <c r="N34" s="82">
        <f>(('Inputs &amp; Calcs'!$G40*'Inputs &amp; Calcs'!N70)+('Inputs &amp; Calcs'!$E40*(1-'Inputs &amp; Calcs'!N70)))</f>
        <v>3.4765599999999998E-5</v>
      </c>
      <c r="O34" s="76"/>
      <c r="P34" s="76"/>
      <c r="Q34" s="76"/>
      <c r="R34" s="76"/>
      <c r="S34" s="76"/>
      <c r="T34" s="76"/>
      <c r="U34" s="76"/>
      <c r="V34" s="76"/>
      <c r="W34" s="76"/>
      <c r="X34" s="76"/>
      <c r="Y34" s="76"/>
      <c r="Z34" s="76"/>
    </row>
    <row r="35" spans="1:26" s="64" customFormat="1" ht="15">
      <c r="A35" s="88" t="str">
        <f>'Inputs &amp; Calcs'!A41</f>
        <v>Overhead Structures</v>
      </c>
      <c r="B35" s="88" t="str">
        <f>'Inputs &amp; Calcs'!B41</f>
        <v>Poles</v>
      </c>
      <c r="C35" s="88" t="str">
        <f>'Inputs &amp; Calcs'!C41</f>
        <v>Subtransmission</v>
      </c>
      <c r="D35" s="82">
        <f>(('Inputs &amp; Calcs'!$G41*'Inputs &amp; Calcs'!D71)+('Inputs &amp; Calcs'!$E41*(1-'Inputs &amp; Calcs'!D71)))</f>
        <v>3.9780000000000002E-5</v>
      </c>
      <c r="E35" s="82">
        <f>(('Inputs &amp; Calcs'!$G41*'Inputs &amp; Calcs'!E71)+('Inputs &amp; Calcs'!$E41*(1-'Inputs &amp; Calcs'!E71)))</f>
        <v>3.9780000000000002E-5</v>
      </c>
      <c r="F35" s="82">
        <f>(('Inputs &amp; Calcs'!$G41*'Inputs &amp; Calcs'!F71)+('Inputs &amp; Calcs'!$E41*(1-'Inputs &amp; Calcs'!F71)))</f>
        <v>3.9780000000000002E-5</v>
      </c>
      <c r="G35" s="82">
        <f>(('Inputs &amp; Calcs'!$G41*'Inputs &amp; Calcs'!G71)+('Inputs &amp; Calcs'!$E41*(1-'Inputs &amp; Calcs'!G71)))</f>
        <v>3.9780000000000002E-5</v>
      </c>
      <c r="H35" s="82">
        <f>(('Inputs &amp; Calcs'!$G41*'Inputs &amp; Calcs'!H71)+('Inputs &amp; Calcs'!$E41*(1-'Inputs &amp; Calcs'!H71)))</f>
        <v>3.9780000000000002E-5</v>
      </c>
      <c r="I35" s="82">
        <f>(('Inputs &amp; Calcs'!$G41*'Inputs &amp; Calcs'!I71)+('Inputs &amp; Calcs'!$E41*(1-'Inputs &amp; Calcs'!I71)))</f>
        <v>3.9780000000000002E-5</v>
      </c>
      <c r="J35" s="82">
        <f>(('Inputs &amp; Calcs'!$G41*'Inputs &amp; Calcs'!J71)+('Inputs &amp; Calcs'!$E41*(1-'Inputs &amp; Calcs'!J71)))</f>
        <v>3.9780000000000002E-5</v>
      </c>
      <c r="K35" s="82">
        <f>(('Inputs &amp; Calcs'!$G41*'Inputs &amp; Calcs'!K71)+('Inputs &amp; Calcs'!$E41*(1-'Inputs &amp; Calcs'!K71)))</f>
        <v>3.9780000000000002E-5</v>
      </c>
      <c r="L35" s="82">
        <f>(('Inputs &amp; Calcs'!$G41*'Inputs &amp; Calcs'!L71)+('Inputs &amp; Calcs'!$E41*(1-'Inputs &amp; Calcs'!L71)))</f>
        <v>3.9780000000000002E-5</v>
      </c>
      <c r="M35" s="82">
        <f>(('Inputs &amp; Calcs'!$G41*'Inputs &amp; Calcs'!M71)+('Inputs &amp; Calcs'!$E41*(1-'Inputs &amp; Calcs'!M71)))</f>
        <v>3.9780000000000002E-5</v>
      </c>
      <c r="N35" s="82">
        <f>(('Inputs &amp; Calcs'!$G41*'Inputs &amp; Calcs'!N71)+('Inputs &amp; Calcs'!$E41*(1-'Inputs &amp; Calcs'!N71)))</f>
        <v>3.9780000000000002E-5</v>
      </c>
      <c r="O35" s="76"/>
      <c r="P35" s="76"/>
      <c r="Q35" s="76"/>
      <c r="R35" s="76"/>
      <c r="S35" s="76"/>
      <c r="T35" s="76"/>
      <c r="U35" s="76"/>
      <c r="V35" s="76"/>
      <c r="W35" s="76"/>
      <c r="X35" s="76"/>
      <c r="Y35" s="76"/>
      <c r="Z35" s="76"/>
    </row>
    <row r="36" spans="1:26" s="64" customFormat="1" ht="15">
      <c r="A36" s="88" t="str">
        <f>'Inputs &amp; Calcs'!A42</f>
        <v>Overhead Structures</v>
      </c>
      <c r="B36" s="88" t="str">
        <f>'Inputs &amp; Calcs'!B42</f>
        <v>Crossarms</v>
      </c>
      <c r="C36" s="88" t="str">
        <f>'Inputs &amp; Calcs'!C42</f>
        <v>Low Voltage</v>
      </c>
      <c r="D36" s="82">
        <f>(('Inputs &amp; Calcs'!$G42*'Inputs &amp; Calcs'!D72)+('Inputs &amp; Calcs'!$E42*(1-'Inputs &amp; Calcs'!D72)))</f>
        <v>5.4389999999999993E-8</v>
      </c>
      <c r="E36" s="82">
        <f>(('Inputs &amp; Calcs'!$G42*'Inputs &amp; Calcs'!E72)+('Inputs &amp; Calcs'!$E42*(1-'Inputs &amp; Calcs'!E72)))</f>
        <v>5.4389999999999993E-8</v>
      </c>
      <c r="F36" s="82">
        <f>(('Inputs &amp; Calcs'!$G42*'Inputs &amp; Calcs'!F72)+('Inputs &amp; Calcs'!$E42*(1-'Inputs &amp; Calcs'!F72)))</f>
        <v>5.4389999999999993E-8</v>
      </c>
      <c r="G36" s="82">
        <f>(('Inputs &amp; Calcs'!$G42*'Inputs &amp; Calcs'!G72)+('Inputs &amp; Calcs'!$E42*(1-'Inputs &amp; Calcs'!G72)))</f>
        <v>5.4389999999999993E-8</v>
      </c>
      <c r="H36" s="82">
        <f>(('Inputs &amp; Calcs'!$G42*'Inputs &amp; Calcs'!H72)+('Inputs &amp; Calcs'!$E42*(1-'Inputs &amp; Calcs'!H72)))</f>
        <v>5.4389999999999993E-8</v>
      </c>
      <c r="I36" s="82">
        <f>(('Inputs &amp; Calcs'!$G42*'Inputs &amp; Calcs'!I72)+('Inputs &amp; Calcs'!$E42*(1-'Inputs &amp; Calcs'!I72)))</f>
        <v>5.4389999999999993E-8</v>
      </c>
      <c r="J36" s="82">
        <f>(('Inputs &amp; Calcs'!$G42*'Inputs &amp; Calcs'!J72)+('Inputs &amp; Calcs'!$E42*(1-'Inputs &amp; Calcs'!J72)))</f>
        <v>5.4389999999999993E-8</v>
      </c>
      <c r="K36" s="82">
        <f>(('Inputs &amp; Calcs'!$G42*'Inputs &amp; Calcs'!K72)+('Inputs &amp; Calcs'!$E42*(1-'Inputs &amp; Calcs'!K72)))</f>
        <v>5.4389999999999993E-8</v>
      </c>
      <c r="L36" s="82">
        <f>(('Inputs &amp; Calcs'!$G42*'Inputs &amp; Calcs'!L72)+('Inputs &amp; Calcs'!$E42*(1-'Inputs &amp; Calcs'!L72)))</f>
        <v>5.4389999999999993E-8</v>
      </c>
      <c r="M36" s="82">
        <f>(('Inputs &amp; Calcs'!$G42*'Inputs &amp; Calcs'!M72)+('Inputs &amp; Calcs'!$E42*(1-'Inputs &amp; Calcs'!M72)))</f>
        <v>5.4389999999999993E-8</v>
      </c>
      <c r="N36" s="82">
        <f>(('Inputs &amp; Calcs'!$G42*'Inputs &amp; Calcs'!N72)+('Inputs &amp; Calcs'!$E42*(1-'Inputs &amp; Calcs'!N72)))</f>
        <v>5.4389999999999993E-8</v>
      </c>
      <c r="O36" s="76"/>
      <c r="P36" s="76"/>
      <c r="Q36" s="76"/>
      <c r="R36" s="76"/>
      <c r="S36" s="76"/>
      <c r="T36" s="76"/>
      <c r="U36" s="76"/>
      <c r="V36" s="76"/>
      <c r="W36" s="76"/>
      <c r="X36" s="76"/>
      <c r="Y36" s="76"/>
      <c r="Z36" s="76"/>
    </row>
    <row r="37" spans="1:26" s="64" customFormat="1" ht="15">
      <c r="A37" s="88" t="str">
        <f>'Inputs &amp; Calcs'!A43</f>
        <v>Overhead Structures</v>
      </c>
      <c r="B37" s="88" t="str">
        <f>'Inputs &amp; Calcs'!B43</f>
        <v>Crossarms</v>
      </c>
      <c r="C37" s="88" t="str">
        <f>'Inputs &amp; Calcs'!C43</f>
        <v>Distribution</v>
      </c>
      <c r="D37" s="82">
        <f>(('Inputs &amp; Calcs'!$G43*'Inputs &amp; Calcs'!D73)+('Inputs &amp; Calcs'!$E43*(1-'Inputs &amp; Calcs'!D73)))</f>
        <v>7.485482039999999E-6</v>
      </c>
      <c r="E37" s="82">
        <f>(('Inputs &amp; Calcs'!$G43*'Inputs &amp; Calcs'!E73)+('Inputs &amp; Calcs'!$E43*(1-'Inputs &amp; Calcs'!E73)))</f>
        <v>8.0808566000000001E-6</v>
      </c>
      <c r="F37" s="82">
        <f>(('Inputs &amp; Calcs'!$G43*'Inputs &amp; Calcs'!F73)+('Inputs &amp; Calcs'!$E43*(1-'Inputs &amp; Calcs'!F73)))</f>
        <v>8.0808566000000001E-6</v>
      </c>
      <c r="G37" s="82">
        <f>(('Inputs &amp; Calcs'!$G43*'Inputs &amp; Calcs'!G73)+('Inputs &amp; Calcs'!$E43*(1-'Inputs &amp; Calcs'!G73)))</f>
        <v>7.485482039999999E-6</v>
      </c>
      <c r="H37" s="82">
        <f>(('Inputs &amp; Calcs'!$G43*'Inputs &amp; Calcs'!H73)+('Inputs &amp; Calcs'!$E43*(1-'Inputs &amp; Calcs'!H73)))</f>
        <v>7.485482039999999E-6</v>
      </c>
      <c r="I37" s="82">
        <f>(('Inputs &amp; Calcs'!$G43*'Inputs &amp; Calcs'!I73)+('Inputs &amp; Calcs'!$E43*(1-'Inputs &amp; Calcs'!I73)))</f>
        <v>7.485482039999999E-6</v>
      </c>
      <c r="J37" s="82">
        <f>(('Inputs &amp; Calcs'!$G43*'Inputs &amp; Calcs'!J73)+('Inputs &amp; Calcs'!$E43*(1-'Inputs &amp; Calcs'!J73)))</f>
        <v>7.485482039999999E-6</v>
      </c>
      <c r="K37" s="82">
        <f>(('Inputs &amp; Calcs'!$G43*'Inputs &amp; Calcs'!K73)+('Inputs &amp; Calcs'!$E43*(1-'Inputs &amp; Calcs'!K73)))</f>
        <v>7.485482039999999E-6</v>
      </c>
      <c r="L37" s="82">
        <f>(('Inputs &amp; Calcs'!$G43*'Inputs &amp; Calcs'!L73)+('Inputs &amp; Calcs'!$E43*(1-'Inputs &amp; Calcs'!L73)))</f>
        <v>7.485482039999999E-6</v>
      </c>
      <c r="M37" s="82">
        <f>(('Inputs &amp; Calcs'!$G43*'Inputs &amp; Calcs'!M73)+('Inputs &amp; Calcs'!$E43*(1-'Inputs &amp; Calcs'!M73)))</f>
        <v>7.485482039999999E-6</v>
      </c>
      <c r="N37" s="82">
        <f>(('Inputs &amp; Calcs'!$G43*'Inputs &amp; Calcs'!N73)+('Inputs &amp; Calcs'!$E43*(1-'Inputs &amp; Calcs'!N73)))</f>
        <v>7.485482039999999E-6</v>
      </c>
      <c r="O37" s="76"/>
      <c r="P37" s="76"/>
      <c r="Q37" s="76"/>
      <c r="R37" s="76"/>
      <c r="S37" s="76"/>
      <c r="T37" s="76"/>
      <c r="U37" s="76"/>
      <c r="V37" s="76"/>
      <c r="W37" s="76"/>
      <c r="X37" s="76"/>
      <c r="Y37" s="76"/>
      <c r="Z37" s="76"/>
    </row>
    <row r="38" spans="1:26" s="64" customFormat="1" ht="15">
      <c r="A38" s="88" t="str">
        <f>'Inputs &amp; Calcs'!A44</f>
        <v>Overhead Structures</v>
      </c>
      <c r="B38" s="88" t="str">
        <f>'Inputs &amp; Calcs'!B44</f>
        <v>Crossarms</v>
      </c>
      <c r="C38" s="88" t="str">
        <f>'Inputs &amp; Calcs'!C44</f>
        <v>Subtransmission</v>
      </c>
      <c r="D38" s="82">
        <f>(('Inputs &amp; Calcs'!$G44*'Inputs &amp; Calcs'!D74)+('Inputs &amp; Calcs'!$E44*(1-'Inputs &amp; Calcs'!D74)))</f>
        <v>3.1040000000000003E-6</v>
      </c>
      <c r="E38" s="82">
        <f>(('Inputs &amp; Calcs'!$G44*'Inputs &amp; Calcs'!E74)+('Inputs &amp; Calcs'!$E44*(1-'Inputs &amp; Calcs'!E74)))</f>
        <v>3.1040000000000003E-6</v>
      </c>
      <c r="F38" s="82">
        <f>(('Inputs &amp; Calcs'!$G44*'Inputs &amp; Calcs'!F74)+('Inputs &amp; Calcs'!$E44*(1-'Inputs &amp; Calcs'!F74)))</f>
        <v>3.1040000000000003E-6</v>
      </c>
      <c r="G38" s="82">
        <f>(('Inputs &amp; Calcs'!$G44*'Inputs &amp; Calcs'!G74)+('Inputs &amp; Calcs'!$E44*(1-'Inputs &amp; Calcs'!G74)))</f>
        <v>3.1040000000000003E-6</v>
      </c>
      <c r="H38" s="82">
        <f>(('Inputs &amp; Calcs'!$G44*'Inputs &amp; Calcs'!H74)+('Inputs &amp; Calcs'!$E44*(1-'Inputs &amp; Calcs'!H74)))</f>
        <v>3.1040000000000003E-6</v>
      </c>
      <c r="I38" s="82">
        <f>(('Inputs &amp; Calcs'!$G44*'Inputs &amp; Calcs'!I74)+('Inputs &amp; Calcs'!$E44*(1-'Inputs &amp; Calcs'!I74)))</f>
        <v>3.1040000000000003E-6</v>
      </c>
      <c r="J38" s="82">
        <f>(('Inputs &amp; Calcs'!$G44*'Inputs &amp; Calcs'!J74)+('Inputs &amp; Calcs'!$E44*(1-'Inputs &amp; Calcs'!J74)))</f>
        <v>3.1040000000000003E-6</v>
      </c>
      <c r="K38" s="82">
        <f>(('Inputs &amp; Calcs'!$G44*'Inputs &amp; Calcs'!K74)+('Inputs &amp; Calcs'!$E44*(1-'Inputs &amp; Calcs'!K74)))</f>
        <v>3.1040000000000003E-6</v>
      </c>
      <c r="L38" s="82">
        <f>(('Inputs &amp; Calcs'!$G44*'Inputs &amp; Calcs'!L74)+('Inputs &amp; Calcs'!$E44*(1-'Inputs &amp; Calcs'!L74)))</f>
        <v>3.1040000000000003E-6</v>
      </c>
      <c r="M38" s="82">
        <f>(('Inputs &amp; Calcs'!$G44*'Inputs &amp; Calcs'!M74)+('Inputs &amp; Calcs'!$E44*(1-'Inputs &amp; Calcs'!M74)))</f>
        <v>3.1040000000000003E-6</v>
      </c>
      <c r="N38" s="82">
        <f>(('Inputs &amp; Calcs'!$G44*'Inputs &amp; Calcs'!N74)+('Inputs &amp; Calcs'!$E44*(1-'Inputs &amp; Calcs'!N74)))</f>
        <v>3.1040000000000003E-6</v>
      </c>
      <c r="O38" s="76"/>
      <c r="P38" s="76"/>
      <c r="Q38" s="76"/>
      <c r="R38" s="76"/>
      <c r="S38" s="76"/>
      <c r="T38" s="76"/>
      <c r="U38" s="76"/>
      <c r="V38" s="76"/>
      <c r="W38" s="76"/>
      <c r="X38" s="76"/>
      <c r="Y38" s="76"/>
      <c r="Z38" s="76"/>
    </row>
    <row r="39" spans="1:26" s="64" customFormat="1" ht="15">
      <c r="A39" s="88" t="str">
        <f>'Inputs &amp; Calcs'!A45</f>
        <v>Overhead Conductor</v>
      </c>
      <c r="B39" s="88" t="str">
        <f>'Inputs &amp; Calcs'!B45</f>
        <v>Conductor</v>
      </c>
      <c r="C39" s="88" t="str">
        <f>'Inputs &amp; Calcs'!C45</f>
        <v>Low Voltage</v>
      </c>
      <c r="D39" s="82">
        <f>(('Inputs &amp; Calcs'!$G45*'Inputs &amp; Calcs'!D75)+('Inputs &amp; Calcs'!$E45*(1-'Inputs &amp; Calcs'!D75)))</f>
        <v>4.6410000000000001E-6</v>
      </c>
      <c r="E39" s="82">
        <f>(('Inputs &amp; Calcs'!$G45*'Inputs &amp; Calcs'!E75)+('Inputs &amp; Calcs'!$E45*(1-'Inputs &amp; Calcs'!E75)))</f>
        <v>4.6410000000000001E-6</v>
      </c>
      <c r="F39" s="82">
        <f>(('Inputs &amp; Calcs'!$G45*'Inputs &amp; Calcs'!F75)+('Inputs &amp; Calcs'!$E45*(1-'Inputs &amp; Calcs'!F75)))</f>
        <v>4.6410000000000001E-6</v>
      </c>
      <c r="G39" s="82">
        <f>(('Inputs &amp; Calcs'!$G45*'Inputs &amp; Calcs'!G75)+('Inputs &amp; Calcs'!$E45*(1-'Inputs &amp; Calcs'!G75)))</f>
        <v>4.6410000000000001E-6</v>
      </c>
      <c r="H39" s="82">
        <f>(('Inputs &amp; Calcs'!$G45*'Inputs &amp; Calcs'!H75)+('Inputs &amp; Calcs'!$E45*(1-'Inputs &amp; Calcs'!H75)))</f>
        <v>4.6410000000000001E-6</v>
      </c>
      <c r="I39" s="82">
        <f>(('Inputs &amp; Calcs'!$G45*'Inputs &amp; Calcs'!I75)+('Inputs &amp; Calcs'!$E45*(1-'Inputs &amp; Calcs'!I75)))</f>
        <v>4.6410000000000001E-6</v>
      </c>
      <c r="J39" s="82">
        <f>(('Inputs &amp; Calcs'!$G45*'Inputs &amp; Calcs'!J75)+('Inputs &amp; Calcs'!$E45*(1-'Inputs &amp; Calcs'!J75)))</f>
        <v>4.6410000000000001E-6</v>
      </c>
      <c r="K39" s="82">
        <f>(('Inputs &amp; Calcs'!$G45*'Inputs &amp; Calcs'!K75)+('Inputs &amp; Calcs'!$E45*(1-'Inputs &amp; Calcs'!K75)))</f>
        <v>4.6410000000000001E-6</v>
      </c>
      <c r="L39" s="82">
        <f>(('Inputs &amp; Calcs'!$G45*'Inputs &amp; Calcs'!L75)+('Inputs &amp; Calcs'!$E45*(1-'Inputs &amp; Calcs'!L75)))</f>
        <v>4.6410000000000001E-6</v>
      </c>
      <c r="M39" s="82">
        <f>(('Inputs &amp; Calcs'!$G45*'Inputs &amp; Calcs'!M75)+('Inputs &amp; Calcs'!$E45*(1-'Inputs &amp; Calcs'!M75)))</f>
        <v>4.6410000000000001E-6</v>
      </c>
      <c r="N39" s="82">
        <f>(('Inputs &amp; Calcs'!$G45*'Inputs &amp; Calcs'!N75)+('Inputs &amp; Calcs'!$E45*(1-'Inputs &amp; Calcs'!N75)))</f>
        <v>4.6410000000000001E-6</v>
      </c>
      <c r="O39" s="76"/>
      <c r="P39" s="76"/>
      <c r="Q39" s="76"/>
      <c r="R39" s="76"/>
      <c r="S39" s="76"/>
      <c r="T39" s="76"/>
      <c r="U39" s="76"/>
      <c r="V39" s="76"/>
      <c r="W39" s="76"/>
      <c r="X39" s="76"/>
      <c r="Y39" s="76"/>
      <c r="Z39" s="76"/>
    </row>
    <row r="40" spans="1:26" s="64" customFormat="1" ht="15">
      <c r="A40" s="88" t="str">
        <f>'Inputs &amp; Calcs'!A46</f>
        <v>Overhead Conductor</v>
      </c>
      <c r="B40" s="88" t="str">
        <f>'Inputs &amp; Calcs'!B46</f>
        <v>Conductor</v>
      </c>
      <c r="C40" s="88" t="str">
        <f>'Inputs &amp; Calcs'!C46</f>
        <v>Distribution</v>
      </c>
      <c r="D40" s="82">
        <f>(('Inputs &amp; Calcs'!$G46*'Inputs &amp; Calcs'!D76)+('Inputs &amp; Calcs'!$E46*(1-'Inputs &amp; Calcs'!D76)))</f>
        <v>1.2306549701065098E-4</v>
      </c>
      <c r="E40" s="82">
        <f>(('Inputs &amp; Calcs'!$G46*'Inputs &amp; Calcs'!E76)+('Inputs &amp; Calcs'!$E46*(1-'Inputs &amp; Calcs'!E76)))</f>
        <v>1.2306549701065098E-4</v>
      </c>
      <c r="F40" s="82">
        <f>(('Inputs &amp; Calcs'!$G46*'Inputs &amp; Calcs'!F76)+('Inputs &amp; Calcs'!$E46*(1-'Inputs &amp; Calcs'!F76)))</f>
        <v>1.2306549701065098E-4</v>
      </c>
      <c r="G40" s="82">
        <f>(('Inputs &amp; Calcs'!$G46*'Inputs &amp; Calcs'!G76)+('Inputs &amp; Calcs'!$E46*(1-'Inputs &amp; Calcs'!G76)))</f>
        <v>1.2306549701065098E-4</v>
      </c>
      <c r="H40" s="82">
        <f>(('Inputs &amp; Calcs'!$G46*'Inputs &amp; Calcs'!H76)+('Inputs &amp; Calcs'!$E46*(1-'Inputs &amp; Calcs'!H76)))</f>
        <v>1.2306549701065098E-4</v>
      </c>
      <c r="I40" s="82">
        <f>(('Inputs &amp; Calcs'!$G46*'Inputs &amp; Calcs'!I76)+('Inputs &amp; Calcs'!$E46*(1-'Inputs &amp; Calcs'!I76)))</f>
        <v>1.2306549701065098E-4</v>
      </c>
      <c r="J40" s="82">
        <f>(('Inputs &amp; Calcs'!$G46*'Inputs &amp; Calcs'!J76)+('Inputs &amp; Calcs'!$E46*(1-'Inputs &amp; Calcs'!J76)))</f>
        <v>1.2306549701065098E-4</v>
      </c>
      <c r="K40" s="82">
        <f>(('Inputs &amp; Calcs'!$G46*'Inputs &amp; Calcs'!K76)+('Inputs &amp; Calcs'!$E46*(1-'Inputs &amp; Calcs'!K76)))</f>
        <v>1.2306549701065098E-4</v>
      </c>
      <c r="L40" s="82">
        <f>(('Inputs &amp; Calcs'!$G46*'Inputs &amp; Calcs'!L76)+('Inputs &amp; Calcs'!$E46*(1-'Inputs &amp; Calcs'!L76)))</f>
        <v>1.2306549701065098E-4</v>
      </c>
      <c r="M40" s="82">
        <f>(('Inputs &amp; Calcs'!$G46*'Inputs &amp; Calcs'!M76)+('Inputs &amp; Calcs'!$E46*(1-'Inputs &amp; Calcs'!M76)))</f>
        <v>1.2306549701065098E-4</v>
      </c>
      <c r="N40" s="82">
        <f>(('Inputs &amp; Calcs'!$G46*'Inputs &amp; Calcs'!N76)+('Inputs &amp; Calcs'!$E46*(1-'Inputs &amp; Calcs'!N76)))</f>
        <v>1.2306549701065098E-4</v>
      </c>
      <c r="O40" s="76"/>
      <c r="P40" s="76"/>
      <c r="Q40" s="76"/>
      <c r="R40" s="76"/>
      <c r="S40" s="76"/>
      <c r="T40" s="76"/>
      <c r="U40" s="76"/>
      <c r="V40" s="76"/>
      <c r="W40" s="76"/>
      <c r="X40" s="76"/>
      <c r="Y40" s="76"/>
      <c r="Z40" s="76"/>
    </row>
    <row r="41" spans="1:26" s="64" customFormat="1" ht="15">
      <c r="A41" s="88" t="str">
        <f>'Inputs &amp; Calcs'!A47</f>
        <v>Overhead Conductor</v>
      </c>
      <c r="B41" s="88" t="str">
        <f>'Inputs &amp; Calcs'!B47</f>
        <v>Conductor</v>
      </c>
      <c r="C41" s="88" t="str">
        <f>'Inputs &amp; Calcs'!C47</f>
        <v>Subtransmission</v>
      </c>
      <c r="D41" s="82">
        <f>(('Inputs &amp; Calcs'!$G47*'Inputs &amp; Calcs'!D77)+('Inputs &amp; Calcs'!$E47*(1-'Inputs &amp; Calcs'!D77)))</f>
        <v>1.2240000000000002E-8</v>
      </c>
      <c r="E41" s="82">
        <f>(('Inputs &amp; Calcs'!$G47*'Inputs &amp; Calcs'!E77)+('Inputs &amp; Calcs'!$E47*(1-'Inputs &amp; Calcs'!E77)))</f>
        <v>1.2240000000000002E-8</v>
      </c>
      <c r="F41" s="82">
        <f>(('Inputs &amp; Calcs'!$G47*'Inputs &amp; Calcs'!F77)+('Inputs &amp; Calcs'!$E47*(1-'Inputs &amp; Calcs'!F77)))</f>
        <v>1.2240000000000002E-8</v>
      </c>
      <c r="G41" s="82">
        <f>(('Inputs &amp; Calcs'!$G47*'Inputs &amp; Calcs'!G77)+('Inputs &amp; Calcs'!$E47*(1-'Inputs &amp; Calcs'!G77)))</f>
        <v>1.2240000000000002E-8</v>
      </c>
      <c r="H41" s="82">
        <f>(('Inputs &amp; Calcs'!$G47*'Inputs &amp; Calcs'!H77)+('Inputs &amp; Calcs'!$E47*(1-'Inputs &amp; Calcs'!H77)))</f>
        <v>1.2240000000000002E-8</v>
      </c>
      <c r="I41" s="82">
        <f>(('Inputs &amp; Calcs'!$G47*'Inputs &amp; Calcs'!I77)+('Inputs &amp; Calcs'!$E47*(1-'Inputs &amp; Calcs'!I77)))</f>
        <v>1.2240000000000002E-8</v>
      </c>
      <c r="J41" s="82">
        <f>(('Inputs &amp; Calcs'!$G47*'Inputs &amp; Calcs'!J77)+('Inputs &amp; Calcs'!$E47*(1-'Inputs &amp; Calcs'!J77)))</f>
        <v>1.2240000000000002E-8</v>
      </c>
      <c r="K41" s="82">
        <f>(('Inputs &amp; Calcs'!$G47*'Inputs &amp; Calcs'!K77)+('Inputs &amp; Calcs'!$E47*(1-'Inputs &amp; Calcs'!K77)))</f>
        <v>1.2240000000000002E-8</v>
      </c>
      <c r="L41" s="82">
        <f>(('Inputs &amp; Calcs'!$G47*'Inputs &amp; Calcs'!L77)+('Inputs &amp; Calcs'!$E47*(1-'Inputs &amp; Calcs'!L77)))</f>
        <v>1.2240000000000002E-8</v>
      </c>
      <c r="M41" s="82">
        <f>(('Inputs &amp; Calcs'!$G47*'Inputs &amp; Calcs'!M77)+('Inputs &amp; Calcs'!$E47*(1-'Inputs &amp; Calcs'!M77)))</f>
        <v>1.2240000000000002E-8</v>
      </c>
      <c r="N41" s="82">
        <f>(('Inputs &amp; Calcs'!$G47*'Inputs &amp; Calcs'!N77)+('Inputs &amp; Calcs'!$E47*(1-'Inputs &amp; Calcs'!N77)))</f>
        <v>1.2240000000000002E-8</v>
      </c>
      <c r="O41" s="76"/>
      <c r="P41" s="76"/>
      <c r="Q41" s="76"/>
      <c r="R41" s="76"/>
      <c r="S41" s="76"/>
      <c r="T41" s="76"/>
      <c r="U41" s="76"/>
      <c r="V41" s="76"/>
      <c r="W41" s="76"/>
      <c r="X41" s="76"/>
      <c r="Y41" s="76"/>
      <c r="Z41" s="76"/>
    </row>
    <row r="42" spans="1:26" s="64" customFormat="1" ht="15">
      <c r="A42" s="88" t="str">
        <f>'Inputs &amp; Calcs'!A48</f>
        <v>Distribution Transformers</v>
      </c>
      <c r="B42" s="88" t="str">
        <f>'Inputs &amp; Calcs'!B48</f>
        <v>Pole Mounted Transformers</v>
      </c>
      <c r="C42" s="88" t="str">
        <f>'Inputs &amp; Calcs'!C48</f>
        <v>Pole Mounted Transformers</v>
      </c>
      <c r="D42" s="82">
        <f>(('Inputs &amp; Calcs'!$G48*'Inputs &amp; Calcs'!D78)+('Inputs &amp; Calcs'!$E48*(1-'Inputs &amp; Calcs'!D78)))</f>
        <v>2.6818999506689741E-5</v>
      </c>
      <c r="E42" s="82">
        <f>(('Inputs &amp; Calcs'!$G48*'Inputs &amp; Calcs'!E78)+('Inputs &amp; Calcs'!$E48*(1-'Inputs &amp; Calcs'!E78)))</f>
        <v>2.6818999506689741E-5</v>
      </c>
      <c r="F42" s="82">
        <f>(('Inputs &amp; Calcs'!$G48*'Inputs &amp; Calcs'!F78)+('Inputs &amp; Calcs'!$E48*(1-'Inputs &amp; Calcs'!F78)))</f>
        <v>2.6818999506689741E-5</v>
      </c>
      <c r="G42" s="82">
        <f>(('Inputs &amp; Calcs'!$G48*'Inputs &amp; Calcs'!G78)+('Inputs &amp; Calcs'!$E48*(1-'Inputs &amp; Calcs'!G78)))</f>
        <v>2.6818999506689741E-5</v>
      </c>
      <c r="H42" s="82">
        <f>(('Inputs &amp; Calcs'!$G48*'Inputs &amp; Calcs'!H78)+('Inputs &amp; Calcs'!$E48*(1-'Inputs &amp; Calcs'!H78)))</f>
        <v>2.6818999506689741E-5</v>
      </c>
      <c r="I42" s="82">
        <f>(('Inputs &amp; Calcs'!$G48*'Inputs &amp; Calcs'!I78)+('Inputs &amp; Calcs'!$E48*(1-'Inputs &amp; Calcs'!I78)))</f>
        <v>2.6818999506689741E-5</v>
      </c>
      <c r="J42" s="82">
        <f>(('Inputs &amp; Calcs'!$G48*'Inputs &amp; Calcs'!J78)+('Inputs &amp; Calcs'!$E48*(1-'Inputs &amp; Calcs'!J78)))</f>
        <v>2.6818999506689741E-5</v>
      </c>
      <c r="K42" s="82">
        <f>(('Inputs &amp; Calcs'!$G48*'Inputs &amp; Calcs'!K78)+('Inputs &amp; Calcs'!$E48*(1-'Inputs &amp; Calcs'!K78)))</f>
        <v>2.6818999506689741E-5</v>
      </c>
      <c r="L42" s="82">
        <f>(('Inputs &amp; Calcs'!$G48*'Inputs &amp; Calcs'!L78)+('Inputs &amp; Calcs'!$E48*(1-'Inputs &amp; Calcs'!L78)))</f>
        <v>2.6818999506689741E-5</v>
      </c>
      <c r="M42" s="82">
        <f>(('Inputs &amp; Calcs'!$G48*'Inputs &amp; Calcs'!M78)+('Inputs &amp; Calcs'!$E48*(1-'Inputs &amp; Calcs'!M78)))</f>
        <v>2.6818999506689741E-5</v>
      </c>
      <c r="N42" s="82">
        <f>(('Inputs &amp; Calcs'!$G48*'Inputs &amp; Calcs'!N78)+('Inputs &amp; Calcs'!$E48*(1-'Inputs &amp; Calcs'!N78)))</f>
        <v>2.6818999506689741E-5</v>
      </c>
      <c r="O42" s="76"/>
      <c r="P42" s="76"/>
      <c r="Q42" s="76"/>
      <c r="R42" s="76"/>
      <c r="S42" s="76"/>
      <c r="T42" s="76"/>
      <c r="U42" s="76"/>
      <c r="V42" s="76"/>
      <c r="W42" s="76"/>
      <c r="X42" s="76"/>
      <c r="Y42" s="76"/>
      <c r="Z42" s="76"/>
    </row>
    <row r="43" spans="1:26" s="64" customFormat="1" ht="15">
      <c r="A43" s="88" t="str">
        <f>'Inputs &amp; Calcs'!A49</f>
        <v>Distribution Transformers</v>
      </c>
      <c r="B43" s="88" t="str">
        <f>'Inputs &amp; Calcs'!B49</f>
        <v>Pole Mounted Transformers</v>
      </c>
      <c r="C43" s="88" t="str">
        <f>'Inputs &amp; Calcs'!C49</f>
        <v>LV Fusing</v>
      </c>
      <c r="D43" s="82">
        <f>(('Inputs &amp; Calcs'!$G49*'Inputs &amp; Calcs'!D79)+('Inputs &amp; Calcs'!$E49*(1-'Inputs &amp; Calcs'!D79)))</f>
        <v>2.6818999506689741E-5</v>
      </c>
      <c r="E43" s="82">
        <f>(('Inputs &amp; Calcs'!$G49*'Inputs &amp; Calcs'!E79)+('Inputs &amp; Calcs'!$E49*(1-'Inputs &amp; Calcs'!E79)))</f>
        <v>2.6818999506689741E-5</v>
      </c>
      <c r="F43" s="82">
        <f>(('Inputs &amp; Calcs'!$G49*'Inputs &amp; Calcs'!F79)+('Inputs &amp; Calcs'!$E49*(1-'Inputs &amp; Calcs'!F79)))</f>
        <v>2.6818999506689741E-5</v>
      </c>
      <c r="G43" s="82">
        <f>(('Inputs &amp; Calcs'!$G49*'Inputs &amp; Calcs'!G79)+('Inputs &amp; Calcs'!$E49*(1-'Inputs &amp; Calcs'!G79)))</f>
        <v>2.6818999506689741E-5</v>
      </c>
      <c r="H43" s="82">
        <f>(('Inputs &amp; Calcs'!$G49*'Inputs &amp; Calcs'!H79)+('Inputs &amp; Calcs'!$E49*(1-'Inputs &amp; Calcs'!H79)))</f>
        <v>2.6818999506689741E-5</v>
      </c>
      <c r="I43" s="82">
        <f>(('Inputs &amp; Calcs'!$G49*'Inputs &amp; Calcs'!I79)+('Inputs &amp; Calcs'!$E49*(1-'Inputs &amp; Calcs'!I79)))</f>
        <v>2.6818999506689741E-5</v>
      </c>
      <c r="J43" s="82">
        <f>(('Inputs &amp; Calcs'!$G49*'Inputs &amp; Calcs'!J79)+('Inputs &amp; Calcs'!$E49*(1-'Inputs &amp; Calcs'!J79)))</f>
        <v>2.6818999506689741E-5</v>
      </c>
      <c r="K43" s="82">
        <f>(('Inputs &amp; Calcs'!$G49*'Inputs &amp; Calcs'!K79)+('Inputs &amp; Calcs'!$E49*(1-'Inputs &amp; Calcs'!K79)))</f>
        <v>2.6818999506689741E-5</v>
      </c>
      <c r="L43" s="82">
        <f>(('Inputs &amp; Calcs'!$G49*'Inputs &amp; Calcs'!L79)+('Inputs &amp; Calcs'!$E49*(1-'Inputs &amp; Calcs'!L79)))</f>
        <v>2.6818999506689741E-5</v>
      </c>
      <c r="M43" s="82">
        <f>(('Inputs &amp; Calcs'!$G49*'Inputs &amp; Calcs'!M79)+('Inputs &amp; Calcs'!$E49*(1-'Inputs &amp; Calcs'!M79)))</f>
        <v>2.6818999506689741E-5</v>
      </c>
      <c r="N43" s="82">
        <f>(('Inputs &amp; Calcs'!$G49*'Inputs &amp; Calcs'!N79)+('Inputs &amp; Calcs'!$E49*(1-'Inputs &amp; Calcs'!N79)))</f>
        <v>2.6818999506689741E-5</v>
      </c>
      <c r="O43" s="76"/>
      <c r="P43" s="76"/>
      <c r="Q43" s="76"/>
      <c r="R43" s="76"/>
      <c r="S43" s="76"/>
      <c r="T43" s="76"/>
      <c r="U43" s="76"/>
      <c r="V43" s="76"/>
      <c r="W43" s="76"/>
      <c r="X43" s="76"/>
      <c r="Y43" s="76"/>
      <c r="Z43" s="76"/>
    </row>
    <row r="44" spans="1:26" s="64" customFormat="1" ht="15">
      <c r="A44" s="88" t="str">
        <f>'Inputs &amp; Calcs'!A50</f>
        <v>Distribution Transformers</v>
      </c>
      <c r="B44" s="88" t="str">
        <f>'Inputs &amp; Calcs'!B50</f>
        <v>Ground Mounted Transformers</v>
      </c>
      <c r="C44" s="88" t="str">
        <f>'Inputs &amp; Calcs'!C50</f>
        <v>Ground Mounted Transformers</v>
      </c>
      <c r="D44" s="82">
        <f>(('Inputs &amp; Calcs'!$G50*'Inputs &amp; Calcs'!D80)+('Inputs &amp; Calcs'!$E50*(1-'Inputs &amp; Calcs'!D80)))</f>
        <v>8.3789999999999996E-5</v>
      </c>
      <c r="E44" s="82">
        <f>(('Inputs &amp; Calcs'!$G50*'Inputs &amp; Calcs'!E80)+('Inputs &amp; Calcs'!$E50*(1-'Inputs &amp; Calcs'!E80)))</f>
        <v>8.3789999999999996E-5</v>
      </c>
      <c r="F44" s="82">
        <f>(('Inputs &amp; Calcs'!$G50*'Inputs &amp; Calcs'!F80)+('Inputs &amp; Calcs'!$E50*(1-'Inputs &amp; Calcs'!F80)))</f>
        <v>8.3789999999999996E-5</v>
      </c>
      <c r="G44" s="82">
        <f>(('Inputs &amp; Calcs'!$G50*'Inputs &amp; Calcs'!G80)+('Inputs &amp; Calcs'!$E50*(1-'Inputs &amp; Calcs'!G80)))</f>
        <v>8.3789999999999996E-5</v>
      </c>
      <c r="H44" s="82">
        <f>(('Inputs &amp; Calcs'!$G50*'Inputs &amp; Calcs'!H80)+('Inputs &amp; Calcs'!$E50*(1-'Inputs &amp; Calcs'!H80)))</f>
        <v>8.3789999999999996E-5</v>
      </c>
      <c r="I44" s="82">
        <f>(('Inputs &amp; Calcs'!$G50*'Inputs &amp; Calcs'!I80)+('Inputs &amp; Calcs'!$E50*(1-'Inputs &amp; Calcs'!I80)))</f>
        <v>8.3789999999999996E-5</v>
      </c>
      <c r="J44" s="82">
        <f>(('Inputs &amp; Calcs'!$G50*'Inputs &amp; Calcs'!J80)+('Inputs &amp; Calcs'!$E50*(1-'Inputs &amp; Calcs'!J80)))</f>
        <v>8.3789999999999996E-5</v>
      </c>
      <c r="K44" s="82">
        <f>(('Inputs &amp; Calcs'!$G50*'Inputs &amp; Calcs'!K80)+('Inputs &amp; Calcs'!$E50*(1-'Inputs &amp; Calcs'!K80)))</f>
        <v>8.3789999999999996E-5</v>
      </c>
      <c r="L44" s="82">
        <f>(('Inputs &amp; Calcs'!$G50*'Inputs &amp; Calcs'!L80)+('Inputs &amp; Calcs'!$E50*(1-'Inputs &amp; Calcs'!L80)))</f>
        <v>8.3789999999999996E-5</v>
      </c>
      <c r="M44" s="82">
        <f>(('Inputs &amp; Calcs'!$G50*'Inputs &amp; Calcs'!M80)+('Inputs &amp; Calcs'!$E50*(1-'Inputs &amp; Calcs'!M80)))</f>
        <v>8.3789999999999996E-5</v>
      </c>
      <c r="N44" s="82">
        <f>(('Inputs &amp; Calcs'!$G50*'Inputs &amp; Calcs'!N80)+('Inputs &amp; Calcs'!$E50*(1-'Inputs &amp; Calcs'!N80)))</f>
        <v>8.3789999999999996E-5</v>
      </c>
      <c r="O44" s="76"/>
      <c r="P44" s="76"/>
      <c r="Q44" s="76"/>
      <c r="R44" s="76"/>
      <c r="S44" s="76"/>
      <c r="T44" s="76"/>
      <c r="U44" s="76"/>
      <c r="V44" s="76"/>
      <c r="W44" s="76"/>
      <c r="X44" s="76"/>
      <c r="Y44" s="76"/>
      <c r="Z44" s="76"/>
    </row>
    <row r="45" spans="1:26" s="64" customFormat="1" ht="15">
      <c r="A45" s="88" t="str">
        <f>'Inputs &amp; Calcs'!A51</f>
        <v>Distribution Transformers</v>
      </c>
      <c r="B45" s="88" t="str">
        <f>'Inputs &amp; Calcs'!B51</f>
        <v>Distribution Other</v>
      </c>
      <c r="C45" s="88" t="str">
        <f>'Inputs &amp; Calcs'!C51</f>
        <v>Distribution Other</v>
      </c>
      <c r="D45" s="82">
        <f>(('Inputs &amp; Calcs'!$G51*'Inputs &amp; Calcs'!D81)+('Inputs &amp; Calcs'!$E51*(1-'Inputs &amp; Calcs'!D81)))</f>
        <v>8.3789999999999996E-5</v>
      </c>
      <c r="E45" s="82">
        <f>(('Inputs &amp; Calcs'!$G51*'Inputs &amp; Calcs'!E81)+('Inputs &amp; Calcs'!$E51*(1-'Inputs &amp; Calcs'!E81)))</f>
        <v>8.3789999999999996E-5</v>
      </c>
      <c r="F45" s="82">
        <f>(('Inputs &amp; Calcs'!$G51*'Inputs &amp; Calcs'!F81)+('Inputs &amp; Calcs'!$E51*(1-'Inputs &amp; Calcs'!F81)))</f>
        <v>8.3789999999999996E-5</v>
      </c>
      <c r="G45" s="82">
        <f>(('Inputs &amp; Calcs'!$G51*'Inputs &amp; Calcs'!G81)+('Inputs &amp; Calcs'!$E51*(1-'Inputs &amp; Calcs'!G81)))</f>
        <v>8.3789999999999996E-5</v>
      </c>
      <c r="H45" s="82">
        <f>(('Inputs &amp; Calcs'!$G51*'Inputs &amp; Calcs'!H81)+('Inputs &amp; Calcs'!$E51*(1-'Inputs &amp; Calcs'!H81)))</f>
        <v>8.3789999999999996E-5</v>
      </c>
      <c r="I45" s="82">
        <f>(('Inputs &amp; Calcs'!$G51*'Inputs &amp; Calcs'!I81)+('Inputs &amp; Calcs'!$E51*(1-'Inputs &amp; Calcs'!I81)))</f>
        <v>8.3789999999999996E-5</v>
      </c>
      <c r="J45" s="82">
        <f>(('Inputs &amp; Calcs'!$G51*'Inputs &amp; Calcs'!J81)+('Inputs &amp; Calcs'!$E51*(1-'Inputs &amp; Calcs'!J81)))</f>
        <v>8.3789999999999996E-5</v>
      </c>
      <c r="K45" s="82">
        <f>(('Inputs &amp; Calcs'!$G51*'Inputs &amp; Calcs'!K81)+('Inputs &amp; Calcs'!$E51*(1-'Inputs &amp; Calcs'!K81)))</f>
        <v>8.3789999999999996E-5</v>
      </c>
      <c r="L45" s="82">
        <f>(('Inputs &amp; Calcs'!$G51*'Inputs &amp; Calcs'!L81)+('Inputs &amp; Calcs'!$E51*(1-'Inputs &amp; Calcs'!L81)))</f>
        <v>8.3789999999999996E-5</v>
      </c>
      <c r="M45" s="82">
        <f>(('Inputs &amp; Calcs'!$G51*'Inputs &amp; Calcs'!M81)+('Inputs &amp; Calcs'!$E51*(1-'Inputs &amp; Calcs'!M81)))</f>
        <v>8.3789999999999996E-5</v>
      </c>
      <c r="N45" s="82">
        <f>(('Inputs &amp; Calcs'!$G51*'Inputs &amp; Calcs'!N81)+('Inputs &amp; Calcs'!$E51*(1-'Inputs &amp; Calcs'!N81)))</f>
        <v>8.3789999999999996E-5</v>
      </c>
      <c r="O45" s="76"/>
      <c r="P45" s="76"/>
      <c r="Q45" s="76"/>
      <c r="R45" s="76"/>
      <c r="S45" s="76"/>
      <c r="T45" s="76"/>
      <c r="U45" s="76"/>
      <c r="V45" s="76"/>
      <c r="W45" s="76"/>
      <c r="X45" s="76"/>
      <c r="Y45" s="76"/>
      <c r="Z45" s="76"/>
    </row>
    <row r="46" spans="1:26" s="64" customFormat="1" ht="15">
      <c r="A46" s="88" t="str">
        <f>'Inputs &amp; Calcs'!A52</f>
        <v>Distribution Switchgear</v>
      </c>
      <c r="B46" s="88" t="str">
        <f>'Inputs &amp; Calcs'!B52</f>
        <v>Pole Mounted Switches</v>
      </c>
      <c r="C46" s="88" t="str">
        <f>'Inputs &amp; Calcs'!C52</f>
        <v>Air Break</v>
      </c>
      <c r="D46" s="82">
        <f>(('Inputs &amp; Calcs'!$G52*'Inputs &amp; Calcs'!D82)+('Inputs &amp; Calcs'!$E52*(1-'Inputs &amp; Calcs'!D82)))</f>
        <v>5.6950000000000009E-5</v>
      </c>
      <c r="E46" s="82">
        <f>(('Inputs &amp; Calcs'!$G52*'Inputs &amp; Calcs'!E82)+('Inputs &amp; Calcs'!$E52*(1-'Inputs &amp; Calcs'!E82)))</f>
        <v>5.6950000000000009E-5</v>
      </c>
      <c r="F46" s="82">
        <f>(('Inputs &amp; Calcs'!$G52*'Inputs &amp; Calcs'!F82)+('Inputs &amp; Calcs'!$E52*(1-'Inputs &amp; Calcs'!F82)))</f>
        <v>5.6950000000000009E-5</v>
      </c>
      <c r="G46" s="82">
        <f>(('Inputs &amp; Calcs'!$G52*'Inputs &amp; Calcs'!G82)+('Inputs &amp; Calcs'!$E52*(1-'Inputs &amp; Calcs'!G82)))</f>
        <v>5.6950000000000009E-5</v>
      </c>
      <c r="H46" s="82">
        <f>(('Inputs &amp; Calcs'!$G52*'Inputs &amp; Calcs'!H82)+('Inputs &amp; Calcs'!$E52*(1-'Inputs &amp; Calcs'!H82)))</f>
        <v>5.6950000000000009E-5</v>
      </c>
      <c r="I46" s="82">
        <f>(('Inputs &amp; Calcs'!$G52*'Inputs &amp; Calcs'!I82)+('Inputs &amp; Calcs'!$E52*(1-'Inputs &amp; Calcs'!I82)))</f>
        <v>5.6950000000000009E-5</v>
      </c>
      <c r="J46" s="82">
        <f>(('Inputs &amp; Calcs'!$G52*'Inputs &amp; Calcs'!J82)+('Inputs &amp; Calcs'!$E52*(1-'Inputs &amp; Calcs'!J82)))</f>
        <v>5.6950000000000009E-5</v>
      </c>
      <c r="K46" s="82">
        <f>(('Inputs &amp; Calcs'!$G52*'Inputs &amp; Calcs'!K82)+('Inputs &amp; Calcs'!$E52*(1-'Inputs &amp; Calcs'!K82)))</f>
        <v>5.6950000000000009E-5</v>
      </c>
      <c r="L46" s="82">
        <f>(('Inputs &amp; Calcs'!$G52*'Inputs &amp; Calcs'!L82)+('Inputs &amp; Calcs'!$E52*(1-'Inputs &amp; Calcs'!L82)))</f>
        <v>5.6950000000000009E-5</v>
      </c>
      <c r="M46" s="82">
        <f>(('Inputs &amp; Calcs'!$G52*'Inputs &amp; Calcs'!M82)+('Inputs &amp; Calcs'!$E52*(1-'Inputs &amp; Calcs'!M82)))</f>
        <v>5.6950000000000009E-5</v>
      </c>
      <c r="N46" s="82">
        <f>(('Inputs &amp; Calcs'!$G52*'Inputs &amp; Calcs'!N82)+('Inputs &amp; Calcs'!$E52*(1-'Inputs &amp; Calcs'!N82)))</f>
        <v>5.6950000000000009E-5</v>
      </c>
      <c r="O46" s="76"/>
      <c r="P46" s="76"/>
      <c r="Q46" s="76"/>
      <c r="R46" s="76"/>
      <c r="S46" s="76"/>
      <c r="T46" s="76"/>
      <c r="U46" s="76"/>
      <c r="V46" s="76"/>
      <c r="W46" s="76"/>
      <c r="X46" s="76"/>
      <c r="Y46" s="76"/>
      <c r="Z46" s="76"/>
    </row>
    <row r="47" spans="1:26" s="64" customFormat="1" ht="15">
      <c r="A47" s="88" t="str">
        <f>'Inputs &amp; Calcs'!A53</f>
        <v>Distribution Switchgear</v>
      </c>
      <c r="B47" s="88" t="str">
        <f>'Inputs &amp; Calcs'!B53</f>
        <v>HV Fuses</v>
      </c>
      <c r="C47" s="88" t="str">
        <f>'Inputs &amp; Calcs'!C53</f>
        <v>HV Fuses</v>
      </c>
      <c r="D47" s="82">
        <f>(('Inputs &amp; Calcs'!$G53*'Inputs &amp; Calcs'!D83)+('Inputs &amp; Calcs'!$E53*(1-'Inputs &amp; Calcs'!D83)))</f>
        <v>3.9999999999999998E-6</v>
      </c>
      <c r="E47" s="82">
        <f>(('Inputs &amp; Calcs'!$G53*'Inputs &amp; Calcs'!E83)+('Inputs &amp; Calcs'!$E53*(1-'Inputs &amp; Calcs'!E83)))</f>
        <v>3.9999999999999998E-6</v>
      </c>
      <c r="F47" s="82">
        <f>(('Inputs &amp; Calcs'!$G53*'Inputs &amp; Calcs'!F83)+('Inputs &amp; Calcs'!$E53*(1-'Inputs &amp; Calcs'!F83)))</f>
        <v>3.9999999999999998E-6</v>
      </c>
      <c r="G47" s="82">
        <f>(('Inputs &amp; Calcs'!$G53*'Inputs &amp; Calcs'!G83)+('Inputs &amp; Calcs'!$E53*(1-'Inputs &amp; Calcs'!G83)))</f>
        <v>3.9999999999999998E-6</v>
      </c>
      <c r="H47" s="82">
        <f>(('Inputs &amp; Calcs'!$G53*'Inputs &amp; Calcs'!H83)+('Inputs &amp; Calcs'!$E53*(1-'Inputs &amp; Calcs'!H83)))</f>
        <v>3.9999999999999998E-6</v>
      </c>
      <c r="I47" s="82">
        <f>(('Inputs &amp; Calcs'!$G53*'Inputs &amp; Calcs'!I83)+('Inputs &amp; Calcs'!$E53*(1-'Inputs &amp; Calcs'!I83)))</f>
        <v>3.9999999999999998E-6</v>
      </c>
      <c r="J47" s="82">
        <f>(('Inputs &amp; Calcs'!$G53*'Inputs &amp; Calcs'!J83)+('Inputs &amp; Calcs'!$E53*(1-'Inputs &amp; Calcs'!J83)))</f>
        <v>3.9999999999999998E-6</v>
      </c>
      <c r="K47" s="82">
        <f>(('Inputs &amp; Calcs'!$G53*'Inputs &amp; Calcs'!K83)+('Inputs &amp; Calcs'!$E53*(1-'Inputs &amp; Calcs'!K83)))</f>
        <v>3.9999999999999998E-6</v>
      </c>
      <c r="L47" s="82">
        <f>(('Inputs &amp; Calcs'!$G53*'Inputs &amp; Calcs'!L83)+('Inputs &amp; Calcs'!$E53*(1-'Inputs &amp; Calcs'!L83)))</f>
        <v>3.9999999999999998E-6</v>
      </c>
      <c r="M47" s="82">
        <f>(('Inputs &amp; Calcs'!$G53*'Inputs &amp; Calcs'!M83)+('Inputs &amp; Calcs'!$E53*(1-'Inputs &amp; Calcs'!M83)))</f>
        <v>3.9999999999999998E-6</v>
      </c>
      <c r="N47" s="82">
        <f>(('Inputs &amp; Calcs'!$G53*'Inputs &amp; Calcs'!N83)+('Inputs &amp; Calcs'!$E53*(1-'Inputs &amp; Calcs'!N83)))</f>
        <v>3.9999999999999998E-6</v>
      </c>
      <c r="O47" s="76"/>
      <c r="P47" s="76"/>
      <c r="Q47" s="76"/>
      <c r="R47" s="76"/>
      <c r="S47" s="76"/>
      <c r="T47" s="76"/>
      <c r="U47" s="76"/>
      <c r="V47" s="76"/>
      <c r="W47" s="76"/>
      <c r="X47" s="76"/>
      <c r="Y47" s="76"/>
      <c r="Z47" s="76"/>
    </row>
    <row r="48" spans="1:26" s="64" customFormat="1" ht="15">
      <c r="A48" s="88" t="str">
        <f>'Inputs &amp; Calcs'!A54</f>
        <v>Distribution Switchgear</v>
      </c>
      <c r="B48" s="88" t="str">
        <f>'Inputs &amp; Calcs'!B54</f>
        <v>Ground Mounted Switchgear</v>
      </c>
      <c r="C48" s="88" t="str">
        <f>'Inputs &amp; Calcs'!C54</f>
        <v>RMU</v>
      </c>
      <c r="D48" s="82">
        <f>(('Inputs &amp; Calcs'!$G54*'Inputs &amp; Calcs'!D84)+('Inputs &amp; Calcs'!$E54*(1-'Inputs &amp; Calcs'!D84)))</f>
        <v>1.6718660714432635E-4</v>
      </c>
      <c r="E48" s="82">
        <f>(('Inputs &amp; Calcs'!$G54*'Inputs &amp; Calcs'!E84)+('Inputs &amp; Calcs'!$E54*(1-'Inputs &amp; Calcs'!E84)))</f>
        <v>1.6718660714432635E-4</v>
      </c>
      <c r="F48" s="82">
        <f>(('Inputs &amp; Calcs'!$G54*'Inputs &amp; Calcs'!F84)+('Inputs &amp; Calcs'!$E54*(1-'Inputs &amp; Calcs'!F84)))</f>
        <v>1.6718660714432635E-4</v>
      </c>
      <c r="G48" s="82">
        <f>(('Inputs &amp; Calcs'!$G54*'Inputs &amp; Calcs'!G84)+('Inputs &amp; Calcs'!$E54*(1-'Inputs &amp; Calcs'!G84)))</f>
        <v>1.6718660714432635E-4</v>
      </c>
      <c r="H48" s="82">
        <f>(('Inputs &amp; Calcs'!$G54*'Inputs &amp; Calcs'!H84)+('Inputs &amp; Calcs'!$E54*(1-'Inputs &amp; Calcs'!H84)))</f>
        <v>1.6718660714432635E-4</v>
      </c>
      <c r="I48" s="82">
        <f>(('Inputs &amp; Calcs'!$G54*'Inputs &amp; Calcs'!I84)+('Inputs &amp; Calcs'!$E54*(1-'Inputs &amp; Calcs'!I84)))</f>
        <v>1.6718660714432635E-4</v>
      </c>
      <c r="J48" s="82">
        <f>(('Inputs &amp; Calcs'!$G54*'Inputs &amp; Calcs'!J84)+('Inputs &amp; Calcs'!$E54*(1-'Inputs &amp; Calcs'!J84)))</f>
        <v>1.6718660714432635E-4</v>
      </c>
      <c r="K48" s="82">
        <f>(('Inputs &amp; Calcs'!$G54*'Inputs &amp; Calcs'!K84)+('Inputs &amp; Calcs'!$E54*(1-'Inputs &amp; Calcs'!K84)))</f>
        <v>1.6718660714432635E-4</v>
      </c>
      <c r="L48" s="82">
        <f>(('Inputs &amp; Calcs'!$G54*'Inputs &amp; Calcs'!L84)+('Inputs &amp; Calcs'!$E54*(1-'Inputs &amp; Calcs'!L84)))</f>
        <v>1.6718660714432635E-4</v>
      </c>
      <c r="M48" s="82">
        <f>(('Inputs &amp; Calcs'!$G54*'Inputs &amp; Calcs'!M84)+('Inputs &amp; Calcs'!$E54*(1-'Inputs &amp; Calcs'!M84)))</f>
        <v>1.6718660714432635E-4</v>
      </c>
      <c r="N48" s="82">
        <f>(('Inputs &amp; Calcs'!$G54*'Inputs &amp; Calcs'!N84)+('Inputs &amp; Calcs'!$E54*(1-'Inputs &amp; Calcs'!N84)))</f>
        <v>1.6718660714432635E-4</v>
      </c>
      <c r="O48" s="76"/>
      <c r="P48" s="76"/>
      <c r="Q48" s="76"/>
      <c r="R48" s="76"/>
      <c r="S48" s="76"/>
      <c r="T48" s="76"/>
      <c r="U48" s="76"/>
      <c r="V48" s="76"/>
      <c r="W48" s="76"/>
      <c r="X48" s="76"/>
      <c r="Y48" s="76"/>
      <c r="Z48" s="76"/>
    </row>
    <row r="49" spans="1:27" s="64" customFormat="1" ht="15">
      <c r="A49" s="88" t="str">
        <f>'Inputs &amp; Calcs'!A55</f>
        <v>Distribution Switchgear</v>
      </c>
      <c r="B49" s="88" t="str">
        <f>'Inputs &amp; Calcs'!B55</f>
        <v>Circuit Breakers/Reclosers/Sectionalisers</v>
      </c>
      <c r="C49" s="88" t="str">
        <f>'Inputs &amp; Calcs'!C55</f>
        <v>Circuit Breakers/Reclosers/Sectionalisers</v>
      </c>
      <c r="D49" s="82">
        <f>(('Inputs &amp; Calcs'!$G55*'Inputs &amp; Calcs'!D85)+('Inputs &amp; Calcs'!$E55*(1-'Inputs &amp; Calcs'!D85)))</f>
        <v>7.0000000000000007E-5</v>
      </c>
      <c r="E49" s="82">
        <f>(('Inputs &amp; Calcs'!$G55*'Inputs &amp; Calcs'!E85)+('Inputs &amp; Calcs'!$E55*(1-'Inputs &amp; Calcs'!E85)))</f>
        <v>7.0000000000000007E-5</v>
      </c>
      <c r="F49" s="82">
        <f>(('Inputs &amp; Calcs'!$G55*'Inputs &amp; Calcs'!F85)+('Inputs &amp; Calcs'!$E55*(1-'Inputs &amp; Calcs'!F85)))</f>
        <v>7.0000000000000007E-5</v>
      </c>
      <c r="G49" s="82">
        <f>(('Inputs &amp; Calcs'!$G55*'Inputs &amp; Calcs'!G85)+('Inputs &amp; Calcs'!$E55*(1-'Inputs &amp; Calcs'!G85)))</f>
        <v>7.0000000000000007E-5</v>
      </c>
      <c r="H49" s="82">
        <f>(('Inputs &amp; Calcs'!$G55*'Inputs &amp; Calcs'!H85)+('Inputs &amp; Calcs'!$E55*(1-'Inputs &amp; Calcs'!H85)))</f>
        <v>7.0000000000000007E-5</v>
      </c>
      <c r="I49" s="82">
        <f>(('Inputs &amp; Calcs'!$G55*'Inputs &amp; Calcs'!I85)+('Inputs &amp; Calcs'!$E55*(1-'Inputs &amp; Calcs'!I85)))</f>
        <v>7.0000000000000007E-5</v>
      </c>
      <c r="J49" s="82">
        <f>(('Inputs &amp; Calcs'!$G55*'Inputs &amp; Calcs'!J85)+('Inputs &amp; Calcs'!$E55*(1-'Inputs &amp; Calcs'!J85)))</f>
        <v>7.0000000000000007E-5</v>
      </c>
      <c r="K49" s="82">
        <f>(('Inputs &amp; Calcs'!$G55*'Inputs &amp; Calcs'!K85)+('Inputs &amp; Calcs'!$E55*(1-'Inputs &amp; Calcs'!K85)))</f>
        <v>7.0000000000000007E-5</v>
      </c>
      <c r="L49" s="82">
        <f>(('Inputs &amp; Calcs'!$G55*'Inputs &amp; Calcs'!L85)+('Inputs &amp; Calcs'!$E55*(1-'Inputs &amp; Calcs'!L85)))</f>
        <v>7.0000000000000007E-5</v>
      </c>
      <c r="M49" s="82">
        <f>(('Inputs &amp; Calcs'!$G55*'Inputs &amp; Calcs'!M85)+('Inputs &amp; Calcs'!$E55*(1-'Inputs &amp; Calcs'!M85)))</f>
        <v>7.0000000000000007E-5</v>
      </c>
      <c r="N49" s="82">
        <f>(('Inputs &amp; Calcs'!$G55*'Inputs &amp; Calcs'!N85)+('Inputs &amp; Calcs'!$E55*(1-'Inputs &amp; Calcs'!N85)))</f>
        <v>7.0000000000000007E-5</v>
      </c>
      <c r="O49" s="76"/>
      <c r="P49" s="76"/>
      <c r="Q49" s="76"/>
      <c r="R49" s="76"/>
      <c r="S49" s="76"/>
      <c r="T49" s="76"/>
      <c r="U49" s="76"/>
      <c r="V49" s="76"/>
      <c r="W49" s="76"/>
      <c r="X49" s="76"/>
      <c r="Y49" s="76"/>
      <c r="Z49" s="76"/>
    </row>
    <row r="50" spans="1:27" s="64" customFormat="1" ht="15">
      <c r="A50" s="88" t="str">
        <f>'Inputs &amp; Calcs'!A56</f>
        <v>Cables</v>
      </c>
      <c r="B50" s="88" t="str">
        <f>'Inputs &amp; Calcs'!B56</f>
        <v>Low Voltage Cables</v>
      </c>
      <c r="C50" s="88" t="str">
        <f>'Inputs &amp; Calcs'!C56</f>
        <v>Cables</v>
      </c>
      <c r="D50" s="82">
        <f>(('Inputs &amp; Calcs'!$G56*'Inputs &amp; Calcs'!D86)+('Inputs &amp; Calcs'!$E56*(1-'Inputs &amp; Calcs'!D86)))</f>
        <v>4.5925000000000002E-4</v>
      </c>
      <c r="E50" s="82">
        <f>(('Inputs &amp; Calcs'!$G56*'Inputs &amp; Calcs'!E86)+('Inputs &amp; Calcs'!$E56*(1-'Inputs &amp; Calcs'!E86)))</f>
        <v>4.5925000000000002E-4</v>
      </c>
      <c r="F50" s="82">
        <f>(('Inputs &amp; Calcs'!$G56*'Inputs &amp; Calcs'!F86)+('Inputs &amp; Calcs'!$E56*(1-'Inputs &amp; Calcs'!F86)))</f>
        <v>4.5925000000000002E-4</v>
      </c>
      <c r="G50" s="82">
        <f>(('Inputs &amp; Calcs'!$G56*'Inputs &amp; Calcs'!G86)+('Inputs &amp; Calcs'!$E56*(1-'Inputs &amp; Calcs'!G86)))</f>
        <v>4.5925000000000002E-4</v>
      </c>
      <c r="H50" s="82">
        <f>(('Inputs &amp; Calcs'!$G56*'Inputs &amp; Calcs'!H86)+('Inputs &amp; Calcs'!$E56*(1-'Inputs &amp; Calcs'!H86)))</f>
        <v>4.5925000000000002E-4</v>
      </c>
      <c r="I50" s="82">
        <f>(('Inputs &amp; Calcs'!$G56*'Inputs &amp; Calcs'!I86)+('Inputs &amp; Calcs'!$E56*(1-'Inputs &amp; Calcs'!I86)))</f>
        <v>4.5925000000000002E-4</v>
      </c>
      <c r="J50" s="82">
        <f>(('Inputs &amp; Calcs'!$G56*'Inputs &amp; Calcs'!J86)+('Inputs &amp; Calcs'!$E56*(1-'Inputs &amp; Calcs'!J86)))</f>
        <v>4.5925000000000002E-4</v>
      </c>
      <c r="K50" s="82">
        <f>(('Inputs &amp; Calcs'!$G56*'Inputs &amp; Calcs'!K86)+('Inputs &amp; Calcs'!$E56*(1-'Inputs &amp; Calcs'!K86)))</f>
        <v>4.5925000000000002E-4</v>
      </c>
      <c r="L50" s="82">
        <f>(('Inputs &amp; Calcs'!$G56*'Inputs &amp; Calcs'!L86)+('Inputs &amp; Calcs'!$E56*(1-'Inputs &amp; Calcs'!L86)))</f>
        <v>4.5925000000000002E-4</v>
      </c>
      <c r="M50" s="82">
        <f>(('Inputs &amp; Calcs'!$G56*'Inputs &amp; Calcs'!M86)+('Inputs &amp; Calcs'!$E56*(1-'Inputs &amp; Calcs'!M86)))</f>
        <v>4.5925000000000002E-4</v>
      </c>
      <c r="N50" s="82">
        <f>(('Inputs &amp; Calcs'!$G56*'Inputs &amp; Calcs'!N86)+('Inputs &amp; Calcs'!$E56*(1-'Inputs &amp; Calcs'!N86)))</f>
        <v>4.5925000000000002E-4</v>
      </c>
      <c r="O50" s="76"/>
      <c r="P50" s="76"/>
      <c r="Q50" s="76"/>
      <c r="R50" s="76"/>
      <c r="S50" s="76"/>
      <c r="T50" s="76"/>
      <c r="U50" s="76"/>
      <c r="V50" s="76"/>
      <c r="W50" s="76"/>
      <c r="X50" s="76"/>
      <c r="Y50" s="76"/>
      <c r="Z50" s="76"/>
    </row>
    <row r="51" spans="1:27" s="64" customFormat="1" ht="15">
      <c r="A51" s="88" t="str">
        <f>'Inputs &amp; Calcs'!A57</f>
        <v>Cables</v>
      </c>
      <c r="B51" s="88" t="str">
        <f>'Inputs &amp; Calcs'!B57</f>
        <v>Distribution Cables</v>
      </c>
      <c r="C51" s="88" t="str">
        <f>'Inputs &amp; Calcs'!C57</f>
        <v>Cables</v>
      </c>
      <c r="D51" s="82">
        <f>(('Inputs &amp; Calcs'!$G57*'Inputs &amp; Calcs'!D87)+('Inputs &amp; Calcs'!$E57*(1-'Inputs &amp; Calcs'!D87)))</f>
        <v>6.0894999999999992E-4</v>
      </c>
      <c r="E51" s="82">
        <f>(('Inputs &amp; Calcs'!$G57*'Inputs &amp; Calcs'!E87)+('Inputs &amp; Calcs'!$E57*(1-'Inputs &amp; Calcs'!E87)))</f>
        <v>6.0894999999999992E-4</v>
      </c>
      <c r="F51" s="82">
        <f>(('Inputs &amp; Calcs'!$G57*'Inputs &amp; Calcs'!F87)+('Inputs &amp; Calcs'!$E57*(1-'Inputs &amp; Calcs'!F87)))</f>
        <v>6.0894999999999992E-4</v>
      </c>
      <c r="G51" s="82">
        <f>(('Inputs &amp; Calcs'!$G57*'Inputs &amp; Calcs'!G87)+('Inputs &amp; Calcs'!$E57*(1-'Inputs &amp; Calcs'!G87)))</f>
        <v>6.0894999999999992E-4</v>
      </c>
      <c r="H51" s="82">
        <f>(('Inputs &amp; Calcs'!$G57*'Inputs &amp; Calcs'!H87)+('Inputs &amp; Calcs'!$E57*(1-'Inputs &amp; Calcs'!H87)))</f>
        <v>6.0894999999999992E-4</v>
      </c>
      <c r="I51" s="82">
        <f>(('Inputs &amp; Calcs'!$G57*'Inputs &amp; Calcs'!I87)+('Inputs &amp; Calcs'!$E57*(1-'Inputs &amp; Calcs'!I87)))</f>
        <v>6.0894999999999992E-4</v>
      </c>
      <c r="J51" s="82">
        <f>(('Inputs &amp; Calcs'!$G57*'Inputs &amp; Calcs'!J87)+('Inputs &amp; Calcs'!$E57*(1-'Inputs &amp; Calcs'!J87)))</f>
        <v>6.0894999999999992E-4</v>
      </c>
      <c r="K51" s="82">
        <f>(('Inputs &amp; Calcs'!$G57*'Inputs &amp; Calcs'!K87)+('Inputs &amp; Calcs'!$E57*(1-'Inputs &amp; Calcs'!K87)))</f>
        <v>6.0894999999999992E-4</v>
      </c>
      <c r="L51" s="82">
        <f>(('Inputs &amp; Calcs'!$G57*'Inputs &amp; Calcs'!L87)+('Inputs &amp; Calcs'!$E57*(1-'Inputs &amp; Calcs'!L87)))</f>
        <v>6.0894999999999992E-4</v>
      </c>
      <c r="M51" s="82">
        <f>(('Inputs &amp; Calcs'!$G57*'Inputs &amp; Calcs'!M87)+('Inputs &amp; Calcs'!$E57*(1-'Inputs &amp; Calcs'!M87)))</f>
        <v>6.0894999999999992E-4</v>
      </c>
      <c r="N51" s="82">
        <f>(('Inputs &amp; Calcs'!$G57*'Inputs &amp; Calcs'!N87)+('Inputs &amp; Calcs'!$E57*(1-'Inputs &amp; Calcs'!N87)))</f>
        <v>6.0894999999999992E-4</v>
      </c>
      <c r="O51" s="76"/>
      <c r="P51" s="76"/>
      <c r="Q51" s="76"/>
      <c r="R51" s="76"/>
      <c r="S51" s="76"/>
      <c r="T51" s="76"/>
      <c r="U51" s="76"/>
      <c r="V51" s="76"/>
      <c r="W51" s="76"/>
      <c r="X51" s="76"/>
      <c r="Y51" s="76"/>
      <c r="Z51" s="76"/>
    </row>
    <row r="52" spans="1:27" s="64" customFormat="1" ht="15">
      <c r="A52" s="88" t="str">
        <f>'Inputs &amp; Calcs'!A58</f>
        <v>Cables</v>
      </c>
      <c r="B52" s="88" t="str">
        <f>'Inputs &amp; Calcs'!B58</f>
        <v>Subtransmission Cables</v>
      </c>
      <c r="C52" s="88" t="str">
        <f>'Inputs &amp; Calcs'!C58</f>
        <v>Cables</v>
      </c>
      <c r="D52" s="82">
        <f>(('Inputs &amp; Calcs'!$G58*'Inputs &amp; Calcs'!D88)+('Inputs &amp; Calcs'!$E58*(1-'Inputs &amp; Calcs'!D88)))</f>
        <v>1.8699999999999999E-4</v>
      </c>
      <c r="E52" s="82">
        <f>(('Inputs &amp; Calcs'!$G58*'Inputs &amp; Calcs'!E88)+('Inputs &amp; Calcs'!$E58*(1-'Inputs &amp; Calcs'!E88)))</f>
        <v>1.8699999999999999E-4</v>
      </c>
      <c r="F52" s="82">
        <f>(('Inputs &amp; Calcs'!$G58*'Inputs &amp; Calcs'!F88)+('Inputs &amp; Calcs'!$E58*(1-'Inputs &amp; Calcs'!F88)))</f>
        <v>1.8699999999999999E-4</v>
      </c>
      <c r="G52" s="82">
        <f>(('Inputs &amp; Calcs'!$G58*'Inputs &amp; Calcs'!G88)+('Inputs &amp; Calcs'!$E58*(1-'Inputs &amp; Calcs'!G88)))</f>
        <v>1.8699999999999999E-4</v>
      </c>
      <c r="H52" s="82">
        <f>(('Inputs &amp; Calcs'!$G58*'Inputs &amp; Calcs'!H88)+('Inputs &amp; Calcs'!$E58*(1-'Inputs &amp; Calcs'!H88)))</f>
        <v>1.8699999999999999E-4</v>
      </c>
      <c r="I52" s="82">
        <f>(('Inputs &amp; Calcs'!$G58*'Inputs &amp; Calcs'!I88)+('Inputs &amp; Calcs'!$E58*(1-'Inputs &amp; Calcs'!I88)))</f>
        <v>1.8699999999999999E-4</v>
      </c>
      <c r="J52" s="82">
        <f>(('Inputs &amp; Calcs'!$G58*'Inputs &amp; Calcs'!J88)+('Inputs &amp; Calcs'!$E58*(1-'Inputs &amp; Calcs'!J88)))</f>
        <v>1.8699999999999999E-4</v>
      </c>
      <c r="K52" s="82">
        <f>(('Inputs &amp; Calcs'!$G58*'Inputs &amp; Calcs'!K88)+('Inputs &amp; Calcs'!$E58*(1-'Inputs &amp; Calcs'!K88)))</f>
        <v>1.8699999999999999E-4</v>
      </c>
      <c r="L52" s="82">
        <f>(('Inputs &amp; Calcs'!$G58*'Inputs &amp; Calcs'!L88)+('Inputs &amp; Calcs'!$E58*(1-'Inputs &amp; Calcs'!L88)))</f>
        <v>1.8699999999999999E-4</v>
      </c>
      <c r="M52" s="82">
        <f>(('Inputs &amp; Calcs'!$G58*'Inputs &amp; Calcs'!M88)+('Inputs &amp; Calcs'!$E58*(1-'Inputs &amp; Calcs'!M88)))</f>
        <v>1.8699999999999999E-4</v>
      </c>
      <c r="N52" s="82">
        <f>(('Inputs &amp; Calcs'!$G58*'Inputs &amp; Calcs'!N88)+('Inputs &amp; Calcs'!$E58*(1-'Inputs &amp; Calcs'!N88)))</f>
        <v>1.8699999999999999E-4</v>
      </c>
      <c r="O52" s="76"/>
      <c r="P52" s="76"/>
      <c r="Q52" s="76"/>
      <c r="R52" s="76"/>
      <c r="S52" s="76"/>
      <c r="T52" s="76"/>
      <c r="U52" s="76"/>
      <c r="V52" s="76"/>
      <c r="W52" s="76"/>
      <c r="X52" s="76"/>
      <c r="Y52" s="76"/>
      <c r="Z52" s="76"/>
    </row>
    <row r="53" spans="1:27" s="64" customFormat="1" ht="15">
      <c r="A53" s="44"/>
      <c r="B53" s="44"/>
      <c r="C53" s="44"/>
      <c r="D53" s="76"/>
      <c r="E53" s="76"/>
      <c r="F53" s="76"/>
      <c r="G53" s="76"/>
      <c r="H53" s="76"/>
      <c r="I53" s="76"/>
      <c r="J53" s="76"/>
      <c r="K53" s="76"/>
      <c r="L53" s="76"/>
      <c r="M53" s="76"/>
      <c r="N53" s="76"/>
      <c r="O53" s="76"/>
      <c r="P53" s="76"/>
      <c r="Q53" s="76"/>
      <c r="R53" s="76"/>
      <c r="S53" s="76"/>
      <c r="T53" s="76"/>
      <c r="U53" s="76"/>
      <c r="V53" s="76"/>
      <c r="W53" s="76"/>
      <c r="X53" s="76"/>
      <c r="Y53" s="76"/>
      <c r="Z53" s="76"/>
    </row>
    <row r="54" spans="1:27" s="64" customFormat="1" ht="15">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row>
    <row r="56" spans="1:27" ht="18">
      <c r="A56" s="61" t="s">
        <v>213</v>
      </c>
    </row>
    <row r="57" spans="1:27" ht="18">
      <c r="A57" s="61"/>
    </row>
    <row r="58" spans="1:27" ht="15">
      <c r="A58" s="43" t="s">
        <v>88</v>
      </c>
      <c r="B58" s="64"/>
      <c r="C58" s="64"/>
      <c r="D58" s="134"/>
      <c r="E58" s="134"/>
      <c r="F58" s="139"/>
      <c r="G58" s="140"/>
      <c r="H58" s="141" t="s">
        <v>212</v>
      </c>
      <c r="I58" s="140"/>
      <c r="J58" s="142"/>
    </row>
    <row r="59" spans="1:27" ht="15">
      <c r="A59" s="143" t="s">
        <v>70</v>
      </c>
      <c r="B59" s="143" t="s">
        <v>119</v>
      </c>
      <c r="C59" s="143" t="s">
        <v>121</v>
      </c>
      <c r="D59" s="181">
        <v>2017</v>
      </c>
      <c r="E59" s="181">
        <v>2018</v>
      </c>
      <c r="F59" s="182">
        <v>2019</v>
      </c>
      <c r="G59" s="181">
        <v>2020</v>
      </c>
      <c r="H59" s="181">
        <v>2021</v>
      </c>
      <c r="I59" s="181">
        <v>2022</v>
      </c>
      <c r="J59" s="183">
        <v>2023</v>
      </c>
      <c r="K59" s="181">
        <v>2024</v>
      </c>
      <c r="L59" s="183">
        <v>2025</v>
      </c>
      <c r="M59" s="181">
        <v>2026</v>
      </c>
      <c r="N59" s="183">
        <v>2027</v>
      </c>
    </row>
    <row r="60" spans="1:27">
      <c r="A60" s="88" t="str">
        <f>'Inputs &amp; Calcs'!A39</f>
        <v>Overhead Structures</v>
      </c>
      <c r="B60" s="88" t="str">
        <f>'Inputs &amp; Calcs'!B39</f>
        <v>Poles</v>
      </c>
      <c r="C60" s="88" t="str">
        <f>'Inputs &amp; Calcs'!C39</f>
        <v>Low Voltage</v>
      </c>
      <c r="D60" s="87">
        <f>'Inputs &amp; Calcs'!D162*(1-'Inputs &amp; Calcs'!$D98*(1-'Inputs &amp; Calcs'!$E98))-'Inputs &amp; Calcs'!$I136*(1-'Inputs &amp; Calcs'!$D98)</f>
        <v>-269.00634920634917</v>
      </c>
      <c r="E60" s="87">
        <f>'Inputs &amp; Calcs'!E162*(1-'Inputs &amp; Calcs'!$D98*(1-'Inputs &amp; Calcs'!$E98))-'Inputs &amp; Calcs'!$I136*(1-'Inputs &amp; Calcs'!$D98)</f>
        <v>-268.45434920634915</v>
      </c>
      <c r="F60" s="87">
        <f>'Inputs &amp; Calcs'!F162*(1-'Inputs &amp; Calcs'!$D98*(1-'Inputs &amp; Calcs'!$E98))-'Inputs &amp; Calcs'!$I136*(1-'Inputs &amp; Calcs'!$D98)</f>
        <v>-180.46554920634924</v>
      </c>
      <c r="G60" s="87">
        <f>'Inputs &amp; Calcs'!G162*(1-'Inputs &amp; Calcs'!$D98*(1-'Inputs &amp; Calcs'!$E98))-'Inputs &amp; Calcs'!$I136*(1-'Inputs &amp; Calcs'!$D98)</f>
        <v>-72.273549206349344</v>
      </c>
      <c r="H60" s="87">
        <f>'Inputs &amp; Calcs'!H162*(1-'Inputs &amp; Calcs'!$D98*(1-'Inputs &amp; Calcs'!$E98))-'Inputs &amp; Calcs'!$I136*(1-'Inputs &amp; Calcs'!$D98)</f>
        <v>40.042051081430145</v>
      </c>
      <c r="I60" s="87">
        <f>'Inputs &amp; Calcs'!I162*(1-'Inputs &amp; Calcs'!$D98*(1-'Inputs &amp; Calcs'!$E98))-'Inputs &amp; Calcs'!$I136*(1-'Inputs &amp; Calcs'!$D98)</f>
        <v>24.77266291003491</v>
      </c>
      <c r="J60" s="87">
        <f>'Inputs &amp; Calcs'!J162*(1-'Inputs &amp; Calcs'!$D98*(1-'Inputs &amp; Calcs'!$E98))-'Inputs &amp; Calcs'!$I136*(1-'Inputs &amp; Calcs'!$D98)</f>
        <v>-21.773555511208542</v>
      </c>
      <c r="K60" s="87">
        <f>'Inputs &amp; Calcs'!K162*(1-'Inputs &amp; Calcs'!$D98*(1-'Inputs &amp; Calcs'!$E98))-'Inputs &amp; Calcs'!$I136*(1-'Inputs &amp; Calcs'!$D98)</f>
        <v>-94.207001493460325</v>
      </c>
      <c r="L60" s="87">
        <f>'Inputs &amp; Calcs'!L162*(1-'Inputs &amp; Calcs'!$D98*(1-'Inputs &amp; Calcs'!$E98))-'Inputs &amp; Calcs'!$I136*(1-'Inputs &amp; Calcs'!$D98)</f>
        <v>-181.5553614808714</v>
      </c>
      <c r="M60" s="87">
        <f>'Inputs &amp; Calcs'!M162*(1-'Inputs &amp; Calcs'!$D98*(1-'Inputs &amp; Calcs'!$E98))-'Inputs &amp; Calcs'!$I136*(1-'Inputs &amp; Calcs'!$D98)</f>
        <v>-184.55650114695061</v>
      </c>
      <c r="N60" s="87">
        <f>'Inputs &amp; Calcs'!N162*(1-'Inputs &amp; Calcs'!$D98*(1-'Inputs &amp; Calcs'!$E98))-'Inputs &amp; Calcs'!$I136*(1-'Inputs &amp; Calcs'!$D98)</f>
        <v>-186.99034872309755</v>
      </c>
    </row>
    <row r="61" spans="1:27">
      <c r="A61" s="88" t="str">
        <f>'Inputs &amp; Calcs'!A40</f>
        <v>Overhead Structures</v>
      </c>
      <c r="B61" s="88" t="str">
        <f>'Inputs &amp; Calcs'!B40</f>
        <v>Poles</v>
      </c>
      <c r="C61" s="88" t="str">
        <f>'Inputs &amp; Calcs'!C40</f>
        <v>Distribution</v>
      </c>
      <c r="D61" s="87">
        <f>'Inputs &amp; Calcs'!D163*(1-'Inputs &amp; Calcs'!$D99*(1-'Inputs &amp; Calcs'!$E99))-'Inputs &amp; Calcs'!$I137*(1-'Inputs &amp; Calcs'!$D99)</f>
        <v>498.22345206295859</v>
      </c>
      <c r="E61" s="87">
        <f>'Inputs &amp; Calcs'!E163*(1-'Inputs &amp; Calcs'!$D99*(1-'Inputs &amp; Calcs'!$E99))-'Inputs &amp; Calcs'!$I137*(1-'Inputs &amp; Calcs'!$D99)</f>
        <v>575.65985206295863</v>
      </c>
      <c r="F61" s="87">
        <f>'Inputs &amp; Calcs'!F163*(1-'Inputs &amp; Calcs'!$D99*(1-'Inputs &amp; Calcs'!$E99))-'Inputs &amp; Calcs'!$I137*(1-'Inputs &amp; Calcs'!$D99)</f>
        <v>1132.1255320629589</v>
      </c>
      <c r="G61" s="87">
        <f>'Inputs &amp; Calcs'!G163*(1-'Inputs &amp; Calcs'!$D99*(1-'Inputs &amp; Calcs'!$E99))-'Inputs &amp; Calcs'!$I137*(1-'Inputs &amp; Calcs'!$D99)</f>
        <v>1752.5128120629588</v>
      </c>
      <c r="H61" s="87">
        <f>'Inputs &amp; Calcs'!H163*(1-'Inputs &amp; Calcs'!$D99*(1-'Inputs &amp; Calcs'!$E99))-'Inputs &amp; Calcs'!$I137*(1-'Inputs &amp; Calcs'!$D99)</f>
        <v>1902.6020527400069</v>
      </c>
      <c r="I61" s="87">
        <f>'Inputs &amp; Calcs'!I163*(1-'Inputs &amp; Calcs'!$D99*(1-'Inputs &amp; Calcs'!$E99))-'Inputs &amp; Calcs'!$I137*(1-'Inputs &amp; Calcs'!$D99)</f>
        <v>2181.6234996194034</v>
      </c>
      <c r="J61" s="87">
        <f>'Inputs &amp; Calcs'!J163*(1-'Inputs &amp; Calcs'!$D99*(1-'Inputs &amp; Calcs'!$E99))-'Inputs &amp; Calcs'!$I137*(1-'Inputs &amp; Calcs'!$D99)</f>
        <v>2251.434868731546</v>
      </c>
      <c r="K61" s="87">
        <f>'Inputs &amp; Calcs'!K163*(1-'Inputs &amp; Calcs'!$D99*(1-'Inputs &amp; Calcs'!$E99))-'Inputs &amp; Calcs'!$I137*(1-'Inputs &amp; Calcs'!$D99)</f>
        <v>2178.0233969557662</v>
      </c>
      <c r="L61" s="87">
        <f>'Inputs &amp; Calcs'!L163*(1-'Inputs &amp; Calcs'!$D99*(1-'Inputs &amp; Calcs'!$E99))-'Inputs &amp; Calcs'!$I137*(1-'Inputs &amp; Calcs'!$D99)</f>
        <v>1948.0288780102369</v>
      </c>
      <c r="M61" s="87">
        <f>'Inputs &amp; Calcs'!M163*(1-'Inputs &amp; Calcs'!$D99*(1-'Inputs &amp; Calcs'!$E99))-'Inputs &amp; Calcs'!$I137*(1-'Inputs &amp; Calcs'!$D99)</f>
        <v>1934.0418888236554</v>
      </c>
      <c r="N61" s="87">
        <f>'Inputs &amp; Calcs'!N163*(1-'Inputs &amp; Calcs'!$D99*(1-'Inputs &amp; Calcs'!$E99))-'Inputs &amp; Calcs'!$I137*(1-'Inputs &amp; Calcs'!$D99)</f>
        <v>1927.173035392304</v>
      </c>
    </row>
    <row r="62" spans="1:27">
      <c r="A62" s="88" t="str">
        <f>'Inputs &amp; Calcs'!A41</f>
        <v>Overhead Structures</v>
      </c>
      <c r="B62" s="88" t="str">
        <f>'Inputs &amp; Calcs'!B41</f>
        <v>Poles</v>
      </c>
      <c r="C62" s="88" t="str">
        <f>'Inputs &amp; Calcs'!C41</f>
        <v>Subtransmission</v>
      </c>
      <c r="D62" s="87">
        <f>'Inputs &amp; Calcs'!D164*(1-'Inputs &amp; Calcs'!$D100*(1-'Inputs &amp; Calcs'!$E100))-'Inputs &amp; Calcs'!$I138*(1-'Inputs &amp; Calcs'!$D100)</f>
        <v>16.93912854699829</v>
      </c>
      <c r="E62" s="87">
        <f>'Inputs &amp; Calcs'!E164*(1-'Inputs &amp; Calcs'!$D100*(1-'Inputs &amp; Calcs'!$E100))-'Inputs &amp; Calcs'!$I138*(1-'Inputs &amp; Calcs'!$D100)</f>
        <v>-54.985756796357364</v>
      </c>
      <c r="F62" s="87">
        <f>'Inputs &amp; Calcs'!F164*(1-'Inputs &amp; Calcs'!$D100*(1-'Inputs &amp; Calcs'!$E100))-'Inputs &amp; Calcs'!$I138*(1-'Inputs &amp; Calcs'!$D100)</f>
        <v>-27.981238993781233</v>
      </c>
      <c r="G62" s="87">
        <f>'Inputs &amp; Calcs'!G164*(1-'Inputs &amp; Calcs'!$D100*(1-'Inputs &amp; Calcs'!$E100))-'Inputs &amp; Calcs'!$I138*(1-'Inputs &amp; Calcs'!$D100)</f>
        <v>-6.7652546664605495</v>
      </c>
      <c r="H62" s="87">
        <f>'Inputs &amp; Calcs'!H164*(1-'Inputs &amp; Calcs'!$D100*(1-'Inputs &amp; Calcs'!$E100))-'Inputs &amp; Calcs'!$I138*(1-'Inputs &amp; Calcs'!$D100)</f>
        <v>2.0717801294844662</v>
      </c>
      <c r="I62" s="87">
        <f>'Inputs &amp; Calcs'!I164*(1-'Inputs &amp; Calcs'!$D100*(1-'Inputs &amp; Calcs'!$E100))-'Inputs &amp; Calcs'!$I138*(1-'Inputs &amp; Calcs'!$D100)</f>
        <v>-3.7825300143196898</v>
      </c>
      <c r="J62" s="87">
        <f>'Inputs &amp; Calcs'!J164*(1-'Inputs &amp; Calcs'!$D100*(1-'Inputs &amp; Calcs'!$E100))-'Inputs &amp; Calcs'!$I138*(1-'Inputs &amp; Calcs'!$D100)</f>
        <v>-8.2945292036700664</v>
      </c>
      <c r="K62" s="87">
        <f>'Inputs &amp; Calcs'!K164*(1-'Inputs &amp; Calcs'!$D100*(1-'Inputs &amp; Calcs'!$E100))-'Inputs &amp; Calcs'!$I138*(1-'Inputs &amp; Calcs'!$D100)</f>
        <v>-24.849775912191291</v>
      </c>
      <c r="L62" s="87">
        <f>'Inputs &amp; Calcs'!L164*(1-'Inputs &amp; Calcs'!$D100*(1-'Inputs &amp; Calcs'!$E100))-'Inputs &amp; Calcs'!$I138*(1-'Inputs &amp; Calcs'!$D100)</f>
        <v>-44.491944217214012</v>
      </c>
      <c r="M62" s="87">
        <f>'Inputs &amp; Calcs'!M164*(1-'Inputs &amp; Calcs'!$D100*(1-'Inputs &amp; Calcs'!$E100))-'Inputs &amp; Calcs'!$I138*(1-'Inputs &amp; Calcs'!$D100)</f>
        <v>-44.126415003322677</v>
      </c>
      <c r="N62" s="87">
        <f>'Inputs &amp; Calcs'!N164*(1-'Inputs &amp; Calcs'!$D100*(1-'Inputs &amp; Calcs'!$E100))-'Inputs &amp; Calcs'!$I138*(1-'Inputs &amp; Calcs'!$D100)</f>
        <v>-43.75849706556258</v>
      </c>
    </row>
    <row r="63" spans="1:27">
      <c r="A63" s="88" t="str">
        <f>'Inputs &amp; Calcs'!A42</f>
        <v>Overhead Structures</v>
      </c>
      <c r="B63" s="88" t="str">
        <f>'Inputs &amp; Calcs'!B42</f>
        <v>Crossarms</v>
      </c>
      <c r="C63" s="88" t="str">
        <f>'Inputs &amp; Calcs'!C42</f>
        <v>Low Voltage</v>
      </c>
      <c r="D63" s="87">
        <f>'Inputs &amp; Calcs'!D165*(1-'Inputs &amp; Calcs'!$D101*(1-'Inputs &amp; Calcs'!$E101))-'Inputs &amp; Calcs'!$I139*(1-'Inputs &amp; Calcs'!$D101)</f>
        <v>71.792356516155905</v>
      </c>
      <c r="E63" s="87">
        <f>'Inputs &amp; Calcs'!E165*(1-'Inputs &amp; Calcs'!$D101*(1-'Inputs &amp; Calcs'!$E101))-'Inputs &amp; Calcs'!$I139*(1-'Inputs &amp; Calcs'!$D101)</f>
        <v>75.693156516155796</v>
      </c>
      <c r="F63" s="87">
        <f>'Inputs &amp; Calcs'!F165*(1-'Inputs &amp; Calcs'!$D101*(1-'Inputs &amp; Calcs'!$E101))-'Inputs &amp; Calcs'!$I139*(1-'Inputs &amp; Calcs'!$D101)</f>
        <v>788.43555651615634</v>
      </c>
      <c r="G63" s="87">
        <f>'Inputs &amp; Calcs'!G165*(1-'Inputs &amp; Calcs'!$D101*(1-'Inputs &amp; Calcs'!$E101))-'Inputs &amp; Calcs'!$I139*(1-'Inputs &amp; Calcs'!$D101)</f>
        <v>922.01955651615663</v>
      </c>
      <c r="H63" s="87">
        <f>'Inputs &amp; Calcs'!H165*(1-'Inputs &amp; Calcs'!$D101*(1-'Inputs &amp; Calcs'!$E101))-'Inputs &amp; Calcs'!$I139*(1-'Inputs &amp; Calcs'!$D101)</f>
        <v>1743.1762516743229</v>
      </c>
      <c r="I63" s="87">
        <f>'Inputs &amp; Calcs'!I165*(1-'Inputs &amp; Calcs'!$D101*(1-'Inputs &amp; Calcs'!$E101))-'Inputs &amp; Calcs'!$I139*(1-'Inputs &amp; Calcs'!$D101)</f>
        <v>1892.7119088111513</v>
      </c>
      <c r="J63" s="87">
        <f>'Inputs &amp; Calcs'!J165*(1-'Inputs &amp; Calcs'!$D101*(1-'Inputs &amp; Calcs'!$E101))-'Inputs &amp; Calcs'!$I139*(1-'Inputs &amp; Calcs'!$D101)</f>
        <v>2129.5990463446237</v>
      </c>
      <c r="K63" s="87">
        <f>'Inputs &amp; Calcs'!K165*(1-'Inputs &amp; Calcs'!$D101*(1-'Inputs &amp; Calcs'!$E101))-'Inputs &amp; Calcs'!$I139*(1-'Inputs &amp; Calcs'!$D101)</f>
        <v>1679.7706463049826</v>
      </c>
      <c r="L63" s="87">
        <f>'Inputs &amp; Calcs'!L165*(1-'Inputs &amp; Calcs'!$D101*(1-'Inputs &amp; Calcs'!$E101))-'Inputs &amp; Calcs'!$I139*(1-'Inputs &amp; Calcs'!$D101)</f>
        <v>1155.4368074492008</v>
      </c>
      <c r="M63" s="87">
        <f>'Inputs &amp; Calcs'!M165*(1-'Inputs &amp; Calcs'!$D101*(1-'Inputs &amp; Calcs'!$E101))-'Inputs &amp; Calcs'!$I139*(1-'Inputs &amp; Calcs'!$D101)</f>
        <v>1227.453755775271</v>
      </c>
      <c r="N63" s="87">
        <f>'Inputs &amp; Calcs'!N165*(1-'Inputs &amp; Calcs'!$D101*(1-'Inputs &amp; Calcs'!$E101))-'Inputs &amp; Calcs'!$I139*(1-'Inputs &amp; Calcs'!$D101)</f>
        <v>1296.6187087657331</v>
      </c>
    </row>
    <row r="64" spans="1:27" s="64" customFormat="1" ht="15">
      <c r="A64" s="88" t="str">
        <f>'Inputs &amp; Calcs'!A43</f>
        <v>Overhead Structures</v>
      </c>
      <c r="B64" s="88" t="str">
        <f>'Inputs &amp; Calcs'!B43</f>
        <v>Crossarms</v>
      </c>
      <c r="C64" s="88" t="str">
        <f>'Inputs &amp; Calcs'!C43</f>
        <v>Distribution</v>
      </c>
      <c r="D64" s="87">
        <f>'Inputs &amp; Calcs'!D166*(1-'Inputs &amp; Calcs'!$D102*(1-'Inputs &amp; Calcs'!$E102))-'Inputs &amp; Calcs'!$I140*(1-'Inputs &amp; Calcs'!$D102)</f>
        <v>-128.27744767478271</v>
      </c>
      <c r="E64" s="87">
        <f>'Inputs &amp; Calcs'!E166*(1-'Inputs &amp; Calcs'!$D102*(1-'Inputs &amp; Calcs'!$E102))-'Inputs &amp; Calcs'!$I140*(1-'Inputs &amp; Calcs'!$D102)</f>
        <v>-68.845447674782918</v>
      </c>
      <c r="F64" s="87">
        <f>'Inputs &amp; Calcs'!F166*(1-'Inputs &amp; Calcs'!$D102*(1-'Inputs &amp; Calcs'!$E102))-'Inputs &amp; Calcs'!$I140*(1-'Inputs &amp; Calcs'!$D102)</f>
        <v>970.22095232521815</v>
      </c>
      <c r="G64" s="87">
        <f>'Inputs &amp; Calcs'!G166*(1-'Inputs &amp; Calcs'!$D102*(1-'Inputs &amp; Calcs'!$E102))-'Inputs &amp; Calcs'!$I140*(1-'Inputs &amp; Calcs'!$D102)</f>
        <v>1265.8905523252179</v>
      </c>
      <c r="H64" s="87">
        <f>'Inputs &amp; Calcs'!H166*(1-'Inputs &amp; Calcs'!$D102*(1-'Inputs &amp; Calcs'!$E102))-'Inputs &amp; Calcs'!$I140*(1-'Inputs &amp; Calcs'!$D102)</f>
        <v>1923.8884419106084</v>
      </c>
      <c r="I64" s="87">
        <f>'Inputs &amp; Calcs'!I166*(1-'Inputs &amp; Calcs'!$D102*(1-'Inputs &amp; Calcs'!$E102))-'Inputs &amp; Calcs'!$I140*(1-'Inputs &amp; Calcs'!$D102)</f>
        <v>2305.0426940918801</v>
      </c>
      <c r="J64" s="87">
        <f>'Inputs &amp; Calcs'!J166*(1-'Inputs &amp; Calcs'!$D102*(1-'Inputs &amp; Calcs'!$E102))-'Inputs &amp; Calcs'!$I140*(1-'Inputs &amp; Calcs'!$D102)</f>
        <v>2753.0835214813637</v>
      </c>
      <c r="K64" s="87">
        <f>'Inputs &amp; Calcs'!K166*(1-'Inputs &amp; Calcs'!$D102*(1-'Inputs &amp; Calcs'!$E102))-'Inputs &amp; Calcs'!$I140*(1-'Inputs &amp; Calcs'!$D102)</f>
        <v>2348.5163483542387</v>
      </c>
      <c r="L64" s="87">
        <f>'Inputs &amp; Calcs'!L166*(1-'Inputs &amp; Calcs'!$D102*(1-'Inputs &amp; Calcs'!$E102))-'Inputs &amp; Calcs'!$I140*(1-'Inputs &amp; Calcs'!$D102)</f>
        <v>1773.550284472924</v>
      </c>
      <c r="M64" s="87">
        <f>'Inputs &amp; Calcs'!M166*(1-'Inputs &amp; Calcs'!$D102*(1-'Inputs &amp; Calcs'!$E102))-'Inputs &amp; Calcs'!$I140*(1-'Inputs &amp; Calcs'!$D102)</f>
        <v>1837.9008655620532</v>
      </c>
      <c r="N64" s="87">
        <f>'Inputs &amp; Calcs'!N166*(1-'Inputs &amp; Calcs'!$D102*(1-'Inputs &amp; Calcs'!$E102))-'Inputs &amp; Calcs'!$I140*(1-'Inputs &amp; Calcs'!$D102)</f>
        <v>1898.9266018669991</v>
      </c>
      <c r="O64" s="76"/>
      <c r="P64" s="76"/>
      <c r="Q64" s="76"/>
      <c r="R64" s="76"/>
      <c r="S64" s="76"/>
      <c r="T64" s="76"/>
      <c r="U64" s="76"/>
      <c r="V64" s="76"/>
      <c r="W64" s="76"/>
      <c r="X64" s="76"/>
      <c r="Y64" s="76"/>
      <c r="Z64" s="76"/>
      <c r="AA64" s="76"/>
    </row>
    <row r="65" spans="1:30" s="64" customFormat="1" ht="15">
      <c r="A65" s="88" t="str">
        <f>'Inputs &amp; Calcs'!A44</f>
        <v>Overhead Structures</v>
      </c>
      <c r="B65" s="88" t="str">
        <f>'Inputs &amp; Calcs'!B44</f>
        <v>Crossarms</v>
      </c>
      <c r="C65" s="88" t="str">
        <f>'Inputs &amp; Calcs'!C44</f>
        <v>Subtransmission</v>
      </c>
      <c r="D65" s="87">
        <f>'Inputs &amp; Calcs'!D167*(1-'Inputs &amp; Calcs'!$D103*(1-'Inputs &amp; Calcs'!$E103))-'Inputs &amp; Calcs'!$I141*(1-'Inputs &amp; Calcs'!$D103)</f>
        <v>172.53215999740155</v>
      </c>
      <c r="E65" s="87">
        <f>'Inputs &amp; Calcs'!E167*(1-'Inputs &amp; Calcs'!$D103*(1-'Inputs &amp; Calcs'!$E103))-'Inputs &amp; Calcs'!$I141*(1-'Inputs &amp; Calcs'!$D103)</f>
        <v>137.73106458856921</v>
      </c>
      <c r="F65" s="87">
        <f>'Inputs &amp; Calcs'!F167*(1-'Inputs &amp; Calcs'!$D103*(1-'Inputs &amp; Calcs'!$E103))-'Inputs &amp; Calcs'!$I141*(1-'Inputs &amp; Calcs'!$D103)</f>
        <v>453.59985185354162</v>
      </c>
      <c r="G65" s="87">
        <f>'Inputs &amp; Calcs'!G167*(1-'Inputs &amp; Calcs'!$D103*(1-'Inputs &amp; Calcs'!$E103))-'Inputs &amp; Calcs'!$I141*(1-'Inputs &amp; Calcs'!$D103)</f>
        <v>847.0389813738916</v>
      </c>
      <c r="H65" s="87">
        <f>'Inputs &amp; Calcs'!H167*(1-'Inputs &amp; Calcs'!$D103*(1-'Inputs &amp; Calcs'!$E103))-'Inputs &amp; Calcs'!$I141*(1-'Inputs &amp; Calcs'!$D103)</f>
        <v>418.02265921601372</v>
      </c>
      <c r="I65" s="87">
        <f>'Inputs &amp; Calcs'!I167*(1-'Inputs &amp; Calcs'!$D103*(1-'Inputs &amp; Calcs'!$E103))-'Inputs &amp; Calcs'!$I141*(1-'Inputs &amp; Calcs'!$D103)</f>
        <v>124.67436872167593</v>
      </c>
      <c r="J65" s="87">
        <f>'Inputs &amp; Calcs'!J167*(1-'Inputs &amp; Calcs'!$D103*(1-'Inputs &amp; Calcs'!$E103))-'Inputs &amp; Calcs'!$I141*(1-'Inputs &amp; Calcs'!$D103)</f>
        <v>-267.26172682393701</v>
      </c>
      <c r="K65" s="87">
        <f>'Inputs &amp; Calcs'!K167*(1-'Inputs &amp; Calcs'!$D103*(1-'Inputs &amp; Calcs'!$E103))-'Inputs &amp; Calcs'!$I141*(1-'Inputs &amp; Calcs'!$D103)</f>
        <v>-419.94030942581958</v>
      </c>
      <c r="L65" s="87">
        <f>'Inputs &amp; Calcs'!L167*(1-'Inputs &amp; Calcs'!$D103*(1-'Inputs &amp; Calcs'!$E103))-'Inputs &amp; Calcs'!$I141*(1-'Inputs &amp; Calcs'!$D103)</f>
        <v>-422.95956622837991</v>
      </c>
      <c r="M65" s="87">
        <f>'Inputs &amp; Calcs'!M167*(1-'Inputs &amp; Calcs'!$D103*(1-'Inputs &amp; Calcs'!$E103))-'Inputs &amp; Calcs'!$I141*(1-'Inputs &amp; Calcs'!$D103)</f>
        <v>-418.95030816426583</v>
      </c>
      <c r="N65" s="87">
        <f>'Inputs &amp; Calcs'!N167*(1-'Inputs &amp; Calcs'!$D103*(1-'Inputs &amp; Calcs'!$E103))-'Inputs &amp; Calcs'!$I141*(1-'Inputs &amp; Calcs'!$D103)</f>
        <v>-414.93860464407896</v>
      </c>
      <c r="O65" s="76"/>
      <c r="P65" s="76"/>
      <c r="Q65" s="76"/>
      <c r="R65" s="76"/>
      <c r="S65" s="76"/>
      <c r="T65" s="76"/>
      <c r="U65" s="76"/>
      <c r="V65" s="76"/>
      <c r="W65" s="76"/>
      <c r="X65" s="76"/>
      <c r="Y65" s="76"/>
      <c r="Z65" s="76"/>
      <c r="AA65" s="76"/>
    </row>
    <row r="66" spans="1:30" s="64" customFormat="1" ht="15">
      <c r="A66" s="88" t="str">
        <f>'Inputs &amp; Calcs'!A45</f>
        <v>Overhead Conductor</v>
      </c>
      <c r="B66" s="88" t="str">
        <f>'Inputs &amp; Calcs'!B45</f>
        <v>Conductor</v>
      </c>
      <c r="C66" s="88" t="str">
        <f>'Inputs &amp; Calcs'!C45</f>
        <v>Low Voltage</v>
      </c>
      <c r="D66" s="87">
        <f>'Inputs &amp; Calcs'!D168*(1-'Inputs &amp; Calcs'!$D104*(1-'Inputs &amp; Calcs'!$E104))-'Inputs &amp; Calcs'!$I142*(1-'Inputs &amp; Calcs'!$D104)</f>
        <v>0.40693199999999941</v>
      </c>
      <c r="E66" s="87">
        <f>'Inputs &amp; Calcs'!E168*(1-'Inputs &amp; Calcs'!$D104*(1-'Inputs &amp; Calcs'!$E104))-'Inputs &amp; Calcs'!$I142*(1-'Inputs &amp; Calcs'!$D104)</f>
        <v>1.1316252000000011</v>
      </c>
      <c r="F66" s="87">
        <f>'Inputs &amp; Calcs'!F168*(1-'Inputs &amp; Calcs'!$D104*(1-'Inputs &amp; Calcs'!$E104))-'Inputs &amp; Calcs'!$I142*(1-'Inputs &amp; Calcs'!$D104)</f>
        <v>8.4069913135848111</v>
      </c>
      <c r="G66" s="87">
        <f>'Inputs &amp; Calcs'!G168*(1-'Inputs &amp; Calcs'!$D104*(1-'Inputs &amp; Calcs'!$E104))-'Inputs &amp; Calcs'!$I142*(1-'Inputs &amp; Calcs'!$D104)</f>
        <v>15.682357427169617</v>
      </c>
      <c r="H66" s="87">
        <f>'Inputs &amp; Calcs'!H168*(1-'Inputs &amp; Calcs'!$D104*(1-'Inputs &amp; Calcs'!$E104))-'Inputs &amp; Calcs'!$I142*(1-'Inputs &amp; Calcs'!$D104)</f>
        <v>22.957723540754419</v>
      </c>
      <c r="I66" s="87">
        <f>'Inputs &amp; Calcs'!I168*(1-'Inputs &amp; Calcs'!$D104*(1-'Inputs &amp; Calcs'!$E104))-'Inputs &amp; Calcs'!$I142*(1-'Inputs &amp; Calcs'!$D104)</f>
        <v>29.751139488832823</v>
      </c>
      <c r="J66" s="87">
        <f>'Inputs &amp; Calcs'!J168*(1-'Inputs &amp; Calcs'!$D104*(1-'Inputs &amp; Calcs'!$E104))-'Inputs &amp; Calcs'!$I142*(1-'Inputs &amp; Calcs'!$D104)</f>
        <v>36.399744373725937</v>
      </c>
      <c r="K66" s="87">
        <f>'Inputs &amp; Calcs'!K168*(1-'Inputs &amp; Calcs'!$D104*(1-'Inputs &amp; Calcs'!$E104))-'Inputs &amp; Calcs'!$I142*(1-'Inputs &amp; Calcs'!$D104)</f>
        <v>40.140860070603466</v>
      </c>
      <c r="L66" s="87">
        <f>'Inputs &amp; Calcs'!L168*(1-'Inputs &amp; Calcs'!$D104*(1-'Inputs &amp; Calcs'!$E104))-'Inputs &amp; Calcs'!$I142*(1-'Inputs &amp; Calcs'!$D104)</f>
        <v>44.055910109031579</v>
      </c>
      <c r="M66" s="87">
        <f>'Inputs &amp; Calcs'!M168*(1-'Inputs &amp; Calcs'!$D104*(1-'Inputs &amp; Calcs'!$E104))-'Inputs &amp; Calcs'!$I142*(1-'Inputs &amp; Calcs'!$D104)</f>
        <v>48.105718433273104</v>
      </c>
      <c r="N66" s="87">
        <f>'Inputs &amp; Calcs'!N168*(1-'Inputs &amp; Calcs'!$D104*(1-'Inputs &amp; Calcs'!$E104))-'Inputs &amp; Calcs'!$I142*(1-'Inputs &amp; Calcs'!$D104)</f>
        <v>52.273308552255898</v>
      </c>
      <c r="O66" s="76"/>
      <c r="P66" s="76"/>
      <c r="Q66" s="76"/>
      <c r="R66" s="76"/>
      <c r="S66" s="76"/>
      <c r="T66" s="76"/>
      <c r="U66" s="76"/>
      <c r="V66" s="76"/>
      <c r="W66" s="76"/>
      <c r="X66" s="76"/>
      <c r="Y66" s="76"/>
      <c r="Z66" s="76"/>
      <c r="AA66" s="76"/>
    </row>
    <row r="67" spans="1:30" s="64" customFormat="1" ht="15">
      <c r="A67" s="88" t="str">
        <f>'Inputs &amp; Calcs'!A46</f>
        <v>Overhead Conductor</v>
      </c>
      <c r="B67" s="88" t="str">
        <f>'Inputs &amp; Calcs'!B46</f>
        <v>Conductor</v>
      </c>
      <c r="C67" s="88" t="str">
        <f>'Inputs &amp; Calcs'!C46</f>
        <v>Distribution</v>
      </c>
      <c r="D67" s="87">
        <f>'Inputs &amp; Calcs'!D169*(1-'Inputs &amp; Calcs'!$D105*(1-'Inputs &amp; Calcs'!$E105))-'Inputs &amp; Calcs'!$I143*(1-'Inputs &amp; Calcs'!$D105)</f>
        <v>-1.4309400000000068</v>
      </c>
      <c r="E67" s="87">
        <f>'Inputs &amp; Calcs'!E169*(1-'Inputs &amp; Calcs'!$D105*(1-'Inputs &amp; Calcs'!$E105))-'Inputs &amp; Calcs'!$I143*(1-'Inputs &amp; Calcs'!$D105)</f>
        <v>9.8933400000000233</v>
      </c>
      <c r="F67" s="87">
        <f>'Inputs &amp; Calcs'!F169*(1-'Inputs &amp; Calcs'!$D105*(1-'Inputs &amp; Calcs'!$E105))-'Inputs &amp; Calcs'!$I143*(1-'Inputs &amp; Calcs'!$D105)</f>
        <v>41.280059999999963</v>
      </c>
      <c r="G67" s="87">
        <f>'Inputs &amp; Calcs'!G169*(1-'Inputs &amp; Calcs'!$D105*(1-'Inputs &amp; Calcs'!$E105))-'Inputs &amp; Calcs'!$I143*(1-'Inputs &amp; Calcs'!$D105)</f>
        <v>72.32361999999992</v>
      </c>
      <c r="H67" s="87">
        <f>'Inputs &amp; Calcs'!H169*(1-'Inputs &amp; Calcs'!$D105*(1-'Inputs &amp; Calcs'!$E105))-'Inputs &amp; Calcs'!$I143*(1-'Inputs &amp; Calcs'!$D105)</f>
        <v>133.78053999999997</v>
      </c>
      <c r="I67" s="87">
        <f>'Inputs &amp; Calcs'!I169*(1-'Inputs &amp; Calcs'!$D105*(1-'Inputs &amp; Calcs'!$E105))-'Inputs &amp; Calcs'!$I143*(1-'Inputs &amp; Calcs'!$D105)</f>
        <v>194.09684675999998</v>
      </c>
      <c r="J67" s="87">
        <f>'Inputs &amp; Calcs'!J169*(1-'Inputs &amp; Calcs'!$D105*(1-'Inputs &amp; Calcs'!$E105))-'Inputs &amp; Calcs'!$I143*(1-'Inputs &amp; Calcs'!$D105)</f>
        <v>225.72442211898422</v>
      </c>
      <c r="K67" s="87">
        <f>'Inputs &amp; Calcs'!K169*(1-'Inputs &amp; Calcs'!$D105*(1-'Inputs &amp; Calcs'!$E105))-'Inputs &amp; Calcs'!$I143*(1-'Inputs &amp; Calcs'!$D105)</f>
        <v>244.24298711898425</v>
      </c>
      <c r="L67" s="87">
        <f>'Inputs &amp; Calcs'!L169*(1-'Inputs &amp; Calcs'!$D105*(1-'Inputs &amp; Calcs'!$E105))-'Inputs &amp; Calcs'!$I143*(1-'Inputs &amp; Calcs'!$D105)</f>
        <v>247.03445111898415</v>
      </c>
      <c r="M67" s="87">
        <f>'Inputs &amp; Calcs'!M169*(1-'Inputs &amp; Calcs'!$D105*(1-'Inputs &amp; Calcs'!$E105))-'Inputs &amp; Calcs'!$I143*(1-'Inputs &amp; Calcs'!$D105)</f>
        <v>248.92532711898409</v>
      </c>
      <c r="N67" s="87">
        <f>'Inputs &amp; Calcs'!N169*(1-'Inputs &amp; Calcs'!$D105*(1-'Inputs &amp; Calcs'!$E105))-'Inputs &amp; Calcs'!$I143*(1-'Inputs &amp; Calcs'!$D105)</f>
        <v>249.81246011898421</v>
      </c>
      <c r="O67" s="76"/>
      <c r="P67" s="76"/>
      <c r="Q67" s="76"/>
      <c r="R67" s="76"/>
      <c r="S67" s="76"/>
      <c r="T67" s="76"/>
      <c r="U67" s="76"/>
      <c r="V67" s="76"/>
      <c r="W67" s="76"/>
      <c r="X67" s="76"/>
      <c r="Y67" s="76"/>
      <c r="Z67" s="76"/>
      <c r="AA67" s="76"/>
    </row>
    <row r="68" spans="1:30" s="64" customFormat="1" ht="15">
      <c r="A68" s="88" t="str">
        <f>'Inputs &amp; Calcs'!A47</f>
        <v>Overhead Conductor</v>
      </c>
      <c r="B68" s="88" t="str">
        <f>'Inputs &amp; Calcs'!B47</f>
        <v>Conductor</v>
      </c>
      <c r="C68" s="88" t="str">
        <f>'Inputs &amp; Calcs'!C47</f>
        <v>Subtransmission</v>
      </c>
      <c r="D68" s="87">
        <f>'Inputs &amp; Calcs'!D170*(1-'Inputs &amp; Calcs'!$D106*(1-'Inputs &amp; Calcs'!$E106))-'Inputs &amp; Calcs'!$I144*(1-'Inputs &amp; Calcs'!$D106)</f>
        <v>15.807911087999997</v>
      </c>
      <c r="E68" s="87">
        <f>'Inputs &amp; Calcs'!E170*(1-'Inputs &amp; Calcs'!$D106*(1-'Inputs &amp; Calcs'!$E106))-'Inputs &amp; Calcs'!$I144*(1-'Inputs &amp; Calcs'!$D106)</f>
        <v>13.903907148</v>
      </c>
      <c r="F68" s="87">
        <f>'Inputs &amp; Calcs'!F170*(1-'Inputs &amp; Calcs'!$D106*(1-'Inputs &amp; Calcs'!$E106))-'Inputs &amp; Calcs'!$I144*(1-'Inputs &amp; Calcs'!$D106)</f>
        <v>12.550875843999998</v>
      </c>
      <c r="G68" s="87">
        <f>'Inputs &amp; Calcs'!G170*(1-'Inputs &amp; Calcs'!$D106*(1-'Inputs &amp; Calcs'!$E106))-'Inputs &amp; Calcs'!$I144*(1-'Inputs &amp; Calcs'!$D106)</f>
        <v>11.292811079999998</v>
      </c>
      <c r="H68" s="87">
        <f>'Inputs &amp; Calcs'!H170*(1-'Inputs &amp; Calcs'!$D106*(1-'Inputs &amp; Calcs'!$E106))-'Inputs &amp; Calcs'!$I144*(1-'Inputs &amp; Calcs'!$D106)</f>
        <v>12.300020149333333</v>
      </c>
      <c r="I68" s="87">
        <f>'Inputs &amp; Calcs'!I170*(1-'Inputs &amp; Calcs'!$D106*(1-'Inputs &amp; Calcs'!$E106))-'Inputs &amp; Calcs'!$I144*(1-'Inputs &amp; Calcs'!$D106)</f>
        <v>14.907571365333332</v>
      </c>
      <c r="J68" s="87">
        <f>'Inputs &amp; Calcs'!J170*(1-'Inputs &amp; Calcs'!$D106*(1-'Inputs &amp; Calcs'!$E106))-'Inputs &amp; Calcs'!$I144*(1-'Inputs &amp; Calcs'!$D106)</f>
        <v>14.885522829333333</v>
      </c>
      <c r="K68" s="87">
        <f>'Inputs &amp; Calcs'!K170*(1-'Inputs &amp; Calcs'!$D106*(1-'Inputs &amp; Calcs'!$E106))-'Inputs &amp; Calcs'!$I144*(1-'Inputs &amp; Calcs'!$D106)</f>
        <v>14.889000000000001</v>
      </c>
      <c r="L68" s="87">
        <f>'Inputs &amp; Calcs'!L170*(1-'Inputs &amp; Calcs'!$D106*(1-'Inputs &amp; Calcs'!$E106))-'Inputs &amp; Calcs'!$I144*(1-'Inputs &amp; Calcs'!$D106)</f>
        <v>14.889000000000001</v>
      </c>
      <c r="M68" s="87">
        <f>'Inputs &amp; Calcs'!M170*(1-'Inputs &amp; Calcs'!$D106*(1-'Inputs &amp; Calcs'!$E106))-'Inputs &amp; Calcs'!$I144*(1-'Inputs &amp; Calcs'!$D106)</f>
        <v>14.889000000000001</v>
      </c>
      <c r="N68" s="87">
        <f>'Inputs &amp; Calcs'!N170*(1-'Inputs &amp; Calcs'!$D106*(1-'Inputs &amp; Calcs'!$E106))-'Inputs &amp; Calcs'!$I144*(1-'Inputs &amp; Calcs'!$D106)</f>
        <v>14.889000000000001</v>
      </c>
      <c r="O68" s="76"/>
      <c r="P68" s="76"/>
      <c r="Q68" s="76"/>
      <c r="R68" s="76"/>
      <c r="S68" s="76"/>
      <c r="T68" s="76"/>
      <c r="U68" s="76"/>
      <c r="V68" s="76"/>
      <c r="W68" s="76"/>
      <c r="X68" s="76"/>
      <c r="Y68" s="76"/>
      <c r="Z68" s="76"/>
      <c r="AA68" s="76"/>
    </row>
    <row r="69" spans="1:30" s="64" customFormat="1" ht="15">
      <c r="A69" s="88" t="str">
        <f>'Inputs &amp; Calcs'!A48</f>
        <v>Distribution Transformers</v>
      </c>
      <c r="B69" s="88" t="str">
        <f>'Inputs &amp; Calcs'!B48</f>
        <v>Pole Mounted Transformers</v>
      </c>
      <c r="C69" s="88" t="str">
        <f>'Inputs &amp; Calcs'!C48</f>
        <v>Pole Mounted Transformers</v>
      </c>
      <c r="D69" s="87">
        <f>'Inputs &amp; Calcs'!D171*(1-'Inputs &amp; Calcs'!$D107*(1-'Inputs &amp; Calcs'!$E107))-'Inputs &amp; Calcs'!$I145*(1-'Inputs &amp; Calcs'!$D107)</f>
        <v>-41.831686709183941</v>
      </c>
      <c r="E69" s="87">
        <f>'Inputs &amp; Calcs'!E171*(1-'Inputs &amp; Calcs'!$D107*(1-'Inputs &amp; Calcs'!$E107))-'Inputs &amp; Calcs'!$I145*(1-'Inputs &amp; Calcs'!$D107)</f>
        <v>-46.625527905467663</v>
      </c>
      <c r="F69" s="87">
        <f>'Inputs &amp; Calcs'!F171*(1-'Inputs &amp; Calcs'!$D107*(1-'Inputs &amp; Calcs'!$E107))-'Inputs &amp; Calcs'!$I145*(1-'Inputs &amp; Calcs'!$D107)</f>
        <v>-41.81041602884028</v>
      </c>
      <c r="G69" s="87">
        <f>'Inputs &amp; Calcs'!G171*(1-'Inputs &amp; Calcs'!$D107*(1-'Inputs &amp; Calcs'!$E107))-'Inputs &amp; Calcs'!$I145*(1-'Inputs &amp; Calcs'!$D107)</f>
        <v>-36.394109358304036</v>
      </c>
      <c r="H69" s="87">
        <f>'Inputs &amp; Calcs'!H171*(1-'Inputs &amp; Calcs'!$D107*(1-'Inputs &amp; Calcs'!$E107))-'Inputs &amp; Calcs'!$I145*(1-'Inputs &amp; Calcs'!$D107)</f>
        <v>-33.063390102718301</v>
      </c>
      <c r="I69" s="87">
        <f>'Inputs &amp; Calcs'!I171*(1-'Inputs &amp; Calcs'!$D107*(1-'Inputs &amp; Calcs'!$E107))-'Inputs &amp; Calcs'!$I145*(1-'Inputs &amp; Calcs'!$D107)</f>
        <v>-30.582209944383578</v>
      </c>
      <c r="J69" s="87">
        <f>'Inputs &amp; Calcs'!J171*(1-'Inputs &amp; Calcs'!$D107*(1-'Inputs &amp; Calcs'!$E107))-'Inputs &amp; Calcs'!$I145*(1-'Inputs &amp; Calcs'!$D107)</f>
        <v>-30.202443143773849</v>
      </c>
      <c r="K69" s="87">
        <f>'Inputs &amp; Calcs'!K171*(1-'Inputs &amp; Calcs'!$D107*(1-'Inputs &amp; Calcs'!$E107))-'Inputs &amp; Calcs'!$I145*(1-'Inputs &amp; Calcs'!$D107)</f>
        <v>-26.657631705027995</v>
      </c>
      <c r="L69" s="87">
        <f>'Inputs &amp; Calcs'!L171*(1-'Inputs &amp; Calcs'!$D107*(1-'Inputs &amp; Calcs'!$E107))-'Inputs &amp; Calcs'!$I145*(1-'Inputs &amp; Calcs'!$D107)</f>
        <v>-18.46752804878372</v>
      </c>
      <c r="M69" s="87">
        <f>'Inputs &amp; Calcs'!M171*(1-'Inputs &amp; Calcs'!$D107*(1-'Inputs &amp; Calcs'!$E107))-'Inputs &amp; Calcs'!$I145*(1-'Inputs &amp; Calcs'!$D107)</f>
        <v>-16.97832146233111</v>
      </c>
      <c r="N69" s="87">
        <f>'Inputs &amp; Calcs'!N171*(1-'Inputs &amp; Calcs'!$D107*(1-'Inputs &amp; Calcs'!$E107))-'Inputs &amp; Calcs'!$I145*(1-'Inputs &amp; Calcs'!$D107)</f>
        <v>-16.27413685096684</v>
      </c>
      <c r="O69" s="76"/>
      <c r="P69" s="76"/>
      <c r="Q69" s="76"/>
      <c r="R69" s="76"/>
      <c r="S69" s="76"/>
      <c r="T69" s="76"/>
      <c r="U69" s="76"/>
      <c r="V69" s="76"/>
      <c r="W69" s="76"/>
      <c r="X69" s="76"/>
      <c r="Y69" s="76"/>
      <c r="Z69" s="76"/>
      <c r="AA69" s="76"/>
    </row>
    <row r="70" spans="1:30" s="64" customFormat="1" ht="15">
      <c r="A70" s="88" t="str">
        <f>'Inputs &amp; Calcs'!A49</f>
        <v>Distribution Transformers</v>
      </c>
      <c r="B70" s="88" t="str">
        <f>'Inputs &amp; Calcs'!B49</f>
        <v>Pole Mounted Transformers</v>
      </c>
      <c r="C70" s="88" t="str">
        <f>'Inputs &amp; Calcs'!C49</f>
        <v>LV Fusing</v>
      </c>
      <c r="D70" s="87">
        <f>'Inputs &amp; Calcs'!D172*(1-'Inputs &amp; Calcs'!$D108*(1-'Inputs &amp; Calcs'!$E108))-'Inputs &amp; Calcs'!$I146*(1-'Inputs &amp; Calcs'!$D108)</f>
        <v>130.07999999999993</v>
      </c>
      <c r="E70" s="87">
        <f>'Inputs &amp; Calcs'!E172*(1-'Inputs &amp; Calcs'!$D108*(1-'Inputs &amp; Calcs'!$E108))-'Inputs &amp; Calcs'!$I146*(1-'Inputs &amp; Calcs'!$D108)</f>
        <v>130.07999999999993</v>
      </c>
      <c r="F70" s="87">
        <f>'Inputs &amp; Calcs'!F172*(1-'Inputs &amp; Calcs'!$D108*(1-'Inputs &amp; Calcs'!$E108))-'Inputs &amp; Calcs'!$I146*(1-'Inputs &amp; Calcs'!$D108)</f>
        <v>130.07999999999993</v>
      </c>
      <c r="G70" s="87">
        <f>'Inputs &amp; Calcs'!G172*(1-'Inputs &amp; Calcs'!$D108*(1-'Inputs &amp; Calcs'!$E108))-'Inputs &amp; Calcs'!$I146*(1-'Inputs &amp; Calcs'!$D108)</f>
        <v>130.07999999999993</v>
      </c>
      <c r="H70" s="87">
        <f>'Inputs &amp; Calcs'!H172*(1-'Inputs &amp; Calcs'!$D108*(1-'Inputs &amp; Calcs'!$E108))-'Inputs &amp; Calcs'!$I146*(1-'Inputs &amp; Calcs'!$D108)</f>
        <v>130.07999999999993</v>
      </c>
      <c r="I70" s="87">
        <f>'Inputs &amp; Calcs'!I172*(1-'Inputs &amp; Calcs'!$D108*(1-'Inputs &amp; Calcs'!$E108))-'Inputs &amp; Calcs'!$I146*(1-'Inputs &amp; Calcs'!$D108)</f>
        <v>130.07999999999993</v>
      </c>
      <c r="J70" s="87">
        <f>'Inputs &amp; Calcs'!J172*(1-'Inputs &amp; Calcs'!$D108*(1-'Inputs &amp; Calcs'!$E108))-'Inputs &amp; Calcs'!$I146*(1-'Inputs &amp; Calcs'!$D108)</f>
        <v>130.07999999999993</v>
      </c>
      <c r="K70" s="87">
        <f>'Inputs &amp; Calcs'!K172*(1-'Inputs &amp; Calcs'!$D108*(1-'Inputs &amp; Calcs'!$E108))-'Inputs &amp; Calcs'!$I146*(1-'Inputs &amp; Calcs'!$D108)</f>
        <v>-264.60000000000002</v>
      </c>
      <c r="L70" s="87">
        <f>'Inputs &amp; Calcs'!L172*(1-'Inputs &amp; Calcs'!$D108*(1-'Inputs &amp; Calcs'!$E108))-'Inputs &amp; Calcs'!$I146*(1-'Inputs &amp; Calcs'!$D108)</f>
        <v>-264.60000000000002</v>
      </c>
      <c r="M70" s="87">
        <f>'Inputs &amp; Calcs'!M172*(1-'Inputs &amp; Calcs'!$D108*(1-'Inputs &amp; Calcs'!$E108))-'Inputs &amp; Calcs'!$I146*(1-'Inputs &amp; Calcs'!$D108)</f>
        <v>-264.60000000000002</v>
      </c>
      <c r="N70" s="87">
        <f>'Inputs &amp; Calcs'!N172*(1-'Inputs &amp; Calcs'!$D108*(1-'Inputs &amp; Calcs'!$E108))-'Inputs &amp; Calcs'!$I146*(1-'Inputs &amp; Calcs'!$D108)</f>
        <v>-264.60000000000002</v>
      </c>
      <c r="O70" s="76"/>
      <c r="P70" s="76"/>
      <c r="Q70" s="76"/>
      <c r="R70" s="76"/>
      <c r="S70" s="76"/>
      <c r="T70" s="76"/>
      <c r="U70" s="76"/>
      <c r="V70" s="76"/>
      <c r="W70" s="76"/>
      <c r="X70" s="76"/>
      <c r="Y70" s="76"/>
      <c r="Z70" s="76"/>
      <c r="AA70" s="76"/>
    </row>
    <row r="71" spans="1:30" s="64" customFormat="1" ht="15">
      <c r="A71" s="88" t="str">
        <f>'Inputs &amp; Calcs'!A50</f>
        <v>Distribution Transformers</v>
      </c>
      <c r="B71" s="88" t="str">
        <f>'Inputs &amp; Calcs'!B50</f>
        <v>Ground Mounted Transformers</v>
      </c>
      <c r="C71" s="88" t="str">
        <f>'Inputs &amp; Calcs'!C50</f>
        <v>Ground Mounted Transformers</v>
      </c>
      <c r="D71" s="87">
        <f>'Inputs &amp; Calcs'!D173*(1-'Inputs &amp; Calcs'!$D109*(1-'Inputs &amp; Calcs'!$E109))-'Inputs &amp; Calcs'!$I147*(1-'Inputs &amp; Calcs'!$D109)</f>
        <v>-34.164920257080901</v>
      </c>
      <c r="E71" s="87">
        <f>'Inputs &amp; Calcs'!E173*(1-'Inputs &amp; Calcs'!$D109*(1-'Inputs &amp; Calcs'!$E109))-'Inputs &amp; Calcs'!$I147*(1-'Inputs &amp; Calcs'!$D109)</f>
        <v>-32.400922047898398</v>
      </c>
      <c r="F71" s="87">
        <f>'Inputs &amp; Calcs'!F173*(1-'Inputs &amp; Calcs'!$D109*(1-'Inputs &amp; Calcs'!$E109))-'Inputs &amp; Calcs'!$I147*(1-'Inputs &amp; Calcs'!$D109)</f>
        <v>1.4903866026294565</v>
      </c>
      <c r="G71" s="87">
        <f>'Inputs &amp; Calcs'!G173*(1-'Inputs &amp; Calcs'!$D109*(1-'Inputs &amp; Calcs'!$E109))-'Inputs &amp; Calcs'!$I147*(1-'Inputs &amp; Calcs'!$D109)</f>
        <v>2.2923613993620364</v>
      </c>
      <c r="H71" s="87">
        <f>'Inputs &amp; Calcs'!H173*(1-'Inputs &amp; Calcs'!$D109*(1-'Inputs &amp; Calcs'!$E109))-'Inputs &amp; Calcs'!$I147*(1-'Inputs &amp; Calcs'!$D109)</f>
        <v>4.0404980979492251</v>
      </c>
      <c r="I71" s="87">
        <f>'Inputs &amp; Calcs'!I173*(1-'Inputs &amp; Calcs'!$D109*(1-'Inputs &amp; Calcs'!$E109))-'Inputs &amp; Calcs'!$I147*(1-'Inputs &amp; Calcs'!$D109)</f>
        <v>5.0870222387375748</v>
      </c>
      <c r="J71" s="87">
        <f>'Inputs &amp; Calcs'!J173*(1-'Inputs &amp; Calcs'!$D109*(1-'Inputs &amp; Calcs'!$E109))-'Inputs &amp; Calcs'!$I147*(1-'Inputs &amp; Calcs'!$D109)</f>
        <v>6.0844585716590842</v>
      </c>
      <c r="K71" s="87">
        <f>'Inputs &amp; Calcs'!K173*(1-'Inputs &amp; Calcs'!$D109*(1-'Inputs &amp; Calcs'!$E109))-'Inputs &amp; Calcs'!$I147*(1-'Inputs &amp; Calcs'!$D109)</f>
        <v>7.772309306554007</v>
      </c>
      <c r="L71" s="87">
        <f>'Inputs &amp; Calcs'!L173*(1-'Inputs &amp; Calcs'!$D109*(1-'Inputs &amp; Calcs'!$E109))-'Inputs &amp; Calcs'!$I147*(1-'Inputs &amp; Calcs'!$D109)</f>
        <v>9.4530326396452296</v>
      </c>
      <c r="M71" s="87">
        <f>'Inputs &amp; Calcs'!M173*(1-'Inputs &amp; Calcs'!$D109*(1-'Inputs &amp; Calcs'!$E109))-'Inputs &amp; Calcs'!$I147*(1-'Inputs &amp; Calcs'!$D109)</f>
        <v>11.125778094442765</v>
      </c>
      <c r="N71" s="87">
        <f>'Inputs &amp; Calcs'!N173*(1-'Inputs &amp; Calcs'!$D109*(1-'Inputs &amp; Calcs'!$E109))-'Inputs &amp; Calcs'!$I147*(1-'Inputs &amp; Calcs'!$D109)</f>
        <v>13.547534570669711</v>
      </c>
      <c r="O71" s="76"/>
      <c r="P71" s="76"/>
      <c r="Q71" s="76"/>
      <c r="R71" s="76"/>
      <c r="S71" s="76"/>
      <c r="T71" s="76"/>
      <c r="U71" s="76"/>
      <c r="V71" s="76"/>
      <c r="W71" s="76"/>
      <c r="X71" s="76"/>
      <c r="Y71" s="76"/>
      <c r="Z71" s="76"/>
      <c r="AA71" s="76"/>
    </row>
    <row r="72" spans="1:30" s="64" customFormat="1" ht="15">
      <c r="A72" s="88" t="str">
        <f>'Inputs &amp; Calcs'!A51</f>
        <v>Distribution Transformers</v>
      </c>
      <c r="B72" s="88" t="str">
        <f>'Inputs &amp; Calcs'!B51</f>
        <v>Distribution Other</v>
      </c>
      <c r="C72" s="88" t="str">
        <f>'Inputs &amp; Calcs'!C51</f>
        <v>Distribution Other</v>
      </c>
      <c r="D72" s="87">
        <f>'Inputs &amp; Calcs'!D174*(1-'Inputs &amp; Calcs'!$D110*(1-'Inputs &amp; Calcs'!$E110))-'Inputs &amp; Calcs'!$I148*(1-'Inputs &amp; Calcs'!$D110)</f>
        <v>-4.666666666666667</v>
      </c>
      <c r="E72" s="87">
        <f>'Inputs &amp; Calcs'!E174*(1-'Inputs &amp; Calcs'!$D110*(1-'Inputs &amp; Calcs'!$E110))-'Inputs &amp; Calcs'!$I148*(1-'Inputs &amp; Calcs'!$D110)</f>
        <v>-3.666666666666667</v>
      </c>
      <c r="F72" s="87">
        <f>'Inputs &amp; Calcs'!F174*(1-'Inputs &amp; Calcs'!$D110*(1-'Inputs &amp; Calcs'!$E110))-'Inputs &amp; Calcs'!$I148*(1-'Inputs &amp; Calcs'!$D110)</f>
        <v>-3.666666666666667</v>
      </c>
      <c r="G72" s="87">
        <f>'Inputs &amp; Calcs'!G174*(1-'Inputs &amp; Calcs'!$D110*(1-'Inputs &amp; Calcs'!$E110))-'Inputs &amp; Calcs'!$I148*(1-'Inputs &amp; Calcs'!$D110)</f>
        <v>-4.666666666666667</v>
      </c>
      <c r="H72" s="87">
        <f>'Inputs &amp; Calcs'!H174*(1-'Inputs &amp; Calcs'!$D110*(1-'Inputs &amp; Calcs'!$E110))-'Inputs &amp; Calcs'!$I148*(1-'Inputs &amp; Calcs'!$D110)</f>
        <v>-4.666666666666667</v>
      </c>
      <c r="I72" s="87">
        <f>'Inputs &amp; Calcs'!I174*(1-'Inputs &amp; Calcs'!$D110*(1-'Inputs &amp; Calcs'!$E110))-'Inputs &amp; Calcs'!$I148*(1-'Inputs &amp; Calcs'!$D110)</f>
        <v>-4.6791666666666671</v>
      </c>
      <c r="J72" s="87">
        <f>'Inputs &amp; Calcs'!J174*(1-'Inputs &amp; Calcs'!$D110*(1-'Inputs &amp; Calcs'!$E110))-'Inputs &amp; Calcs'!$I148*(1-'Inputs &amp; Calcs'!$D110)</f>
        <v>-3.7166666666666668</v>
      </c>
      <c r="K72" s="87">
        <f>'Inputs &amp; Calcs'!K174*(1-'Inputs &amp; Calcs'!$D110*(1-'Inputs &amp; Calcs'!$E110))-'Inputs &amp; Calcs'!$I148*(1-'Inputs &amp; Calcs'!$D110)</f>
        <v>-3.7166666666666668</v>
      </c>
      <c r="L72" s="87">
        <f>'Inputs &amp; Calcs'!L174*(1-'Inputs &amp; Calcs'!$D110*(1-'Inputs &amp; Calcs'!$E110))-'Inputs &amp; Calcs'!$I148*(1-'Inputs &amp; Calcs'!$D110)</f>
        <v>-4.6916666666666673</v>
      </c>
      <c r="M72" s="87">
        <f>'Inputs &amp; Calcs'!M174*(1-'Inputs &amp; Calcs'!$D110*(1-'Inputs &amp; Calcs'!$E110))-'Inputs &amp; Calcs'!$I148*(1-'Inputs &amp; Calcs'!$D110)</f>
        <v>-5.666666666666667</v>
      </c>
      <c r="N72" s="87">
        <f>'Inputs &amp; Calcs'!N174*(1-'Inputs &amp; Calcs'!$D110*(1-'Inputs &amp; Calcs'!$E110))-'Inputs &amp; Calcs'!$I148*(1-'Inputs &amp; Calcs'!$D110)</f>
        <v>-4.6916666666666673</v>
      </c>
      <c r="O72" s="76"/>
      <c r="P72" s="76"/>
      <c r="Q72" s="76"/>
      <c r="R72" s="76"/>
      <c r="S72" s="76"/>
      <c r="T72" s="76"/>
      <c r="U72" s="76"/>
      <c r="V72" s="76"/>
      <c r="W72" s="76"/>
      <c r="X72" s="76"/>
      <c r="Y72" s="76"/>
      <c r="Z72" s="76"/>
    </row>
    <row r="73" spans="1:30" s="64" customFormat="1" ht="15">
      <c r="A73" s="88" t="str">
        <f>'Inputs &amp; Calcs'!A52</f>
        <v>Distribution Switchgear</v>
      </c>
      <c r="B73" s="88" t="str">
        <f>'Inputs &amp; Calcs'!B52</f>
        <v>Pole Mounted Switches</v>
      </c>
      <c r="C73" s="88" t="str">
        <f>'Inputs &amp; Calcs'!C52</f>
        <v>Air Break</v>
      </c>
      <c r="D73" s="87">
        <f>'Inputs &amp; Calcs'!D175*(1-'Inputs &amp; Calcs'!$D111*(1-'Inputs &amp; Calcs'!$E111))-'Inputs &amp; Calcs'!$I149*(1-'Inputs &amp; Calcs'!$D111)</f>
        <v>-10.207400000000007</v>
      </c>
      <c r="E73" s="87">
        <f>'Inputs &amp; Calcs'!E175*(1-'Inputs &amp; Calcs'!$D111*(1-'Inputs &amp; Calcs'!$E111))-'Inputs &amp; Calcs'!$I149*(1-'Inputs &amp; Calcs'!$D111)</f>
        <v>-14.807400000000001</v>
      </c>
      <c r="F73" s="87">
        <f>'Inputs &amp; Calcs'!F175*(1-'Inputs &amp; Calcs'!$D111*(1-'Inputs &amp; Calcs'!$E111))-'Inputs &amp; Calcs'!$I149*(1-'Inputs &amp; Calcs'!$D111)</f>
        <v>-13.887400000000014</v>
      </c>
      <c r="G73" s="87">
        <f>'Inputs &amp; Calcs'!G175*(1-'Inputs &amp; Calcs'!$D111*(1-'Inputs &amp; Calcs'!$E111))-'Inputs &amp; Calcs'!$I149*(1-'Inputs &amp; Calcs'!$D111)</f>
        <v>-42.40740000000001</v>
      </c>
      <c r="H73" s="87">
        <f>'Inputs &amp; Calcs'!H175*(1-'Inputs &amp; Calcs'!$D111*(1-'Inputs &amp; Calcs'!$E111))-'Inputs &amp; Calcs'!$I149*(1-'Inputs &amp; Calcs'!$D111)</f>
        <v>-57.127400000000009</v>
      </c>
      <c r="I73" s="87">
        <f>'Inputs &amp; Calcs'!I175*(1-'Inputs &amp; Calcs'!$D111*(1-'Inputs &amp; Calcs'!$E111))-'Inputs &amp; Calcs'!$I149*(1-'Inputs &amp; Calcs'!$D111)</f>
        <v>-60.657900000000012</v>
      </c>
      <c r="J73" s="87">
        <f>'Inputs &amp; Calcs'!J175*(1-'Inputs &amp; Calcs'!$D111*(1-'Inputs &amp; Calcs'!$E111))-'Inputs &amp; Calcs'!$I149*(1-'Inputs &amp; Calcs'!$D111)</f>
        <v>-78.471400000000017</v>
      </c>
      <c r="K73" s="87">
        <f>'Inputs &amp; Calcs'!K175*(1-'Inputs &amp; Calcs'!$D111*(1-'Inputs &amp; Calcs'!$E111))-'Inputs &amp; Calcs'!$I149*(1-'Inputs &amp; Calcs'!$D111)</f>
        <v>-71.295400000000015</v>
      </c>
      <c r="L73" s="87">
        <f>'Inputs &amp; Calcs'!L175*(1-'Inputs &amp; Calcs'!$D111*(1-'Inputs &amp; Calcs'!$E111))-'Inputs &amp; Calcs'!$I149*(1-'Inputs &amp; Calcs'!$D111)</f>
        <v>-62.325400000000016</v>
      </c>
      <c r="M73" s="87">
        <f>'Inputs &amp; Calcs'!M175*(1-'Inputs &amp; Calcs'!$D111*(1-'Inputs &amp; Calcs'!$E111))-'Inputs &amp; Calcs'!$I149*(1-'Inputs &amp; Calcs'!$D111)</f>
        <v>-50.664400000000001</v>
      </c>
      <c r="N73" s="87">
        <f>'Inputs &amp; Calcs'!N175*(1-'Inputs &amp; Calcs'!$D111*(1-'Inputs &amp; Calcs'!$E111))-'Inputs &amp; Calcs'!$I149*(1-'Inputs &amp; Calcs'!$D111)</f>
        <v>-36.312400000000011</v>
      </c>
      <c r="O73" s="76"/>
      <c r="P73" s="76"/>
      <c r="Q73" s="76"/>
      <c r="R73" s="76"/>
      <c r="S73" s="76"/>
      <c r="T73" s="76"/>
      <c r="U73" s="76"/>
      <c r="V73" s="76"/>
      <c r="W73" s="76"/>
      <c r="X73" s="76"/>
      <c r="Y73" s="76"/>
      <c r="Z73" s="76"/>
    </row>
    <row r="74" spans="1:30" s="64" customFormat="1" ht="15">
      <c r="A74" s="88" t="str">
        <f>'Inputs &amp; Calcs'!A53</f>
        <v>Distribution Switchgear</v>
      </c>
      <c r="B74" s="88" t="str">
        <f>'Inputs &amp; Calcs'!B53</f>
        <v>HV Fuses</v>
      </c>
      <c r="C74" s="88" t="str">
        <f>'Inputs &amp; Calcs'!C53</f>
        <v>HV Fuses</v>
      </c>
      <c r="D74" s="87">
        <f>'Inputs &amp; Calcs'!D176*(1-'Inputs &amp; Calcs'!$D112*(1-'Inputs &amp; Calcs'!$E112))-'Inputs &amp; Calcs'!$I150*(1-'Inputs &amp; Calcs'!$D112)</f>
        <v>-72.169832085613962</v>
      </c>
      <c r="E74" s="87">
        <f>'Inputs &amp; Calcs'!E176*(1-'Inputs &amp; Calcs'!$D112*(1-'Inputs &amp; Calcs'!$E112))-'Inputs &amp; Calcs'!$I150*(1-'Inputs &amp; Calcs'!$D112)</f>
        <v>-89.926342845884562</v>
      </c>
      <c r="F74" s="87">
        <f>'Inputs &amp; Calcs'!F176*(1-'Inputs &amp; Calcs'!$D112*(1-'Inputs &amp; Calcs'!$E112))-'Inputs &amp; Calcs'!$I150*(1-'Inputs &amp; Calcs'!$D112)</f>
        <v>-83.88741687298284</v>
      </c>
      <c r="G74" s="87">
        <f>'Inputs &amp; Calcs'!G176*(1-'Inputs &amp; Calcs'!$D112*(1-'Inputs &amp; Calcs'!$E112))-'Inputs &amp; Calcs'!$I150*(1-'Inputs &amp; Calcs'!$D112)</f>
        <v>-73.772249811193888</v>
      </c>
      <c r="H74" s="87">
        <f>'Inputs &amp; Calcs'!H176*(1-'Inputs &amp; Calcs'!$D112*(1-'Inputs &amp; Calcs'!$E112))-'Inputs &amp; Calcs'!$I150*(1-'Inputs &amp; Calcs'!$D112)</f>
        <v>-71.393822435937977</v>
      </c>
      <c r="I74" s="87">
        <f>'Inputs &amp; Calcs'!I176*(1-'Inputs &amp; Calcs'!$D112*(1-'Inputs &amp; Calcs'!$E112))-'Inputs &amp; Calcs'!$I150*(1-'Inputs &amp; Calcs'!$D112)</f>
        <v>-66.038754490370081</v>
      </c>
      <c r="J74" s="87">
        <f>'Inputs &amp; Calcs'!J176*(1-'Inputs &amp; Calcs'!$D112*(1-'Inputs &amp; Calcs'!$E112))-'Inputs &amp; Calcs'!$I150*(1-'Inputs &amp; Calcs'!$D112)</f>
        <v>-59.975097523658462</v>
      </c>
      <c r="K74" s="87">
        <f>'Inputs &amp; Calcs'!K176*(1-'Inputs &amp; Calcs'!$D112*(1-'Inputs &amp; Calcs'!$E112))-'Inputs &amp; Calcs'!$I150*(1-'Inputs &amp; Calcs'!$D112)</f>
        <v>-67.034896968047008</v>
      </c>
      <c r="L74" s="87">
        <f>'Inputs &amp; Calcs'!L176*(1-'Inputs &amp; Calcs'!$D112*(1-'Inputs &amp; Calcs'!$E112))-'Inputs &amp; Calcs'!$I150*(1-'Inputs &amp; Calcs'!$D112)</f>
        <v>-57.608974601953946</v>
      </c>
      <c r="M74" s="87">
        <f>'Inputs &amp; Calcs'!M176*(1-'Inputs &amp; Calcs'!$D112*(1-'Inputs &amp; Calcs'!$E112))-'Inputs &amp; Calcs'!$I150*(1-'Inputs &amp; Calcs'!$D112)</f>
        <v>-43.117391763128182</v>
      </c>
      <c r="N74" s="87">
        <f>'Inputs &amp; Calcs'!N176*(1-'Inputs &amp; Calcs'!$D112*(1-'Inputs &amp; Calcs'!$E112))-'Inputs &amp; Calcs'!$I150*(1-'Inputs &amp; Calcs'!$D112)</f>
        <v>-26.172122472558726</v>
      </c>
      <c r="O74" s="76"/>
      <c r="P74" s="76"/>
      <c r="Q74" s="76"/>
      <c r="R74" s="76"/>
      <c r="S74" s="76"/>
      <c r="T74" s="76"/>
      <c r="U74" s="76"/>
      <c r="V74" s="76"/>
      <c r="W74" s="76"/>
      <c r="X74" s="76"/>
      <c r="Y74" s="76"/>
      <c r="Z74" s="76"/>
    </row>
    <row r="75" spans="1:30" s="64" customFormat="1" ht="15">
      <c r="A75" s="88" t="str">
        <f>'Inputs &amp; Calcs'!A54</f>
        <v>Distribution Switchgear</v>
      </c>
      <c r="B75" s="88" t="str">
        <f>'Inputs &amp; Calcs'!B54</f>
        <v>Ground Mounted Switchgear</v>
      </c>
      <c r="C75" s="88" t="str">
        <f>'Inputs &amp; Calcs'!C54</f>
        <v>RMU</v>
      </c>
      <c r="D75" s="87">
        <f>'Inputs &amp; Calcs'!D177*(1-'Inputs &amp; Calcs'!$D113*(1-'Inputs &amp; Calcs'!$E113))-'Inputs &amp; Calcs'!$I151*(1-'Inputs &amp; Calcs'!$D113)</f>
        <v>6.6666666666666643</v>
      </c>
      <c r="E75" s="87">
        <f>'Inputs &amp; Calcs'!E177*(1-'Inputs &amp; Calcs'!$D113*(1-'Inputs &amp; Calcs'!$E113))-'Inputs &amp; Calcs'!$I151*(1-'Inputs &amp; Calcs'!$D113)</f>
        <v>6.6666666666666643</v>
      </c>
      <c r="F75" s="87">
        <f>'Inputs &amp; Calcs'!F177*(1-'Inputs &amp; Calcs'!$D113*(1-'Inputs &amp; Calcs'!$E113))-'Inputs &amp; Calcs'!$I151*(1-'Inputs &amp; Calcs'!$D113)</f>
        <v>14.358666666666672</v>
      </c>
      <c r="G75" s="87">
        <f>'Inputs &amp; Calcs'!G177*(1-'Inputs &amp; Calcs'!$D113*(1-'Inputs &amp; Calcs'!$E113))-'Inputs &amp; Calcs'!$I151*(1-'Inputs &amp; Calcs'!$D113)</f>
        <v>19.927866666666667</v>
      </c>
      <c r="H75" s="87">
        <f>'Inputs &amp; Calcs'!H177*(1-'Inputs &amp; Calcs'!$D113*(1-'Inputs &amp; Calcs'!$E113))-'Inputs &amp; Calcs'!$I151*(1-'Inputs &amp; Calcs'!$D113)</f>
        <v>27.25398666666667</v>
      </c>
      <c r="I75" s="87">
        <f>'Inputs &amp; Calcs'!I177*(1-'Inputs &amp; Calcs'!$D113*(1-'Inputs &amp; Calcs'!$E113))-'Inputs &amp; Calcs'!$I151*(1-'Inputs &amp; Calcs'!$D113)</f>
        <v>34.422886516666686</v>
      </c>
      <c r="J75" s="87">
        <f>'Inputs &amp; Calcs'!J177*(1-'Inputs &amp; Calcs'!$D113*(1-'Inputs &amp; Calcs'!$E113))-'Inputs &amp; Calcs'!$I151*(1-'Inputs &amp; Calcs'!$D113)</f>
        <v>24.354666666666638</v>
      </c>
      <c r="K75" s="87">
        <f>'Inputs &amp; Calcs'!K177*(1-'Inputs &amp; Calcs'!$D113*(1-'Inputs &amp; Calcs'!$E113))-'Inputs &amp; Calcs'!$I151*(1-'Inputs &amp; Calcs'!$D113)</f>
        <v>11.901966666666645</v>
      </c>
      <c r="L75" s="87">
        <f>'Inputs &amp; Calcs'!L177*(1-'Inputs &amp; Calcs'!$D113*(1-'Inputs &amp; Calcs'!$E113))-'Inputs &amp; Calcs'!$I151*(1-'Inputs &amp; Calcs'!$D113)</f>
        <v>-2.4980033333333509</v>
      </c>
      <c r="M75" s="87">
        <f>'Inputs &amp; Calcs'!M177*(1-'Inputs &amp; Calcs'!$D113*(1-'Inputs &amp; Calcs'!$E113))-'Inputs &amp; Calcs'!$I151*(1-'Inputs &amp; Calcs'!$D113)</f>
        <v>-17.440970333333354</v>
      </c>
      <c r="N75" s="87">
        <f>'Inputs &amp; Calcs'!N177*(1-'Inputs &amp; Calcs'!$D113*(1-'Inputs &amp; Calcs'!$E113))-'Inputs &amp; Calcs'!$I151*(1-'Inputs &amp; Calcs'!$D113)</f>
        <v>-35.243234033333366</v>
      </c>
      <c r="O75" s="76"/>
      <c r="P75" s="76"/>
      <c r="Q75" s="76"/>
      <c r="R75" s="76"/>
      <c r="S75" s="76"/>
      <c r="T75" s="76"/>
      <c r="U75" s="76"/>
      <c r="V75" s="76"/>
      <c r="W75" s="76"/>
      <c r="X75" s="76"/>
      <c r="Y75" s="76"/>
      <c r="Z75" s="76"/>
    </row>
    <row r="76" spans="1:30" s="64" customFormat="1" ht="15">
      <c r="A76" s="88" t="str">
        <f>'Inputs &amp; Calcs'!A55</f>
        <v>Distribution Switchgear</v>
      </c>
      <c r="B76" s="88" t="str">
        <f>'Inputs &amp; Calcs'!B55</f>
        <v>Circuit Breakers/Reclosers/Sectionalisers</v>
      </c>
      <c r="C76" s="88" t="str">
        <f>'Inputs &amp; Calcs'!C55</f>
        <v>Circuit Breakers/Reclosers/Sectionalisers</v>
      </c>
      <c r="D76" s="87">
        <f>'Inputs &amp; Calcs'!D178*(1-'Inputs &amp; Calcs'!$D114*(1-'Inputs &amp; Calcs'!$E114))-'Inputs &amp; Calcs'!$I152*(1-'Inputs &amp; Calcs'!$D114)</f>
        <v>-2.2857142857142865</v>
      </c>
      <c r="E76" s="87">
        <f>'Inputs &amp; Calcs'!E178*(1-'Inputs &amp; Calcs'!$D114*(1-'Inputs &amp; Calcs'!$E114))-'Inputs &amp; Calcs'!$I152*(1-'Inputs &amp; Calcs'!$D114)</f>
        <v>9.5142857142857089</v>
      </c>
      <c r="F76" s="87">
        <f>'Inputs &amp; Calcs'!F178*(1-'Inputs &amp; Calcs'!$D114*(1-'Inputs &amp; Calcs'!$E114))-'Inputs &amp; Calcs'!$I152*(1-'Inputs &amp; Calcs'!$D114)</f>
        <v>10.514285714285709</v>
      </c>
      <c r="G76" s="87">
        <f>'Inputs &amp; Calcs'!G178*(1-'Inputs &amp; Calcs'!$D114*(1-'Inputs &amp; Calcs'!$E114))-'Inputs &amp; Calcs'!$I152*(1-'Inputs &amp; Calcs'!$D114)</f>
        <v>10.514285714285709</v>
      </c>
      <c r="H76" s="87">
        <f>'Inputs &amp; Calcs'!H178*(1-'Inputs &amp; Calcs'!$D114*(1-'Inputs &amp; Calcs'!$E114))-'Inputs &amp; Calcs'!$I152*(1-'Inputs &amp; Calcs'!$D114)</f>
        <v>8.5142857142857089</v>
      </c>
      <c r="I76" s="87">
        <f>'Inputs &amp; Calcs'!I178*(1-'Inputs &amp; Calcs'!$D114*(1-'Inputs &amp; Calcs'!$E114))-'Inputs &amp; Calcs'!$I152*(1-'Inputs &amp; Calcs'!$D114)</f>
        <v>8.5142857142857089</v>
      </c>
      <c r="J76" s="87">
        <f>'Inputs &amp; Calcs'!J178*(1-'Inputs &amp; Calcs'!$D114*(1-'Inputs &amp; Calcs'!$E114))-'Inputs &amp; Calcs'!$I152*(1-'Inputs &amp; Calcs'!$D114)</f>
        <v>-4.2857142857142865</v>
      </c>
      <c r="K76" s="87">
        <f>'Inputs &amp; Calcs'!K178*(1-'Inputs &amp; Calcs'!$D114*(1-'Inputs &amp; Calcs'!$E114))-'Inputs &amp; Calcs'!$I152*(1-'Inputs &amp; Calcs'!$D114)</f>
        <v>-11</v>
      </c>
      <c r="L76" s="87">
        <f>'Inputs &amp; Calcs'!L178*(1-'Inputs &amp; Calcs'!$D114*(1-'Inputs &amp; Calcs'!$E114))-'Inputs &amp; Calcs'!$I152*(1-'Inputs &amp; Calcs'!$D114)</f>
        <v>-11</v>
      </c>
      <c r="M76" s="87">
        <f>'Inputs &amp; Calcs'!M178*(1-'Inputs &amp; Calcs'!$D114*(1-'Inputs &amp; Calcs'!$E114))-'Inputs &amp; Calcs'!$I152*(1-'Inputs &amp; Calcs'!$D114)</f>
        <v>-11</v>
      </c>
      <c r="N76" s="87">
        <f>'Inputs &amp; Calcs'!N178*(1-'Inputs &amp; Calcs'!$D114*(1-'Inputs &amp; Calcs'!$E114))-'Inputs &amp; Calcs'!$I152*(1-'Inputs &amp; Calcs'!$D114)</f>
        <v>-10</v>
      </c>
      <c r="O76" s="76"/>
      <c r="P76" s="76"/>
      <c r="Q76" s="76"/>
      <c r="R76" s="76"/>
      <c r="S76" s="76"/>
      <c r="T76" s="76"/>
      <c r="U76" s="76"/>
      <c r="V76" s="76"/>
      <c r="W76" s="76"/>
      <c r="X76" s="76"/>
      <c r="Y76" s="76"/>
      <c r="Z76" s="76"/>
    </row>
    <row r="77" spans="1:30" s="64" customFormat="1" ht="15">
      <c r="A77" s="88" t="str">
        <f>'Inputs &amp; Calcs'!A56</f>
        <v>Cables</v>
      </c>
      <c r="B77" s="88" t="str">
        <f>'Inputs &amp; Calcs'!B56</f>
        <v>Low Voltage Cables</v>
      </c>
      <c r="C77" s="88" t="str">
        <f>'Inputs &amp; Calcs'!C56</f>
        <v>Cables</v>
      </c>
      <c r="D77" s="87">
        <f>'Inputs &amp; Calcs'!D179*(1-'Inputs &amp; Calcs'!$D115*(1-'Inputs &amp; Calcs'!$E115))-'Inputs &amp; Calcs'!$I153*(1-'Inputs &amp; Calcs'!$D115)</f>
        <v>5.1398461763535721</v>
      </c>
      <c r="E77" s="87">
        <f>'Inputs &amp; Calcs'!E179*(1-'Inputs &amp; Calcs'!$D115*(1-'Inputs &amp; Calcs'!$E115))-'Inputs &amp; Calcs'!$I153*(1-'Inputs &amp; Calcs'!$D115)</f>
        <v>5.6546941114524847</v>
      </c>
      <c r="F77" s="87">
        <f>'Inputs &amp; Calcs'!F179*(1-'Inputs &amp; Calcs'!$D115*(1-'Inputs &amp; Calcs'!$E115))-'Inputs &amp; Calcs'!$I153*(1-'Inputs &amp; Calcs'!$D115)</f>
        <v>6.2081556416838142</v>
      </c>
      <c r="G77" s="87">
        <f>'Inputs &amp; Calcs'!G179*(1-'Inputs &amp; Calcs'!$D115*(1-'Inputs &amp; Calcs'!$E115))-'Inputs &amp; Calcs'!$I153*(1-'Inputs &amp; Calcs'!$D115)</f>
        <v>6.8031267866824967</v>
      </c>
      <c r="H77" s="87">
        <f>'Inputs &amp; Calcs'!H179*(1-'Inputs &amp; Calcs'!$D115*(1-'Inputs &amp; Calcs'!$E115))-'Inputs &amp; Calcs'!$I153*(1-'Inputs &amp; Calcs'!$D115)</f>
        <v>7.4427207675560778</v>
      </c>
      <c r="I77" s="87">
        <f>'Inputs &amp; Calcs'!I179*(1-'Inputs &amp; Calcs'!$D115*(1-'Inputs &amp; Calcs'!$E115))-'Inputs &amp; Calcs'!$I153*(1-'Inputs &amp; Calcs'!$D115)</f>
        <v>8.0070958313040101</v>
      </c>
      <c r="J77" s="87">
        <f>'Inputs &amp; Calcs'!J179*(1-'Inputs &amp; Calcs'!$D115*(1-'Inputs &amp; Calcs'!$E115))-'Inputs &amp; Calcs'!$I153*(1-'Inputs &amp; Calcs'!$D115)</f>
        <v>8.6045598899061932</v>
      </c>
      <c r="K77" s="87">
        <f>'Inputs &amp; Calcs'!K179*(1-'Inputs &amp; Calcs'!$D115*(1-'Inputs &amp; Calcs'!$E115))-'Inputs &amp; Calcs'!$I153*(1-'Inputs &amp; Calcs'!$D115)</f>
        <v>9.379261353521553</v>
      </c>
      <c r="L77" s="87">
        <f>'Inputs &amp; Calcs'!L179*(1-'Inputs &amp; Calcs'!$D115*(1-'Inputs &amp; Calcs'!$E115))-'Inputs &amp; Calcs'!$I153*(1-'Inputs &amp; Calcs'!$D115)</f>
        <v>10.212065426908065</v>
      </c>
      <c r="M77" s="87">
        <f>'Inputs &amp; Calcs'!M179*(1-'Inputs &amp; Calcs'!$D115*(1-'Inputs &amp; Calcs'!$E115))-'Inputs &amp; Calcs'!$I153*(1-'Inputs &amp; Calcs'!$D115)</f>
        <v>11.107329805798562</v>
      </c>
      <c r="N77" s="87">
        <f>'Inputs &amp; Calcs'!N179*(1-'Inputs &amp; Calcs'!$D115*(1-'Inputs &amp; Calcs'!$E115))-'Inputs &amp; Calcs'!$I153*(1-'Inputs &amp; Calcs'!$D115)</f>
        <v>12.069739013105851</v>
      </c>
      <c r="O77" s="76"/>
      <c r="P77" s="76"/>
      <c r="Q77" s="76"/>
      <c r="R77" s="76"/>
      <c r="S77" s="76"/>
      <c r="T77" s="76"/>
      <c r="U77" s="76"/>
      <c r="V77" s="76"/>
      <c r="W77" s="76"/>
      <c r="X77" s="76"/>
      <c r="Y77" s="76"/>
      <c r="Z77" s="76"/>
    </row>
    <row r="78" spans="1:30" s="64" customFormat="1" ht="15">
      <c r="A78" s="88" t="str">
        <f>'Inputs &amp; Calcs'!A57</f>
        <v>Cables</v>
      </c>
      <c r="B78" s="88" t="str">
        <f>'Inputs &amp; Calcs'!B57</f>
        <v>Distribution Cables</v>
      </c>
      <c r="C78" s="88" t="str">
        <f>'Inputs &amp; Calcs'!C57</f>
        <v>Cables</v>
      </c>
      <c r="D78" s="87">
        <f>'Inputs &amp; Calcs'!D180*(1-'Inputs &amp; Calcs'!$D116*(1-'Inputs &amp; Calcs'!$E116))-'Inputs &amp; Calcs'!$I154*(1-'Inputs &amp; Calcs'!$D116)</f>
        <v>3.6011902453071505</v>
      </c>
      <c r="E78" s="87">
        <f>'Inputs &amp; Calcs'!E180*(1-'Inputs &amp; Calcs'!$D116*(1-'Inputs &amp; Calcs'!$E116))-'Inputs &amp; Calcs'!$I154*(1-'Inputs &amp; Calcs'!$D116)</f>
        <v>3.9779246647110762</v>
      </c>
      <c r="F78" s="87">
        <f>'Inputs &amp; Calcs'!F180*(1-'Inputs &amp; Calcs'!$D116*(1-'Inputs &amp; Calcs'!$E116))-'Inputs &amp; Calcs'!$I154*(1-'Inputs &amp; Calcs'!$D116)</f>
        <v>5.7444411074044135</v>
      </c>
      <c r="G78" s="87">
        <f>'Inputs &amp; Calcs'!G180*(1-'Inputs &amp; Calcs'!$D116*(1-'Inputs &amp; Calcs'!$E116))-'Inputs &amp; Calcs'!$I154*(1-'Inputs &amp; Calcs'!$D116)</f>
        <v>6.7333260511937505</v>
      </c>
      <c r="H78" s="87">
        <f>'Inputs &amp; Calcs'!H180*(1-'Inputs &amp; Calcs'!$D116*(1-'Inputs &amp; Calcs'!$E116))-'Inputs &amp; Calcs'!$I154*(1-'Inputs &amp; Calcs'!$D116)</f>
        <v>7.2191522121146869</v>
      </c>
      <c r="I78" s="87">
        <f>'Inputs &amp; Calcs'!I180*(1-'Inputs &amp; Calcs'!$D116*(1-'Inputs &amp; Calcs'!$E116))-'Inputs &amp; Calcs'!$I154*(1-'Inputs &amp; Calcs'!$D116)</f>
        <v>4.4402850139041101</v>
      </c>
      <c r="J78" s="87">
        <f>'Inputs &amp; Calcs'!J180*(1-'Inputs &amp; Calcs'!$D116*(1-'Inputs &amp; Calcs'!$E116))-'Inputs &amp; Calcs'!$I154*(1-'Inputs &amp; Calcs'!$D116)</f>
        <v>2.790101874841092</v>
      </c>
      <c r="K78" s="87">
        <f>'Inputs &amp; Calcs'!K180*(1-'Inputs &amp; Calcs'!$D116*(1-'Inputs &amp; Calcs'!$E116))-'Inputs &amp; Calcs'!$I154*(1-'Inputs &amp; Calcs'!$D116)</f>
        <v>2.5779762980834064</v>
      </c>
      <c r="L78" s="87">
        <f>'Inputs &amp; Calcs'!L180*(1-'Inputs &amp; Calcs'!$D116*(1-'Inputs &amp; Calcs'!$E116))-'Inputs &amp; Calcs'!$I154*(1-'Inputs &amp; Calcs'!$D116)</f>
        <v>2.2047018058508066</v>
      </c>
      <c r="M78" s="87">
        <f>'Inputs &amp; Calcs'!M180*(1-'Inputs &amp; Calcs'!$D116*(1-'Inputs &amp; Calcs'!$E116))-'Inputs &amp; Calcs'!$I154*(1-'Inputs &amp; Calcs'!$D116)</f>
        <v>2.2239000777016953</v>
      </c>
      <c r="N78" s="87">
        <f>'Inputs &amp; Calcs'!N180*(1-'Inputs &amp; Calcs'!$D116*(1-'Inputs &amp; Calcs'!$E116))-'Inputs &amp; Calcs'!$I154*(1-'Inputs &amp; Calcs'!$D116)</f>
        <v>2.9445971592617637</v>
      </c>
      <c r="O78" s="76"/>
      <c r="P78" s="76"/>
      <c r="Q78" s="76"/>
      <c r="R78" s="76"/>
      <c r="S78" s="76"/>
      <c r="T78" s="76"/>
      <c r="U78" s="76"/>
      <c r="V78" s="76"/>
      <c r="W78" s="76"/>
      <c r="X78" s="76"/>
      <c r="Y78" s="76"/>
      <c r="Z78" s="76"/>
    </row>
    <row r="79" spans="1:30" s="64" customFormat="1" ht="15">
      <c r="A79" s="88" t="str">
        <f>'Inputs &amp; Calcs'!A58</f>
        <v>Cables</v>
      </c>
      <c r="B79" s="88" t="str">
        <f>'Inputs &amp; Calcs'!B58</f>
        <v>Subtransmission Cables</v>
      </c>
      <c r="C79" s="88" t="str">
        <f>'Inputs &amp; Calcs'!C58</f>
        <v>Cables</v>
      </c>
      <c r="D79" s="87">
        <f>'Inputs &amp; Calcs'!D181*(1-'Inputs &amp; Calcs'!$D117*(1-'Inputs &amp; Calcs'!$E117))-'Inputs &amp; Calcs'!$I155*(1-'Inputs &amp; Calcs'!$D117)</f>
        <v>7.1</v>
      </c>
      <c r="E79" s="87">
        <f>'Inputs &amp; Calcs'!E181*(1-'Inputs &amp; Calcs'!$D117*(1-'Inputs &amp; Calcs'!$E117))-'Inputs &amp; Calcs'!$I155*(1-'Inputs &amp; Calcs'!$D117)</f>
        <v>0.5</v>
      </c>
      <c r="F79" s="87">
        <f>'Inputs &amp; Calcs'!F181*(1-'Inputs &amp; Calcs'!$D117*(1-'Inputs &amp; Calcs'!$E117))-'Inputs &amp; Calcs'!$I155*(1-'Inputs &amp; Calcs'!$D117)</f>
        <v>0</v>
      </c>
      <c r="G79" s="87">
        <f>'Inputs &amp; Calcs'!G181*(1-'Inputs &amp; Calcs'!$D117*(1-'Inputs &amp; Calcs'!$E117))-'Inputs &amp; Calcs'!$I155*(1-'Inputs &amp; Calcs'!$D117)</f>
        <v>1</v>
      </c>
      <c r="H79" s="87">
        <f>'Inputs &amp; Calcs'!H181*(1-'Inputs &amp; Calcs'!$D117*(1-'Inputs &amp; Calcs'!$E117))-'Inputs &amp; Calcs'!$I155*(1-'Inputs &amp; Calcs'!$D117)</f>
        <v>0</v>
      </c>
      <c r="I79" s="87">
        <f>'Inputs &amp; Calcs'!I181*(1-'Inputs &amp; Calcs'!$D117*(1-'Inputs &amp; Calcs'!$E117))-'Inputs &amp; Calcs'!$I155*(1-'Inputs &amp; Calcs'!$D117)</f>
        <v>0</v>
      </c>
      <c r="J79" s="87">
        <f>'Inputs &amp; Calcs'!J181*(1-'Inputs &amp; Calcs'!$D117*(1-'Inputs &amp; Calcs'!$E117))-'Inputs &amp; Calcs'!$I155*(1-'Inputs &amp; Calcs'!$D117)</f>
        <v>0</v>
      </c>
      <c r="K79" s="87">
        <f>'Inputs &amp; Calcs'!K181*(1-'Inputs &amp; Calcs'!$D117*(1-'Inputs &amp; Calcs'!$E117))-'Inputs &amp; Calcs'!$I155*(1-'Inputs &amp; Calcs'!$D117)</f>
        <v>0</v>
      </c>
      <c r="L79" s="87">
        <f>'Inputs &amp; Calcs'!L181*(1-'Inputs &amp; Calcs'!$D117*(1-'Inputs &amp; Calcs'!$E117))-'Inputs &amp; Calcs'!$I155*(1-'Inputs &amp; Calcs'!$D117)</f>
        <v>0</v>
      </c>
      <c r="M79" s="87">
        <f>'Inputs &amp; Calcs'!M181*(1-'Inputs &amp; Calcs'!$D117*(1-'Inputs &amp; Calcs'!$E117))-'Inputs &amp; Calcs'!$I155*(1-'Inputs &amp; Calcs'!$D117)</f>
        <v>0</v>
      </c>
      <c r="N79" s="87">
        <f>'Inputs &amp; Calcs'!N181*(1-'Inputs &amp; Calcs'!$D117*(1-'Inputs &amp; Calcs'!$E117))-'Inputs &amp; Calcs'!$I155*(1-'Inputs &amp; Calcs'!$D117)</f>
        <v>0</v>
      </c>
      <c r="O79" s="76"/>
      <c r="P79" s="76"/>
      <c r="Q79" s="76"/>
      <c r="R79" s="76"/>
      <c r="S79" s="76"/>
      <c r="T79" s="76"/>
      <c r="U79" s="76"/>
      <c r="V79" s="76"/>
      <c r="W79" s="76"/>
      <c r="X79" s="76"/>
      <c r="Y79" s="76"/>
      <c r="Z79" s="76"/>
    </row>
    <row r="80" spans="1:30" s="64" customFormat="1" ht="15">
      <c r="A80" s="44"/>
      <c r="B80" s="44"/>
      <c r="C80" s="44"/>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row>
    <row r="83" spans="1:27" ht="23.25" customHeight="1">
      <c r="A83" s="36" t="s">
        <v>66</v>
      </c>
      <c r="B83" s="37"/>
      <c r="C83" s="37"/>
      <c r="D83" s="37"/>
      <c r="E83" s="37"/>
      <c r="F83" s="37"/>
      <c r="G83" s="37"/>
      <c r="H83" s="37"/>
      <c r="I83" s="37"/>
      <c r="J83" s="37"/>
      <c r="K83" s="37"/>
      <c r="L83" s="37"/>
      <c r="M83" s="37"/>
      <c r="N83" s="37"/>
      <c r="O83" s="37"/>
      <c r="P83" s="37"/>
      <c r="Q83" s="54"/>
      <c r="R83" s="54"/>
      <c r="S83" s="54"/>
      <c r="T83" s="54"/>
      <c r="U83" s="54"/>
      <c r="V83" s="54"/>
      <c r="W83" s="54"/>
      <c r="X83" s="54"/>
      <c r="Y83" s="54"/>
      <c r="Z83" s="54"/>
      <c r="AA83" s="54"/>
    </row>
  </sheetData>
  <pageMargins left="0.70866141732283472" right="0.70866141732283472" top="0.55118110236220474" bottom="0.74803149606299213" header="0.31496062992125984" footer="0.31496062992125984"/>
  <pageSetup paperSize="9" scale="28" fitToHeight="0" orientation="landscape" r:id="rId1"/>
  <headerFooter>
    <oddFooter>&amp;L&amp;"Arial,Bold"&amp;10&amp;K7030A0DISTRIBUTION TRANSFORMERS - POLE MOUNTED&amp;C&amp;"Arial,Regular"&amp;10&amp;K7030A0Page &amp;P of &amp;N&amp;R&amp;"Arial,Regular"&amp;10&amp;K7030A0&amp;A
&amp;T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E138"/>
  <sheetViews>
    <sheetView showGridLines="0" topLeftCell="A82" zoomScale="80" zoomScaleNormal="80" workbookViewId="0">
      <selection activeCell="M76" sqref="A75:M76"/>
    </sheetView>
  </sheetViews>
  <sheetFormatPr defaultRowHeight="14.25"/>
  <cols>
    <col min="1" max="1" width="36.85546875" style="64" customWidth="1"/>
    <col min="2" max="2" width="14.140625" style="64" customWidth="1"/>
    <col min="3" max="4" width="13.28515625" style="64" bestFit="1" customWidth="1"/>
    <col min="5" max="5" width="13.42578125" style="64" customWidth="1"/>
    <col min="6" max="6" width="13.28515625" style="64" bestFit="1" customWidth="1"/>
    <col min="7" max="7" width="14.140625" style="64" customWidth="1"/>
    <col min="8" max="21" width="15.28515625" style="64" customWidth="1"/>
    <col min="22" max="27" width="14.42578125" style="64" customWidth="1"/>
    <col min="28" max="30" width="13" style="64" bestFit="1" customWidth="1"/>
    <col min="31" max="16384" width="9.140625" style="64"/>
  </cols>
  <sheetData>
    <row r="1" spans="1:27" ht="27.75" customHeight="1">
      <c r="A1" s="41" t="s">
        <v>67</v>
      </c>
      <c r="B1" s="42"/>
      <c r="C1" s="42"/>
      <c r="D1" s="42"/>
      <c r="E1" s="42"/>
      <c r="F1" s="42"/>
      <c r="G1" s="42"/>
      <c r="H1" s="42"/>
      <c r="I1" s="42"/>
      <c r="J1" s="42"/>
      <c r="K1" s="42"/>
      <c r="L1" s="42"/>
      <c r="M1" s="42"/>
      <c r="N1" s="42"/>
      <c r="O1" s="42"/>
      <c r="P1" s="42"/>
      <c r="Q1" s="42"/>
      <c r="R1" s="42"/>
      <c r="S1" s="42"/>
      <c r="T1" s="42"/>
      <c r="U1" s="42"/>
      <c r="V1" s="42"/>
      <c r="W1" s="42"/>
      <c r="X1" s="42"/>
      <c r="Y1" s="42"/>
      <c r="Z1" s="42"/>
      <c r="AA1" s="42"/>
    </row>
    <row r="3" spans="1:27" s="45" customFormat="1" ht="18">
      <c r="A3" s="63" t="s">
        <v>84</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ht="18">
      <c r="A4" s="61" t="s">
        <v>291</v>
      </c>
    </row>
    <row r="5" spans="1:27" ht="15">
      <c r="A5" s="50" t="s">
        <v>93</v>
      </c>
      <c r="B5" s="50" t="s">
        <v>88</v>
      </c>
      <c r="C5" s="50" t="s">
        <v>89</v>
      </c>
    </row>
    <row r="6" spans="1:27" ht="15">
      <c r="A6" s="46" t="s">
        <v>94</v>
      </c>
      <c r="B6" s="77">
        <f>AVERAGE('Inputs &amp; Calcs'!F16:J16)</f>
        <v>44.111124634657735</v>
      </c>
      <c r="C6" s="80">
        <f>AVERAGE('Inputs &amp; Calcs'!F17:J17)</f>
        <v>0.18781212591145674</v>
      </c>
    </row>
    <row r="7" spans="1:27" ht="15">
      <c r="B7" s="86"/>
      <c r="C7" s="86"/>
    </row>
    <row r="8" spans="1:27" ht="18">
      <c r="A8" s="61" t="s">
        <v>87</v>
      </c>
      <c r="B8" s="61"/>
      <c r="M8" s="139"/>
      <c r="N8" s="140"/>
      <c r="O8" s="141" t="s">
        <v>212</v>
      </c>
      <c r="P8" s="140"/>
      <c r="Q8" s="142"/>
      <c r="S8" s="134"/>
    </row>
    <row r="9" spans="1:27" ht="15">
      <c r="A9" s="86"/>
      <c r="B9" s="181">
        <v>2008</v>
      </c>
      <c r="C9" s="181">
        <v>2009</v>
      </c>
      <c r="D9" s="181">
        <v>2010</v>
      </c>
      <c r="E9" s="181">
        <v>2011</v>
      </c>
      <c r="F9" s="181">
        <v>2012</v>
      </c>
      <c r="G9" s="181">
        <v>2013</v>
      </c>
      <c r="H9" s="181">
        <v>2014</v>
      </c>
      <c r="I9" s="181">
        <v>2015</v>
      </c>
      <c r="J9" s="181">
        <v>2016</v>
      </c>
      <c r="K9" s="181">
        <v>2017</v>
      </c>
      <c r="L9" s="181">
        <v>2018</v>
      </c>
      <c r="M9" s="182">
        <v>2019</v>
      </c>
      <c r="N9" s="181">
        <v>2020</v>
      </c>
      <c r="O9" s="181">
        <v>2021</v>
      </c>
      <c r="P9" s="181">
        <v>2022</v>
      </c>
      <c r="Q9" s="183">
        <v>2023</v>
      </c>
      <c r="R9" s="181">
        <v>2024</v>
      </c>
      <c r="S9" s="181">
        <v>2025</v>
      </c>
      <c r="T9" s="181">
        <v>2026</v>
      </c>
      <c r="U9" s="181">
        <v>2027</v>
      </c>
    </row>
    <row r="10" spans="1:27" ht="15">
      <c r="A10" s="46" t="s">
        <v>85</v>
      </c>
      <c r="B10" s="77">
        <f>'Inputs &amp; Calcs'!B16</f>
        <v>36.032919428444636</v>
      </c>
      <c r="C10" s="77">
        <f>'Inputs &amp; Calcs'!C16</f>
        <v>46.246708947276375</v>
      </c>
      <c r="D10" s="77">
        <f>'Inputs &amp; Calcs'!D16</f>
        <v>41.792515901510455</v>
      </c>
      <c r="E10" s="77">
        <f>'Inputs &amp; Calcs'!E16</f>
        <v>56.286987079318173</v>
      </c>
      <c r="F10" s="77">
        <f>'Inputs &amp; Calcs'!F16</f>
        <v>30.359361788288449</v>
      </c>
      <c r="G10" s="77">
        <f>'Inputs &amp; Calcs'!G16</f>
        <v>60.015460344698617</v>
      </c>
      <c r="H10" s="77">
        <f>'Inputs &amp; Calcs'!H16</f>
        <v>36.050036926902493</v>
      </c>
      <c r="I10" s="77">
        <f>'Inputs &amp; Calcs'!I16</f>
        <v>46.002833232537327</v>
      </c>
      <c r="J10" s="77">
        <f>'Inputs &amp; Calcs'!J16</f>
        <v>48.12793088086179</v>
      </c>
      <c r="K10" s="77">
        <f>'Inputs &amp; Calcs'!K16</f>
        <v>45.850865264156134</v>
      </c>
      <c r="L10" s="78"/>
      <c r="M10" s="78"/>
      <c r="N10" s="78"/>
      <c r="O10" s="78"/>
      <c r="P10" s="78"/>
      <c r="Q10" s="78"/>
      <c r="R10" s="78"/>
      <c r="S10" s="78"/>
      <c r="T10" s="78"/>
      <c r="U10" s="78"/>
    </row>
    <row r="11" spans="1:27">
      <c r="A11" s="46" t="s">
        <v>86</v>
      </c>
      <c r="B11" s="47"/>
      <c r="C11" s="47"/>
      <c r="D11" s="47"/>
      <c r="E11" s="47"/>
      <c r="F11" s="47"/>
      <c r="G11" s="47"/>
      <c r="H11" s="47"/>
      <c r="I11" s="47"/>
      <c r="J11" s="47"/>
      <c r="K11" s="47"/>
      <c r="L11" s="47">
        <f>$B$6/(1-'Inputs &amp; Calcs'!C125)*(1-'Inputs &amp; Calcs'!C125*(1-'Inputs &amp; Calcs'!C126))</f>
        <v>44.111124634657735</v>
      </c>
      <c r="M11" s="47">
        <f>$B$6/(1-'Inputs &amp; Calcs'!D125)*(1-'Inputs &amp; Calcs'!D125*(1-'Inputs &amp; Calcs'!D126))</f>
        <v>45.091371848761234</v>
      </c>
      <c r="N11" s="47">
        <f>$B$6/(1-'Inputs &amp; Calcs'!E125)*(1-'Inputs &amp; Calcs'!E125*(1-'Inputs &amp; Calcs'!E126))</f>
        <v>45.091371848761234</v>
      </c>
      <c r="O11" s="47">
        <f>$B$6/(1-'Inputs &amp; Calcs'!F125)*(1-'Inputs &amp; Calcs'!F125*(1-'Inputs &amp; Calcs'!F126))</f>
        <v>45.091371848761234</v>
      </c>
      <c r="P11" s="47">
        <f>$B$6/(1-'Inputs &amp; Calcs'!G125)*(1-'Inputs &amp; Calcs'!G125*(1-'Inputs &amp; Calcs'!G126))</f>
        <v>45.091371848761234</v>
      </c>
      <c r="Q11" s="47">
        <f>$B$6/(1-'Inputs &amp; Calcs'!H125)*(1-'Inputs &amp; Calcs'!H125*(1-'Inputs &amp; Calcs'!H126))</f>
        <v>45.091371848761234</v>
      </c>
      <c r="R11" s="47">
        <f>$B$6/(1-'Inputs &amp; Calcs'!I125)*(1-'Inputs &amp; Calcs'!I125*(1-'Inputs &amp; Calcs'!I126))</f>
        <v>45.091371848761234</v>
      </c>
      <c r="S11" s="47">
        <f>$B$6/(1-'Inputs &amp; Calcs'!J125)*(1-'Inputs &amp; Calcs'!J125*(1-'Inputs &amp; Calcs'!J126))</f>
        <v>45.091371848761234</v>
      </c>
      <c r="T11" s="47">
        <f>$B$6/(1-'Inputs &amp; Calcs'!K125)*(1-'Inputs &amp; Calcs'!K125*(1-'Inputs &amp; Calcs'!K126))</f>
        <v>45.091371848761234</v>
      </c>
      <c r="U11" s="47">
        <f>$B$6/(1-'Inputs &amp; Calcs'!L125)*(1-'Inputs &amp; Calcs'!L125*(1-'Inputs &amp; Calcs'!L126))</f>
        <v>45.091371848761234</v>
      </c>
    </row>
    <row r="12" spans="1:27" ht="15">
      <c r="A12" s="67" t="s">
        <v>92</v>
      </c>
      <c r="B12" s="74">
        <f>SUM(B10:B11)</f>
        <v>36.032919428444636</v>
      </c>
      <c r="C12" s="74">
        <f>SUM(C10:C11)</f>
        <v>46.246708947276375</v>
      </c>
      <c r="D12" s="74">
        <f>SUM(D10:D11)</f>
        <v>41.792515901510455</v>
      </c>
      <c r="E12" s="74">
        <f t="shared" ref="E12:Q12" si="0">SUM(E10:E11)</f>
        <v>56.286987079318173</v>
      </c>
      <c r="F12" s="74">
        <f t="shared" si="0"/>
        <v>30.359361788288449</v>
      </c>
      <c r="G12" s="74">
        <f t="shared" si="0"/>
        <v>60.015460344698617</v>
      </c>
      <c r="H12" s="74">
        <f t="shared" si="0"/>
        <v>36.050036926902493</v>
      </c>
      <c r="I12" s="74">
        <f t="shared" si="0"/>
        <v>46.002833232537327</v>
      </c>
      <c r="J12" s="74">
        <f t="shared" si="0"/>
        <v>48.12793088086179</v>
      </c>
      <c r="K12" s="74">
        <f t="shared" si="0"/>
        <v>45.850865264156134</v>
      </c>
      <c r="L12" s="74">
        <f t="shared" si="0"/>
        <v>44.111124634657735</v>
      </c>
      <c r="M12" s="74">
        <f t="shared" si="0"/>
        <v>45.091371848761234</v>
      </c>
      <c r="N12" s="74">
        <f t="shared" si="0"/>
        <v>45.091371848761234</v>
      </c>
      <c r="O12" s="74">
        <f t="shared" si="0"/>
        <v>45.091371848761234</v>
      </c>
      <c r="P12" s="74">
        <f t="shared" si="0"/>
        <v>45.091371848761234</v>
      </c>
      <c r="Q12" s="74">
        <f t="shared" si="0"/>
        <v>45.091371848761234</v>
      </c>
      <c r="R12" s="74">
        <f t="shared" ref="R12:U12" si="1">SUM(R10:R11)</f>
        <v>45.091371848761234</v>
      </c>
      <c r="S12" s="74">
        <f t="shared" si="1"/>
        <v>45.091371848761234</v>
      </c>
      <c r="T12" s="74">
        <f t="shared" si="1"/>
        <v>45.091371848761234</v>
      </c>
      <c r="U12" s="74">
        <f t="shared" si="1"/>
        <v>45.091371848761234</v>
      </c>
    </row>
    <row r="14" spans="1:27" ht="18">
      <c r="A14" s="61" t="s">
        <v>87</v>
      </c>
      <c r="K14" s="134"/>
      <c r="L14" s="134"/>
      <c r="M14" s="139"/>
      <c r="N14" s="140"/>
      <c r="O14" s="141" t="s">
        <v>212</v>
      </c>
      <c r="P14" s="140"/>
      <c r="Q14" s="142"/>
      <c r="R14"/>
      <c r="S14"/>
      <c r="T14"/>
      <c r="U14"/>
    </row>
    <row r="15" spans="1:27" ht="15">
      <c r="A15" s="86"/>
      <c r="B15" s="181">
        <v>2008</v>
      </c>
      <c r="C15" s="181">
        <v>2009</v>
      </c>
      <c r="D15" s="181">
        <v>2010</v>
      </c>
      <c r="E15" s="181">
        <v>2011</v>
      </c>
      <c r="F15" s="181">
        <v>2012</v>
      </c>
      <c r="G15" s="181">
        <v>2013</v>
      </c>
      <c r="H15" s="181">
        <v>2014</v>
      </c>
      <c r="I15" s="181">
        <v>2015</v>
      </c>
      <c r="J15" s="181">
        <v>2016</v>
      </c>
      <c r="K15" s="181">
        <v>2017</v>
      </c>
      <c r="L15" s="181">
        <v>2018</v>
      </c>
      <c r="M15" s="182">
        <v>2019</v>
      </c>
      <c r="N15" s="181">
        <v>2020</v>
      </c>
      <c r="O15" s="181">
        <v>2021</v>
      </c>
      <c r="P15" s="181">
        <v>2022</v>
      </c>
      <c r="Q15" s="183">
        <v>2023</v>
      </c>
      <c r="R15" s="181">
        <v>2024</v>
      </c>
      <c r="S15" s="181">
        <v>2025</v>
      </c>
      <c r="T15" s="181">
        <v>2026</v>
      </c>
      <c r="U15" s="181">
        <v>2027</v>
      </c>
    </row>
    <row r="16" spans="1:27" ht="15">
      <c r="A16" s="46" t="s">
        <v>85</v>
      </c>
      <c r="B16" s="80">
        <f>'Inputs &amp; Calcs'!B17</f>
        <v>0.19449670516271569</v>
      </c>
      <c r="C16" s="80">
        <f>'Inputs &amp; Calcs'!C17</f>
        <v>0.20717498768140127</v>
      </c>
      <c r="D16" s="80">
        <f>'Inputs &amp; Calcs'!D17</f>
        <v>0.21173749248835672</v>
      </c>
      <c r="E16" s="80">
        <f>'Inputs &amp; Calcs'!E17</f>
        <v>0.26838637134565374</v>
      </c>
      <c r="F16" s="80">
        <f>'Inputs &amp; Calcs'!F17</f>
        <v>0.13646491888732987</v>
      </c>
      <c r="G16" s="80">
        <f>'Inputs &amp; Calcs'!G17</f>
        <v>0.22566907332335912</v>
      </c>
      <c r="H16" s="80">
        <f>'Inputs &amp; Calcs'!H17</f>
        <v>0.15024392347209065</v>
      </c>
      <c r="I16" s="80">
        <f>'Inputs &amp; Calcs'!I17</f>
        <v>0.1957671796062237</v>
      </c>
      <c r="J16" s="80">
        <f>'Inputs &amp; Calcs'!J17</f>
        <v>0.23091553426828032</v>
      </c>
      <c r="K16" s="80">
        <f>'Inputs &amp; Calcs'!K17</f>
        <v>0.22747024032342589</v>
      </c>
      <c r="L16" s="75"/>
      <c r="M16" s="75"/>
      <c r="N16" s="75"/>
      <c r="O16" s="75"/>
      <c r="P16" s="75"/>
      <c r="Q16" s="75"/>
      <c r="R16" s="75"/>
      <c r="S16" s="75"/>
      <c r="T16" s="75"/>
      <c r="U16" s="75"/>
    </row>
    <row r="17" spans="1:30">
      <c r="A17" s="46" t="s">
        <v>223</v>
      </c>
      <c r="B17" s="75"/>
      <c r="C17" s="75"/>
      <c r="D17" s="75"/>
      <c r="E17" s="75"/>
      <c r="F17" s="75"/>
      <c r="G17" s="75"/>
      <c r="H17" s="75"/>
      <c r="I17" s="75"/>
      <c r="J17" s="75"/>
      <c r="K17" s="75"/>
      <c r="L17" s="75">
        <f>$C$6/(1-'Inputs &amp; Calcs'!C125)*(1-'Inputs &amp; Calcs'!C125*(1-'Inputs &amp; Calcs'!C126))</f>
        <v>0.18781212591145674</v>
      </c>
      <c r="M17" s="75">
        <f>$C$6/(1-'Inputs &amp; Calcs'!D125)*(1-'Inputs &amp; Calcs'!D125*(1-'Inputs &amp; Calcs'!D126))</f>
        <v>0.1919857287094891</v>
      </c>
      <c r="N17" s="75">
        <f>$C$6/(1-'Inputs &amp; Calcs'!E125)*(1-'Inputs &amp; Calcs'!E125*(1-'Inputs &amp; Calcs'!E126))</f>
        <v>0.1919857287094891</v>
      </c>
      <c r="O17" s="75">
        <f>$C$6/(1-'Inputs &amp; Calcs'!F125)*(1-'Inputs &amp; Calcs'!F125*(1-'Inputs &amp; Calcs'!F126))</f>
        <v>0.1919857287094891</v>
      </c>
      <c r="P17" s="75">
        <f>$C$6/(1-'Inputs &amp; Calcs'!G125)*(1-'Inputs &amp; Calcs'!G125*(1-'Inputs &amp; Calcs'!G126))</f>
        <v>0.1919857287094891</v>
      </c>
      <c r="Q17" s="75">
        <f>$C$6/(1-'Inputs &amp; Calcs'!H125)*(1-'Inputs &amp; Calcs'!H125*(1-'Inputs &amp; Calcs'!H126))</f>
        <v>0.1919857287094891</v>
      </c>
      <c r="R17" s="75">
        <f>$C$6/(1-'Inputs &amp; Calcs'!I125)*(1-'Inputs &amp; Calcs'!I125*(1-'Inputs &amp; Calcs'!I126))</f>
        <v>0.1919857287094891</v>
      </c>
      <c r="S17" s="75">
        <f>$C$6/(1-'Inputs &amp; Calcs'!J125)*(1-'Inputs &amp; Calcs'!J125*(1-'Inputs &amp; Calcs'!J126))</f>
        <v>0.1919857287094891</v>
      </c>
      <c r="T17" s="75">
        <f>$C$6/(1-'Inputs &amp; Calcs'!K125)*(1-'Inputs &amp; Calcs'!K125*(1-'Inputs &amp; Calcs'!K126))</f>
        <v>0.1919857287094891</v>
      </c>
      <c r="U17" s="75">
        <f>$C$6/(1-'Inputs &amp; Calcs'!L125)*(1-'Inputs &amp; Calcs'!L125*(1-'Inputs &amp; Calcs'!L126))</f>
        <v>0.1919857287094891</v>
      </c>
    </row>
    <row r="18" spans="1:30" ht="15">
      <c r="A18" s="67" t="s">
        <v>92</v>
      </c>
      <c r="B18" s="73">
        <f>SUM(B16:B17)</f>
        <v>0.19449670516271569</v>
      </c>
      <c r="C18" s="73">
        <f>SUM(C16:C17)</f>
        <v>0.20717498768140127</v>
      </c>
      <c r="D18" s="73">
        <f>SUM(D16:D17)</f>
        <v>0.21173749248835672</v>
      </c>
      <c r="E18" s="73">
        <f t="shared" ref="E18:Q18" si="2">SUM(E16:E17)</f>
        <v>0.26838637134565374</v>
      </c>
      <c r="F18" s="73">
        <f t="shared" si="2"/>
        <v>0.13646491888732987</v>
      </c>
      <c r="G18" s="73">
        <f t="shared" si="2"/>
        <v>0.22566907332335912</v>
      </c>
      <c r="H18" s="73">
        <f t="shared" si="2"/>
        <v>0.15024392347209065</v>
      </c>
      <c r="I18" s="73">
        <f t="shared" si="2"/>
        <v>0.1957671796062237</v>
      </c>
      <c r="J18" s="73">
        <f t="shared" si="2"/>
        <v>0.23091553426828032</v>
      </c>
      <c r="K18" s="73">
        <f t="shared" si="2"/>
        <v>0.22747024032342589</v>
      </c>
      <c r="L18" s="73">
        <f t="shared" si="2"/>
        <v>0.18781212591145674</v>
      </c>
      <c r="M18" s="73">
        <f t="shared" si="2"/>
        <v>0.1919857287094891</v>
      </c>
      <c r="N18" s="73">
        <f t="shared" si="2"/>
        <v>0.1919857287094891</v>
      </c>
      <c r="O18" s="73">
        <f t="shared" si="2"/>
        <v>0.1919857287094891</v>
      </c>
      <c r="P18" s="73">
        <f t="shared" si="2"/>
        <v>0.1919857287094891</v>
      </c>
      <c r="Q18" s="73">
        <f t="shared" si="2"/>
        <v>0.1919857287094891</v>
      </c>
      <c r="R18" s="73">
        <f t="shared" ref="R18:U18" si="3">SUM(R16:R17)</f>
        <v>0.1919857287094891</v>
      </c>
      <c r="S18" s="73">
        <f t="shared" si="3"/>
        <v>0.1919857287094891</v>
      </c>
      <c r="T18" s="73">
        <f t="shared" si="3"/>
        <v>0.1919857287094891</v>
      </c>
      <c r="U18" s="73">
        <f t="shared" si="3"/>
        <v>0.1919857287094891</v>
      </c>
    </row>
    <row r="19" spans="1:30" ht="15">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row>
    <row r="20" spans="1:30" ht="15">
      <c r="A20" s="76"/>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row>
    <row r="21" spans="1:30" ht="18">
      <c r="A21" s="63" t="s">
        <v>103</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76"/>
      <c r="AC21" s="76"/>
      <c r="AD21" s="76"/>
    </row>
    <row r="22" spans="1:30" ht="15">
      <c r="A22" s="76"/>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row>
    <row r="23" spans="1:30" ht="18">
      <c r="A23" s="61" t="s">
        <v>116</v>
      </c>
    </row>
    <row r="24" spans="1:30" ht="18">
      <c r="A24" s="61"/>
    </row>
    <row r="25" spans="1:30" ht="15">
      <c r="D25" s="134"/>
      <c r="E25" s="134"/>
      <c r="F25" s="139"/>
      <c r="G25" s="140"/>
      <c r="H25" s="141" t="s">
        <v>212</v>
      </c>
      <c r="I25" s="140"/>
      <c r="J25" s="142"/>
      <c r="K25" s="134"/>
      <c r="L25" s="134"/>
      <c r="M25" s="134"/>
      <c r="N25" s="134"/>
    </row>
    <row r="26" spans="1:30" ht="15">
      <c r="A26" s="143" t="s">
        <v>70</v>
      </c>
      <c r="B26" s="143" t="s">
        <v>119</v>
      </c>
      <c r="C26" s="143" t="s">
        <v>121</v>
      </c>
      <c r="D26" s="181">
        <v>2017</v>
      </c>
      <c r="E26" s="181">
        <v>2018</v>
      </c>
      <c r="F26" s="182">
        <v>2019</v>
      </c>
      <c r="G26" s="181">
        <v>2020</v>
      </c>
      <c r="H26" s="181">
        <v>2021</v>
      </c>
      <c r="I26" s="181">
        <v>2022</v>
      </c>
      <c r="J26" s="183">
        <v>2023</v>
      </c>
      <c r="K26" s="181">
        <v>2024</v>
      </c>
      <c r="L26" s="183">
        <v>2025</v>
      </c>
      <c r="M26" s="181">
        <v>2026</v>
      </c>
      <c r="N26" s="183">
        <v>2027</v>
      </c>
    </row>
    <row r="27" spans="1:30">
      <c r="A27" s="88" t="str">
        <f>'Inputs &amp; Calcs'!A39</f>
        <v>Overhead Structures</v>
      </c>
      <c r="B27" s="88" t="str">
        <f>'Inputs &amp; Calcs'!B39</f>
        <v>Poles</v>
      </c>
      <c r="C27" s="88" t="str">
        <f>'Inputs &amp; Calcs'!C39</f>
        <v>Low Voltage</v>
      </c>
      <c r="D27" s="118">
        <f>('Work quantities to SAIDI SAIFI'!D60*'Work quantities to SAIDI SAIFI'!D10)*'Inputs &amp; Calcs'!$B$27</f>
        <v>-0.1361172126984127</v>
      </c>
      <c r="E27" s="118">
        <f>('Work quantities to SAIDI SAIFI'!E60*'Work quantities to SAIDI SAIFI'!E10)*'Inputs &amp; Calcs'!$B$27</f>
        <v>-0.13583790069841267</v>
      </c>
      <c r="F27" s="118">
        <f>('Work quantities to SAIDI SAIFI'!F60*'Work quantities to SAIDI SAIFI'!F10)*'Inputs &amp; Calcs'!$B$27</f>
        <v>-9.1315567898412719E-2</v>
      </c>
      <c r="G27" s="118">
        <f>('Work quantities to SAIDI SAIFI'!G60*'Work quantities to SAIDI SAIFI'!G10)*'Inputs &amp; Calcs'!$B$27</f>
        <v>-3.657041589841277E-2</v>
      </c>
      <c r="H27" s="118">
        <f>('Work quantities to SAIDI SAIFI'!H60*'Work quantities to SAIDI SAIFI'!H10)*'Inputs &amp; Calcs'!$B$27</f>
        <v>2.0261277847203656E-2</v>
      </c>
      <c r="I27" s="118">
        <f>('Work quantities to SAIDI SAIFI'!I60*'Work quantities to SAIDI SAIFI'!I10)*'Inputs &amp; Calcs'!$B$27</f>
        <v>1.2534967432477666E-2</v>
      </c>
      <c r="J27" s="118">
        <f>('Work quantities to SAIDI SAIFI'!J60*'Work quantities to SAIDI SAIFI'!J10)*'Inputs &amp; Calcs'!$B$27</f>
        <v>-1.1017419088671524E-2</v>
      </c>
      <c r="K27" s="118">
        <f>('Work quantities to SAIDI SAIFI'!K60*'Work quantities to SAIDI SAIFI'!K10)*'Inputs &amp; Calcs'!$B$27</f>
        <v>-4.7668742755690927E-2</v>
      </c>
      <c r="L27" s="118">
        <f>('Work quantities to SAIDI SAIFI'!L60*'Work quantities to SAIDI SAIFI'!L10)*'Inputs &amp; Calcs'!$B$27</f>
        <v>-9.1867012909320936E-2</v>
      </c>
      <c r="M27" s="118">
        <f>('Work quantities to SAIDI SAIFI'!M60*'Work quantities to SAIDI SAIFI'!M10)*'Inputs &amp; Calcs'!$B$27</f>
        <v>-9.3385589580357017E-2</v>
      </c>
      <c r="N27" s="118">
        <f>('Work quantities to SAIDI SAIFI'!N60*'Work quantities to SAIDI SAIFI'!N10)*'Inputs &amp; Calcs'!$B$27</f>
        <v>-9.4617116453887373E-2</v>
      </c>
    </row>
    <row r="28" spans="1:30">
      <c r="A28" s="88" t="str">
        <f>'Inputs &amp; Calcs'!A40</f>
        <v>Overhead Structures</v>
      </c>
      <c r="B28" s="88" t="str">
        <f>'Inputs &amp; Calcs'!B40</f>
        <v>Poles</v>
      </c>
      <c r="C28" s="88" t="str">
        <f>'Inputs &amp; Calcs'!C40</f>
        <v>Distribution</v>
      </c>
      <c r="D28" s="118">
        <f>('Work quantities to SAIDI SAIFI'!D61*'Work quantities to SAIDI SAIFI'!D11)*'Inputs &amp; Calcs'!$B$27</f>
        <v>2.7698234593988116</v>
      </c>
      <c r="E28" s="118">
        <f>('Work quantities to SAIDI SAIFI'!E61*'Work quantities to SAIDI SAIFI'!E11)*'Inputs &amp; Calcs'!$B$27</f>
        <v>3.4343866774076113</v>
      </c>
      <c r="F28" s="118">
        <f>('Work quantities to SAIDI SAIFI'!F61*'Work quantities to SAIDI SAIFI'!F11)*'Inputs &amp; Calcs'!$B$27</f>
        <v>6.754260924287613</v>
      </c>
      <c r="G28" s="118">
        <f>('Work quantities to SAIDI SAIFI'!G61*'Work quantities to SAIDI SAIFI'!G11)*'Inputs &amp; Calcs'!$B$27</f>
        <v>9.7429197273828123</v>
      </c>
      <c r="H28" s="118">
        <f>('Work quantities to SAIDI SAIFI'!H61*'Work quantities to SAIDI SAIFI'!H11)*'Inputs &amp; Calcs'!$B$27</f>
        <v>10.577325852002792</v>
      </c>
      <c r="I28" s="118">
        <f>('Work quantities to SAIDI SAIFI'!I61*'Work quantities to SAIDI SAIFI'!I11)*'Inputs &amp; Calcs'!$B$27</f>
        <v>12.128517683784109</v>
      </c>
      <c r="J28" s="118">
        <f>('Work quantities to SAIDI SAIFI'!J61*'Work quantities to SAIDI SAIFI'!J11)*'Inputs &amp; Calcs'!$B$27</f>
        <v>12.516627009226154</v>
      </c>
      <c r="K28" s="118">
        <f>('Work quantities to SAIDI SAIFI'!K61*'Work quantities to SAIDI SAIFI'!K11)*'Inputs &amp; Calcs'!$B$27</f>
        <v>12.108503273035884</v>
      </c>
      <c r="L28" s="118">
        <f>('Work quantities to SAIDI SAIFI'!L61*'Work quantities to SAIDI SAIFI'!L11)*'Inputs &amp; Calcs'!$B$27</f>
        <v>10.829871744410109</v>
      </c>
      <c r="M28" s="118">
        <f>('Work quantities to SAIDI SAIFI'!M61*'Work quantities to SAIDI SAIFI'!M11)*'Inputs &amp; Calcs'!$B$27</f>
        <v>10.752112476726229</v>
      </c>
      <c r="N28" s="118">
        <f>('Work quantities to SAIDI SAIFI'!N61*'Work quantities to SAIDI SAIFI'!N11)*'Inputs &amp; Calcs'!$B$27</f>
        <v>10.713925772959973</v>
      </c>
    </row>
    <row r="29" spans="1:30">
      <c r="A29" s="88" t="str">
        <f>'Inputs &amp; Calcs'!A41</f>
        <v>Overhead Structures</v>
      </c>
      <c r="B29" s="88" t="str">
        <f>'Inputs &amp; Calcs'!B41</f>
        <v>Poles</v>
      </c>
      <c r="C29" s="88" t="str">
        <f>'Inputs &amp; Calcs'!C41</f>
        <v>Subtransmission</v>
      </c>
      <c r="D29" s="118">
        <f>('Work quantities to SAIDI SAIFI'!D62*'Work quantities to SAIDI SAIFI'!D12)*'Inputs &amp; Calcs'!$B$27</f>
        <v>0.18536488368980228</v>
      </c>
      <c r="E29" s="118">
        <f>('Work quantities to SAIDI SAIFI'!E62*'Work quantities to SAIDI SAIFI'!E12)*'Inputs &amp; Calcs'!$B$27</f>
        <v>-0.60170913662253867</v>
      </c>
      <c r="F29" s="118">
        <f>('Work quantities to SAIDI SAIFI'!F62*'Work quantities to SAIDI SAIFI'!F12)*'Inputs &amp; Calcs'!$B$27</f>
        <v>-0.30619869830894803</v>
      </c>
      <c r="G29" s="118">
        <f>('Work quantities to SAIDI SAIFI'!G62*'Work quantities to SAIDI SAIFI'!G12)*'Inputs &amp; Calcs'!$B$27</f>
        <v>-7.4032181815077786E-2</v>
      </c>
      <c r="H29" s="118">
        <f>('Work quantities to SAIDI SAIFI'!H62*'Work quantities to SAIDI SAIFI'!H12)*'Inputs &amp; Calcs'!$B$27</f>
        <v>2.2671489956948513E-2</v>
      </c>
      <c r="I29" s="118">
        <f>('Work quantities to SAIDI SAIFI'!I62*'Work quantities to SAIDI SAIFI'!I12)*'Inputs &amp; Calcs'!$B$27</f>
        <v>-4.1392225946700362E-2</v>
      </c>
      <c r="J29" s="118">
        <f>('Work quantities to SAIDI SAIFI'!J62*'Work quantities to SAIDI SAIFI'!J12)*'Inputs &amp; Calcs'!$B$27</f>
        <v>-9.0767033075761533E-2</v>
      </c>
      <c r="K29" s="118">
        <f>('Work quantities to SAIDI SAIFI'!K62*'Work quantities to SAIDI SAIFI'!K12)*'Inputs &amp; Calcs'!$B$27</f>
        <v>-0.27193109780710928</v>
      </c>
      <c r="L29" s="118">
        <f>('Work quantities to SAIDI SAIFI'!L62*'Work quantities to SAIDI SAIFI'!L12)*'Inputs &amp; Calcs'!$B$27</f>
        <v>-0.48687534556897294</v>
      </c>
      <c r="M29" s="118">
        <f>('Work quantities to SAIDI SAIFI'!M62*'Work quantities to SAIDI SAIFI'!M12)*'Inputs &amp; Calcs'!$B$27</f>
        <v>-0.48287535938136006</v>
      </c>
      <c r="N29" s="118">
        <f>('Work quantities to SAIDI SAIFI'!N62*'Work quantities to SAIDI SAIFI'!N12)*'Inputs &amp; Calcs'!$B$27</f>
        <v>-0.47884923338845131</v>
      </c>
    </row>
    <row r="30" spans="1:30">
      <c r="A30" s="88" t="str">
        <f>'Inputs &amp; Calcs'!A42</f>
        <v>Overhead Structures</v>
      </c>
      <c r="B30" s="88" t="str">
        <f>'Inputs &amp; Calcs'!B42</f>
        <v>Crossarms</v>
      </c>
      <c r="C30" s="88" t="str">
        <f>'Inputs &amp; Calcs'!C42</f>
        <v>Low Voltage</v>
      </c>
      <c r="D30" s="118">
        <f>('Work quantities to SAIDI SAIFI'!D63*'Work quantities to SAIDI SAIFI'!D13)*'Inputs &amp; Calcs'!$B$27</f>
        <v>1.1989323538198035E-3</v>
      </c>
      <c r="E30" s="118">
        <f>('Work quantities to SAIDI SAIFI'!E63*'Work quantities to SAIDI SAIFI'!E13)*'Inputs &amp; Calcs'!$B$27</f>
        <v>1.2640757138198018E-3</v>
      </c>
      <c r="F30" s="118">
        <f>('Work quantities to SAIDI SAIFI'!F63*'Work quantities to SAIDI SAIFI'!F13)*'Inputs &amp; Calcs'!$B$27</f>
        <v>1.3166873793819811E-2</v>
      </c>
      <c r="G30" s="118">
        <f>('Work quantities to SAIDI SAIFI'!G63*'Work quantities to SAIDI SAIFI'!G13)*'Inputs &amp; Calcs'!$B$27</f>
        <v>1.5397726593819815E-2</v>
      </c>
      <c r="H30" s="118">
        <f>('Work quantities to SAIDI SAIFI'!H63*'Work quantities to SAIDI SAIFI'!H13)*'Inputs &amp; Calcs'!$B$27</f>
        <v>2.9111043402961192E-2</v>
      </c>
      <c r="I30" s="118">
        <f>('Work quantities to SAIDI SAIFI'!I63*'Work quantities to SAIDI SAIFI'!I13)*'Inputs &amp; Calcs'!$B$27</f>
        <v>3.1608288877146222E-2</v>
      </c>
      <c r="J30" s="118">
        <f>('Work quantities to SAIDI SAIFI'!J63*'Work quantities to SAIDI SAIFI'!J13)*'Inputs &amp; Calcs'!$B$27</f>
        <v>3.5564304073955215E-2</v>
      </c>
      <c r="K30" s="118">
        <f>('Work quantities to SAIDI SAIFI'!K63*'Work quantities to SAIDI SAIFI'!K13)*'Inputs &amp; Calcs'!$B$27</f>
        <v>2.8052169793293207E-2</v>
      </c>
      <c r="L30" s="118">
        <f>('Work quantities to SAIDI SAIFI'!L63*'Work quantities to SAIDI SAIFI'!L13)*'Inputs &amp; Calcs'!$B$27</f>
        <v>1.9295794684401655E-2</v>
      </c>
      <c r="M30" s="118">
        <f>('Work quantities to SAIDI SAIFI'!M63*'Work quantities to SAIDI SAIFI'!M13)*'Inputs &amp; Calcs'!$B$27</f>
        <v>2.0498477721447025E-2</v>
      </c>
      <c r="N30" s="118">
        <f>('Work quantities to SAIDI SAIFI'!N63*'Work quantities to SAIDI SAIFI'!N13)*'Inputs &amp; Calcs'!$B$27</f>
        <v>2.1653532436387742E-2</v>
      </c>
    </row>
    <row r="31" spans="1:30" ht="15">
      <c r="A31" s="88" t="str">
        <f>'Inputs &amp; Calcs'!A43</f>
        <v>Overhead Structures</v>
      </c>
      <c r="B31" s="88" t="str">
        <f>'Inputs &amp; Calcs'!B43</f>
        <v>Crossarms</v>
      </c>
      <c r="C31" s="88" t="str">
        <f>'Inputs &amp; Calcs'!C43</f>
        <v>Distribution</v>
      </c>
      <c r="D31" s="118">
        <f>('Work quantities to SAIDI SAIFI'!D64*'Work quantities to SAIDI SAIFI'!D14)*'Inputs &amp; Calcs'!$B$27</f>
        <v>-0.37940975100007501</v>
      </c>
      <c r="E31" s="118">
        <f>('Work quantities to SAIDI SAIFI'!E64*'Work quantities to SAIDI SAIFI'!E14)*'Inputs &amp; Calcs'!$B$27</f>
        <v>-0.21236241190634522</v>
      </c>
      <c r="F31" s="118">
        <f>('Work quantities to SAIDI SAIFI'!F64*'Work quantities to SAIDI SAIFI'!F14)*'Inputs &amp; Calcs'!$B$27</f>
        <v>2.992768127402611</v>
      </c>
      <c r="G31" s="118">
        <f>('Work quantities to SAIDI SAIFI'!G64*'Work quantities to SAIDI SAIFI'!G14)*'Inputs &amp; Calcs'!$B$27</f>
        <v>3.7441594602717987</v>
      </c>
      <c r="H31" s="118">
        <f>('Work quantities to SAIDI SAIFI'!H64*'Work quantities to SAIDI SAIFI'!H14)*'Inputs &amp; Calcs'!$B$27</f>
        <v>5.6903379972746464</v>
      </c>
      <c r="I31" s="118">
        <f>('Work quantities to SAIDI SAIFI'!I64*'Work quantities to SAIDI SAIFI'!I14)*'Inputs &amp; Calcs'!$B$27</f>
        <v>6.8176884593710696</v>
      </c>
      <c r="J31" s="118">
        <f>('Work quantities to SAIDI SAIFI'!J64*'Work quantities to SAIDI SAIFI'!J14)*'Inputs &amp; Calcs'!$B$27</f>
        <v>8.1428711928838524</v>
      </c>
      <c r="K31" s="118">
        <f>('Work quantities to SAIDI SAIFI'!K64*'Work quantities to SAIDI SAIFI'!K14)*'Inputs &amp; Calcs'!$B$27</f>
        <v>6.9462716876604436</v>
      </c>
      <c r="L31" s="118">
        <f>('Work quantities to SAIDI SAIFI'!L64*'Work quantities to SAIDI SAIFI'!L14)*'Inputs &amp; Calcs'!$B$27</f>
        <v>5.2456786755219023</v>
      </c>
      <c r="M31" s="118">
        <f>('Work quantities to SAIDI SAIFI'!M64*'Work quantities to SAIDI SAIFI'!M14)*'Inputs &amp; Calcs'!$B$27</f>
        <v>5.4360101670685363</v>
      </c>
      <c r="N31" s="118">
        <f>('Work quantities to SAIDI SAIFI'!N64*'Work quantities to SAIDI SAIFI'!N14)*'Inputs &amp; Calcs'!$B$27</f>
        <v>5.6165076733391368</v>
      </c>
      <c r="O31" s="76"/>
      <c r="P31" s="76"/>
      <c r="Q31" s="76"/>
      <c r="R31" s="76"/>
      <c r="S31" s="76"/>
      <c r="T31" s="76"/>
      <c r="U31" s="76"/>
      <c r="V31" s="76"/>
      <c r="W31" s="76"/>
      <c r="X31" s="76"/>
      <c r="Y31" s="76"/>
      <c r="Z31" s="76"/>
      <c r="AA31" s="76"/>
    </row>
    <row r="32" spans="1:30" ht="15">
      <c r="A32" s="88" t="str">
        <f>'Inputs &amp; Calcs'!A44</f>
        <v>Overhead Structures</v>
      </c>
      <c r="B32" s="88" t="str">
        <f>'Inputs &amp; Calcs'!B44</f>
        <v>Crossarms</v>
      </c>
      <c r="C32" s="88" t="str">
        <f>'Inputs &amp; Calcs'!C44</f>
        <v>Subtransmission</v>
      </c>
      <c r="D32" s="118">
        <f>('Work quantities to SAIDI SAIFI'!D65*'Work quantities to SAIDI SAIFI'!D15)*'Inputs &amp; Calcs'!$B$27</f>
        <v>0.12782907734207483</v>
      </c>
      <c r="E32" s="118">
        <f>('Work quantities to SAIDI SAIFI'!E65*'Work quantities to SAIDI SAIFI'!E15)*'Inputs &amp; Calcs'!$B$27</f>
        <v>0.10204494575367094</v>
      </c>
      <c r="F32" s="118">
        <f>('Work quantities to SAIDI SAIFI'!F65*'Work quantities to SAIDI SAIFI'!F15)*'Inputs &amp; Calcs'!$B$27</f>
        <v>0.33607213023828902</v>
      </c>
      <c r="G32" s="118">
        <f>('Work quantities to SAIDI SAIFI'!G65*'Work quantities to SAIDI SAIFI'!G15)*'Inputs &amp; Calcs'!$B$27</f>
        <v>0.62757118129991629</v>
      </c>
      <c r="H32" s="118">
        <f>('Work quantities to SAIDI SAIFI'!H65*'Work quantities to SAIDI SAIFI'!H15)*'Inputs &amp; Calcs'!$B$27</f>
        <v>0.30971298821314458</v>
      </c>
      <c r="I32" s="118">
        <f>('Work quantities to SAIDI SAIFI'!I65*'Work quantities to SAIDI SAIFI'!I15)*'Inputs &amp; Calcs'!$B$27</f>
        <v>9.2371239785889708E-2</v>
      </c>
      <c r="J32" s="118">
        <f>('Work quantities to SAIDI SAIFI'!J65*'Work quantities to SAIDI SAIFI'!J15)*'Inputs &amp; Calcs'!$B$27</f>
        <v>-0.19801421340385494</v>
      </c>
      <c r="K32" s="118">
        <f>('Work quantities to SAIDI SAIFI'!K65*'Work quantities to SAIDI SAIFI'!K15)*'Inputs &amp; Calcs'!$B$27</f>
        <v>-0.31113377525358976</v>
      </c>
      <c r="L32" s="118">
        <f>('Work quantities to SAIDI SAIFI'!L65*'Work quantities to SAIDI SAIFI'!L15)*'Inputs &amp; Calcs'!$B$27</f>
        <v>-0.3133707426186067</v>
      </c>
      <c r="M32" s="118">
        <f>('Work quantities to SAIDI SAIFI'!M65*'Work quantities to SAIDI SAIFI'!M15)*'Inputs &amp; Calcs'!$B$27</f>
        <v>-0.31040028331890457</v>
      </c>
      <c r="N32" s="118">
        <f>('Work quantities to SAIDI SAIFI'!N65*'Work quantities to SAIDI SAIFI'!N15)*'Inputs &amp; Calcs'!$B$27</f>
        <v>-0.30742801218079813</v>
      </c>
      <c r="O32" s="76"/>
      <c r="P32" s="76"/>
      <c r="Q32" s="76"/>
      <c r="R32" s="76"/>
      <c r="S32" s="76"/>
      <c r="T32" s="76"/>
      <c r="U32" s="76"/>
      <c r="V32" s="76"/>
      <c r="W32" s="76"/>
      <c r="X32" s="76"/>
      <c r="Y32" s="76"/>
      <c r="Z32" s="76"/>
      <c r="AA32" s="76"/>
    </row>
    <row r="33" spans="1:27" ht="15">
      <c r="A33" s="88" t="str">
        <f>'Inputs &amp; Calcs'!A45</f>
        <v>Overhead Conductor</v>
      </c>
      <c r="B33" s="88" t="str">
        <f>'Inputs &amp; Calcs'!B45</f>
        <v>Conductor</v>
      </c>
      <c r="C33" s="88" t="str">
        <f>'Inputs &amp; Calcs'!C45</f>
        <v>Low Voltage</v>
      </c>
      <c r="D33" s="118">
        <f>('Work quantities to SAIDI SAIFI'!D66*'Work quantities to SAIDI SAIFI'!D16)*'Inputs &amp; Calcs'!$B$27</f>
        <v>1.4324006399999982E-3</v>
      </c>
      <c r="E33" s="118">
        <f>('Work quantities to SAIDI SAIFI'!E66*'Work quantities to SAIDI SAIFI'!E16)*'Inputs &amp; Calcs'!$B$27</f>
        <v>3.9833207040000044E-3</v>
      </c>
      <c r="F33" s="118">
        <f>('Work quantities to SAIDI SAIFI'!F66*'Work quantities to SAIDI SAIFI'!F16)*'Inputs &amp; Calcs'!$B$27</f>
        <v>2.9592609423818538E-2</v>
      </c>
      <c r="G33" s="118">
        <f>('Work quantities to SAIDI SAIFI'!G66*'Work quantities to SAIDI SAIFI'!G16)*'Inputs &amp; Calcs'!$B$27</f>
        <v>5.520189814363706E-2</v>
      </c>
      <c r="H33" s="118">
        <f>('Work quantities to SAIDI SAIFI'!H66*'Work quantities to SAIDI SAIFI'!H16)*'Inputs &amp; Calcs'!$B$27</f>
        <v>8.0811186863455564E-2</v>
      </c>
      <c r="I33" s="118">
        <f>('Work quantities to SAIDI SAIFI'!I66*'Work quantities to SAIDI SAIFI'!I16)*'Inputs &amp; Calcs'!$B$27</f>
        <v>0.10472401100069155</v>
      </c>
      <c r="J33" s="118">
        <f>('Work quantities to SAIDI SAIFI'!J66*'Work quantities to SAIDI SAIFI'!J16)*'Inputs &amp; Calcs'!$B$27</f>
        <v>0.12812710019551532</v>
      </c>
      <c r="K33" s="118">
        <f>('Work quantities to SAIDI SAIFI'!K66*'Work quantities to SAIDI SAIFI'!K16)*'Inputs &amp; Calcs'!$B$27</f>
        <v>0.14129582744852423</v>
      </c>
      <c r="L33" s="118">
        <f>('Work quantities to SAIDI SAIFI'!L66*'Work quantities to SAIDI SAIFI'!L16)*'Inputs &amp; Calcs'!$B$27</f>
        <v>0.1550768035837912</v>
      </c>
      <c r="M33" s="118">
        <f>('Work quantities to SAIDI SAIFI'!M66*'Work quantities to SAIDI SAIFI'!M16)*'Inputs &amp; Calcs'!$B$27</f>
        <v>0.16933212888512136</v>
      </c>
      <c r="N33" s="118">
        <f>('Work quantities to SAIDI SAIFI'!N66*'Work quantities to SAIDI SAIFI'!N16)*'Inputs &amp; Calcs'!$B$27</f>
        <v>0.1840020461039408</v>
      </c>
      <c r="O33" s="76"/>
      <c r="P33" s="76"/>
      <c r="Q33" s="76"/>
      <c r="R33" s="76"/>
      <c r="S33" s="76"/>
      <c r="T33" s="76"/>
      <c r="U33" s="76"/>
      <c r="V33" s="76"/>
      <c r="W33" s="76"/>
      <c r="X33" s="76"/>
      <c r="Y33" s="76"/>
      <c r="Z33" s="76"/>
      <c r="AA33" s="76"/>
    </row>
    <row r="34" spans="1:27" ht="15">
      <c r="A34" s="88" t="str">
        <f>'Inputs &amp; Calcs'!A46</f>
        <v>Overhead Conductor</v>
      </c>
      <c r="B34" s="88" t="str">
        <f>'Inputs &amp; Calcs'!B46</f>
        <v>Conductor</v>
      </c>
      <c r="C34" s="88" t="str">
        <f>'Inputs &amp; Calcs'!C46</f>
        <v>Distribution</v>
      </c>
      <c r="D34" s="118">
        <f>('Work quantities to SAIDI SAIFI'!D67*'Work quantities to SAIDI SAIFI'!D17)*'Inputs &amp; Calcs'!$B$27</f>
        <v>-6.8155489027561286E-2</v>
      </c>
      <c r="E34" s="118">
        <f>('Work quantities to SAIDI SAIFI'!E67*'Work quantities to SAIDI SAIFI'!E17)*'Inputs &amp; Calcs'!$B$27</f>
        <v>0.47121851776869161</v>
      </c>
      <c r="F34" s="118">
        <f>('Work quantities to SAIDI SAIFI'!F67*'Work quantities to SAIDI SAIFI'!F17)*'Inputs &amp; Calcs'!$B$27</f>
        <v>1.9661639736027057</v>
      </c>
      <c r="G34" s="118">
        <f>('Work quantities to SAIDI SAIFI'!G67*'Work quantities to SAIDI SAIFI'!G17)*'Inputs &amp; Calcs'!$B$27</f>
        <v>3.4447647625641067</v>
      </c>
      <c r="H34" s="118">
        <f>('Work quantities to SAIDI SAIFI'!H67*'Work quantities to SAIDI SAIFI'!H17)*'Inputs &amp; Calcs'!$B$27</f>
        <v>6.3719499951578538</v>
      </c>
      <c r="I34" s="118">
        <f>('Work quantities to SAIDI SAIFI'!I67*'Work quantities to SAIDI SAIFI'!I17)*'Inputs &amp; Calcs'!$B$27</f>
        <v>9.244807965138552</v>
      </c>
      <c r="J34" s="118">
        <f>('Work quantities to SAIDI SAIFI'!J67*'Work quantities to SAIDI SAIFI'!J17)*'Inputs &amp; Calcs'!$B$27</f>
        <v>10.751225330889463</v>
      </c>
      <c r="K34" s="118">
        <f>('Work quantities to SAIDI SAIFI'!K67*'Work quantities to SAIDI SAIFI'!K17)*'Inputs &amp; Calcs'!$B$27</f>
        <v>11.633262211306306</v>
      </c>
      <c r="L34" s="118">
        <f>('Work quantities to SAIDI SAIFI'!L67*'Work quantities to SAIDI SAIFI'!L17)*'Inputs &amp; Calcs'!$B$27</f>
        <v>11.766219284295268</v>
      </c>
      <c r="M34" s="118">
        <f>('Work quantities to SAIDI SAIFI'!M67*'Work quantities to SAIDI SAIFI'!M17)*'Inputs &amp; Calcs'!$B$27</f>
        <v>11.856281466127122</v>
      </c>
      <c r="N34" s="118">
        <f>('Work quantities to SAIDI SAIFI'!N67*'Work quantities to SAIDI SAIFI'!N17)*'Inputs &amp; Calcs'!$B$27</f>
        <v>11.89853549735659</v>
      </c>
      <c r="O34" s="76"/>
      <c r="P34" s="76"/>
      <c r="Q34" s="76"/>
      <c r="R34" s="76"/>
      <c r="S34" s="76"/>
      <c r="T34" s="76"/>
      <c r="U34" s="76"/>
      <c r="V34" s="76"/>
      <c r="W34" s="76"/>
      <c r="X34" s="76"/>
      <c r="Y34" s="76"/>
      <c r="Z34" s="76"/>
      <c r="AA34" s="76"/>
    </row>
    <row r="35" spans="1:27" ht="15">
      <c r="A35" s="88" t="str">
        <f>'Inputs &amp; Calcs'!A47</f>
        <v>Overhead Conductor</v>
      </c>
      <c r="B35" s="88" t="str">
        <f>'Inputs &amp; Calcs'!B47</f>
        <v>Conductor</v>
      </c>
      <c r="C35" s="88" t="str">
        <f>'Inputs &amp; Calcs'!C47</f>
        <v>Subtransmission</v>
      </c>
      <c r="D35" s="118">
        <f>('Work quantities to SAIDI SAIFI'!D68*'Work quantities to SAIDI SAIFI'!D18)*'Inputs &amp; Calcs'!$B$27</f>
        <v>5.5865157784991983E-5</v>
      </c>
      <c r="E35" s="118">
        <f>('Work quantities to SAIDI SAIFI'!E68*'Work quantities to SAIDI SAIFI'!E18)*'Inputs &amp; Calcs'!$B$27</f>
        <v>4.9136407861031995E-5</v>
      </c>
      <c r="F35" s="118">
        <f>('Work quantities to SAIDI SAIFI'!F68*'Work quantities to SAIDI SAIFI'!F18)*'Inputs &amp; Calcs'!$B$27</f>
        <v>4.4354795232695987E-5</v>
      </c>
      <c r="G35" s="118">
        <f>('Work quantities to SAIDI SAIFI'!G68*'Work quantities to SAIDI SAIFI'!G18)*'Inputs &amp; Calcs'!$B$27</f>
        <v>3.9908794356719987E-5</v>
      </c>
      <c r="H35" s="118">
        <f>('Work quantities to SAIDI SAIFI'!H68*'Work quantities to SAIDI SAIFI'!H18)*'Inputs &amp; Calcs'!$B$27</f>
        <v>4.3468271207743991E-5</v>
      </c>
      <c r="I35" s="118">
        <f>('Work quantities to SAIDI SAIFI'!I68*'Work quantities to SAIDI SAIFI'!I18)*'Inputs &amp; Calcs'!$B$27</f>
        <v>5.2683357205087988E-5</v>
      </c>
      <c r="J35" s="118">
        <f>('Work quantities to SAIDI SAIFI'!J68*'Work quantities to SAIDI SAIFI'!J18)*'Inputs &amp; Calcs'!$B$27</f>
        <v>5.2605437678863992E-5</v>
      </c>
      <c r="K35" s="118">
        <f>('Work quantities to SAIDI SAIFI'!K68*'Work quantities to SAIDI SAIFI'!K18)*'Inputs &amp; Calcs'!$B$27</f>
        <v>5.2617725999999994E-5</v>
      </c>
      <c r="L35" s="118">
        <f>('Work quantities to SAIDI SAIFI'!L68*'Work quantities to SAIDI SAIFI'!L18)*'Inputs &amp; Calcs'!$B$27</f>
        <v>5.2617725999999994E-5</v>
      </c>
      <c r="M35" s="118">
        <f>('Work quantities to SAIDI SAIFI'!M68*'Work quantities to SAIDI SAIFI'!M18)*'Inputs &amp; Calcs'!$B$27</f>
        <v>5.2617725999999994E-5</v>
      </c>
      <c r="N35" s="118">
        <f>('Work quantities to SAIDI SAIFI'!N68*'Work quantities to SAIDI SAIFI'!N18)*'Inputs &amp; Calcs'!$B$27</f>
        <v>5.2617725999999994E-5</v>
      </c>
      <c r="O35" s="76"/>
      <c r="P35" s="76"/>
      <c r="Q35" s="76"/>
      <c r="R35" s="76"/>
      <c r="S35" s="76"/>
      <c r="T35" s="76"/>
      <c r="U35" s="76"/>
      <c r="V35" s="76"/>
      <c r="W35" s="76"/>
      <c r="X35" s="76"/>
      <c r="Y35" s="76"/>
      <c r="Z35" s="76"/>
      <c r="AA35" s="76"/>
    </row>
    <row r="36" spans="1:27" ht="15">
      <c r="A36" s="88" t="str">
        <f>'Inputs &amp; Calcs'!A48</f>
        <v>Distribution Transformers</v>
      </c>
      <c r="B36" s="88" t="str">
        <f>'Inputs &amp; Calcs'!B48</f>
        <v>Pole Mounted Transformers</v>
      </c>
      <c r="C36" s="88" t="str">
        <f>'Inputs &amp; Calcs'!C48</f>
        <v>Pole Mounted Transformers</v>
      </c>
      <c r="D36" s="118">
        <f>('Work quantities to SAIDI SAIFI'!D69*'Work quantities to SAIDI SAIFI'!D19)*'Inputs &amp; Calcs'!$B$27</f>
        <v>-0.24269615173127376</v>
      </c>
      <c r="E36" s="118">
        <f>('Work quantities to SAIDI SAIFI'!E69*'Work quantities to SAIDI SAIFI'!E19)*'Inputs &amp; Calcs'!$B$27</f>
        <v>-0.27050872401498893</v>
      </c>
      <c r="F36" s="118">
        <f>('Work quantities to SAIDI SAIFI'!F69*'Work quantities to SAIDI SAIFI'!F19)*'Inputs &amp; Calcs'!$B$27</f>
        <v>-0.24257274498700354</v>
      </c>
      <c r="G36" s="118">
        <f>('Work quantities to SAIDI SAIFI'!G69*'Work quantities to SAIDI SAIFI'!G19)*'Inputs &amp; Calcs'!$B$27</f>
        <v>-0.21114879608735329</v>
      </c>
      <c r="H36" s="118">
        <f>('Work quantities to SAIDI SAIFI'!H69*'Work quantities to SAIDI SAIFI'!H19)*'Inputs &amp; Calcs'!$B$27</f>
        <v>-0.19182486226064388</v>
      </c>
      <c r="I36" s="118">
        <f>('Work quantities to SAIDI SAIFI'!I69*'Work quantities to SAIDI SAIFI'!I19)*'Inputs &amp; Calcs'!$B$27</f>
        <v>-0.17742972490062855</v>
      </c>
      <c r="J36" s="118">
        <f>('Work quantities to SAIDI SAIFI'!J69*'Work quantities to SAIDI SAIFI'!J19)*'Inputs &amp; Calcs'!$B$27</f>
        <v>-0.17522642046052705</v>
      </c>
      <c r="K36" s="118">
        <f>('Work quantities to SAIDI SAIFI'!K69*'Work quantities to SAIDI SAIFI'!K19)*'Inputs &amp; Calcs'!$B$27</f>
        <v>-0.15466038159201209</v>
      </c>
      <c r="L36" s="118">
        <f>('Work quantities to SAIDI SAIFI'!L69*'Work quantities to SAIDI SAIFI'!L19)*'Inputs &amp; Calcs'!$B$27</f>
        <v>-0.10714361150646998</v>
      </c>
      <c r="M36" s="118">
        <f>('Work quantities to SAIDI SAIFI'!M69*'Work quantities to SAIDI SAIFI'!M19)*'Inputs &amp; Calcs'!$B$27</f>
        <v>-9.8503636977650286E-2</v>
      </c>
      <c r="N36" s="118">
        <f>('Work quantities to SAIDI SAIFI'!N69*'Work quantities to SAIDI SAIFI'!N19)*'Inputs &amp; Calcs'!$B$27</f>
        <v>-9.4418147992359855E-2</v>
      </c>
      <c r="O36" s="76"/>
      <c r="P36" s="76"/>
      <c r="Q36" s="76"/>
      <c r="R36" s="76"/>
      <c r="S36" s="76"/>
      <c r="T36" s="76"/>
      <c r="U36" s="76"/>
      <c r="V36" s="76"/>
      <c r="W36" s="76"/>
      <c r="X36" s="76"/>
      <c r="Y36" s="76"/>
      <c r="Z36" s="76"/>
      <c r="AA36" s="76"/>
    </row>
    <row r="37" spans="1:27" ht="15">
      <c r="A37" s="88" t="str">
        <f>'Inputs &amp; Calcs'!A49</f>
        <v>Distribution Transformers</v>
      </c>
      <c r="B37" s="88" t="str">
        <f>'Inputs &amp; Calcs'!B49</f>
        <v>Pole Mounted Transformers</v>
      </c>
      <c r="C37" s="88" t="str">
        <f>'Inputs &amp; Calcs'!C49</f>
        <v>LV Fusing</v>
      </c>
      <c r="D37" s="118">
        <f>('Work quantities to SAIDI SAIFI'!D70*'Work quantities to SAIDI SAIFI'!D20)*'Inputs &amp; Calcs'!$B$27</f>
        <v>0.75468903839999968</v>
      </c>
      <c r="E37" s="118">
        <f>('Work quantities to SAIDI SAIFI'!E70*'Work quantities to SAIDI SAIFI'!E20)*'Inputs &amp; Calcs'!$B$27</f>
        <v>0.75468903839999968</v>
      </c>
      <c r="F37" s="118">
        <f>('Work quantities to SAIDI SAIFI'!F70*'Work quantities to SAIDI SAIFI'!F20)*'Inputs &amp; Calcs'!$B$27</f>
        <v>0.75468903839999968</v>
      </c>
      <c r="G37" s="118">
        <f>('Work quantities to SAIDI SAIFI'!G70*'Work quantities to SAIDI SAIFI'!G20)*'Inputs &amp; Calcs'!$B$27</f>
        <v>0.75468903839999968</v>
      </c>
      <c r="H37" s="118">
        <f>('Work quantities to SAIDI SAIFI'!H70*'Work quantities to SAIDI SAIFI'!H20)*'Inputs &amp; Calcs'!$B$27</f>
        <v>0.75468903839999968</v>
      </c>
      <c r="I37" s="118">
        <f>('Work quantities to SAIDI SAIFI'!I70*'Work quantities to SAIDI SAIFI'!I20)*'Inputs &amp; Calcs'!$B$27</f>
        <v>0.75468903839999968</v>
      </c>
      <c r="J37" s="118">
        <f>('Work quantities to SAIDI SAIFI'!J70*'Work quantities to SAIDI SAIFI'!J20)*'Inputs &amp; Calcs'!$B$27</f>
        <v>0.75468903839999968</v>
      </c>
      <c r="K37" s="118">
        <f>('Work quantities to SAIDI SAIFI'!K70*'Work quantities to SAIDI SAIFI'!K20)*'Inputs &amp; Calcs'!$B$27</f>
        <v>-1.5351377580000003</v>
      </c>
      <c r="L37" s="118">
        <f>('Work quantities to SAIDI SAIFI'!L70*'Work quantities to SAIDI SAIFI'!L20)*'Inputs &amp; Calcs'!$B$27</f>
        <v>-1.5351377580000003</v>
      </c>
      <c r="M37" s="118">
        <f>('Work quantities to SAIDI SAIFI'!M70*'Work quantities to SAIDI SAIFI'!M20)*'Inputs &amp; Calcs'!$B$27</f>
        <v>-1.5351377580000003</v>
      </c>
      <c r="N37" s="118">
        <f>('Work quantities to SAIDI SAIFI'!N70*'Work quantities to SAIDI SAIFI'!N20)*'Inputs &amp; Calcs'!$B$27</f>
        <v>-1.5351377580000003</v>
      </c>
      <c r="O37" s="76"/>
      <c r="P37" s="76"/>
      <c r="Q37" s="76"/>
      <c r="R37" s="76"/>
      <c r="S37" s="76"/>
      <c r="T37" s="76"/>
      <c r="U37" s="76"/>
      <c r="V37" s="76"/>
      <c r="W37" s="76"/>
      <c r="X37" s="76"/>
      <c r="Y37" s="76"/>
      <c r="Z37" s="76"/>
      <c r="AA37" s="76"/>
    </row>
    <row r="38" spans="1:27" ht="15">
      <c r="A38" s="88" t="str">
        <f>'Inputs &amp; Calcs'!A50</f>
        <v>Distribution Transformers</v>
      </c>
      <c r="B38" s="88" t="str">
        <f>'Inputs &amp; Calcs'!B50</f>
        <v>Ground Mounted Transformers</v>
      </c>
      <c r="C38" s="88" t="str">
        <f>'Inputs &amp; Calcs'!C50</f>
        <v>Ground Mounted Transformers</v>
      </c>
      <c r="D38" s="118">
        <f>('Work quantities to SAIDI SAIFI'!D71*'Work quantities to SAIDI SAIFI'!D21)*'Inputs &amp; Calcs'!$B$27</f>
        <v>-0.58693091782896123</v>
      </c>
      <c r="E38" s="118">
        <f>('Work quantities to SAIDI SAIFI'!E71*'Work quantities to SAIDI SAIFI'!E21)*'Inputs &amp; Calcs'!$B$27</f>
        <v>-0.55662658577803104</v>
      </c>
      <c r="F38" s="118">
        <f>('Work quantities to SAIDI SAIFI'!F71*'Work quantities to SAIDI SAIFI'!F21)*'Inputs &amp; Calcs'!$B$27</f>
        <v>2.5603864139562737E-2</v>
      </c>
      <c r="G38" s="118">
        <f>('Work quantities to SAIDI SAIFI'!G71*'Work quantities to SAIDI SAIFI'!G21)*'Inputs &amp; Calcs'!$B$27</f>
        <v>3.9381265051961802E-2</v>
      </c>
      <c r="H38" s="118">
        <f>('Work quantities to SAIDI SAIFI'!H71*'Work quantities to SAIDI SAIFI'!H21)*'Inputs &amp; Calcs'!$B$27</f>
        <v>6.9413106756015433E-2</v>
      </c>
      <c r="I38" s="118">
        <f>('Work quantities to SAIDI SAIFI'!I71*'Work quantities to SAIDI SAIFI'!I21)*'Inputs &amp; Calcs'!$B$27</f>
        <v>8.7391704974922921E-2</v>
      </c>
      <c r="J38" s="118">
        <f>('Work quantities to SAIDI SAIFI'!J71*'Work quantities to SAIDI SAIFI'!J21)*'Inputs &amp; Calcs'!$B$27</f>
        <v>0.10452700685628005</v>
      </c>
      <c r="K38" s="118">
        <f>('Work quantities to SAIDI SAIFI'!K71*'Work quantities to SAIDI SAIFI'!K21)*'Inputs &amp; Calcs'!$B$27</f>
        <v>0.13352317525169274</v>
      </c>
      <c r="L38" s="118">
        <f>('Work quantities to SAIDI SAIFI'!L71*'Work quantities to SAIDI SAIFI'!L21)*'Inputs &amp; Calcs'!$B$27</f>
        <v>0.16239689955969344</v>
      </c>
      <c r="M38" s="118">
        <f>('Work quantities to SAIDI SAIFI'!M71*'Work quantities to SAIDI SAIFI'!M21)*'Inputs &amp; Calcs'!$B$27</f>
        <v>0.19113356915209673</v>
      </c>
      <c r="N38" s="118">
        <f>('Work quantities to SAIDI SAIFI'!N71*'Work quantities to SAIDI SAIFI'!N21)*'Inputs &amp; Calcs'!$B$27</f>
        <v>0.23273775674142727</v>
      </c>
      <c r="O38" s="76"/>
      <c r="P38" s="76"/>
      <c r="Q38" s="76"/>
      <c r="R38" s="76"/>
      <c r="S38" s="76"/>
      <c r="T38" s="76"/>
      <c r="U38" s="76"/>
      <c r="V38" s="76"/>
      <c r="W38" s="76"/>
      <c r="X38" s="76"/>
      <c r="Y38" s="76"/>
      <c r="Z38" s="76"/>
      <c r="AA38" s="76"/>
    </row>
    <row r="39" spans="1:27" ht="15">
      <c r="A39" s="88" t="str">
        <f>'Inputs &amp; Calcs'!A51</f>
        <v>Distribution Transformers</v>
      </c>
      <c r="B39" s="88" t="str">
        <f>'Inputs &amp; Calcs'!B51</f>
        <v>Distribution Other</v>
      </c>
      <c r="C39" s="88" t="str">
        <f>'Inputs &amp; Calcs'!C51</f>
        <v>Distribution Other</v>
      </c>
      <c r="D39" s="118">
        <f>('Work quantities to SAIDI SAIFI'!D72*'Work quantities to SAIDI SAIFI'!D22)*'Inputs &amp; Calcs'!$B$27</f>
        <v>-8.0170272000000001E-2</v>
      </c>
      <c r="E39" s="118">
        <f>('Work quantities to SAIDI SAIFI'!E72*'Work quantities to SAIDI SAIFI'!E22)*'Inputs &amp; Calcs'!$B$27</f>
        <v>-6.2990928000000002E-2</v>
      </c>
      <c r="F39" s="118">
        <f>('Work quantities to SAIDI SAIFI'!F72*'Work quantities to SAIDI SAIFI'!F22)*'Inputs &amp; Calcs'!$B$27</f>
        <v>-6.2990928000000002E-2</v>
      </c>
      <c r="G39" s="118">
        <f>('Work quantities to SAIDI SAIFI'!G72*'Work quantities to SAIDI SAIFI'!G22)*'Inputs &amp; Calcs'!$B$27</f>
        <v>-8.0170272000000001E-2</v>
      </c>
      <c r="H39" s="118">
        <f>('Work quantities to SAIDI SAIFI'!H72*'Work quantities to SAIDI SAIFI'!H22)*'Inputs &amp; Calcs'!$B$27</f>
        <v>-8.0170272000000001E-2</v>
      </c>
      <c r="I39" s="118">
        <f>('Work quantities to SAIDI SAIFI'!I72*'Work quantities to SAIDI SAIFI'!I22)*'Inputs &amp; Calcs'!$B$27</f>
        <v>-8.0385013800000002E-2</v>
      </c>
      <c r="J39" s="118">
        <f>('Work quantities to SAIDI SAIFI'!J72*'Work quantities to SAIDI SAIFI'!J22)*'Inputs &amp; Calcs'!$B$27</f>
        <v>-6.3849895199999993E-2</v>
      </c>
      <c r="K39" s="118">
        <f>('Work quantities to SAIDI SAIFI'!K72*'Work quantities to SAIDI SAIFI'!K22)*'Inputs &amp; Calcs'!$B$27</f>
        <v>-6.3849895199999993E-2</v>
      </c>
      <c r="L39" s="118">
        <f>('Work quantities to SAIDI SAIFI'!L72*'Work quantities to SAIDI SAIFI'!L22)*'Inputs &amp; Calcs'!$B$27</f>
        <v>-8.0599755600000003E-2</v>
      </c>
      <c r="M39" s="118">
        <f>('Work quantities to SAIDI SAIFI'!M72*'Work quantities to SAIDI SAIFI'!M22)*'Inputs &amp; Calcs'!$B$27</f>
        <v>-9.7349616E-2</v>
      </c>
      <c r="N39" s="118">
        <f>('Work quantities to SAIDI SAIFI'!N72*'Work quantities to SAIDI SAIFI'!N22)*'Inputs &amp; Calcs'!$B$27</f>
        <v>-8.0599755600000003E-2</v>
      </c>
      <c r="O39" s="76"/>
      <c r="P39" s="76"/>
      <c r="Q39" s="76"/>
      <c r="R39" s="76"/>
      <c r="S39" s="76"/>
      <c r="T39" s="76"/>
      <c r="U39" s="76"/>
      <c r="V39" s="76"/>
      <c r="W39" s="76"/>
      <c r="X39" s="76"/>
      <c r="Y39" s="76"/>
      <c r="Z39" s="76"/>
      <c r="AA39" s="76"/>
    </row>
    <row r="40" spans="1:27" ht="15">
      <c r="A40" s="88" t="str">
        <f>'Inputs &amp; Calcs'!A52</f>
        <v>Distribution Switchgear</v>
      </c>
      <c r="B40" s="88" t="str">
        <f>'Inputs &amp; Calcs'!B52</f>
        <v>Pole Mounted Switches</v>
      </c>
      <c r="C40" s="88" t="str">
        <f>'Inputs &amp; Calcs'!C52</f>
        <v>Air Break</v>
      </c>
      <c r="D40" s="118">
        <f>('Work quantities to SAIDI SAIFI'!D73*'Work quantities to SAIDI SAIFI'!D23)*'Inputs &amp; Calcs'!$B$27</f>
        <v>-0.1106878440869461</v>
      </c>
      <c r="E40" s="118">
        <f>('Work quantities to SAIDI SAIFI'!E73*'Work quantities to SAIDI SAIFI'!E23)*'Inputs &amp; Calcs'!$B$27</f>
        <v>-0.16056970262094605</v>
      </c>
      <c r="F40" s="118">
        <f>('Work quantities to SAIDI SAIFI'!F73*'Work quantities to SAIDI SAIFI'!F23)*'Inputs &amp; Calcs'!$B$27</f>
        <v>-0.15059333091414617</v>
      </c>
      <c r="G40" s="118">
        <f>('Work quantities to SAIDI SAIFI'!G73*'Work quantities to SAIDI SAIFI'!G23)*'Inputs &amp; Calcs'!$B$27</f>
        <v>-0.45986085382494618</v>
      </c>
      <c r="H40" s="118">
        <f>('Work quantities to SAIDI SAIFI'!H73*'Work quantities to SAIDI SAIFI'!H23)*'Inputs &amp; Calcs'!$B$27</f>
        <v>-0.61948280113374621</v>
      </c>
      <c r="I40" s="118">
        <f>('Work quantities to SAIDI SAIFI'!I73*'Work quantities to SAIDI SAIFI'!I23)*'Inputs &amp; Calcs'!$B$27</f>
        <v>-0.65776712755859124</v>
      </c>
      <c r="J40" s="118">
        <f>('Work quantities to SAIDI SAIFI'!J73*'Work quantities to SAIDI SAIFI'!J23)*'Inputs &amp; Calcs'!$B$27</f>
        <v>-0.85093462473150638</v>
      </c>
      <c r="K40" s="118">
        <f>('Work quantities to SAIDI SAIFI'!K73*'Work quantities to SAIDI SAIFI'!K23)*'Inputs &amp; Calcs'!$B$27</f>
        <v>-0.77311892541846627</v>
      </c>
      <c r="L40" s="118">
        <f>('Work quantities to SAIDI SAIFI'!L73*'Work quantities to SAIDI SAIFI'!L23)*'Inputs &amp; Calcs'!$B$27</f>
        <v>-0.67584930127716636</v>
      </c>
      <c r="M40" s="118">
        <f>('Work quantities to SAIDI SAIFI'!M73*'Work quantities to SAIDI SAIFI'!M23)*'Inputs &amp; Calcs'!$B$27</f>
        <v>-0.54939878989347612</v>
      </c>
      <c r="N40" s="118">
        <f>('Work quantities to SAIDI SAIFI'!N73*'Work quantities to SAIDI SAIFI'!N23)*'Inputs &amp; Calcs'!$B$27</f>
        <v>-0.39376739126739618</v>
      </c>
      <c r="O40" s="76"/>
      <c r="P40" s="76"/>
      <c r="Q40" s="76"/>
      <c r="R40" s="76"/>
      <c r="S40" s="76"/>
      <c r="T40" s="76"/>
      <c r="U40" s="76"/>
      <c r="V40" s="76"/>
      <c r="W40" s="76"/>
      <c r="X40" s="76"/>
      <c r="Y40" s="76"/>
      <c r="Z40" s="76"/>
      <c r="AA40" s="76"/>
    </row>
    <row r="41" spans="1:27" ht="15">
      <c r="A41" s="88" t="str">
        <f>'Inputs &amp; Calcs'!A53</f>
        <v>Distribution Switchgear</v>
      </c>
      <c r="B41" s="88" t="str">
        <f>'Inputs &amp; Calcs'!B53</f>
        <v>HV Fuses</v>
      </c>
      <c r="C41" s="88" t="str">
        <f>'Inputs &amp; Calcs'!C53</f>
        <v>HV Fuses</v>
      </c>
      <c r="D41" s="118">
        <f>('Work quantities to SAIDI SAIFI'!D74*'Work quantities to SAIDI SAIFI'!D24)*'Inputs &amp; Calcs'!$B$27</f>
        <v>-3.1754726117670141E-2</v>
      </c>
      <c r="E41" s="118">
        <f>('Work quantities to SAIDI SAIFI'!E74*'Work quantities to SAIDI SAIFI'!E24)*'Inputs &amp; Calcs'!$B$27</f>
        <v>-3.9567590852189208E-2</v>
      </c>
      <c r="F41" s="118">
        <f>('Work quantities to SAIDI SAIFI'!F74*'Work quantities to SAIDI SAIFI'!F24)*'Inputs &amp; Calcs'!$B$27</f>
        <v>-3.6910463424112451E-2</v>
      </c>
      <c r="G41" s="118">
        <f>('Work quantities to SAIDI SAIFI'!G74*'Work quantities to SAIDI SAIFI'!G24)*'Inputs &amp; Calcs'!$B$27</f>
        <v>-3.2459789916925309E-2</v>
      </c>
      <c r="H41" s="118">
        <f>('Work quantities to SAIDI SAIFI'!H74*'Work quantities to SAIDI SAIFI'!H24)*'Inputs &amp; Calcs'!$B$27</f>
        <v>-3.1413281871812714E-2</v>
      </c>
      <c r="I41" s="118">
        <f>('Work quantities to SAIDI SAIFI'!I74*'Work quantities to SAIDI SAIFI'!I24)*'Inputs &amp; Calcs'!$B$27</f>
        <v>-2.9057051975762836E-2</v>
      </c>
      <c r="J41" s="118">
        <f>('Work quantities to SAIDI SAIFI'!J74*'Work quantities to SAIDI SAIFI'!J24)*'Inputs &amp; Calcs'!$B$27</f>
        <v>-2.6389042910409725E-2</v>
      </c>
      <c r="K41" s="118">
        <f>('Work quantities to SAIDI SAIFI'!K74*'Work quantities to SAIDI SAIFI'!K24)*'Inputs &amp; Calcs'!$B$27</f>
        <v>-2.9495354665940686E-2</v>
      </c>
      <c r="L41" s="118">
        <f>('Work quantities to SAIDI SAIFI'!L74*'Work quantities to SAIDI SAIFI'!L24)*'Inputs &amp; Calcs'!$B$27</f>
        <v>-2.5347948824859738E-2</v>
      </c>
      <c r="M41" s="118">
        <f>('Work quantities to SAIDI SAIFI'!M74*'Work quantities to SAIDI SAIFI'!M24)*'Inputs &amp; Calcs'!$B$27</f>
        <v>-1.8971652375776402E-2</v>
      </c>
      <c r="N41" s="118">
        <f>('Work quantities to SAIDI SAIFI'!N74*'Work quantities to SAIDI SAIFI'!N24)*'Inputs &amp; Calcs'!$B$27</f>
        <v>-1.1515733887925841E-2</v>
      </c>
      <c r="O41" s="76"/>
      <c r="P41" s="76"/>
      <c r="Q41" s="76"/>
      <c r="R41" s="76"/>
      <c r="S41" s="76"/>
      <c r="T41" s="76"/>
      <c r="U41" s="76"/>
      <c r="V41" s="76"/>
      <c r="W41" s="76"/>
      <c r="X41" s="76"/>
      <c r="Y41" s="76"/>
      <c r="Z41" s="76"/>
      <c r="AA41" s="76"/>
    </row>
    <row r="42" spans="1:27" ht="15">
      <c r="A42" s="88" t="str">
        <f>'Inputs &amp; Calcs'!A54</f>
        <v>Distribution Switchgear</v>
      </c>
      <c r="B42" s="88" t="str">
        <f>'Inputs &amp; Calcs'!B54</f>
        <v>Ground Mounted Switchgear</v>
      </c>
      <c r="C42" s="88" t="str">
        <f>'Inputs &amp; Calcs'!C54</f>
        <v>RMU</v>
      </c>
      <c r="D42" s="118">
        <f>('Work quantities to SAIDI SAIFI'!D75*'Work quantities to SAIDI SAIFI'!D25)*'Inputs &amp; Calcs'!$B$27</f>
        <v>0.16582669382389359</v>
      </c>
      <c r="E42" s="118">
        <f>('Work quantities to SAIDI SAIFI'!E75*'Work quantities to SAIDI SAIFI'!E25)*'Inputs &amp; Calcs'!$B$27</f>
        <v>0.16582669382389359</v>
      </c>
      <c r="F42" s="118">
        <f>('Work quantities to SAIDI SAIFI'!F75*'Work quantities to SAIDI SAIFI'!F25)*'Inputs &amp; Calcs'!$B$27</f>
        <v>0.35715753315790227</v>
      </c>
      <c r="G42" s="118">
        <f>('Work quantities to SAIDI SAIFI'!G75*'Work quantities to SAIDI SAIFI'!G25)*'Inputs &amp; Calcs'!$B$27</f>
        <v>0.49568583664450638</v>
      </c>
      <c r="H42" s="118">
        <f>('Work quantities to SAIDI SAIFI'!H75*'Work quantities to SAIDI SAIFI'!H25)*'Inputs &amp; Calcs'!$B$27</f>
        <v>0.67791577536807202</v>
      </c>
      <c r="I42" s="118">
        <f>('Work quantities to SAIDI SAIFI'!I75*'Work quantities to SAIDI SAIFI'!I25)*'Inputs &amp; Calcs'!$B$27</f>
        <v>0.85623501944008851</v>
      </c>
      <c r="J42" s="118">
        <f>('Work quantities to SAIDI SAIFI'!J75*'Work quantities to SAIDI SAIFI'!J25)*'Inputs &amp; Calcs'!$B$27</f>
        <v>0.60579807787744755</v>
      </c>
      <c r="K42" s="118">
        <f>('Work quantities to SAIDI SAIFI'!K75*'Work quantities to SAIDI SAIFI'!K25)*'Inputs &amp; Calcs'!$B$27</f>
        <v>0.29604956735032767</v>
      </c>
      <c r="L42" s="118">
        <f>('Work quantities to SAIDI SAIFI'!L75*'Work quantities to SAIDI SAIFI'!L25)*'Inputs &amp; Calcs'!$B$27</f>
        <v>-6.2135345089160299E-2</v>
      </c>
      <c r="M42" s="118">
        <f>('Work quantities to SAIDI SAIFI'!M75*'Work quantities to SAIDI SAIFI'!M25)*'Inputs &amp; Calcs'!$B$27</f>
        <v>-0.43382676711859236</v>
      </c>
      <c r="N42" s="118">
        <f>('Work quantities to SAIDI SAIFI'!N75*'Work quantities to SAIDI SAIFI'!N25)*'Inputs &amp; Calcs'!$B$27</f>
        <v>-0.87664034691141002</v>
      </c>
      <c r="O42" s="76"/>
      <c r="P42" s="76"/>
      <c r="Q42" s="76"/>
      <c r="R42" s="76"/>
      <c r="S42" s="76"/>
      <c r="T42" s="76"/>
      <c r="U42" s="76"/>
      <c r="V42" s="76"/>
      <c r="W42" s="76"/>
      <c r="X42" s="76"/>
      <c r="Y42" s="76"/>
      <c r="Z42" s="76"/>
      <c r="AA42" s="76"/>
    </row>
    <row r="43" spans="1:27" ht="15">
      <c r="A43" s="88" t="str">
        <f>'Inputs &amp; Calcs'!A55</f>
        <v>Distribution Switchgear</v>
      </c>
      <c r="B43" s="88" t="str">
        <f>'Inputs &amp; Calcs'!B55</f>
        <v>Circuit Breakers/Reclosers/Sectionalisers</v>
      </c>
      <c r="C43" s="88" t="str">
        <f>'Inputs &amp; Calcs'!C55</f>
        <v>Circuit Breakers/Reclosers/Sectionalisers</v>
      </c>
      <c r="D43" s="118">
        <f>('Work quantities to SAIDI SAIFI'!D76*'Work quantities to SAIDI SAIFI'!D26)*'Inputs &amp; Calcs'!$B$27</f>
        <v>-5.1017142857142872E-2</v>
      </c>
      <c r="E43" s="118">
        <f>('Work quantities to SAIDI SAIFI'!E76*'Work quantities to SAIDI SAIFI'!E26)*'Inputs &amp; Calcs'!$B$27</f>
        <v>0.21235885714285702</v>
      </c>
      <c r="F43" s="118">
        <f>('Work quantities to SAIDI SAIFI'!F76*'Work quantities to SAIDI SAIFI'!F26)*'Inputs &amp; Calcs'!$B$27</f>
        <v>0.23467885714285702</v>
      </c>
      <c r="G43" s="118">
        <f>('Work quantities to SAIDI SAIFI'!G76*'Work quantities to SAIDI SAIFI'!G26)*'Inputs &amp; Calcs'!$B$27</f>
        <v>0.23467885714285702</v>
      </c>
      <c r="H43" s="118">
        <f>('Work quantities to SAIDI SAIFI'!H76*'Work quantities to SAIDI SAIFI'!H26)*'Inputs &amp; Calcs'!$B$27</f>
        <v>0.19003885714285701</v>
      </c>
      <c r="I43" s="118">
        <f>('Work quantities to SAIDI SAIFI'!I76*'Work quantities to SAIDI SAIFI'!I26)*'Inputs &amp; Calcs'!$B$27</f>
        <v>0.19003885714285701</v>
      </c>
      <c r="J43" s="118">
        <f>('Work quantities to SAIDI SAIFI'!J76*'Work quantities to SAIDI SAIFI'!J26)*'Inputs &amp; Calcs'!$B$27</f>
        <v>-9.5657142857142871E-2</v>
      </c>
      <c r="K43" s="118">
        <f>('Work quantities to SAIDI SAIFI'!K76*'Work quantities to SAIDI SAIFI'!K26)*'Inputs &amp; Calcs'!$B$27</f>
        <v>-0.24551999999999999</v>
      </c>
      <c r="L43" s="118">
        <f>('Work quantities to SAIDI SAIFI'!L76*'Work quantities to SAIDI SAIFI'!L26)*'Inputs &amp; Calcs'!$B$27</f>
        <v>-0.24551999999999999</v>
      </c>
      <c r="M43" s="118">
        <f>('Work quantities to SAIDI SAIFI'!M76*'Work quantities to SAIDI SAIFI'!M26)*'Inputs &amp; Calcs'!$B$27</f>
        <v>-0.24551999999999999</v>
      </c>
      <c r="N43" s="118">
        <f>('Work quantities to SAIDI SAIFI'!N76*'Work quantities to SAIDI SAIFI'!N26)*'Inputs &amp; Calcs'!$B$27</f>
        <v>-0.22320000000000001</v>
      </c>
      <c r="O43" s="76"/>
      <c r="P43" s="76"/>
      <c r="Q43" s="76"/>
      <c r="R43" s="76"/>
      <c r="S43" s="76"/>
      <c r="T43" s="76"/>
      <c r="U43" s="76"/>
      <c r="V43" s="76"/>
      <c r="W43" s="76"/>
      <c r="X43" s="76"/>
      <c r="Y43" s="76"/>
      <c r="Z43" s="76"/>
      <c r="AA43" s="76"/>
    </row>
    <row r="44" spans="1:27" ht="15">
      <c r="A44" s="88" t="str">
        <f>'Inputs &amp; Calcs'!A56</f>
        <v>Cables</v>
      </c>
      <c r="B44" s="88" t="str">
        <f>'Inputs &amp; Calcs'!B56</f>
        <v>Low Voltage Cables</v>
      </c>
      <c r="C44" s="88" t="str">
        <f>'Inputs &amp; Calcs'!C56</f>
        <v>Cables</v>
      </c>
      <c r="D44" s="118">
        <f>('Work quantities to SAIDI SAIFI'!D77*'Work quantities to SAIDI SAIFI'!D27)*'Inputs &amp; Calcs'!$B$27</f>
        <v>0.65841429519089256</v>
      </c>
      <c r="E44" s="118">
        <f>('Work quantities to SAIDI SAIFI'!E77*'Work quantities to SAIDI SAIFI'!E27)*'Inputs &amp; Calcs'!$B$27</f>
        <v>0.72436631567706322</v>
      </c>
      <c r="F44" s="118">
        <f>('Work quantities to SAIDI SAIFI'!F77*'Work quantities to SAIDI SAIFI'!F27)*'Inputs &amp; Calcs'!$B$27</f>
        <v>0.79526473769969652</v>
      </c>
      <c r="G44" s="118">
        <f>('Work quantities to SAIDI SAIFI'!G77*'Work quantities to SAIDI SAIFI'!G27)*'Inputs &amp; Calcs'!$B$27</f>
        <v>0.87148054137402775</v>
      </c>
      <c r="H44" s="118">
        <f>('Work quantities to SAIDI SAIFI'!H77*'Work quantities to SAIDI SAIFI'!H27)*'Inputs &amp; Calcs'!$B$27</f>
        <v>0.95341253032393347</v>
      </c>
      <c r="I44" s="118">
        <f>('Work quantities to SAIDI SAIFI'!I77*'Work quantities to SAIDI SAIFI'!I27)*'Inputs &amp; Calcs'!$B$27</f>
        <v>1.0257089759900437</v>
      </c>
      <c r="J44" s="118">
        <f>('Work quantities to SAIDI SAIFI'!J77*'Work quantities to SAIDI SAIFI'!J27)*'Inputs &amp; Calcs'!$B$27</f>
        <v>1.1022441218969832</v>
      </c>
      <c r="K44" s="118">
        <f>('Work quantities to SAIDI SAIFI'!K77*'Work quantities to SAIDI SAIFI'!K27)*'Inputs &amp; Calcs'!$B$27</f>
        <v>1.2014833793861108</v>
      </c>
      <c r="L44" s="118">
        <f>('Work quantities to SAIDI SAIFI'!L77*'Work quantities to SAIDI SAIFI'!L27)*'Inputs &amp; Calcs'!$B$27</f>
        <v>1.3081655811869231</v>
      </c>
      <c r="M44" s="118">
        <f>('Work quantities to SAIDI SAIFI'!M77*'Work quantities to SAIDI SAIFI'!M27)*'Inputs &amp; Calcs'!$B$27</f>
        <v>1.4228489481227957</v>
      </c>
      <c r="N44" s="118">
        <f>('Work quantities to SAIDI SAIFI'!N77*'Work quantities to SAIDI SAIFI'!N27)*'Inputs &amp; Calcs'!$B$27</f>
        <v>1.5461335675788594</v>
      </c>
      <c r="O44" s="76"/>
      <c r="P44" s="76"/>
      <c r="Q44" s="76"/>
      <c r="R44" s="76"/>
      <c r="S44" s="76"/>
      <c r="T44" s="76"/>
      <c r="U44" s="76"/>
      <c r="V44" s="76"/>
      <c r="W44" s="76"/>
      <c r="X44" s="76"/>
      <c r="Y44" s="76"/>
      <c r="Z44" s="76"/>
      <c r="AA44" s="76"/>
    </row>
    <row r="45" spans="1:27" ht="15">
      <c r="A45" s="88" t="str">
        <f>'Inputs &amp; Calcs'!A57</f>
        <v>Cables</v>
      </c>
      <c r="B45" s="88" t="str">
        <f>'Inputs &amp; Calcs'!B57</f>
        <v>Distribution Cables</v>
      </c>
      <c r="C45" s="88" t="str">
        <f>'Inputs &amp; Calcs'!C57</f>
        <v>Cables</v>
      </c>
      <c r="D45" s="118">
        <f>('Work quantities to SAIDI SAIFI'!D78*'Work quantities to SAIDI SAIFI'!D28)*'Inputs &amp; Calcs'!$B$27</f>
        <v>0.76381245102964668</v>
      </c>
      <c r="E45" s="118">
        <f>('Work quantities to SAIDI SAIFI'!E78*'Work quantities to SAIDI SAIFI'!E28)*'Inputs &amp; Calcs'!$B$27</f>
        <v>0.84371782138521934</v>
      </c>
      <c r="F45" s="118">
        <f>('Work quantities to SAIDI SAIFI'!F78*'Work quantities to SAIDI SAIFI'!F28)*'Inputs &amp; Calcs'!$B$27</f>
        <v>1.2183959588804762</v>
      </c>
      <c r="G45" s="118">
        <f>('Work quantities to SAIDI SAIFI'!G78*'Work quantities to SAIDI SAIFI'!G28)*'Inputs &amp; Calcs'!$B$27</f>
        <v>1.4281384554581946</v>
      </c>
      <c r="H45" s="118">
        <f>('Work quantities to SAIDI SAIFI'!H78*'Work quantities to SAIDI SAIFI'!H28)*'Inputs &amp; Calcs'!$B$27</f>
        <v>1.5311821841895252</v>
      </c>
      <c r="I45" s="118">
        <f>('Work quantities to SAIDI SAIFI'!I78*'Work quantities to SAIDI SAIFI'!I28)*'Inputs &amp; Calcs'!$B$27</f>
        <v>0.94178445144906175</v>
      </c>
      <c r="J45" s="118">
        <f>('Work quantities to SAIDI SAIFI'!J78*'Work quantities to SAIDI SAIFI'!J28)*'Inputs &amp; Calcs'!$B$27</f>
        <v>0.59178060765379559</v>
      </c>
      <c r="K45" s="118">
        <f>('Work quantities to SAIDI SAIFI'!K78*'Work quantities to SAIDI SAIFI'!K28)*'Inputs &amp; Calcs'!$B$27</f>
        <v>0.54678877282349059</v>
      </c>
      <c r="L45" s="118">
        <f>('Work quantities to SAIDI SAIFI'!L78*'Work quantities to SAIDI SAIFI'!L28)*'Inputs &amp; Calcs'!$B$27</f>
        <v>0.46761725302095608</v>
      </c>
      <c r="M45" s="118">
        <f>('Work quantities to SAIDI SAIFI'!M78*'Work quantities to SAIDI SAIFI'!M28)*'Inputs &amp; Calcs'!$B$27</f>
        <v>0.47168920648052959</v>
      </c>
      <c r="N45" s="118">
        <f>('Work quantities to SAIDI SAIFI'!N78*'Work quantities to SAIDI SAIFI'!N28)*'Inputs &amp; Calcs'!$B$27</f>
        <v>0.62454905747942013</v>
      </c>
      <c r="O45" s="76"/>
      <c r="P45" s="76"/>
      <c r="Q45" s="76"/>
      <c r="R45" s="76"/>
      <c r="S45" s="76"/>
      <c r="T45" s="76"/>
      <c r="U45" s="76"/>
      <c r="V45" s="76"/>
      <c r="W45" s="76"/>
      <c r="X45" s="76"/>
      <c r="Y45" s="76"/>
      <c r="Z45" s="76"/>
      <c r="AA45" s="76"/>
    </row>
    <row r="46" spans="1:27" ht="15">
      <c r="A46" s="88" t="str">
        <f>'Inputs &amp; Calcs'!A58</f>
        <v>Cables</v>
      </c>
      <c r="B46" s="88" t="str">
        <f>'Inputs &amp; Calcs'!B58</f>
        <v>Subtransmission Cables</v>
      </c>
      <c r="C46" s="88" t="str">
        <f>'Inputs &amp; Calcs'!C58</f>
        <v>Cables</v>
      </c>
      <c r="D46" s="118">
        <f>('Work quantities to SAIDI SAIFI'!D79*'Work quantities to SAIDI SAIFI'!D29)*'Inputs &amp; Calcs'!$B$27</f>
        <v>3.4789999999999995E-2</v>
      </c>
      <c r="E46" s="118">
        <f>('Work quantities to SAIDI SAIFI'!E79*'Work quantities to SAIDI SAIFI'!E29)*'Inputs &amp; Calcs'!$B$27</f>
        <v>2.4499999999999999E-3</v>
      </c>
      <c r="F46" s="118">
        <f>('Work quantities to SAIDI SAIFI'!F79*'Work quantities to SAIDI SAIFI'!F29)*'Inputs &amp; Calcs'!$B$27</f>
        <v>0</v>
      </c>
      <c r="G46" s="118">
        <f>('Work quantities to SAIDI SAIFI'!G79*'Work quantities to SAIDI SAIFI'!G29)*'Inputs &amp; Calcs'!$B$27</f>
        <v>4.8999999999999998E-3</v>
      </c>
      <c r="H46" s="118">
        <f>('Work quantities to SAIDI SAIFI'!H79*'Work quantities to SAIDI SAIFI'!H29)*'Inputs &amp; Calcs'!$B$27</f>
        <v>0</v>
      </c>
      <c r="I46" s="118">
        <f>('Work quantities to SAIDI SAIFI'!I79*'Work quantities to SAIDI SAIFI'!I29)*'Inputs &amp; Calcs'!$B$27</f>
        <v>0</v>
      </c>
      <c r="J46" s="118">
        <f>('Work quantities to SAIDI SAIFI'!J79*'Work quantities to SAIDI SAIFI'!J29)*'Inputs &amp; Calcs'!$B$27</f>
        <v>0</v>
      </c>
      <c r="K46" s="118">
        <f>('Work quantities to SAIDI SAIFI'!K79*'Work quantities to SAIDI SAIFI'!K29)*'Inputs &amp; Calcs'!$B$27</f>
        <v>0</v>
      </c>
      <c r="L46" s="118">
        <f>('Work quantities to SAIDI SAIFI'!L79*'Work quantities to SAIDI SAIFI'!L29)*'Inputs &amp; Calcs'!$B$27</f>
        <v>0</v>
      </c>
      <c r="M46" s="118">
        <f>('Work quantities to SAIDI SAIFI'!M79*'Work quantities to SAIDI SAIFI'!M29)*'Inputs &amp; Calcs'!$B$27</f>
        <v>0</v>
      </c>
      <c r="N46" s="118">
        <f>('Work quantities to SAIDI SAIFI'!N79*'Work quantities to SAIDI SAIFI'!N29)*'Inputs &amp; Calcs'!$B$27</f>
        <v>0</v>
      </c>
      <c r="O46" s="76"/>
      <c r="P46" s="76"/>
      <c r="Q46" s="76"/>
      <c r="R46" s="76"/>
      <c r="S46" s="76"/>
      <c r="T46" s="76"/>
      <c r="U46" s="76"/>
      <c r="V46" s="76"/>
      <c r="W46" s="76"/>
      <c r="X46" s="76"/>
      <c r="Y46" s="76"/>
      <c r="Z46" s="76"/>
      <c r="AA46" s="76"/>
    </row>
    <row r="47" spans="1:27" ht="15">
      <c r="C47" s="44"/>
      <c r="D47"/>
      <c r="E47"/>
      <c r="F47"/>
      <c r="G47"/>
      <c r="H47"/>
      <c r="I47"/>
      <c r="J47"/>
      <c r="K47" s="76"/>
      <c r="L47" s="76"/>
      <c r="M47" s="76"/>
      <c r="N47" s="76"/>
      <c r="O47" s="76"/>
      <c r="P47" s="76"/>
      <c r="Q47" s="76"/>
      <c r="R47" s="76"/>
      <c r="S47" s="76"/>
      <c r="T47" s="76"/>
      <c r="U47" s="76"/>
      <c r="V47" s="76"/>
      <c r="W47" s="76"/>
      <c r="X47" s="76"/>
      <c r="Y47" s="76"/>
      <c r="Z47" s="76"/>
      <c r="AA47" s="76"/>
    </row>
    <row r="48" spans="1:27" ht="18">
      <c r="A48" s="61" t="s">
        <v>115</v>
      </c>
      <c r="K48" s="76"/>
      <c r="L48" s="76"/>
      <c r="M48" s="76"/>
      <c r="N48" s="76"/>
      <c r="O48" s="76"/>
      <c r="P48" s="76"/>
      <c r="Q48" s="76"/>
      <c r="R48" s="76"/>
      <c r="S48" s="76"/>
      <c r="T48" s="76"/>
      <c r="U48" s="76"/>
      <c r="V48" s="76"/>
      <c r="W48" s="76"/>
      <c r="X48" s="76"/>
      <c r="Y48" s="76"/>
      <c r="Z48" s="76"/>
      <c r="AA48" s="76"/>
    </row>
    <row r="49" spans="1:27" ht="18">
      <c r="A49" s="61"/>
      <c r="K49" s="76"/>
      <c r="L49" s="76"/>
      <c r="M49" s="76"/>
      <c r="N49" s="76"/>
      <c r="O49" s="76"/>
      <c r="P49" s="76"/>
      <c r="Q49" s="76"/>
      <c r="R49" s="76"/>
      <c r="S49" s="76"/>
      <c r="T49" s="76"/>
      <c r="U49" s="76"/>
      <c r="V49" s="76"/>
      <c r="W49" s="76"/>
      <c r="X49" s="76"/>
      <c r="Y49" s="76"/>
      <c r="Z49" s="76"/>
      <c r="AA49" s="76"/>
    </row>
    <row r="50" spans="1:27" ht="15">
      <c r="D50" s="134"/>
      <c r="E50" s="134"/>
      <c r="F50" s="139"/>
      <c r="G50" s="140"/>
      <c r="H50" s="141" t="s">
        <v>212</v>
      </c>
      <c r="I50" s="140"/>
      <c r="J50" s="142"/>
      <c r="K50" s="76"/>
      <c r="L50" s="76"/>
      <c r="M50" s="76"/>
      <c r="N50" s="76"/>
      <c r="O50" s="76"/>
      <c r="P50" s="76"/>
      <c r="Q50" s="76"/>
      <c r="R50" s="76"/>
      <c r="S50" s="76"/>
      <c r="T50" s="76"/>
      <c r="U50" s="76"/>
      <c r="V50" s="76"/>
      <c r="W50" s="76"/>
      <c r="X50" s="76"/>
      <c r="Y50" s="76"/>
      <c r="Z50" s="76"/>
      <c r="AA50" s="76"/>
    </row>
    <row r="51" spans="1:27" ht="15">
      <c r="A51" s="143" t="s">
        <v>70</v>
      </c>
      <c r="B51" s="143" t="s">
        <v>119</v>
      </c>
      <c r="C51" s="143" t="s">
        <v>121</v>
      </c>
      <c r="D51" s="181">
        <v>2017</v>
      </c>
      <c r="E51" s="181">
        <v>2018</v>
      </c>
      <c r="F51" s="182">
        <v>2019</v>
      </c>
      <c r="G51" s="181">
        <v>2020</v>
      </c>
      <c r="H51" s="181">
        <v>2021</v>
      </c>
      <c r="I51" s="181">
        <v>2022</v>
      </c>
      <c r="J51" s="183">
        <v>2023</v>
      </c>
      <c r="K51" s="181">
        <v>2024</v>
      </c>
      <c r="L51" s="181">
        <v>2025</v>
      </c>
      <c r="M51" s="181">
        <v>2026</v>
      </c>
      <c r="N51" s="181">
        <v>2027</v>
      </c>
      <c r="O51" s="76"/>
      <c r="P51" s="76"/>
      <c r="Q51" s="76"/>
      <c r="R51" s="76"/>
      <c r="S51" s="76"/>
      <c r="T51" s="76"/>
      <c r="U51" s="76"/>
      <c r="V51" s="76"/>
      <c r="W51" s="76"/>
      <c r="X51" s="76"/>
      <c r="Y51" s="76"/>
      <c r="Z51" s="76"/>
      <c r="AA51" s="76"/>
    </row>
    <row r="52" spans="1:27" ht="15">
      <c r="A52" s="88" t="str">
        <f>'Inputs &amp; Calcs'!A39</f>
        <v>Overhead Structures</v>
      </c>
      <c r="B52" s="88" t="str">
        <f>'Inputs &amp; Calcs'!B39</f>
        <v>Poles</v>
      </c>
      <c r="C52" s="88" t="str">
        <f>'Inputs &amp; Calcs'!C39</f>
        <v>Low Voltage</v>
      </c>
      <c r="D52" s="91">
        <f>('Work quantities to SAIDI SAIFI'!D60*'Work quantities to SAIDI SAIFI'!D33)*'Inputs &amp; Calcs'!$B$27</f>
        <v>-8.4589046507936474E-4</v>
      </c>
      <c r="E52" s="91">
        <f>('Work quantities to SAIDI SAIFI'!E60*'Work quantities to SAIDI SAIFI'!E33)*'Inputs &amp; Calcs'!$B$27</f>
        <v>-8.4415470107936487E-4</v>
      </c>
      <c r="F52" s="91">
        <f>('Work quantities to SAIDI SAIFI'!F60*'Work quantities to SAIDI SAIFI'!F33)*'Inputs &amp; Calcs'!$B$27</f>
        <v>-5.6747391947936513E-4</v>
      </c>
      <c r="G52" s="91">
        <f>('Work quantities to SAIDI SAIFI'!G60*'Work quantities to SAIDI SAIFI'!G33)*'Inputs &amp; Calcs'!$B$27</f>
        <v>-2.2726417547936547E-4</v>
      </c>
      <c r="H52" s="91">
        <f>('Work quantities to SAIDI SAIFI'!H60*'Work quantities to SAIDI SAIFI'!H33)*'Inputs &amp; Calcs'!$B$27</f>
        <v>1.2591222962555706E-4</v>
      </c>
      <c r="I52" s="91">
        <f>('Work quantities to SAIDI SAIFI'!I60*'Work quantities to SAIDI SAIFI'!I33)*'Inputs &amp; Calcs'!$B$27</f>
        <v>7.7897638520604761E-5</v>
      </c>
      <c r="J52" s="91">
        <f>('Work quantities to SAIDI SAIFI'!J60*'Work quantities to SAIDI SAIFI'!J33)*'Inputs &amp; Calcs'!$B$27</f>
        <v>-6.8466945304995243E-5</v>
      </c>
      <c r="K52" s="91">
        <f>('Work quantities to SAIDI SAIFI'!K60*'Work quantities to SAIDI SAIFI'!K33)*'Inputs &amp; Calcs'!$B$27</f>
        <v>-2.9623391619618594E-4</v>
      </c>
      <c r="L52" s="91">
        <f>('Work quantities to SAIDI SAIFI'!L60*'Work quantities to SAIDI SAIFI'!L33)*'Inputs &amp; Calcs'!$B$27</f>
        <v>-5.7090083417660003E-4</v>
      </c>
      <c r="M52" s="91">
        <f>('Work quantities to SAIDI SAIFI'!M60*'Work quantities to SAIDI SAIFI'!M33)*'Inputs &amp; Calcs'!$B$27</f>
        <v>-5.8033791785658609E-4</v>
      </c>
      <c r="N52" s="91">
        <f>('Work quantities to SAIDI SAIFI'!N60*'Work quantities to SAIDI SAIFI'!N33)*'Inputs &amp; Calcs'!$B$27</f>
        <v>-5.8799115155978008E-4</v>
      </c>
      <c r="O52" s="76"/>
      <c r="P52" s="76"/>
      <c r="Q52" s="76"/>
      <c r="R52" s="76"/>
      <c r="S52" s="76"/>
      <c r="T52" s="76"/>
      <c r="U52" s="76"/>
      <c r="V52" s="76"/>
      <c r="W52" s="76"/>
      <c r="X52" s="76"/>
      <c r="Y52" s="76"/>
      <c r="Z52" s="76"/>
      <c r="AA52" s="76"/>
    </row>
    <row r="53" spans="1:27" ht="15">
      <c r="A53" s="88" t="str">
        <f>'Inputs &amp; Calcs'!A40</f>
        <v>Overhead Structures</v>
      </c>
      <c r="B53" s="88" t="str">
        <f>'Inputs &amp; Calcs'!B40</f>
        <v>Poles</v>
      </c>
      <c r="C53" s="88" t="str">
        <f>'Inputs &amp; Calcs'!C40</f>
        <v>Distribution</v>
      </c>
      <c r="D53" s="91">
        <f>('Work quantities to SAIDI SAIFI'!D61*'Work quantities to SAIDI SAIFI'!D34)*'Inputs &amp; Calcs'!$B$27</f>
        <v>1.7321037245039993E-2</v>
      </c>
      <c r="E53" s="91">
        <f>('Work quantities to SAIDI SAIFI'!E61*'Work quantities to SAIDI SAIFI'!E34)*'Inputs &amp; Calcs'!$B$27</f>
        <v>2.0230989840900618E-2</v>
      </c>
      <c r="F53" s="91">
        <f>('Work quantities to SAIDI SAIFI'!F61*'Work quantities to SAIDI SAIFI'!F34)*'Inputs &amp; Calcs'!$B$27</f>
        <v>3.9787419698820631E-2</v>
      </c>
      <c r="G53" s="91">
        <f>('Work quantities to SAIDI SAIFI'!G61*'Work quantities to SAIDI SAIFI'!G34)*'Inputs &amp; Calcs'!$B$27</f>
        <v>6.0927159419056E-2</v>
      </c>
      <c r="H53" s="91">
        <f>('Work quantities to SAIDI SAIFI'!H61*'Work quantities to SAIDI SAIFI'!H34)*'Inputs &amp; Calcs'!$B$27</f>
        <v>6.6145101924737978E-2</v>
      </c>
      <c r="I53" s="91">
        <f>('Work quantities to SAIDI SAIFI'!I61*'Work quantities to SAIDI SAIFI'!I34)*'Inputs &amp; Calcs'!$B$27</f>
        <v>7.5845449938368323E-2</v>
      </c>
      <c r="J53" s="91">
        <f>('Work quantities to SAIDI SAIFI'!J61*'Work quantities to SAIDI SAIFI'!J34)*'Inputs &amp; Calcs'!$B$27</f>
        <v>7.827248407237343E-2</v>
      </c>
      <c r="K53" s="91">
        <f>('Work quantities to SAIDI SAIFI'!K61*'Work quantities to SAIDI SAIFI'!K34)*'Inputs &amp; Calcs'!$B$27</f>
        <v>7.5720290209205385E-2</v>
      </c>
      <c r="L53" s="91">
        <f>('Work quantities to SAIDI SAIFI'!L61*'Work quantities to SAIDI SAIFI'!L34)*'Inputs &amp; Calcs'!$B$27</f>
        <v>6.7724392761352684E-2</v>
      </c>
      <c r="M53" s="91">
        <f>('Work quantities to SAIDI SAIFI'!M61*'Work quantities to SAIDI SAIFI'!M34)*'Inputs &amp; Calcs'!$B$27</f>
        <v>6.7238126690087677E-2</v>
      </c>
      <c r="N53" s="91">
        <f>('Work quantities to SAIDI SAIFI'!N61*'Work quantities to SAIDI SAIFI'!N34)*'Inputs &amp; Calcs'!$B$27</f>
        <v>6.6999326879234683E-2</v>
      </c>
      <c r="O53" s="76"/>
      <c r="P53" s="76"/>
      <c r="Q53" s="76"/>
      <c r="R53" s="76"/>
      <c r="S53" s="76"/>
      <c r="T53" s="76"/>
      <c r="U53" s="76"/>
      <c r="V53" s="76"/>
      <c r="W53" s="76"/>
      <c r="X53" s="76"/>
      <c r="Y53" s="76"/>
      <c r="Z53" s="76"/>
      <c r="AA53" s="76"/>
    </row>
    <row r="54" spans="1:27" ht="15">
      <c r="A54" s="88" t="str">
        <f>'Inputs &amp; Calcs'!A41</f>
        <v>Overhead Structures</v>
      </c>
      <c r="B54" s="88" t="str">
        <f>'Inputs &amp; Calcs'!B41</f>
        <v>Poles</v>
      </c>
      <c r="C54" s="88" t="str">
        <f>'Inputs &amp; Calcs'!C41</f>
        <v>Subtransmission</v>
      </c>
      <c r="D54" s="91">
        <f>('Work quantities to SAIDI SAIFI'!D62*'Work quantities to SAIDI SAIFI'!D35)*'Inputs &amp; Calcs'!$B$27</f>
        <v>6.7383853359959198E-4</v>
      </c>
      <c r="E54" s="91">
        <f>('Work quantities to SAIDI SAIFI'!E62*'Work quantities to SAIDI SAIFI'!E35)*'Inputs &amp; Calcs'!$B$27</f>
        <v>-2.1873334053590962E-3</v>
      </c>
      <c r="F54" s="91">
        <f>('Work quantities to SAIDI SAIFI'!F62*'Work quantities to SAIDI SAIFI'!F35)*'Inputs &amp; Calcs'!$B$27</f>
        <v>-1.1130936871726175E-3</v>
      </c>
      <c r="G54" s="91">
        <f>('Work quantities to SAIDI SAIFI'!G62*'Work quantities to SAIDI SAIFI'!G35)*'Inputs &amp; Calcs'!$B$27</f>
        <v>-2.6912183063180069E-4</v>
      </c>
      <c r="H54" s="91">
        <f>('Work quantities to SAIDI SAIFI'!H62*'Work quantities to SAIDI SAIFI'!H35)*'Inputs &amp; Calcs'!$B$27</f>
        <v>8.2415413550892075E-5</v>
      </c>
      <c r="I54" s="91">
        <f>('Work quantities to SAIDI SAIFI'!I62*'Work quantities to SAIDI SAIFI'!I35)*'Inputs &amp; Calcs'!$B$27</f>
        <v>-1.5046904396963726E-4</v>
      </c>
      <c r="J54" s="91">
        <f>('Work quantities to SAIDI SAIFI'!J62*'Work quantities to SAIDI SAIFI'!J35)*'Inputs &amp; Calcs'!$B$27</f>
        <v>-3.2995637172199526E-4</v>
      </c>
      <c r="K54" s="91">
        <f>('Work quantities to SAIDI SAIFI'!K62*'Work quantities to SAIDI SAIFI'!K35)*'Inputs &amp; Calcs'!$B$27</f>
        <v>-9.885240857869695E-4</v>
      </c>
      <c r="L54" s="91">
        <f>('Work quantities to SAIDI SAIFI'!L62*'Work quantities to SAIDI SAIFI'!L35)*'Inputs &amp; Calcs'!$B$27</f>
        <v>-1.7698895409607735E-3</v>
      </c>
      <c r="M54" s="91">
        <f>('Work quantities to SAIDI SAIFI'!M62*'Work quantities to SAIDI SAIFI'!M35)*'Inputs &amp; Calcs'!$B$27</f>
        <v>-1.7553487888321761E-3</v>
      </c>
      <c r="N54" s="91">
        <f>('Work quantities to SAIDI SAIFI'!N62*'Work quantities to SAIDI SAIFI'!N35)*'Inputs &amp; Calcs'!$B$27</f>
        <v>-1.7407130132680794E-3</v>
      </c>
      <c r="O54" s="76"/>
      <c r="P54" s="76"/>
      <c r="Q54" s="76"/>
      <c r="R54" s="76"/>
      <c r="S54" s="76"/>
      <c r="T54" s="76"/>
      <c r="U54" s="76"/>
      <c r="V54" s="76"/>
      <c r="W54" s="76"/>
      <c r="X54" s="76"/>
      <c r="Y54" s="76"/>
      <c r="Z54" s="76"/>
      <c r="AA54" s="76"/>
    </row>
    <row r="55" spans="1:27" ht="15">
      <c r="A55" s="88" t="str">
        <f>'Inputs &amp; Calcs'!A42</f>
        <v>Overhead Structures</v>
      </c>
      <c r="B55" s="88" t="str">
        <f>'Inputs &amp; Calcs'!B42</f>
        <v>Crossarms</v>
      </c>
      <c r="C55" s="88" t="str">
        <f>'Inputs &amp; Calcs'!C42</f>
        <v>Low Voltage</v>
      </c>
      <c r="D55" s="91">
        <f>('Work quantities to SAIDI SAIFI'!D63*'Work quantities to SAIDI SAIFI'!D36)*'Inputs &amp; Calcs'!$B$27</f>
        <v>3.9047862709137188E-6</v>
      </c>
      <c r="E55" s="91">
        <f>('Work quantities to SAIDI SAIFI'!E63*'Work quantities to SAIDI SAIFI'!E36)*'Inputs &amp; Calcs'!$B$27</f>
        <v>4.1169507829137132E-6</v>
      </c>
      <c r="F55" s="91">
        <f>('Work quantities to SAIDI SAIFI'!F63*'Work quantities to SAIDI SAIFI'!F36)*'Inputs &amp; Calcs'!$B$27</f>
        <v>4.2883009918913736E-5</v>
      </c>
      <c r="G55" s="91">
        <f>('Work quantities to SAIDI SAIFI'!G63*'Work quantities to SAIDI SAIFI'!G36)*'Inputs &amp; Calcs'!$B$27</f>
        <v>5.0148643678913754E-5</v>
      </c>
      <c r="H55" s="91">
        <f>('Work quantities to SAIDI SAIFI'!H63*'Work quantities to SAIDI SAIFI'!H36)*'Inputs &amp; Calcs'!$B$27</f>
        <v>9.4811356328566409E-5</v>
      </c>
      <c r="I55" s="91">
        <f>('Work quantities to SAIDI SAIFI'!I63*'Work quantities to SAIDI SAIFI'!I36)*'Inputs &amp; Calcs'!$B$27</f>
        <v>1.0294460072023851E-4</v>
      </c>
      <c r="J55" s="91">
        <f>('Work quantities to SAIDI SAIFI'!J63*'Work quantities to SAIDI SAIFI'!J36)*'Inputs &amp; Calcs'!$B$27</f>
        <v>1.1582889213068407E-4</v>
      </c>
      <c r="K55" s="91">
        <f>('Work quantities to SAIDI SAIFI'!K63*'Work quantities to SAIDI SAIFI'!K36)*'Inputs &amp; Calcs'!$B$27</f>
        <v>9.1362725452527989E-5</v>
      </c>
      <c r="L55" s="91">
        <f>('Work quantities to SAIDI SAIFI'!L63*'Work quantities to SAIDI SAIFI'!L36)*'Inputs &amp; Calcs'!$B$27</f>
        <v>6.2844207957162026E-5</v>
      </c>
      <c r="M55" s="91">
        <f>('Work quantities to SAIDI SAIFI'!M63*'Work quantities to SAIDI SAIFI'!M36)*'Inputs &amp; Calcs'!$B$27</f>
        <v>6.6761209776616982E-5</v>
      </c>
      <c r="N55" s="91">
        <f>('Work quantities to SAIDI SAIFI'!N63*'Work quantities to SAIDI SAIFI'!N36)*'Inputs &amp; Calcs'!$B$27</f>
        <v>7.0523091569768209E-5</v>
      </c>
      <c r="O55" s="76"/>
      <c r="P55" s="76"/>
      <c r="Q55" s="76"/>
      <c r="R55" s="76"/>
      <c r="S55" s="76"/>
      <c r="T55" s="76"/>
      <c r="U55" s="76"/>
      <c r="V55" s="76"/>
      <c r="W55" s="76"/>
      <c r="X55" s="76"/>
      <c r="Y55" s="76"/>
      <c r="Z55" s="76"/>
      <c r="AA55" s="76"/>
    </row>
    <row r="56" spans="1:27" ht="15">
      <c r="A56" s="88" t="str">
        <f>'Inputs &amp; Calcs'!A43</f>
        <v>Overhead Structures</v>
      </c>
      <c r="B56" s="88" t="str">
        <f>'Inputs &amp; Calcs'!B43</f>
        <v>Crossarms</v>
      </c>
      <c r="C56" s="88" t="str">
        <f>'Inputs &amp; Calcs'!C43</f>
        <v>Distribution</v>
      </c>
      <c r="D56" s="91">
        <f>('Work quantities to SAIDI SAIFI'!D64*'Work quantities to SAIDI SAIFI'!D37)*'Inputs &amp; Calcs'!$B$27</f>
        <v>-9.6021853070662555E-4</v>
      </c>
      <c r="E56" s="91">
        <f>('Work quantities to SAIDI SAIFI'!E64*'Work quantities to SAIDI SAIFI'!E37)*'Inputs &amp; Calcs'!$B$27</f>
        <v>-5.5633019022272424E-4</v>
      </c>
      <c r="F56" s="91">
        <f>('Work quantities to SAIDI SAIFI'!F64*'Work quantities to SAIDI SAIFI'!F37)*'Inputs &amp; Calcs'!$B$27</f>
        <v>7.8402163860555249E-3</v>
      </c>
      <c r="G56" s="91">
        <f>('Work quantities to SAIDI SAIFI'!G64*'Work quantities to SAIDI SAIFI'!G37)*'Inputs &amp; Calcs'!$B$27</f>
        <v>9.4758009940360977E-3</v>
      </c>
      <c r="H56" s="91">
        <f>('Work quantities to SAIDI SAIFI'!H64*'Work quantities to SAIDI SAIFI'!H37)*'Inputs &amp; Calcs'!$B$27</f>
        <v>1.440123237888544E-2</v>
      </c>
      <c r="I56" s="91">
        <f>('Work quantities to SAIDI SAIFI'!I64*'Work quantities to SAIDI SAIFI'!I37)*'Inputs &amp; Calcs'!$B$27</f>
        <v>1.7254355688057981E-2</v>
      </c>
      <c r="J56" s="91">
        <f>('Work quantities to SAIDI SAIFI'!J64*'Work quantities to SAIDI SAIFI'!J37)*'Inputs &amp; Calcs'!$B$27</f>
        <v>2.0608157254668701E-2</v>
      </c>
      <c r="K56" s="91">
        <f>('Work quantities to SAIDI SAIFI'!K64*'Work quantities to SAIDI SAIFI'!K37)*'Inputs &amp; Calcs'!$B$27</f>
        <v>1.7579776946252037E-2</v>
      </c>
      <c r="L56" s="91">
        <f>('Work quantities to SAIDI SAIFI'!L64*'Work quantities to SAIDI SAIFI'!L37)*'Inputs &amp; Calcs'!$B$27</f>
        <v>1.3275878801458961E-2</v>
      </c>
      <c r="M56" s="91">
        <f>('Work quantities to SAIDI SAIFI'!M64*'Work quantities to SAIDI SAIFI'!M37)*'Inputs &amp; Calcs'!$B$27</f>
        <v>1.3757573920465203E-2</v>
      </c>
      <c r="N56" s="91">
        <f>('Work quantities to SAIDI SAIFI'!N64*'Work quantities to SAIDI SAIFI'!N37)*'Inputs &amp; Calcs'!$B$27</f>
        <v>1.4214380973553651E-2</v>
      </c>
      <c r="O56" s="76"/>
      <c r="P56" s="76"/>
      <c r="Q56" s="76"/>
      <c r="R56" s="76"/>
      <c r="S56" s="76"/>
      <c r="T56" s="76"/>
      <c r="U56" s="76"/>
      <c r="V56" s="76"/>
      <c r="W56" s="76"/>
      <c r="X56" s="76"/>
      <c r="Y56" s="76"/>
      <c r="Z56" s="76"/>
      <c r="AA56" s="76"/>
    </row>
    <row r="57" spans="1:27" ht="15">
      <c r="A57" s="88" t="str">
        <f>'Inputs &amp; Calcs'!A44</f>
        <v>Overhead Structures</v>
      </c>
      <c r="B57" s="88" t="str">
        <f>'Inputs &amp; Calcs'!B44</f>
        <v>Crossarms</v>
      </c>
      <c r="C57" s="88" t="str">
        <f>'Inputs &amp; Calcs'!C44</f>
        <v>Subtransmission</v>
      </c>
      <c r="D57" s="91">
        <f>('Work quantities to SAIDI SAIFI'!D65*'Work quantities to SAIDI SAIFI'!D38)*'Inputs &amp; Calcs'!$B$27</f>
        <v>5.3553982463193448E-4</v>
      </c>
      <c r="E57" s="91">
        <f>('Work quantities to SAIDI SAIFI'!E65*'Work quantities to SAIDI SAIFI'!E38)*'Inputs &amp; Calcs'!$B$27</f>
        <v>4.2751722448291889E-4</v>
      </c>
      <c r="F57" s="91">
        <f>('Work quantities to SAIDI SAIFI'!F65*'Work quantities to SAIDI SAIFI'!F38)*'Inputs &amp; Calcs'!$B$27</f>
        <v>1.4079739401533934E-3</v>
      </c>
      <c r="G57" s="91">
        <f>('Work quantities to SAIDI SAIFI'!G65*'Work quantities to SAIDI SAIFI'!G38)*'Inputs &amp; Calcs'!$B$27</f>
        <v>2.6292089981845598E-3</v>
      </c>
      <c r="H57" s="91">
        <f>('Work quantities to SAIDI SAIFI'!H65*'Work quantities to SAIDI SAIFI'!H38)*'Inputs &amp; Calcs'!$B$27</f>
        <v>1.2975423342065067E-3</v>
      </c>
      <c r="I57" s="91">
        <f>('Work quantities to SAIDI SAIFI'!I65*'Work quantities to SAIDI SAIFI'!I38)*'Inputs &amp; Calcs'!$B$27</f>
        <v>3.8698924051208211E-4</v>
      </c>
      <c r="J57" s="91">
        <f>('Work quantities to SAIDI SAIFI'!J65*'Work quantities to SAIDI SAIFI'!J38)*'Inputs &amp; Calcs'!$B$27</f>
        <v>-8.2958040006150054E-4</v>
      </c>
      <c r="K57" s="91">
        <f>('Work quantities to SAIDI SAIFI'!K65*'Work quantities to SAIDI SAIFI'!K38)*'Inputs &amp; Calcs'!$B$27</f>
        <v>-1.3034947204577441E-3</v>
      </c>
      <c r="L57" s="91">
        <f>('Work quantities to SAIDI SAIFI'!L65*'Work quantities to SAIDI SAIFI'!L38)*'Inputs &amp; Calcs'!$B$27</f>
        <v>-1.3128664935728913E-3</v>
      </c>
      <c r="M57" s="91">
        <f>('Work quantities to SAIDI SAIFI'!M65*'Work quantities to SAIDI SAIFI'!M38)*'Inputs &amp; Calcs'!$B$27</f>
        <v>-1.3004217565418812E-3</v>
      </c>
      <c r="N57" s="91">
        <f>('Work quantities to SAIDI SAIFI'!N65*'Work quantities to SAIDI SAIFI'!N38)*'Inputs &amp; Calcs'!$B$27</f>
        <v>-1.2879694288152213E-3</v>
      </c>
      <c r="O57" s="76"/>
      <c r="P57" s="76"/>
      <c r="Q57" s="76"/>
      <c r="R57" s="76"/>
      <c r="S57" s="76"/>
      <c r="T57" s="76"/>
      <c r="U57" s="76"/>
      <c r="V57" s="76"/>
      <c r="W57" s="76"/>
      <c r="X57" s="76"/>
      <c r="Y57" s="76"/>
      <c r="Z57" s="76"/>
      <c r="AA57" s="76"/>
    </row>
    <row r="58" spans="1:27" ht="15">
      <c r="A58" s="88" t="str">
        <f>'Inputs &amp; Calcs'!A45</f>
        <v>Overhead Conductor</v>
      </c>
      <c r="B58" s="88" t="str">
        <f>'Inputs &amp; Calcs'!B45</f>
        <v>Conductor</v>
      </c>
      <c r="C58" s="88" t="str">
        <f>'Inputs &amp; Calcs'!C45</f>
        <v>Low Voltage</v>
      </c>
      <c r="D58" s="91">
        <f>('Work quantities to SAIDI SAIFI'!D66*'Work quantities to SAIDI SAIFI'!D39)*'Inputs &amp; Calcs'!$B$27</f>
        <v>1.8885714119999973E-6</v>
      </c>
      <c r="E58" s="91">
        <f>('Work quantities to SAIDI SAIFI'!E66*'Work quantities to SAIDI SAIFI'!E39)*'Inputs &amp; Calcs'!$B$27</f>
        <v>5.2518725532000052E-6</v>
      </c>
      <c r="F58" s="91">
        <f>('Work quantities to SAIDI SAIFI'!F66*'Work quantities to SAIDI SAIFI'!F39)*'Inputs &amp; Calcs'!$B$27</f>
        <v>3.9016846686347112E-5</v>
      </c>
      <c r="G58" s="91">
        <f>('Work quantities to SAIDI SAIFI'!G66*'Work quantities to SAIDI SAIFI'!G39)*'Inputs &amp; Calcs'!$B$27</f>
        <v>7.2781820819494195E-5</v>
      </c>
      <c r="H58" s="91">
        <f>('Work quantities to SAIDI SAIFI'!H66*'Work quantities to SAIDI SAIFI'!H39)*'Inputs &amp; Calcs'!$B$27</f>
        <v>1.0654679495264126E-4</v>
      </c>
      <c r="I58" s="91">
        <f>('Work quantities to SAIDI SAIFI'!I66*'Work quantities to SAIDI SAIFI'!I39)*'Inputs &amp; Calcs'!$B$27</f>
        <v>1.3807503836767314E-4</v>
      </c>
      <c r="J58" s="91">
        <f>('Work quantities to SAIDI SAIFI'!J66*'Work quantities to SAIDI SAIFI'!J39)*'Inputs &amp; Calcs'!$B$27</f>
        <v>1.6893121363846208E-4</v>
      </c>
      <c r="K58" s="91">
        <f>('Work quantities to SAIDI SAIFI'!K66*'Work quantities to SAIDI SAIFI'!K39)*'Inputs &amp; Calcs'!$B$27</f>
        <v>1.8629373158767068E-4</v>
      </c>
      <c r="L58" s="91">
        <f>('Work quantities to SAIDI SAIFI'!L66*'Work quantities to SAIDI SAIFI'!L39)*'Inputs &amp; Calcs'!$B$27</f>
        <v>2.0446347881601556E-4</v>
      </c>
      <c r="M58" s="91">
        <f>('Work quantities to SAIDI SAIFI'!M66*'Work quantities to SAIDI SAIFI'!M39)*'Inputs &amp; Calcs'!$B$27</f>
        <v>2.2325863924882049E-4</v>
      </c>
      <c r="N58" s="91">
        <f>('Work quantities to SAIDI SAIFI'!N66*'Work quantities to SAIDI SAIFI'!N39)*'Inputs &amp; Calcs'!$B$27</f>
        <v>2.4260042499101963E-4</v>
      </c>
      <c r="O58" s="76"/>
      <c r="P58" s="76"/>
      <c r="Q58" s="76"/>
      <c r="R58" s="76"/>
      <c r="S58" s="76"/>
      <c r="T58" s="76"/>
      <c r="U58" s="76"/>
      <c r="V58" s="76"/>
      <c r="W58" s="76"/>
      <c r="X58" s="76"/>
      <c r="Y58" s="76"/>
      <c r="Z58" s="76"/>
      <c r="AA58" s="76"/>
    </row>
    <row r="59" spans="1:27" ht="15">
      <c r="A59" s="88" t="str">
        <f>'Inputs &amp; Calcs'!A46</f>
        <v>Overhead Conductor</v>
      </c>
      <c r="B59" s="88" t="str">
        <f>'Inputs &amp; Calcs'!B46</f>
        <v>Conductor</v>
      </c>
      <c r="C59" s="88" t="str">
        <f>'Inputs &amp; Calcs'!C46</f>
        <v>Distribution</v>
      </c>
      <c r="D59" s="91">
        <f>('Work quantities to SAIDI SAIFI'!D67*'Work quantities to SAIDI SAIFI'!D40)*'Inputs &amp; Calcs'!$B$27</f>
        <v>-1.7609934229242174E-4</v>
      </c>
      <c r="E59" s="91">
        <f>('Work quantities to SAIDI SAIFI'!E67*'Work quantities to SAIDI SAIFI'!E40)*'Inputs &amp; Calcs'!$B$27</f>
        <v>1.2175288041953566E-3</v>
      </c>
      <c r="F59" s="91">
        <f>('Work quantities to SAIDI SAIFI'!F67*'Work quantities to SAIDI SAIFI'!F40)*'Inputs &amp; Calcs'!$B$27</f>
        <v>5.0801511005294881E-3</v>
      </c>
      <c r="G59" s="91">
        <f>('Work quantities to SAIDI SAIFI'!G67*'Work quantities to SAIDI SAIFI'!G40)*'Inputs &amp; Calcs'!$B$27</f>
        <v>8.9005422409094478E-3</v>
      </c>
      <c r="H59" s="91">
        <f>('Work quantities to SAIDI SAIFI'!H67*'Work quantities to SAIDI SAIFI'!H40)*'Inputs &amp; Calcs'!$B$27</f>
        <v>1.6463768645453271E-2</v>
      </c>
      <c r="I59" s="91">
        <f>('Work quantities to SAIDI SAIFI'!I67*'Work quantities to SAIDI SAIFI'!I40)*'Inputs &amp; Calcs'!$B$27</f>
        <v>2.3886624914719559E-2</v>
      </c>
      <c r="J59" s="91">
        <f>('Work quantities to SAIDI SAIFI'!J67*'Work quantities to SAIDI SAIFI'!J40)*'Inputs &amp; Calcs'!$B$27</f>
        <v>2.7778888195514773E-2</v>
      </c>
      <c r="K59" s="91">
        <f>('Work quantities to SAIDI SAIFI'!K67*'Work quantities to SAIDI SAIFI'!K40)*'Inputs &amp; Calcs'!$B$27</f>
        <v>3.005788460116382E-2</v>
      </c>
      <c r="L59" s="91">
        <f>('Work quantities to SAIDI SAIFI'!L67*'Work quantities to SAIDI SAIFI'!L40)*'Inputs &amp; Calcs'!$B$27</f>
        <v>3.040141750571115E-2</v>
      </c>
      <c r="M59" s="91">
        <f>('Work quantities to SAIDI SAIFI'!M67*'Work quantities to SAIDI SAIFI'!M40)*'Inputs &amp; Calcs'!$B$27</f>
        <v>3.0634119100436653E-2</v>
      </c>
      <c r="N59" s="91">
        <f>('Work quantities to SAIDI SAIFI'!N67*'Work quantities to SAIDI SAIFI'!N40)*'Inputs &amp; Calcs'!$B$27</f>
        <v>3.0743294563996219E-2</v>
      </c>
      <c r="O59" s="76"/>
      <c r="P59" s="76"/>
      <c r="Q59" s="76"/>
      <c r="R59" s="76"/>
      <c r="S59" s="76"/>
      <c r="T59" s="76"/>
      <c r="U59" s="76"/>
      <c r="V59" s="76"/>
      <c r="W59" s="76"/>
      <c r="X59" s="76"/>
      <c r="Y59" s="76"/>
      <c r="Z59" s="76"/>
      <c r="AA59" s="76"/>
    </row>
    <row r="60" spans="1:27" ht="15">
      <c r="A60" s="88" t="str">
        <f>'Inputs &amp; Calcs'!A47</f>
        <v>Overhead Conductor</v>
      </c>
      <c r="B60" s="88" t="str">
        <f>'Inputs &amp; Calcs'!B47</f>
        <v>Conductor</v>
      </c>
      <c r="C60" s="88" t="str">
        <f>'Inputs &amp; Calcs'!C47</f>
        <v>Subtransmission</v>
      </c>
      <c r="D60" s="91">
        <f>('Work quantities to SAIDI SAIFI'!D68*'Work quantities to SAIDI SAIFI'!D41)*'Inputs &amp; Calcs'!$B$27</f>
        <v>1.9348883171712E-7</v>
      </c>
      <c r="E60" s="91">
        <f>('Work quantities to SAIDI SAIFI'!E68*'Work quantities to SAIDI SAIFI'!E41)*'Inputs &amp; Calcs'!$B$27</f>
        <v>1.7018382349152004E-7</v>
      </c>
      <c r="F60" s="91">
        <f>('Work quantities to SAIDI SAIFI'!F68*'Work quantities to SAIDI SAIFI'!F41)*'Inputs &amp; Calcs'!$B$27</f>
        <v>1.5362272033056002E-7</v>
      </c>
      <c r="G60" s="91">
        <f>('Work quantities to SAIDI SAIFI'!G68*'Work quantities to SAIDI SAIFI'!G41)*'Inputs &amp; Calcs'!$B$27</f>
        <v>1.3822400761920002E-7</v>
      </c>
      <c r="H60" s="91">
        <f>('Work quantities to SAIDI SAIFI'!H68*'Work quantities to SAIDI SAIFI'!H41)*'Inputs &amp; Calcs'!$B$27</f>
        <v>1.5055224662784004E-7</v>
      </c>
      <c r="I60" s="91">
        <f>('Work quantities to SAIDI SAIFI'!I68*'Work quantities to SAIDI SAIFI'!I41)*'Inputs &amp; Calcs'!$B$27</f>
        <v>1.8246867351168003E-7</v>
      </c>
      <c r="J60" s="91">
        <f>('Work quantities to SAIDI SAIFI'!J68*'Work quantities to SAIDI SAIFI'!J41)*'Inputs &amp; Calcs'!$B$27</f>
        <v>1.8219879943104002E-7</v>
      </c>
      <c r="K60" s="91">
        <f>('Work quantities to SAIDI SAIFI'!K68*'Work quantities to SAIDI SAIFI'!K41)*'Inputs &amp; Calcs'!$B$27</f>
        <v>1.8224136000000006E-7</v>
      </c>
      <c r="L60" s="91">
        <f>('Work quantities to SAIDI SAIFI'!L68*'Work quantities to SAIDI SAIFI'!L41)*'Inputs &amp; Calcs'!$B$27</f>
        <v>1.8224136000000006E-7</v>
      </c>
      <c r="M60" s="91">
        <f>('Work quantities to SAIDI SAIFI'!M68*'Work quantities to SAIDI SAIFI'!M41)*'Inputs &amp; Calcs'!$B$27</f>
        <v>1.8224136000000006E-7</v>
      </c>
      <c r="N60" s="91">
        <f>('Work quantities to SAIDI SAIFI'!N68*'Work quantities to SAIDI SAIFI'!N41)*'Inputs &amp; Calcs'!$B$27</f>
        <v>1.8224136000000006E-7</v>
      </c>
      <c r="O60" s="76"/>
      <c r="P60" s="76"/>
      <c r="Q60" s="76"/>
      <c r="R60" s="76"/>
      <c r="S60" s="76"/>
      <c r="T60" s="76"/>
      <c r="U60" s="76"/>
      <c r="V60" s="76"/>
      <c r="W60" s="76"/>
      <c r="X60" s="76"/>
      <c r="Y60" s="76"/>
      <c r="Z60" s="76"/>
      <c r="AA60" s="76"/>
    </row>
    <row r="61" spans="1:27" ht="15">
      <c r="A61" s="88" t="str">
        <f>'Inputs &amp; Calcs'!A48</f>
        <v>Distribution Transformers</v>
      </c>
      <c r="B61" s="88" t="str">
        <f>'Inputs &amp; Calcs'!B48</f>
        <v>Pole Mounted Transformers</v>
      </c>
      <c r="C61" s="88" t="str">
        <f>'Inputs &amp; Calcs'!C48</f>
        <v>Pole Mounted Transformers</v>
      </c>
      <c r="D61" s="91">
        <f>('Work quantities to SAIDI SAIFI'!D69*'Work quantities to SAIDI SAIFI'!D42)*'Inputs &amp; Calcs'!$B$27</f>
        <v>-1.1218839852176038E-3</v>
      </c>
      <c r="E61" s="91">
        <f>('Work quantities to SAIDI SAIFI'!E69*'Work quantities to SAIDI SAIFI'!E42)*'Inputs &amp; Calcs'!$B$27</f>
        <v>-1.2504500098958859E-3</v>
      </c>
      <c r="F61" s="91">
        <f>('Work quantities to SAIDI SAIFI'!F69*'Work quantities to SAIDI SAIFI'!F42)*'Inputs &amp; Calcs'!$B$27</f>
        <v>-1.1213135268519604E-3</v>
      </c>
      <c r="G61" s="91">
        <f>('Work quantities to SAIDI SAIFI'!G69*'Work quantities to SAIDI SAIFI'!G42)*'Inputs &amp; Calcs'!$B$27</f>
        <v>-9.7605360092676847E-4</v>
      </c>
      <c r="H61" s="91">
        <f>('Work quantities to SAIDI SAIFI'!H69*'Work quantities to SAIDI SAIFI'!H42)*'Inputs &amp; Calcs'!$B$27</f>
        <v>-8.8672704285429262E-4</v>
      </c>
      <c r="I61" s="91">
        <f>('Work quantities to SAIDI SAIFI'!I69*'Work quantities to SAIDI SAIFI'!I42)*'Inputs &amp; Calcs'!$B$27</f>
        <v>-8.2018427341190526E-4</v>
      </c>
      <c r="J61" s="91">
        <f>('Work quantities to SAIDI SAIFI'!J69*'Work quantities to SAIDI SAIFI'!J42)*'Inputs &amp; Calcs'!$B$27</f>
        <v>-8.0999930777369579E-4</v>
      </c>
      <c r="K61" s="91">
        <f>('Work quantities to SAIDI SAIFI'!K69*'Work quantities to SAIDI SAIFI'!K42)*'Inputs &amp; Calcs'!$B$27</f>
        <v>-7.1493101154666264E-4</v>
      </c>
      <c r="L61" s="91">
        <f>('Work quantities to SAIDI SAIFI'!L69*'Work quantities to SAIDI SAIFI'!L42)*'Inputs &amp; Calcs'!$B$27</f>
        <v>-4.9528062563010953E-4</v>
      </c>
      <c r="M61" s="91">
        <f>('Work quantities to SAIDI SAIFI'!M69*'Work quantities to SAIDI SAIFI'!M42)*'Inputs &amp; Calcs'!$B$27</f>
        <v>-4.5534159492267786E-4</v>
      </c>
      <c r="N61" s="91">
        <f>('Work quantities to SAIDI SAIFI'!N69*'Work quantities to SAIDI SAIFI'!N42)*'Inputs &amp; Calcs'!$B$27</f>
        <v>-4.3645606817788103E-4</v>
      </c>
      <c r="O61" s="76"/>
      <c r="P61" s="76"/>
      <c r="Q61" s="76"/>
      <c r="R61" s="76"/>
      <c r="S61" s="76"/>
      <c r="T61" s="76"/>
      <c r="U61" s="76"/>
      <c r="V61" s="76"/>
      <c r="W61" s="76"/>
      <c r="X61" s="76"/>
      <c r="Y61" s="76"/>
      <c r="Z61" s="76"/>
      <c r="AA61" s="76"/>
    </row>
    <row r="62" spans="1:27" ht="15">
      <c r="A62" s="88" t="str">
        <f>'Inputs &amp; Calcs'!A49</f>
        <v>Distribution Transformers</v>
      </c>
      <c r="B62" s="88" t="str">
        <f>'Inputs &amp; Calcs'!B49</f>
        <v>Pole Mounted Transformers</v>
      </c>
      <c r="C62" s="88" t="str">
        <f>'Inputs &amp; Calcs'!C49</f>
        <v>LV Fusing</v>
      </c>
      <c r="D62" s="91">
        <f>('Work quantities to SAIDI SAIFI'!D70*'Work quantities to SAIDI SAIFI'!D43)*'Inputs &amp; Calcs'!$B$27</f>
        <v>3.4886154558301996E-3</v>
      </c>
      <c r="E62" s="91">
        <f>('Work quantities to SAIDI SAIFI'!E70*'Work quantities to SAIDI SAIFI'!E43)*'Inputs &amp; Calcs'!$B$27</f>
        <v>3.4886154558301996E-3</v>
      </c>
      <c r="F62" s="91">
        <f>('Work quantities to SAIDI SAIFI'!F70*'Work quantities to SAIDI SAIFI'!F43)*'Inputs &amp; Calcs'!$B$27</f>
        <v>3.4886154558301996E-3</v>
      </c>
      <c r="G62" s="91">
        <f>('Work quantities to SAIDI SAIFI'!G70*'Work quantities to SAIDI SAIFI'!G43)*'Inputs &amp; Calcs'!$B$27</f>
        <v>3.4886154558301996E-3</v>
      </c>
      <c r="H62" s="91">
        <f>('Work quantities to SAIDI SAIFI'!H70*'Work quantities to SAIDI SAIFI'!H43)*'Inputs &amp; Calcs'!$B$27</f>
        <v>3.4886154558301996E-3</v>
      </c>
      <c r="I62" s="91">
        <f>('Work quantities to SAIDI SAIFI'!I70*'Work quantities to SAIDI SAIFI'!I43)*'Inputs &amp; Calcs'!$B$27</f>
        <v>3.4886154558301996E-3</v>
      </c>
      <c r="J62" s="91">
        <f>('Work quantities to SAIDI SAIFI'!J70*'Work quantities to SAIDI SAIFI'!J43)*'Inputs &amp; Calcs'!$B$27</f>
        <v>3.4886154558301996E-3</v>
      </c>
      <c r="K62" s="91">
        <f>('Work quantities to SAIDI SAIFI'!K70*'Work quantities to SAIDI SAIFI'!K43)*'Inputs &amp; Calcs'!$B$27</f>
        <v>-7.0963072694701064E-3</v>
      </c>
      <c r="L62" s="91">
        <f>('Work quantities to SAIDI SAIFI'!L70*'Work quantities to SAIDI SAIFI'!L43)*'Inputs &amp; Calcs'!$B$27</f>
        <v>-7.0963072694701064E-3</v>
      </c>
      <c r="M62" s="91">
        <f>('Work quantities to SAIDI SAIFI'!M70*'Work quantities to SAIDI SAIFI'!M43)*'Inputs &amp; Calcs'!$B$27</f>
        <v>-7.0963072694701064E-3</v>
      </c>
      <c r="N62" s="91">
        <f>('Work quantities to SAIDI SAIFI'!N70*'Work quantities to SAIDI SAIFI'!N43)*'Inputs &amp; Calcs'!$B$27</f>
        <v>-7.0963072694701064E-3</v>
      </c>
      <c r="O62" s="76"/>
      <c r="P62" s="76"/>
      <c r="Q62" s="76"/>
      <c r="R62" s="76"/>
      <c r="S62" s="76"/>
      <c r="T62" s="76"/>
      <c r="U62" s="76"/>
      <c r="V62" s="76"/>
      <c r="W62" s="76"/>
      <c r="X62" s="76"/>
      <c r="Y62" s="76"/>
      <c r="Z62" s="76"/>
      <c r="AA62" s="76"/>
    </row>
    <row r="63" spans="1:27" ht="15">
      <c r="A63" s="88" t="str">
        <f>'Inputs &amp; Calcs'!A50</f>
        <v>Distribution Transformers</v>
      </c>
      <c r="B63" s="88" t="str">
        <f>'Inputs &amp; Calcs'!B50</f>
        <v>Ground Mounted Transformers</v>
      </c>
      <c r="C63" s="88" t="str">
        <f>'Inputs &amp; Calcs'!C50</f>
        <v>Ground Mounted Transformers</v>
      </c>
      <c r="D63" s="91">
        <f>('Work quantities to SAIDI SAIFI'!D71*'Work quantities to SAIDI SAIFI'!D44)*'Inputs &amp; Calcs'!$B$27</f>
        <v>-2.8626786683408085E-3</v>
      </c>
      <c r="E63" s="91">
        <f>('Work quantities to SAIDI SAIFI'!E71*'Work quantities to SAIDI SAIFI'!E44)*'Inputs &amp; Calcs'!$B$27</f>
        <v>-2.7148732583934065E-3</v>
      </c>
      <c r="F63" s="91">
        <f>('Work quantities to SAIDI SAIFI'!F71*'Work quantities to SAIDI SAIFI'!F44)*'Inputs &amp; Calcs'!$B$27</f>
        <v>1.2487949343432215E-4</v>
      </c>
      <c r="G63" s="91">
        <f>('Work quantities to SAIDI SAIFI'!G71*'Work quantities to SAIDI SAIFI'!G44)*'Inputs &amp; Calcs'!$B$27</f>
        <v>1.9207696165254501E-4</v>
      </c>
      <c r="H63" s="91">
        <f>('Work quantities to SAIDI SAIFI'!H71*'Work quantities to SAIDI SAIFI'!H44)*'Inputs &amp; Calcs'!$B$27</f>
        <v>3.3855333562716555E-4</v>
      </c>
      <c r="I63" s="91">
        <f>('Work quantities to SAIDI SAIFI'!I71*'Work quantities to SAIDI SAIFI'!I44)*'Inputs &amp; Calcs'!$B$27</f>
        <v>4.2624159338382135E-4</v>
      </c>
      <c r="J63" s="91">
        <f>('Work quantities to SAIDI SAIFI'!J71*'Work quantities to SAIDI SAIFI'!J44)*'Inputs &amp; Calcs'!$B$27</f>
        <v>5.0981678371931466E-4</v>
      </c>
      <c r="K63" s="91">
        <f>('Work quantities to SAIDI SAIFI'!K71*'Work quantities to SAIDI SAIFI'!K44)*'Inputs &amp; Calcs'!$B$27</f>
        <v>6.5124179679616019E-4</v>
      </c>
      <c r="L63" s="91">
        <f>('Work quantities to SAIDI SAIFI'!L71*'Work quantities to SAIDI SAIFI'!L44)*'Inputs &amp; Calcs'!$B$27</f>
        <v>7.9206960487587374E-4</v>
      </c>
      <c r="M63" s="91">
        <f>('Work quantities to SAIDI SAIFI'!M71*'Work quantities to SAIDI SAIFI'!M44)*'Inputs &amp; Calcs'!$B$27</f>
        <v>9.3222894653335929E-4</v>
      </c>
      <c r="N63" s="91">
        <f>('Work quantities to SAIDI SAIFI'!N71*'Work quantities to SAIDI SAIFI'!N44)*'Inputs &amp; Calcs'!$B$27</f>
        <v>1.1351479216764151E-3</v>
      </c>
      <c r="O63" s="76"/>
      <c r="P63" s="76"/>
      <c r="Q63" s="76"/>
      <c r="R63" s="76"/>
      <c r="S63" s="76"/>
      <c r="T63" s="76"/>
      <c r="U63" s="76"/>
      <c r="V63" s="76"/>
      <c r="W63" s="76"/>
      <c r="X63" s="76"/>
      <c r="Y63" s="76"/>
      <c r="Z63" s="76"/>
      <c r="AA63" s="76"/>
    </row>
    <row r="64" spans="1:27" ht="15">
      <c r="A64" s="88" t="str">
        <f>'Inputs &amp; Calcs'!A51</f>
        <v>Distribution Transformers</v>
      </c>
      <c r="B64" s="88" t="str">
        <f>'Inputs &amp; Calcs'!B51</f>
        <v>Distribution Other</v>
      </c>
      <c r="C64" s="88" t="str">
        <f>'Inputs &amp; Calcs'!C51</f>
        <v>Distribution Other</v>
      </c>
      <c r="D64" s="91">
        <f>('Work quantities to SAIDI SAIFI'!D72*'Work quantities to SAIDI SAIFI'!D45)*'Inputs &amp; Calcs'!$B$27</f>
        <v>-3.9102000000000001E-4</v>
      </c>
      <c r="E64" s="91">
        <f>('Work quantities to SAIDI SAIFI'!E72*'Work quantities to SAIDI SAIFI'!E45)*'Inputs &amp; Calcs'!$B$27</f>
        <v>-3.0723000000000002E-4</v>
      </c>
      <c r="F64" s="91">
        <f>('Work quantities to SAIDI SAIFI'!F72*'Work quantities to SAIDI SAIFI'!F45)*'Inputs &amp; Calcs'!$B$27</f>
        <v>-3.0723000000000002E-4</v>
      </c>
      <c r="G64" s="91">
        <f>('Work quantities to SAIDI SAIFI'!G72*'Work quantities to SAIDI SAIFI'!G45)*'Inputs &amp; Calcs'!$B$27</f>
        <v>-3.9102000000000001E-4</v>
      </c>
      <c r="H64" s="91">
        <f>('Work quantities to SAIDI SAIFI'!H72*'Work quantities to SAIDI SAIFI'!H45)*'Inputs &amp; Calcs'!$B$27</f>
        <v>-3.9102000000000001E-4</v>
      </c>
      <c r="I64" s="91">
        <f>('Work quantities to SAIDI SAIFI'!I72*'Work quantities to SAIDI SAIFI'!I45)*'Inputs &amp; Calcs'!$B$27</f>
        <v>-3.9206737500000003E-4</v>
      </c>
      <c r="J64" s="91">
        <f>('Work quantities to SAIDI SAIFI'!J72*'Work quantities to SAIDI SAIFI'!J45)*'Inputs &amp; Calcs'!$B$27</f>
        <v>-3.1141950000000002E-4</v>
      </c>
      <c r="K64" s="91">
        <f>('Work quantities to SAIDI SAIFI'!K72*'Work quantities to SAIDI SAIFI'!K45)*'Inputs &amp; Calcs'!$B$27</f>
        <v>-3.1141950000000002E-4</v>
      </c>
      <c r="L64" s="91">
        <f>('Work quantities to SAIDI SAIFI'!L72*'Work quantities to SAIDI SAIFI'!L45)*'Inputs &amp; Calcs'!$B$27</f>
        <v>-3.9311475000000006E-4</v>
      </c>
      <c r="M64" s="91">
        <f>('Work quantities to SAIDI SAIFI'!M72*'Work quantities to SAIDI SAIFI'!M45)*'Inputs &amp; Calcs'!$B$27</f>
        <v>-4.7480999999999999E-4</v>
      </c>
      <c r="N64" s="91">
        <f>('Work quantities to SAIDI SAIFI'!N72*'Work quantities to SAIDI SAIFI'!N45)*'Inputs &amp; Calcs'!$B$27</f>
        <v>-3.9311475000000006E-4</v>
      </c>
      <c r="O64" s="76"/>
      <c r="P64" s="76"/>
      <c r="Q64" s="76"/>
      <c r="R64" s="76"/>
      <c r="S64" s="76"/>
      <c r="T64" s="76"/>
      <c r="U64" s="76"/>
      <c r="V64" s="76"/>
      <c r="W64" s="76"/>
      <c r="X64" s="76"/>
      <c r="Y64" s="76"/>
      <c r="Z64" s="76"/>
      <c r="AA64" s="76"/>
    </row>
    <row r="65" spans="1:31" ht="15">
      <c r="A65" s="88" t="str">
        <f>'Inputs &amp; Calcs'!A52</f>
        <v>Distribution Switchgear</v>
      </c>
      <c r="B65" s="88" t="str">
        <f>'Inputs &amp; Calcs'!B52</f>
        <v>Pole Mounted Switches</v>
      </c>
      <c r="C65" s="88" t="str">
        <f>'Inputs &amp; Calcs'!C52</f>
        <v>Air Break</v>
      </c>
      <c r="D65" s="91">
        <f>('Work quantities to SAIDI SAIFI'!D73*'Work quantities to SAIDI SAIFI'!D46)*'Inputs &amp; Calcs'!$B$27</f>
        <v>-5.813114300000005E-4</v>
      </c>
      <c r="E65" s="91">
        <f>('Work quantities to SAIDI SAIFI'!E73*'Work quantities to SAIDI SAIFI'!E46)*'Inputs &amp; Calcs'!$B$27</f>
        <v>-8.4328143000000021E-4</v>
      </c>
      <c r="F65" s="91">
        <f>('Work quantities to SAIDI SAIFI'!F73*'Work quantities to SAIDI SAIFI'!F46)*'Inputs &amp; Calcs'!$B$27</f>
        <v>-7.9088743000000088E-4</v>
      </c>
      <c r="G65" s="91">
        <f>('Work quantities to SAIDI SAIFI'!G73*'Work quantities to SAIDI SAIFI'!G46)*'Inputs &amp; Calcs'!$B$27</f>
        <v>-2.4151014300000011E-3</v>
      </c>
      <c r="H65" s="91">
        <f>('Work quantities to SAIDI SAIFI'!H73*'Work quantities to SAIDI SAIFI'!H46)*'Inputs &amp; Calcs'!$B$27</f>
        <v>-3.2534054300000009E-3</v>
      </c>
      <c r="I65" s="91">
        <f>('Work quantities to SAIDI SAIFI'!I73*'Work quantities to SAIDI SAIFI'!I46)*'Inputs &amp; Calcs'!$B$27</f>
        <v>-3.4544674050000011E-3</v>
      </c>
      <c r="J65" s="91">
        <f>('Work quantities to SAIDI SAIFI'!J73*'Work quantities to SAIDI SAIFI'!J46)*'Inputs &amp; Calcs'!$B$27</f>
        <v>-4.4689462300000014E-3</v>
      </c>
      <c r="K65" s="91">
        <f>('Work quantities to SAIDI SAIFI'!K73*'Work quantities to SAIDI SAIFI'!K46)*'Inputs &amp; Calcs'!$B$27</f>
        <v>-4.0602730300000013E-3</v>
      </c>
      <c r="L65" s="91">
        <f>('Work quantities to SAIDI SAIFI'!L73*'Work quantities to SAIDI SAIFI'!L46)*'Inputs &amp; Calcs'!$B$27</f>
        <v>-3.5494315300000014E-3</v>
      </c>
      <c r="M65" s="91">
        <f>('Work quantities to SAIDI SAIFI'!M73*'Work quantities to SAIDI SAIFI'!M46)*'Inputs &amp; Calcs'!$B$27</f>
        <v>-2.8853375800000003E-3</v>
      </c>
      <c r="N65" s="91">
        <f>('Work quantities to SAIDI SAIFI'!N73*'Work quantities to SAIDI SAIFI'!N46)*'Inputs &amp; Calcs'!$B$27</f>
        <v>-2.0679911800000009E-3</v>
      </c>
      <c r="O65" s="76"/>
      <c r="P65" s="76"/>
      <c r="Q65" s="76"/>
      <c r="R65" s="76"/>
      <c r="S65" s="76"/>
      <c r="T65" s="76"/>
      <c r="U65" s="76"/>
      <c r="V65" s="76"/>
      <c r="W65" s="76"/>
      <c r="X65" s="76"/>
      <c r="Y65" s="76"/>
      <c r="Z65" s="76"/>
      <c r="AA65" s="76"/>
    </row>
    <row r="66" spans="1:31" ht="15">
      <c r="A66" s="88" t="str">
        <f>'Inputs &amp; Calcs'!A53</f>
        <v>Distribution Switchgear</v>
      </c>
      <c r="B66" s="88" t="str">
        <f>'Inputs &amp; Calcs'!B53</f>
        <v>HV Fuses</v>
      </c>
      <c r="C66" s="88" t="str">
        <f>'Inputs &amp; Calcs'!C53</f>
        <v>HV Fuses</v>
      </c>
      <c r="D66" s="91">
        <f>('Work quantities to SAIDI SAIFI'!D74*'Work quantities to SAIDI SAIFI'!D47)*'Inputs &amp; Calcs'!$B$27</f>
        <v>-2.8867932834245584E-4</v>
      </c>
      <c r="E66" s="91">
        <f>('Work quantities to SAIDI SAIFI'!E74*'Work quantities to SAIDI SAIFI'!E47)*'Inputs &amp; Calcs'!$B$27</f>
        <v>-3.5970537138353822E-4</v>
      </c>
      <c r="F66" s="91">
        <f>('Work quantities to SAIDI SAIFI'!F74*'Work quantities to SAIDI SAIFI'!F47)*'Inputs &amp; Calcs'!$B$27</f>
        <v>-3.3554966749193134E-4</v>
      </c>
      <c r="G66" s="91">
        <f>('Work quantities to SAIDI SAIFI'!G74*'Work quantities to SAIDI SAIFI'!G47)*'Inputs &amp; Calcs'!$B$27</f>
        <v>-2.9508899924477551E-4</v>
      </c>
      <c r="H66" s="91">
        <f>('Work quantities to SAIDI SAIFI'!H74*'Work quantities to SAIDI SAIFI'!H47)*'Inputs &amp; Calcs'!$B$27</f>
        <v>-2.8557528974375188E-4</v>
      </c>
      <c r="I66" s="91">
        <f>('Work quantities to SAIDI SAIFI'!I74*'Work quantities to SAIDI SAIFI'!I47)*'Inputs &amp; Calcs'!$B$27</f>
        <v>-2.6415501796148031E-4</v>
      </c>
      <c r="J66" s="91">
        <f>('Work quantities to SAIDI SAIFI'!J74*'Work quantities to SAIDI SAIFI'!J47)*'Inputs &amp; Calcs'!$B$27</f>
        <v>-2.3990039009463385E-4</v>
      </c>
      <c r="K66" s="91">
        <f>('Work quantities to SAIDI SAIFI'!K74*'Work quantities to SAIDI SAIFI'!K47)*'Inputs &amp; Calcs'!$B$27</f>
        <v>-2.6813958787218802E-4</v>
      </c>
      <c r="L66" s="91">
        <f>('Work quantities to SAIDI SAIFI'!L74*'Work quantities to SAIDI SAIFI'!L47)*'Inputs &amp; Calcs'!$B$27</f>
        <v>-2.3043589840781578E-4</v>
      </c>
      <c r="M66" s="91">
        <f>('Work quantities to SAIDI SAIFI'!M74*'Work quantities to SAIDI SAIFI'!M47)*'Inputs &amp; Calcs'!$B$27</f>
        <v>-1.7246956705251271E-4</v>
      </c>
      <c r="N66" s="91">
        <f>('Work quantities to SAIDI SAIFI'!N74*'Work quantities to SAIDI SAIFI'!N47)*'Inputs &amp; Calcs'!$B$27</f>
        <v>-1.046884898902349E-4</v>
      </c>
      <c r="O66" s="76"/>
      <c r="P66" s="76"/>
      <c r="Q66" s="76"/>
      <c r="R66" s="76"/>
      <c r="S66" s="76"/>
      <c r="T66" s="76"/>
      <c r="U66" s="76"/>
      <c r="V66" s="76"/>
      <c r="W66" s="76"/>
      <c r="X66" s="76"/>
      <c r="Y66" s="76"/>
      <c r="Z66" s="76"/>
      <c r="AA66" s="76"/>
    </row>
    <row r="67" spans="1:31" ht="15">
      <c r="A67" s="88" t="str">
        <f>'Inputs &amp; Calcs'!A54</f>
        <v>Distribution Switchgear</v>
      </c>
      <c r="B67" s="88" t="str">
        <f>'Inputs &amp; Calcs'!B54</f>
        <v>Ground Mounted Switchgear</v>
      </c>
      <c r="C67" s="88" t="str">
        <f>'Inputs &amp; Calcs'!C54</f>
        <v>RMU</v>
      </c>
      <c r="D67" s="91">
        <f>('Work quantities to SAIDI SAIFI'!D75*'Work quantities to SAIDI SAIFI'!D48)*'Inputs &amp; Calcs'!$B$27</f>
        <v>1.1145773809621753E-3</v>
      </c>
      <c r="E67" s="91">
        <f>('Work quantities to SAIDI SAIFI'!E75*'Work quantities to SAIDI SAIFI'!E48)*'Inputs &amp; Calcs'!$B$27</f>
        <v>1.1145773809621753E-3</v>
      </c>
      <c r="F67" s="91">
        <f>('Work quantities to SAIDI SAIFI'!F75*'Work quantities to SAIDI SAIFI'!F48)*'Inputs &amp; Calcs'!$B$27</f>
        <v>2.4005767631163346E-3</v>
      </c>
      <c r="G67" s="91">
        <f>('Work quantities to SAIDI SAIFI'!G75*'Work quantities to SAIDI SAIFI'!G48)*'Inputs &amp; Calcs'!$B$27</f>
        <v>3.3316724156245161E-3</v>
      </c>
      <c r="H67" s="91">
        <f>('Work quantities to SAIDI SAIFI'!H75*'Work quantities to SAIDI SAIFI'!H48)*'Inputs &amp; Calcs'!$B$27</f>
        <v>4.5565015619567087E-3</v>
      </c>
      <c r="I67" s="91">
        <f>('Work quantities to SAIDI SAIFI'!I75*'Work quantities to SAIDI SAIFI'!I48)*'Inputs &amp; Calcs'!$B$27</f>
        <v>5.7550456048356818E-3</v>
      </c>
      <c r="J67" s="91">
        <f>('Work quantities to SAIDI SAIFI'!J75*'Work quantities to SAIDI SAIFI'!J48)*'Inputs &amp; Calcs'!$B$27</f>
        <v>4.0717740881310149E-3</v>
      </c>
      <c r="K67" s="91">
        <f>('Work quantities to SAIDI SAIFI'!K75*'Work quantities to SAIDI SAIFI'!K48)*'Inputs &amp; Calcs'!$B$27</f>
        <v>1.9898494253448636E-3</v>
      </c>
      <c r="L67" s="91">
        <f>('Work quantities to SAIDI SAIFI'!L75*'Work quantities to SAIDI SAIFI'!L48)*'Inputs &amp; Calcs'!$B$27</f>
        <v>-4.1763270193522064E-4</v>
      </c>
      <c r="M67" s="91">
        <f>('Work quantities to SAIDI SAIFI'!M75*'Work quantities to SAIDI SAIFI'!M48)*'Inputs &amp; Calcs'!$B$27</f>
        <v>-2.9158966553348539E-3</v>
      </c>
      <c r="N67" s="91">
        <f>('Work quantities to SAIDI SAIFI'!N75*'Work quantities to SAIDI SAIFI'!N48)*'Inputs &amp; Calcs'!$B$27</f>
        <v>-5.8921967228264573E-3</v>
      </c>
      <c r="O67" s="76"/>
      <c r="P67" s="76"/>
      <c r="Q67" s="76"/>
      <c r="R67" s="76"/>
      <c r="S67" s="76"/>
      <c r="T67" s="76"/>
      <c r="U67" s="76"/>
      <c r="V67" s="76"/>
      <c r="W67" s="76"/>
      <c r="X67" s="76"/>
      <c r="Y67" s="76"/>
      <c r="Z67" s="76"/>
      <c r="AA67" s="76"/>
    </row>
    <row r="68" spans="1:31" ht="15">
      <c r="A68" s="88" t="str">
        <f>'Inputs &amp; Calcs'!A55</f>
        <v>Distribution Switchgear</v>
      </c>
      <c r="B68" s="88" t="str">
        <f>'Inputs &amp; Calcs'!B55</f>
        <v>Circuit Breakers/Reclosers/Sectionalisers</v>
      </c>
      <c r="C68" s="88" t="str">
        <f>'Inputs &amp; Calcs'!C55</f>
        <v>Circuit Breakers/Reclosers/Sectionalisers</v>
      </c>
      <c r="D68" s="91">
        <f>('Work quantities to SAIDI SAIFI'!D76*'Work quantities to SAIDI SAIFI'!D49)*'Inputs &amp; Calcs'!$B$27</f>
        <v>-1.6000000000000007E-4</v>
      </c>
      <c r="E68" s="91">
        <f>('Work quantities to SAIDI SAIFI'!E76*'Work quantities to SAIDI SAIFI'!E49)*'Inputs &amp; Calcs'!$B$27</f>
        <v>6.6599999999999971E-4</v>
      </c>
      <c r="F68" s="91">
        <f>('Work quantities to SAIDI SAIFI'!F76*'Work quantities to SAIDI SAIFI'!F49)*'Inputs &amp; Calcs'!$B$27</f>
        <v>7.3599999999999968E-4</v>
      </c>
      <c r="G68" s="91">
        <f>('Work quantities to SAIDI SAIFI'!G76*'Work quantities to SAIDI SAIFI'!G49)*'Inputs &amp; Calcs'!$B$27</f>
        <v>7.3599999999999968E-4</v>
      </c>
      <c r="H68" s="91">
        <f>('Work quantities to SAIDI SAIFI'!H76*'Work quantities to SAIDI SAIFI'!H49)*'Inputs &amp; Calcs'!$B$27</f>
        <v>5.9599999999999963E-4</v>
      </c>
      <c r="I68" s="91">
        <f>('Work quantities to SAIDI SAIFI'!I76*'Work quantities to SAIDI SAIFI'!I49)*'Inputs &amp; Calcs'!$B$27</f>
        <v>5.9599999999999963E-4</v>
      </c>
      <c r="J68" s="91">
        <f>('Work quantities to SAIDI SAIFI'!J76*'Work quantities to SAIDI SAIFI'!J49)*'Inputs &amp; Calcs'!$B$27</f>
        <v>-3.0000000000000008E-4</v>
      </c>
      <c r="K68" s="91">
        <f>('Work quantities to SAIDI SAIFI'!K76*'Work quantities to SAIDI SAIFI'!K49)*'Inputs &amp; Calcs'!$B$27</f>
        <v>-7.7000000000000007E-4</v>
      </c>
      <c r="L68" s="91">
        <f>('Work quantities to SAIDI SAIFI'!L76*'Work quantities to SAIDI SAIFI'!L49)*'Inputs &amp; Calcs'!$B$27</f>
        <v>-7.7000000000000007E-4</v>
      </c>
      <c r="M68" s="91">
        <f>('Work quantities to SAIDI SAIFI'!M76*'Work quantities to SAIDI SAIFI'!M49)*'Inputs &amp; Calcs'!$B$27</f>
        <v>-7.7000000000000007E-4</v>
      </c>
      <c r="N68" s="91">
        <f>('Work quantities to SAIDI SAIFI'!N76*'Work quantities to SAIDI SAIFI'!N49)*'Inputs &amp; Calcs'!$B$27</f>
        <v>-7.000000000000001E-4</v>
      </c>
      <c r="O68" s="76"/>
      <c r="P68" s="76"/>
      <c r="Q68" s="76"/>
      <c r="R68" s="76"/>
      <c r="S68" s="76"/>
      <c r="T68" s="76"/>
      <c r="U68" s="76"/>
      <c r="V68" s="76"/>
      <c r="W68" s="76"/>
      <c r="X68" s="76"/>
      <c r="Y68" s="76"/>
      <c r="Z68" s="76"/>
      <c r="AA68" s="76"/>
    </row>
    <row r="69" spans="1:31" ht="15">
      <c r="A69" s="88" t="str">
        <f>'Inputs &amp; Calcs'!A56</f>
        <v>Cables</v>
      </c>
      <c r="B69" s="88" t="str">
        <f>'Inputs &amp; Calcs'!B56</f>
        <v>Low Voltage Cables</v>
      </c>
      <c r="C69" s="88" t="str">
        <f>'Inputs &amp; Calcs'!C56</f>
        <v>Cables</v>
      </c>
      <c r="D69" s="91">
        <f>('Work quantities to SAIDI SAIFI'!D77*'Work quantities to SAIDI SAIFI'!D50)*'Inputs &amp; Calcs'!$B$27</f>
        <v>2.360474356490378E-3</v>
      </c>
      <c r="E69" s="91">
        <f>('Work quantities to SAIDI SAIFI'!E77*'Work quantities to SAIDI SAIFI'!E50)*'Inputs &amp; Calcs'!$B$27</f>
        <v>2.5969182706845539E-3</v>
      </c>
      <c r="F69" s="91">
        <f>('Work quantities to SAIDI SAIFI'!F77*'Work quantities to SAIDI SAIFI'!F50)*'Inputs &amp; Calcs'!$B$27</f>
        <v>2.8510954784432916E-3</v>
      </c>
      <c r="G69" s="91">
        <f>('Work quantities to SAIDI SAIFI'!G77*'Work quantities to SAIDI SAIFI'!G50)*'Inputs &amp; Calcs'!$B$27</f>
        <v>3.1243359767839369E-3</v>
      </c>
      <c r="H69" s="91">
        <f>('Work quantities to SAIDI SAIFI'!H77*'Work quantities to SAIDI SAIFI'!H50)*'Inputs &amp; Calcs'!$B$27</f>
        <v>3.4180695125001288E-3</v>
      </c>
      <c r="I69" s="91">
        <f>('Work quantities to SAIDI SAIFI'!I77*'Work quantities to SAIDI SAIFI'!I50)*'Inputs &amp; Calcs'!$B$27</f>
        <v>3.6772587605263668E-3</v>
      </c>
      <c r="J69" s="91">
        <f>('Work quantities to SAIDI SAIFI'!J77*'Work quantities to SAIDI SAIFI'!J50)*'Inputs &amp; Calcs'!$B$27</f>
        <v>3.9516441294394191E-3</v>
      </c>
      <c r="K69" s="91">
        <f>('Work quantities to SAIDI SAIFI'!K77*'Work quantities to SAIDI SAIFI'!K50)*'Inputs &amp; Calcs'!$B$27</f>
        <v>4.3074257766047737E-3</v>
      </c>
      <c r="L69" s="91">
        <f>('Work quantities to SAIDI SAIFI'!L77*'Work quantities to SAIDI SAIFI'!L50)*'Inputs &amp; Calcs'!$B$27</f>
        <v>4.6898910473075293E-3</v>
      </c>
      <c r="M69" s="91">
        <f>('Work quantities to SAIDI SAIFI'!M77*'Work quantities to SAIDI SAIFI'!M50)*'Inputs &amp; Calcs'!$B$27</f>
        <v>5.1010412133129903E-3</v>
      </c>
      <c r="N69" s="91">
        <f>('Work quantities to SAIDI SAIFI'!N77*'Work quantities to SAIDI SAIFI'!N50)*'Inputs &amp; Calcs'!$B$27</f>
        <v>5.5430276417688619E-3</v>
      </c>
      <c r="O69" s="76"/>
      <c r="P69" s="76"/>
      <c r="Q69" s="76"/>
      <c r="R69" s="76"/>
      <c r="S69" s="76"/>
      <c r="T69" s="76"/>
      <c r="U69" s="76"/>
      <c r="V69" s="76"/>
      <c r="W69" s="76"/>
      <c r="X69" s="76"/>
      <c r="Y69" s="76"/>
      <c r="Z69" s="76"/>
      <c r="AA69" s="76"/>
    </row>
    <row r="70" spans="1:31" ht="15">
      <c r="A70" s="88" t="str">
        <f>'Inputs &amp; Calcs'!A57</f>
        <v>Cables</v>
      </c>
      <c r="B70" s="88" t="str">
        <f>'Inputs &amp; Calcs'!B57</f>
        <v>Distribution Cables</v>
      </c>
      <c r="C70" s="88" t="str">
        <f>'Inputs &amp; Calcs'!C57</f>
        <v>Cables</v>
      </c>
      <c r="D70" s="91">
        <f>('Work quantities to SAIDI SAIFI'!D78*'Work quantities to SAIDI SAIFI'!D51)*'Inputs &amp; Calcs'!$B$27</f>
        <v>2.1929447998797892E-3</v>
      </c>
      <c r="E70" s="91">
        <f>('Work quantities to SAIDI SAIFI'!E78*'Work quantities to SAIDI SAIFI'!E51)*'Inputs &amp; Calcs'!$B$27</f>
        <v>2.4223572245758093E-3</v>
      </c>
      <c r="F70" s="91">
        <f>('Work quantities to SAIDI SAIFI'!F78*'Work quantities to SAIDI SAIFI'!F51)*'Inputs &amp; Calcs'!$B$27</f>
        <v>3.4980774123539171E-3</v>
      </c>
      <c r="G70" s="91">
        <f>('Work quantities to SAIDI SAIFI'!G78*'Work quantities to SAIDI SAIFI'!G51)*'Inputs &amp; Calcs'!$B$27</f>
        <v>4.1002588988744339E-3</v>
      </c>
      <c r="H70" s="91">
        <f>('Work quantities to SAIDI SAIFI'!H78*'Work quantities to SAIDI SAIFI'!H51)*'Inputs &amp; Calcs'!$B$27</f>
        <v>4.396102739567238E-3</v>
      </c>
      <c r="I70" s="91">
        <f>('Work quantities to SAIDI SAIFI'!I78*'Work quantities to SAIDI SAIFI'!I51)*'Inputs &amp; Calcs'!$B$27</f>
        <v>2.7039115592169074E-3</v>
      </c>
      <c r="J70" s="91">
        <f>('Work quantities to SAIDI SAIFI'!J78*'Work quantities to SAIDI SAIFI'!J51)*'Inputs &amp; Calcs'!$B$27</f>
        <v>1.6990325366844827E-3</v>
      </c>
      <c r="K70" s="91">
        <f>('Work quantities to SAIDI SAIFI'!K78*'Work quantities to SAIDI SAIFI'!K51)*'Inputs &amp; Calcs'!$B$27</f>
        <v>1.5698586667178902E-3</v>
      </c>
      <c r="L70" s="91">
        <f>('Work quantities to SAIDI SAIFI'!L78*'Work quantities to SAIDI SAIFI'!L51)*'Inputs &amp; Calcs'!$B$27</f>
        <v>1.3425531646728485E-3</v>
      </c>
      <c r="M70" s="91">
        <f>('Work quantities to SAIDI SAIFI'!M78*'Work quantities to SAIDI SAIFI'!M51)*'Inputs &amp; Calcs'!$B$27</f>
        <v>1.3542439523164473E-3</v>
      </c>
      <c r="N70" s="91">
        <f>('Work quantities to SAIDI SAIFI'!N78*'Work quantities to SAIDI SAIFI'!N51)*'Inputs &amp; Calcs'!$B$27</f>
        <v>1.7931124401324508E-3</v>
      </c>
      <c r="O70" s="76"/>
      <c r="P70" s="76"/>
      <c r="Q70" s="76"/>
      <c r="R70" s="76"/>
      <c r="S70" s="76"/>
      <c r="T70" s="76"/>
      <c r="U70" s="76"/>
      <c r="V70" s="76"/>
      <c r="W70" s="76"/>
      <c r="X70" s="76"/>
      <c r="Y70" s="76"/>
      <c r="Z70" s="76"/>
      <c r="AA70" s="76"/>
    </row>
    <row r="71" spans="1:31" ht="15">
      <c r="A71" s="88" t="str">
        <f>'Inputs &amp; Calcs'!A58</f>
        <v>Cables</v>
      </c>
      <c r="B71" s="88" t="str">
        <f>'Inputs &amp; Calcs'!B58</f>
        <v>Subtransmission Cables</v>
      </c>
      <c r="C71" s="88" t="str">
        <f>'Inputs &amp; Calcs'!C58</f>
        <v>Cables</v>
      </c>
      <c r="D71" s="91">
        <f>('Work quantities to SAIDI SAIFI'!D79*'Work quantities to SAIDI SAIFI'!D52)*'Inputs &amp; Calcs'!$B$27</f>
        <v>1.3276999999999998E-3</v>
      </c>
      <c r="E71" s="91">
        <f>('Work quantities to SAIDI SAIFI'!E79*'Work quantities to SAIDI SAIFI'!E52)*'Inputs &amp; Calcs'!$B$27</f>
        <v>9.3499999999999996E-5</v>
      </c>
      <c r="F71" s="91">
        <f>('Work quantities to SAIDI SAIFI'!F79*'Work quantities to SAIDI SAIFI'!F52)*'Inputs &amp; Calcs'!$B$27</f>
        <v>0</v>
      </c>
      <c r="G71" s="91">
        <f>('Work quantities to SAIDI SAIFI'!G79*'Work quantities to SAIDI SAIFI'!G52)*'Inputs &amp; Calcs'!$B$27</f>
        <v>1.8699999999999999E-4</v>
      </c>
      <c r="H71" s="91">
        <f>('Work quantities to SAIDI SAIFI'!H79*'Work quantities to SAIDI SAIFI'!H52)*'Inputs &amp; Calcs'!$B$27</f>
        <v>0</v>
      </c>
      <c r="I71" s="91">
        <f>('Work quantities to SAIDI SAIFI'!I79*'Work quantities to SAIDI SAIFI'!I52)*'Inputs &amp; Calcs'!$B$27</f>
        <v>0</v>
      </c>
      <c r="J71" s="91">
        <f>('Work quantities to SAIDI SAIFI'!J79*'Work quantities to SAIDI SAIFI'!J52)*'Inputs &amp; Calcs'!$B$27</f>
        <v>0</v>
      </c>
      <c r="K71" s="91">
        <f>('Work quantities to SAIDI SAIFI'!K79*'Work quantities to SAIDI SAIFI'!K52)*'Inputs &amp; Calcs'!$B$27</f>
        <v>0</v>
      </c>
      <c r="L71" s="91">
        <f>('Work quantities to SAIDI SAIFI'!L79*'Work quantities to SAIDI SAIFI'!L52)*'Inputs &amp; Calcs'!$B$27</f>
        <v>0</v>
      </c>
      <c r="M71" s="91">
        <f>('Work quantities to SAIDI SAIFI'!M79*'Work quantities to SAIDI SAIFI'!M52)*'Inputs &amp; Calcs'!$B$27</f>
        <v>0</v>
      </c>
      <c r="N71" s="91">
        <f>('Work quantities to SAIDI SAIFI'!N79*'Work quantities to SAIDI SAIFI'!N52)*'Inputs &amp; Calcs'!$B$27</f>
        <v>0</v>
      </c>
      <c r="O71" s="76"/>
      <c r="P71" s="76"/>
      <c r="Q71" s="76"/>
      <c r="R71" s="76"/>
      <c r="S71" s="76"/>
      <c r="T71" s="76"/>
      <c r="U71" s="76"/>
      <c r="V71" s="76"/>
      <c r="W71" s="76"/>
      <c r="X71" s="76"/>
      <c r="Y71" s="76"/>
      <c r="Z71" s="76"/>
      <c r="AA71" s="76"/>
    </row>
    <row r="72" spans="1:31" ht="15">
      <c r="A72" s="44"/>
      <c r="B72" s="44"/>
      <c r="C72" s="44"/>
      <c r="D72"/>
      <c r="E72"/>
      <c r="F72"/>
      <c r="G72"/>
      <c r="H72"/>
      <c r="I72"/>
      <c r="J72"/>
      <c r="K72"/>
      <c r="L72"/>
      <c r="M72"/>
      <c r="N72"/>
      <c r="O72" s="76"/>
      <c r="P72" s="76"/>
      <c r="Q72" s="76"/>
      <c r="R72" s="76"/>
      <c r="S72" s="76"/>
      <c r="T72" s="76"/>
      <c r="U72" s="76"/>
      <c r="V72" s="76"/>
      <c r="W72" s="76"/>
      <c r="X72" s="76"/>
      <c r="Y72" s="76"/>
      <c r="Z72" s="76"/>
      <c r="AA72" s="76"/>
      <c r="AB72" s="76"/>
      <c r="AC72" s="76"/>
      <c r="AD72" s="76"/>
      <c r="AE72" s="76"/>
    </row>
    <row r="73" spans="1:31" ht="15">
      <c r="A73" s="76"/>
      <c r="B73"/>
      <c r="C73"/>
      <c r="D73"/>
      <c r="E73"/>
      <c r="F73"/>
      <c r="G73"/>
      <c r="H73"/>
      <c r="I73"/>
      <c r="J73"/>
      <c r="K73"/>
      <c r="L73"/>
      <c r="M73" s="76"/>
      <c r="N73" s="76"/>
      <c r="O73" s="76"/>
      <c r="P73" s="76"/>
      <c r="Q73" s="76"/>
      <c r="R73" s="76"/>
      <c r="S73" s="76"/>
      <c r="T73" s="76"/>
      <c r="U73" s="76"/>
      <c r="V73" s="76"/>
      <c r="W73" s="76"/>
      <c r="X73" s="76"/>
      <c r="Y73" s="76"/>
      <c r="Z73" s="76"/>
      <c r="AA73" s="76"/>
      <c r="AB73" s="76"/>
      <c r="AC73" s="76"/>
      <c r="AD73" s="76"/>
    </row>
    <row r="74" spans="1:31" ht="18">
      <c r="A74" s="63" t="s">
        <v>111</v>
      </c>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76"/>
      <c r="AC74" s="76"/>
      <c r="AD74" s="76"/>
    </row>
    <row r="75" spans="1:31" ht="1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row>
    <row r="76" spans="1:31" ht="18">
      <c r="B76" s="61" t="s">
        <v>113</v>
      </c>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row>
    <row r="77" spans="1:31" ht="18">
      <c r="B77" s="61"/>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row>
    <row r="78" spans="1:31" ht="18">
      <c r="B78" s="61"/>
      <c r="C78" s="76"/>
      <c r="D78" s="76"/>
      <c r="E78" s="76"/>
      <c r="F78" s="76"/>
      <c r="G78" s="76"/>
      <c r="H78" s="76"/>
      <c r="I78" s="76"/>
      <c r="N78" s="139"/>
      <c r="O78" s="140"/>
      <c r="P78" s="141" t="s">
        <v>212</v>
      </c>
      <c r="Q78" s="140"/>
      <c r="R78" s="142"/>
      <c r="S78" s="76"/>
      <c r="T78" s="76"/>
    </row>
    <row r="79" spans="1:31" ht="15">
      <c r="A79" s="146" t="s">
        <v>186</v>
      </c>
      <c r="B79" s="143" t="s">
        <v>121</v>
      </c>
      <c r="C79" s="181" t="s">
        <v>258</v>
      </c>
      <c r="D79" s="181" t="s">
        <v>257</v>
      </c>
      <c r="E79" s="181" t="s">
        <v>256</v>
      </c>
      <c r="F79" s="181" t="s">
        <v>144</v>
      </c>
      <c r="G79" s="181" t="s">
        <v>145</v>
      </c>
      <c r="H79" s="181" t="s">
        <v>146</v>
      </c>
      <c r="I79" s="181" t="s">
        <v>147</v>
      </c>
      <c r="J79" s="181" t="s">
        <v>148</v>
      </c>
      <c r="K79" s="181" t="s">
        <v>149</v>
      </c>
      <c r="L79" s="181" t="s">
        <v>150</v>
      </c>
      <c r="M79" s="181" t="s">
        <v>151</v>
      </c>
      <c r="N79" s="182" t="s">
        <v>152</v>
      </c>
      <c r="O79" s="181" t="s">
        <v>153</v>
      </c>
      <c r="P79" s="181" t="s">
        <v>154</v>
      </c>
      <c r="Q79" s="181" t="s">
        <v>155</v>
      </c>
      <c r="R79" s="183" t="s">
        <v>156</v>
      </c>
      <c r="S79" s="181" t="s">
        <v>292</v>
      </c>
      <c r="T79" s="181" t="s">
        <v>293</v>
      </c>
      <c r="U79" s="181" t="s">
        <v>294</v>
      </c>
      <c r="V79" s="181" t="s">
        <v>295</v>
      </c>
    </row>
    <row r="80" spans="1:31" ht="15">
      <c r="A80" s="136" t="s">
        <v>143</v>
      </c>
      <c r="B80" s="136" t="s">
        <v>143</v>
      </c>
      <c r="C80" s="184">
        <f t="shared" ref="C80:R80" si="4">B12</f>
        <v>36.032919428444636</v>
      </c>
      <c r="D80" s="184">
        <f t="shared" si="4"/>
        <v>46.246708947276375</v>
      </c>
      <c r="E80" s="184">
        <f t="shared" si="4"/>
        <v>41.792515901510455</v>
      </c>
      <c r="F80" s="184">
        <f t="shared" si="4"/>
        <v>56.286987079318173</v>
      </c>
      <c r="G80" s="184">
        <f t="shared" si="4"/>
        <v>30.359361788288449</v>
      </c>
      <c r="H80" s="184">
        <f t="shared" si="4"/>
        <v>60.015460344698617</v>
      </c>
      <c r="I80" s="184">
        <f t="shared" si="4"/>
        <v>36.050036926902493</v>
      </c>
      <c r="J80" s="184">
        <f t="shared" si="4"/>
        <v>46.002833232537327</v>
      </c>
      <c r="K80" s="184">
        <f t="shared" si="4"/>
        <v>48.12793088086179</v>
      </c>
      <c r="L80" s="184">
        <f t="shared" si="4"/>
        <v>45.850865264156134</v>
      </c>
      <c r="M80" s="184">
        <f t="shared" si="4"/>
        <v>44.111124634657735</v>
      </c>
      <c r="N80" s="184">
        <f t="shared" si="4"/>
        <v>45.091371848761234</v>
      </c>
      <c r="O80" s="184">
        <f t="shared" si="4"/>
        <v>45.091371848761234</v>
      </c>
      <c r="P80" s="184">
        <f t="shared" si="4"/>
        <v>45.091371848761234</v>
      </c>
      <c r="Q80" s="184">
        <f t="shared" si="4"/>
        <v>45.091371848761234</v>
      </c>
      <c r="R80" s="184">
        <f t="shared" si="4"/>
        <v>45.091371848761234</v>
      </c>
      <c r="S80" s="184">
        <f t="shared" ref="S80" si="5">R12</f>
        <v>45.091371848761234</v>
      </c>
      <c r="T80" s="184">
        <f t="shared" ref="T80" si="6">S12</f>
        <v>45.091371848761234</v>
      </c>
      <c r="U80" s="184">
        <f t="shared" ref="U80" si="7">T12</f>
        <v>45.091371848761234</v>
      </c>
      <c r="V80" s="184">
        <f t="shared" ref="V80" si="8">U12</f>
        <v>45.091371848761234</v>
      </c>
    </row>
    <row r="81" spans="1:22" ht="15">
      <c r="A81" s="136" t="s">
        <v>222</v>
      </c>
      <c r="B81" s="136" t="s">
        <v>99</v>
      </c>
      <c r="C81" s="184"/>
      <c r="D81" s="184"/>
      <c r="E81" s="184"/>
      <c r="F81" s="184"/>
      <c r="G81" s="184"/>
      <c r="H81" s="184"/>
      <c r="I81" s="184"/>
      <c r="J81" s="184"/>
      <c r="K81" s="184"/>
      <c r="L81" s="184"/>
      <c r="M81" s="184">
        <f t="shared" ref="M81:R81" si="9">SUM(E27:E29)</f>
        <v>2.6968396400866599</v>
      </c>
      <c r="N81" s="184">
        <f t="shared" si="9"/>
        <v>6.3567466580802527</v>
      </c>
      <c r="O81" s="184">
        <f t="shared" si="9"/>
        <v>9.6323171296693229</v>
      </c>
      <c r="P81" s="184">
        <f t="shared" si="9"/>
        <v>10.620258619806945</v>
      </c>
      <c r="Q81" s="184">
        <f t="shared" si="9"/>
        <v>12.099660425269887</v>
      </c>
      <c r="R81" s="184">
        <f t="shared" si="9"/>
        <v>12.41484255706172</v>
      </c>
      <c r="S81" s="184">
        <f t="shared" ref="S81" si="10">SUM(K27:K29)</f>
        <v>11.788903432473084</v>
      </c>
      <c r="T81" s="184">
        <f t="shared" ref="T81" si="11">SUM(L27:L29)</f>
        <v>10.251129385931815</v>
      </c>
      <c r="U81" s="184">
        <f t="shared" ref="U81" si="12">SUM(M27:M29)</f>
        <v>10.175851527764511</v>
      </c>
      <c r="V81" s="184">
        <f t="shared" ref="V81" si="13">SUM(N27:N29)</f>
        <v>10.140459423117633</v>
      </c>
    </row>
    <row r="82" spans="1:22" ht="15">
      <c r="A82" s="136" t="s">
        <v>222</v>
      </c>
      <c r="B82" s="136" t="s">
        <v>100</v>
      </c>
      <c r="C82" s="184"/>
      <c r="D82" s="184"/>
      <c r="E82" s="184"/>
      <c r="F82" s="184"/>
      <c r="G82" s="184"/>
      <c r="H82" s="184"/>
      <c r="I82" s="184"/>
      <c r="J82" s="184"/>
      <c r="K82" s="184"/>
      <c r="L82" s="184"/>
      <c r="M82" s="184">
        <f t="shared" ref="M82:R82" si="14">SUM(E30:E32)</f>
        <v>-0.10905339043885447</v>
      </c>
      <c r="N82" s="184">
        <f t="shared" si="14"/>
        <v>3.3420071314347202</v>
      </c>
      <c r="O82" s="184">
        <f t="shared" si="14"/>
        <v>4.3871283681655351</v>
      </c>
      <c r="P82" s="184">
        <f t="shared" si="14"/>
        <v>6.0291620288907524</v>
      </c>
      <c r="Q82" s="184">
        <f t="shared" si="14"/>
        <v>6.9416679880341059</v>
      </c>
      <c r="R82" s="184">
        <f t="shared" si="14"/>
        <v>7.9804212835539516</v>
      </c>
      <c r="S82" s="184">
        <f t="shared" ref="S82" si="15">SUM(K30:K32)</f>
        <v>6.6631900822001464</v>
      </c>
      <c r="T82" s="184">
        <f t="shared" ref="T82" si="16">SUM(L30:L32)</f>
        <v>4.9516037275876972</v>
      </c>
      <c r="U82" s="184">
        <f t="shared" ref="U82" si="17">SUM(M30:M32)</f>
        <v>5.1461083614710788</v>
      </c>
      <c r="V82" s="184">
        <f t="shared" ref="V82" si="18">SUM(N30:N32)</f>
        <v>5.3307331935947264</v>
      </c>
    </row>
    <row r="83" spans="1:22" ht="15">
      <c r="A83" s="136" t="s">
        <v>222</v>
      </c>
      <c r="B83" s="136" t="s">
        <v>68</v>
      </c>
      <c r="C83" s="184"/>
      <c r="D83" s="184"/>
      <c r="E83" s="184"/>
      <c r="F83" s="184"/>
      <c r="G83" s="184"/>
      <c r="H83" s="184"/>
      <c r="I83" s="184"/>
      <c r="J83" s="184"/>
      <c r="K83" s="184"/>
      <c r="L83" s="184"/>
      <c r="M83" s="184">
        <f t="shared" ref="M83:R83" si="19">SUM(E33:E35)</f>
        <v>0.47525097488055262</v>
      </c>
      <c r="N83" s="184">
        <f t="shared" si="19"/>
        <v>1.9958009378217569</v>
      </c>
      <c r="O83" s="184">
        <f t="shared" si="19"/>
        <v>3.5000065695021005</v>
      </c>
      <c r="P83" s="184">
        <f t="shared" si="19"/>
        <v>6.4528046502925163</v>
      </c>
      <c r="Q83" s="184">
        <f t="shared" si="19"/>
        <v>9.3495846594964487</v>
      </c>
      <c r="R83" s="184">
        <f t="shared" si="19"/>
        <v>10.879405036522657</v>
      </c>
      <c r="S83" s="184">
        <f t="shared" ref="S83" si="20">SUM(K33:K35)</f>
        <v>11.77461065648083</v>
      </c>
      <c r="T83" s="184">
        <f t="shared" ref="T83" si="21">SUM(L33:L35)</f>
        <v>11.921348705605059</v>
      </c>
      <c r="U83" s="184">
        <f t="shared" ref="U83" si="22">SUM(M33:M35)</f>
        <v>12.025666212738244</v>
      </c>
      <c r="V83" s="184">
        <f t="shared" ref="V83" si="23">SUM(N33:N35)</f>
        <v>12.082590161186532</v>
      </c>
    </row>
    <row r="84" spans="1:22" ht="30">
      <c r="A84" s="136" t="s">
        <v>222</v>
      </c>
      <c r="B84" s="136" t="s">
        <v>112</v>
      </c>
      <c r="C84" s="184"/>
      <c r="D84" s="184"/>
      <c r="E84" s="184"/>
      <c r="F84" s="184"/>
      <c r="G84" s="184"/>
      <c r="H84" s="184"/>
      <c r="I84" s="184"/>
      <c r="J84" s="184"/>
      <c r="K84" s="184"/>
      <c r="L84" s="184"/>
      <c r="M84" s="184">
        <f t="shared" ref="M84:R84" si="24">SUM(E36:E39)</f>
        <v>-0.13543719939302029</v>
      </c>
      <c r="N84" s="184">
        <f t="shared" si="24"/>
        <v>0.47472922955255886</v>
      </c>
      <c r="O84" s="184">
        <f t="shared" si="24"/>
        <v>0.5027512353646082</v>
      </c>
      <c r="P84" s="184">
        <f t="shared" si="24"/>
        <v>0.55210701089537118</v>
      </c>
      <c r="Q84" s="184">
        <f t="shared" si="24"/>
        <v>0.58426600467429401</v>
      </c>
      <c r="R84" s="184">
        <f t="shared" si="24"/>
        <v>0.6201397295957527</v>
      </c>
      <c r="S84" s="184">
        <f t="shared" ref="S84" si="25">SUM(K36:K39)</f>
        <v>-1.6201248595403195</v>
      </c>
      <c r="T84" s="184">
        <f t="shared" ref="T84" si="26">SUM(L36:L39)</f>
        <v>-1.5604842255467768</v>
      </c>
      <c r="U84" s="184">
        <f t="shared" ref="U84" si="27">SUM(M36:M39)</f>
        <v>-1.5398574418255537</v>
      </c>
      <c r="V84" s="184">
        <f t="shared" ref="V84" si="28">SUM(N36:N39)</f>
        <v>-1.4774179048509328</v>
      </c>
    </row>
    <row r="85" spans="1:22" ht="30">
      <c r="A85" s="136" t="s">
        <v>222</v>
      </c>
      <c r="B85" s="136" t="s">
        <v>157</v>
      </c>
      <c r="C85" s="184"/>
      <c r="D85" s="184"/>
      <c r="E85" s="184"/>
      <c r="F85" s="184"/>
      <c r="G85" s="184"/>
      <c r="H85" s="184"/>
      <c r="I85" s="184"/>
      <c r="J85" s="184"/>
      <c r="K85" s="184"/>
      <c r="L85" s="184"/>
      <c r="M85" s="184">
        <f t="shared" ref="M85:R85" si="29">SUM(E40:E43)</f>
        <v>0.17804825749361536</v>
      </c>
      <c r="N85" s="184">
        <f t="shared" si="29"/>
        <v>0.40433259596250071</v>
      </c>
      <c r="O85" s="184">
        <f t="shared" si="29"/>
        <v>0.2380440500454919</v>
      </c>
      <c r="P85" s="184">
        <f t="shared" si="29"/>
        <v>0.21705854950537012</v>
      </c>
      <c r="Q85" s="184">
        <f t="shared" si="29"/>
        <v>0.35944969704859148</v>
      </c>
      <c r="R85" s="184">
        <f t="shared" si="29"/>
        <v>-0.3671827326216115</v>
      </c>
      <c r="S85" s="184">
        <f t="shared" ref="S85" si="30">SUM(K40:K43)</f>
        <v>-0.75208471273407929</v>
      </c>
      <c r="T85" s="184">
        <f t="shared" ref="T85" si="31">SUM(L40:L43)</f>
        <v>-1.0088525951911864</v>
      </c>
      <c r="U85" s="184">
        <f t="shared" ref="U85" si="32">SUM(M40:M43)</f>
        <v>-1.2477172093878448</v>
      </c>
      <c r="V85" s="184">
        <f t="shared" ref="V85" si="33">SUM(N40:N43)</f>
        <v>-1.5051234720667321</v>
      </c>
    </row>
    <row r="86" spans="1:22" ht="15">
      <c r="A86" s="136" t="s">
        <v>222</v>
      </c>
      <c r="B86" s="136" t="s">
        <v>162</v>
      </c>
      <c r="C86" s="184"/>
      <c r="D86" s="184"/>
      <c r="E86" s="184"/>
      <c r="F86" s="184"/>
      <c r="G86" s="184"/>
      <c r="H86" s="184"/>
      <c r="I86" s="184"/>
      <c r="J86" s="184"/>
      <c r="K86" s="184"/>
      <c r="L86" s="184"/>
      <c r="M86" s="184">
        <f t="shared" ref="M86:R86" si="34">SUM(E44:E46)</f>
        <v>1.5705341370622827</v>
      </c>
      <c r="N86" s="184">
        <f t="shared" si="34"/>
        <v>2.0136606965801729</v>
      </c>
      <c r="O86" s="184">
        <f t="shared" si="34"/>
        <v>2.3045189968322224</v>
      </c>
      <c r="P86" s="184">
        <f t="shared" si="34"/>
        <v>2.4845947145134586</v>
      </c>
      <c r="Q86" s="184">
        <f t="shared" si="34"/>
        <v>1.9674934274391056</v>
      </c>
      <c r="R86" s="184">
        <f t="shared" si="34"/>
        <v>1.6940247295507787</v>
      </c>
      <c r="S86" s="184">
        <f t="shared" ref="S86" si="35">SUM(K44:K46)</f>
        <v>1.7482721522096014</v>
      </c>
      <c r="T86" s="184">
        <f t="shared" ref="T86" si="36">SUM(L44:L46)</f>
        <v>1.7757828342078792</v>
      </c>
      <c r="U86" s="184">
        <f t="shared" ref="U86" si="37">SUM(M44:M46)</f>
        <v>1.8945381546033253</v>
      </c>
      <c r="V86" s="184">
        <f t="shared" ref="V86" si="38">SUM(N44:N46)</f>
        <v>2.1706826250582796</v>
      </c>
    </row>
    <row r="87" spans="1:22" ht="15">
      <c r="A87" s="136" t="s">
        <v>187</v>
      </c>
      <c r="B87" s="136" t="s">
        <v>137</v>
      </c>
      <c r="C87" s="184"/>
      <c r="D87" s="184"/>
      <c r="E87" s="184"/>
      <c r="F87" s="184"/>
      <c r="G87" s="184"/>
      <c r="H87" s="184"/>
      <c r="I87" s="184"/>
      <c r="J87" s="184"/>
      <c r="K87" s="184"/>
      <c r="L87" s="184"/>
      <c r="M87" s="184">
        <f>SUM('Inputs &amp; Calcs'!D226,'Inputs &amp; Calcs'!F248)</f>
        <v>0.28561280902751585</v>
      </c>
      <c r="N87" s="184">
        <f>SUM('Inputs &amp; Calcs'!E226,'Inputs &amp; Calcs'!G248)</f>
        <v>2.911361073636483</v>
      </c>
      <c r="O87" s="184">
        <f>SUM('Inputs &amp; Calcs'!F226,'Inputs &amp; Calcs'!H248)</f>
        <v>2.9334085389613622</v>
      </c>
      <c r="P87" s="184">
        <f>SUM('Inputs &amp; Calcs'!G226,'Inputs &amp; Calcs'!I248)</f>
        <v>2.912681905962061</v>
      </c>
      <c r="Q87" s="184">
        <f>SUM('Inputs &amp; Calcs'!H226,'Inputs &amp; Calcs'!J248)</f>
        <v>2.8105043505469172</v>
      </c>
      <c r="R87" s="184">
        <f>SUM('Inputs &amp; Calcs'!I226,'Inputs &amp; Calcs'!K248)</f>
        <v>2.689596399740191</v>
      </c>
      <c r="S87" s="184">
        <f>SUM('Inputs &amp; Calcs'!J226,'Inputs &amp; Calcs'!L248)</f>
        <v>2.5525804166077108</v>
      </c>
      <c r="T87" s="184">
        <f>SUM('Inputs &amp; Calcs'!K226,'Inputs &amp; Calcs'!M248)</f>
        <v>2.3112556078190396</v>
      </c>
      <c r="U87" s="184">
        <f>SUM('Inputs &amp; Calcs'!L226,'Inputs &amp; Calcs'!N248)</f>
        <v>2.3608819574201645</v>
      </c>
      <c r="V87" s="184">
        <f>SUM('Inputs &amp; Calcs'!M226,'Inputs &amp; Calcs'!O248)</f>
        <v>2.3192945882334</v>
      </c>
    </row>
    <row r="88" spans="1:22" ht="45">
      <c r="A88" s="136" t="s">
        <v>189</v>
      </c>
      <c r="B88" s="136" t="s">
        <v>211</v>
      </c>
      <c r="C88" s="184"/>
      <c r="D88" s="184"/>
      <c r="E88" s="184"/>
      <c r="F88" s="184"/>
      <c r="G88" s="184"/>
      <c r="H88" s="184"/>
      <c r="I88" s="184"/>
      <c r="J88" s="184"/>
      <c r="K88" s="184"/>
      <c r="L88" s="184"/>
      <c r="M88" s="184">
        <f>'Inputs &amp; Calcs'!C276</f>
        <v>5.5316575505555754</v>
      </c>
      <c r="N88" s="184">
        <f>'Inputs &amp; Calcs'!D276</f>
        <v>8.4443884238708513</v>
      </c>
      <c r="O88" s="184">
        <f>'Inputs &amp; Calcs'!E276</f>
        <v>6.8569376263600859</v>
      </c>
      <c r="P88" s="184">
        <f>'Inputs &amp; Calcs'!F276</f>
        <v>7.6570845877317915</v>
      </c>
      <c r="Q88" s="184">
        <f>'Inputs &amp; Calcs'!G276</f>
        <v>8.0093316525810287</v>
      </c>
      <c r="R88" s="184">
        <f>'Inputs &amp; Calcs'!H276</f>
        <v>7.1873046345741081</v>
      </c>
      <c r="S88" s="184">
        <f>'Inputs &amp; Calcs'!I276</f>
        <v>5.7149973229206594</v>
      </c>
      <c r="T88" s="184">
        <f>'Inputs &amp; Calcs'!J276</f>
        <v>5.330526473760596</v>
      </c>
      <c r="U88" s="184">
        <f>'Inputs &amp; Calcs'!K276</f>
        <v>6.2158186812217338</v>
      </c>
      <c r="V88" s="184">
        <f>'Inputs &amp; Calcs'!L276</f>
        <v>4.647393765548296</v>
      </c>
    </row>
    <row r="89" spans="1:22" ht="15">
      <c r="A89" s="136"/>
      <c r="B89" s="138" t="s">
        <v>113</v>
      </c>
      <c r="C89" s="185">
        <f>SUM(C80:C88)</f>
        <v>36.032919428444636</v>
      </c>
      <c r="D89" s="185">
        <f>SUM(D80:D88)</f>
        <v>46.246708947276375</v>
      </c>
      <c r="E89" s="185">
        <f>SUM(E80:E88)</f>
        <v>41.792515901510455</v>
      </c>
      <c r="F89" s="185">
        <f t="shared" ref="F89:Q89" si="39">SUM(F80:F88)</f>
        <v>56.286987079318173</v>
      </c>
      <c r="G89" s="185">
        <f t="shared" si="39"/>
        <v>30.359361788288449</v>
      </c>
      <c r="H89" s="185">
        <f t="shared" si="39"/>
        <v>60.015460344698617</v>
      </c>
      <c r="I89" s="185">
        <f t="shared" si="39"/>
        <v>36.050036926902493</v>
      </c>
      <c r="J89" s="185">
        <f t="shared" si="39"/>
        <v>46.002833232537327</v>
      </c>
      <c r="K89" s="185">
        <f t="shared" si="39"/>
        <v>48.12793088086179</v>
      </c>
      <c r="L89" s="185">
        <f>SUM(L80:L88)</f>
        <v>45.850865264156134</v>
      </c>
      <c r="M89" s="185">
        <f>SUM(M80:M88)</f>
        <v>54.604577413932063</v>
      </c>
      <c r="N89" s="185">
        <f t="shared" si="39"/>
        <v>71.034398595700537</v>
      </c>
      <c r="O89" s="185">
        <f t="shared" si="39"/>
        <v>75.446484363661966</v>
      </c>
      <c r="P89" s="185">
        <f t="shared" si="39"/>
        <v>82.017123916359495</v>
      </c>
      <c r="Q89" s="185">
        <f t="shared" si="39"/>
        <v>87.213330053851607</v>
      </c>
      <c r="R89" s="185">
        <f>SUM(R80:R88)</f>
        <v>88.189923486738763</v>
      </c>
      <c r="S89" s="185">
        <f t="shared" ref="S89:V89" si="40">SUM(S80:S88)</f>
        <v>82.961716339378881</v>
      </c>
      <c r="T89" s="185">
        <f t="shared" si="40"/>
        <v>79.063681762935346</v>
      </c>
      <c r="U89" s="185">
        <f t="shared" si="40"/>
        <v>80.122662092766888</v>
      </c>
      <c r="V89" s="185">
        <f t="shared" si="40"/>
        <v>78.799984228582446</v>
      </c>
    </row>
    <row r="90" spans="1:22" ht="30">
      <c r="A90" s="136"/>
      <c r="B90" s="136" t="s">
        <v>221</v>
      </c>
      <c r="C90" s="186"/>
      <c r="D90" s="186"/>
      <c r="E90" s="186"/>
      <c r="F90" s="186"/>
      <c r="G90" s="186"/>
      <c r="H90" s="186"/>
      <c r="I90" s="186"/>
      <c r="J90" s="186"/>
      <c r="K90" s="186"/>
      <c r="L90" s="186"/>
      <c r="M90" s="184">
        <f t="shared" ref="M90:R90" si="41">M89-M80</f>
        <v>10.493452779274328</v>
      </c>
      <c r="N90" s="184">
        <f t="shared" si="41"/>
        <v>25.943026746939303</v>
      </c>
      <c r="O90" s="184">
        <f t="shared" si="41"/>
        <v>30.355112514900732</v>
      </c>
      <c r="P90" s="184">
        <f t="shared" si="41"/>
        <v>36.92575206759826</v>
      </c>
      <c r="Q90" s="184">
        <f t="shared" si="41"/>
        <v>42.121958205090372</v>
      </c>
      <c r="R90" s="184">
        <f t="shared" si="41"/>
        <v>43.098551637977529</v>
      </c>
      <c r="S90" s="184">
        <f t="shared" ref="S90:V90" si="42">S89-S80</f>
        <v>37.870344490617647</v>
      </c>
      <c r="T90" s="184">
        <f t="shared" si="42"/>
        <v>33.972309914174112</v>
      </c>
      <c r="U90" s="184">
        <f t="shared" si="42"/>
        <v>35.031290244005653</v>
      </c>
      <c r="V90" s="184">
        <f t="shared" si="42"/>
        <v>33.708612379821211</v>
      </c>
    </row>
    <row r="91" spans="1:22" ht="15">
      <c r="B91" s="44"/>
      <c r="C91" s="4"/>
      <c r="D91" s="4"/>
      <c r="E91" s="4"/>
      <c r="F91" s="4"/>
      <c r="G91" s="4"/>
      <c r="H91" s="4"/>
      <c r="I91" s="4"/>
      <c r="J91" s="4"/>
      <c r="K91" s="4"/>
      <c r="L91" s="4"/>
      <c r="M91" s="4"/>
      <c r="N91" s="4"/>
      <c r="O91" s="4"/>
      <c r="P91" s="4"/>
      <c r="Q91" s="4"/>
      <c r="R91" s="4"/>
      <c r="S91" s="4"/>
      <c r="T91" s="4"/>
      <c r="U91" s="4"/>
      <c r="V91" s="4"/>
    </row>
    <row r="92" spans="1:22" ht="18">
      <c r="B92" s="61" t="s">
        <v>114</v>
      </c>
      <c r="C92" s="158"/>
      <c r="D92" s="158"/>
      <c r="E92" s="158"/>
      <c r="F92"/>
      <c r="G92"/>
      <c r="H92"/>
      <c r="I92"/>
      <c r="J92"/>
      <c r="K92"/>
      <c r="L92" s="134"/>
      <c r="M92" s="134"/>
      <c r="N92" s="139"/>
      <c r="O92" s="140"/>
      <c r="P92" s="141" t="s">
        <v>212</v>
      </c>
      <c r="Q92" s="140"/>
      <c r="R92" s="142"/>
      <c r="S92"/>
      <c r="T92"/>
      <c r="U92"/>
      <c r="V92"/>
    </row>
    <row r="93" spans="1:22" ht="15">
      <c r="A93" s="146" t="s">
        <v>186</v>
      </c>
      <c r="B93" s="143" t="s">
        <v>121</v>
      </c>
      <c r="C93" s="181" t="s">
        <v>258</v>
      </c>
      <c r="D93" s="181" t="s">
        <v>257</v>
      </c>
      <c r="E93" s="181" t="s">
        <v>256</v>
      </c>
      <c r="F93" s="181" t="s">
        <v>144</v>
      </c>
      <c r="G93" s="181" t="s">
        <v>145</v>
      </c>
      <c r="H93" s="181" t="s">
        <v>146</v>
      </c>
      <c r="I93" s="181" t="s">
        <v>147</v>
      </c>
      <c r="J93" s="181" t="s">
        <v>148</v>
      </c>
      <c r="K93" s="181" t="s">
        <v>149</v>
      </c>
      <c r="L93" s="181" t="s">
        <v>150</v>
      </c>
      <c r="M93" s="181" t="s">
        <v>151</v>
      </c>
      <c r="N93" s="182" t="s">
        <v>152</v>
      </c>
      <c r="O93" s="181" t="s">
        <v>153</v>
      </c>
      <c r="P93" s="181" t="s">
        <v>154</v>
      </c>
      <c r="Q93" s="181" t="s">
        <v>155</v>
      </c>
      <c r="R93" s="183" t="s">
        <v>156</v>
      </c>
      <c r="S93" s="181" t="s">
        <v>292</v>
      </c>
      <c r="T93" s="181" t="s">
        <v>293</v>
      </c>
      <c r="U93" s="181" t="s">
        <v>294</v>
      </c>
      <c r="V93" s="181" t="s">
        <v>295</v>
      </c>
    </row>
    <row r="94" spans="1:22" ht="15">
      <c r="A94" s="136" t="s">
        <v>143</v>
      </c>
      <c r="B94" s="136" t="s">
        <v>143</v>
      </c>
      <c r="C94" s="187">
        <f t="shared" ref="C94:R94" si="43">B18</f>
        <v>0.19449670516271569</v>
      </c>
      <c r="D94" s="187">
        <f t="shared" si="43"/>
        <v>0.20717498768140127</v>
      </c>
      <c r="E94" s="187">
        <f t="shared" si="43"/>
        <v>0.21173749248835672</v>
      </c>
      <c r="F94" s="187">
        <f t="shared" si="43"/>
        <v>0.26838637134565374</v>
      </c>
      <c r="G94" s="187">
        <f t="shared" si="43"/>
        <v>0.13646491888732987</v>
      </c>
      <c r="H94" s="187">
        <f t="shared" si="43"/>
        <v>0.22566907332335912</v>
      </c>
      <c r="I94" s="187">
        <f t="shared" si="43"/>
        <v>0.15024392347209065</v>
      </c>
      <c r="J94" s="187">
        <f t="shared" si="43"/>
        <v>0.1957671796062237</v>
      </c>
      <c r="K94" s="187">
        <f t="shared" si="43"/>
        <v>0.23091553426828032</v>
      </c>
      <c r="L94" s="187">
        <f t="shared" si="43"/>
        <v>0.22747024032342589</v>
      </c>
      <c r="M94" s="187">
        <f t="shared" si="43"/>
        <v>0.18781212591145674</v>
      </c>
      <c r="N94" s="187">
        <f t="shared" si="43"/>
        <v>0.1919857287094891</v>
      </c>
      <c r="O94" s="187">
        <f t="shared" si="43"/>
        <v>0.1919857287094891</v>
      </c>
      <c r="P94" s="187">
        <f t="shared" si="43"/>
        <v>0.1919857287094891</v>
      </c>
      <c r="Q94" s="187">
        <f t="shared" si="43"/>
        <v>0.1919857287094891</v>
      </c>
      <c r="R94" s="187">
        <f t="shared" si="43"/>
        <v>0.1919857287094891</v>
      </c>
      <c r="S94" s="187">
        <f t="shared" ref="S94" si="44">R18</f>
        <v>0.1919857287094891</v>
      </c>
      <c r="T94" s="187">
        <f t="shared" ref="T94" si="45">S18</f>
        <v>0.1919857287094891</v>
      </c>
      <c r="U94" s="187">
        <f t="shared" ref="U94" si="46">T18</f>
        <v>0.1919857287094891</v>
      </c>
      <c r="V94" s="187">
        <f t="shared" ref="V94" si="47">U18</f>
        <v>0.1919857287094891</v>
      </c>
    </row>
    <row r="95" spans="1:22" ht="15">
      <c r="A95" s="136" t="s">
        <v>222</v>
      </c>
      <c r="B95" s="136" t="s">
        <v>99</v>
      </c>
      <c r="C95" s="187"/>
      <c r="D95" s="187"/>
      <c r="E95" s="187"/>
      <c r="F95" s="187"/>
      <c r="G95" s="187"/>
      <c r="H95" s="187"/>
      <c r="I95" s="187"/>
      <c r="J95" s="187"/>
      <c r="K95" s="187"/>
      <c r="L95" s="187"/>
      <c r="M95" s="187">
        <f t="shared" ref="M95:R95" si="48">SUM(E52:E54)</f>
        <v>1.7199501734462157E-2</v>
      </c>
      <c r="N95" s="187">
        <f t="shared" si="48"/>
        <v>3.8106852092168644E-2</v>
      </c>
      <c r="O95" s="187">
        <f t="shared" si="48"/>
        <v>6.0430773412944831E-2</v>
      </c>
      <c r="P95" s="187">
        <f t="shared" si="48"/>
        <v>6.6353429567914429E-2</v>
      </c>
      <c r="Q95" s="187">
        <f t="shared" si="48"/>
        <v>7.5772878532919294E-2</v>
      </c>
      <c r="R95" s="187">
        <f t="shared" si="48"/>
        <v>7.7874060755346447E-2</v>
      </c>
      <c r="S95" s="187">
        <f t="shared" ref="S95" si="49">SUM(K52:K54)</f>
        <v>7.4435532207222238E-2</v>
      </c>
      <c r="T95" s="187">
        <f t="shared" ref="T95" si="50">SUM(L52:L54)</f>
        <v>6.5383602386215309E-2</v>
      </c>
      <c r="U95" s="187">
        <f t="shared" ref="U95" si="51">SUM(M52:M54)</f>
        <v>6.4902439983398924E-2</v>
      </c>
      <c r="V95" s="187">
        <f t="shared" ref="V95" si="52">SUM(N52:N54)</f>
        <v>6.4670622714406822E-2</v>
      </c>
    </row>
    <row r="96" spans="1:22" ht="15">
      <c r="A96" s="136" t="s">
        <v>222</v>
      </c>
      <c r="B96" s="136" t="s">
        <v>100</v>
      </c>
      <c r="C96" s="187"/>
      <c r="D96" s="187"/>
      <c r="E96" s="187"/>
      <c r="F96" s="187"/>
      <c r="G96" s="187"/>
      <c r="H96" s="187"/>
      <c r="I96" s="187"/>
      <c r="J96" s="187"/>
      <c r="K96" s="187"/>
      <c r="L96" s="187"/>
      <c r="M96" s="187">
        <f t="shared" ref="M96:R96" si="53">SUM(E55:E57)</f>
        <v>-1.2469601495689161E-4</v>
      </c>
      <c r="N96" s="187">
        <f t="shared" si="53"/>
        <v>9.2910733361278308E-3</v>
      </c>
      <c r="O96" s="187">
        <f t="shared" si="53"/>
        <v>1.2155158635899572E-2</v>
      </c>
      <c r="P96" s="187">
        <f t="shared" si="53"/>
        <v>1.5793586069420513E-2</v>
      </c>
      <c r="Q96" s="187">
        <f t="shared" si="53"/>
        <v>1.7744289529290302E-2</v>
      </c>
      <c r="R96" s="187">
        <f t="shared" si="53"/>
        <v>1.9894405746737884E-2</v>
      </c>
      <c r="S96" s="187">
        <f t="shared" ref="S96" si="54">SUM(K55:K57)</f>
        <v>1.6367644951246822E-2</v>
      </c>
      <c r="T96" s="187">
        <f t="shared" ref="T96" si="55">SUM(L55:L57)</f>
        <v>1.2025856515843231E-2</v>
      </c>
      <c r="U96" s="187">
        <f t="shared" ref="U96" si="56">SUM(M55:M57)</f>
        <v>1.2523913373699938E-2</v>
      </c>
      <c r="V96" s="187">
        <f t="shared" ref="V96" si="57">SUM(N55:N57)</f>
        <v>1.2996934636308199E-2</v>
      </c>
    </row>
    <row r="97" spans="1:23" ht="15">
      <c r="A97" s="136" t="s">
        <v>222</v>
      </c>
      <c r="B97" s="136" t="s">
        <v>68</v>
      </c>
      <c r="C97" s="187"/>
      <c r="D97" s="187"/>
      <c r="E97" s="187"/>
      <c r="F97" s="187"/>
      <c r="G97" s="187"/>
      <c r="H97" s="187"/>
      <c r="I97" s="187"/>
      <c r="J97" s="187"/>
      <c r="K97" s="187"/>
      <c r="L97" s="187"/>
      <c r="M97" s="187">
        <f t="shared" ref="M97:R97" si="58">SUM(E58:E60)</f>
        <v>1.2229508605720481E-3</v>
      </c>
      <c r="N97" s="187">
        <f t="shared" si="58"/>
        <v>5.1193215699361656E-3</v>
      </c>
      <c r="O97" s="187">
        <f t="shared" si="58"/>
        <v>8.9734622857365626E-3</v>
      </c>
      <c r="P97" s="187">
        <f t="shared" si="58"/>
        <v>1.657046599265254E-2</v>
      </c>
      <c r="Q97" s="187">
        <f t="shared" si="58"/>
        <v>2.4024882421760742E-2</v>
      </c>
      <c r="R97" s="187">
        <f t="shared" si="58"/>
        <v>2.7948001607952664E-2</v>
      </c>
      <c r="S97" s="187">
        <f t="shared" ref="S97" si="59">SUM(K58:K60)</f>
        <v>3.0244360574111489E-2</v>
      </c>
      <c r="T97" s="187">
        <f t="shared" ref="T97" si="60">SUM(L58:L60)</f>
        <v>3.0606063225887166E-2</v>
      </c>
      <c r="U97" s="187">
        <f t="shared" ref="U97" si="61">SUM(M58:M60)</f>
        <v>3.0857559981045474E-2</v>
      </c>
      <c r="V97" s="187">
        <f t="shared" ref="V97" si="62">SUM(N58:N60)</f>
        <v>3.0986077230347239E-2</v>
      </c>
    </row>
    <row r="98" spans="1:23" ht="30">
      <c r="A98" s="136" t="s">
        <v>222</v>
      </c>
      <c r="B98" s="136" t="s">
        <v>112</v>
      </c>
      <c r="C98" s="187"/>
      <c r="D98" s="187"/>
      <c r="E98" s="187"/>
      <c r="F98" s="187"/>
      <c r="G98" s="187"/>
      <c r="H98" s="187"/>
      <c r="I98" s="187"/>
      <c r="J98" s="187"/>
      <c r="K98" s="187"/>
      <c r="L98" s="187"/>
      <c r="M98" s="187">
        <f>SUM(E61:E64)</f>
        <v>-7.8393781245909291E-4</v>
      </c>
      <c r="N98" s="187">
        <f t="shared" ref="N98:R98" si="63">SUM(F61:F64)</f>
        <v>2.1849514224125616E-3</v>
      </c>
      <c r="O98" s="187">
        <f t="shared" si="63"/>
        <v>2.313618816555976E-3</v>
      </c>
      <c r="P98" s="187">
        <f t="shared" si="63"/>
        <v>2.5494217486030724E-3</v>
      </c>
      <c r="Q98" s="187">
        <f t="shared" si="63"/>
        <v>2.7026054008021153E-3</v>
      </c>
      <c r="R98" s="187">
        <f t="shared" si="63"/>
        <v>2.8770134317758185E-3</v>
      </c>
      <c r="S98" s="187">
        <f t="shared" ref="S98" si="64">SUM(K61:K64)</f>
        <v>-7.4714159842206081E-3</v>
      </c>
      <c r="T98" s="187">
        <f t="shared" ref="T98" si="65">SUM(L61:L64)</f>
        <v>-7.1926330402243424E-3</v>
      </c>
      <c r="U98" s="187">
        <f t="shared" ref="U98" si="66">SUM(M61:M64)</f>
        <v>-7.0942299178594253E-3</v>
      </c>
      <c r="V98" s="187">
        <f t="shared" ref="V98" si="67">SUM(N61:N64)</f>
        <v>-6.7907301659715725E-3</v>
      </c>
    </row>
    <row r="99" spans="1:23" ht="30">
      <c r="A99" s="136" t="s">
        <v>222</v>
      </c>
      <c r="B99" s="136" t="s">
        <v>157</v>
      </c>
      <c r="C99" s="187"/>
      <c r="D99" s="187"/>
      <c r="E99" s="187"/>
      <c r="F99" s="187"/>
      <c r="G99" s="187"/>
      <c r="H99" s="187"/>
      <c r="I99" s="187"/>
      <c r="J99" s="187"/>
      <c r="K99" s="187"/>
      <c r="L99" s="187"/>
      <c r="M99" s="187">
        <f t="shared" ref="M99:R99" si="68">SUM(E65:E68)</f>
        <v>5.7759057957863661E-4</v>
      </c>
      <c r="N99" s="187">
        <f t="shared" si="68"/>
        <v>2.0101396656244021E-3</v>
      </c>
      <c r="O99" s="187">
        <f t="shared" si="68"/>
        <v>1.357481986379739E-3</v>
      </c>
      <c r="P99" s="187">
        <f t="shared" si="68"/>
        <v>1.6135208422129559E-3</v>
      </c>
      <c r="Q99" s="187">
        <f t="shared" si="68"/>
        <v>2.6324231818742002E-3</v>
      </c>
      <c r="R99" s="187">
        <f t="shared" si="68"/>
        <v>-9.3707253196362067E-4</v>
      </c>
      <c r="S99" s="187">
        <f t="shared" ref="S99" si="69">SUM(K65:K68)</f>
        <v>-3.1085631925273256E-3</v>
      </c>
      <c r="T99" s="187">
        <f t="shared" ref="T99" si="70">SUM(L65:L68)</f>
        <v>-4.9675001303430373E-3</v>
      </c>
      <c r="U99" s="187">
        <f t="shared" ref="U99" si="71">SUM(M65:M68)</f>
        <v>-6.7437038023873668E-3</v>
      </c>
      <c r="V99" s="187">
        <f t="shared" ref="V99" si="72">SUM(N65:N68)</f>
        <v>-8.7648763927166938E-3</v>
      </c>
    </row>
    <row r="100" spans="1:23" ht="15">
      <c r="A100" s="136" t="s">
        <v>222</v>
      </c>
      <c r="B100" s="136" t="s">
        <v>162</v>
      </c>
      <c r="C100" s="187"/>
      <c r="D100" s="187"/>
      <c r="E100" s="187"/>
      <c r="F100" s="187"/>
      <c r="G100" s="187"/>
      <c r="H100" s="187"/>
      <c r="I100" s="187"/>
      <c r="J100" s="187"/>
      <c r="K100" s="187"/>
      <c r="L100" s="187"/>
      <c r="M100" s="187">
        <f t="shared" ref="M100:R100" si="73">SUM(E69:E71)</f>
        <v>5.1127754952603631E-3</v>
      </c>
      <c r="N100" s="187">
        <f t="shared" si="73"/>
        <v>6.3491728907972087E-3</v>
      </c>
      <c r="O100" s="187">
        <f t="shared" si="73"/>
        <v>7.411594875658371E-3</v>
      </c>
      <c r="P100" s="187">
        <f t="shared" si="73"/>
        <v>7.8141722520673664E-3</v>
      </c>
      <c r="Q100" s="187">
        <f t="shared" si="73"/>
        <v>6.3811703197432738E-3</v>
      </c>
      <c r="R100" s="187">
        <f t="shared" si="73"/>
        <v>5.650676666123902E-3</v>
      </c>
      <c r="S100" s="187">
        <f t="shared" ref="S100" si="74">SUM(K69:K71)</f>
        <v>5.8772844433226641E-3</v>
      </c>
      <c r="T100" s="187">
        <f t="shared" ref="T100" si="75">SUM(L69:L71)</f>
        <v>6.0324442119803773E-3</v>
      </c>
      <c r="U100" s="187">
        <f t="shared" ref="U100" si="76">SUM(M69:M71)</f>
        <v>6.4552851656294371E-3</v>
      </c>
      <c r="V100" s="187">
        <f t="shared" ref="V100" si="77">SUM(N69:N71)</f>
        <v>7.3361400819013127E-3</v>
      </c>
    </row>
    <row r="101" spans="1:23" ht="15">
      <c r="A101" s="136" t="s">
        <v>187</v>
      </c>
      <c r="B101" s="136" t="s">
        <v>137</v>
      </c>
      <c r="C101" s="187"/>
      <c r="D101" s="187"/>
      <c r="E101" s="187"/>
      <c r="F101" s="187"/>
      <c r="G101" s="187"/>
      <c r="H101" s="187"/>
      <c r="I101" s="187"/>
      <c r="J101" s="187"/>
      <c r="K101" s="187"/>
      <c r="L101" s="187"/>
      <c r="M101" s="187">
        <f>SUM('Inputs &amp; Calcs'!D229,'Inputs &amp; Calcs'!F261)</f>
        <v>2.2006232826710225E-3</v>
      </c>
      <c r="N101" s="187">
        <f>SUM('Inputs &amp; Calcs'!E229,'Inputs &amp; Calcs'!G261)</f>
        <v>2.1967260477687864E-2</v>
      </c>
      <c r="O101" s="187">
        <f>SUM('Inputs &amp; Calcs'!F229,'Inputs &amp; Calcs'!H261)</f>
        <v>2.2692513032641002E-2</v>
      </c>
      <c r="P101" s="187">
        <f>SUM('Inputs &amp; Calcs'!G229,'Inputs &amp; Calcs'!I261)</f>
        <v>2.2673806116577867E-2</v>
      </c>
      <c r="Q101" s="187">
        <f>SUM('Inputs &amp; Calcs'!H229,'Inputs &amp; Calcs'!J261)</f>
        <v>2.1748916099406004E-2</v>
      </c>
      <c r="R101" s="187">
        <f>SUM('Inputs &amp; Calcs'!I229,'Inputs &amp; Calcs'!K261)</f>
        <v>2.1095655033572042E-2</v>
      </c>
      <c r="S101" s="187">
        <f>SUM('Inputs &amp; Calcs'!J229,'Inputs &amp; Calcs'!L261)</f>
        <v>2.0151288028212207E-2</v>
      </c>
      <c r="T101" s="187">
        <f>SUM('Inputs &amp; Calcs'!K229,'Inputs &amp; Calcs'!M261)</f>
        <v>1.8770640934574194E-2</v>
      </c>
      <c r="U101" s="187">
        <f>SUM('Inputs &amp; Calcs'!L229,'Inputs &amp; Calcs'!N261)</f>
        <v>1.9153007890517285E-2</v>
      </c>
      <c r="V101" s="187">
        <f>SUM('Inputs &amp; Calcs'!M229,'Inputs &amp; Calcs'!O261)</f>
        <v>1.8832580619734016E-2</v>
      </c>
    </row>
    <row r="102" spans="1:23" ht="45">
      <c r="A102" s="136" t="s">
        <v>189</v>
      </c>
      <c r="B102" s="136" t="s">
        <v>211</v>
      </c>
      <c r="C102" s="187"/>
      <c r="D102" s="187"/>
      <c r="E102" s="187"/>
      <c r="F102" s="187"/>
      <c r="G102" s="187"/>
      <c r="H102" s="187"/>
      <c r="I102" s="187"/>
      <c r="J102" s="187"/>
      <c r="K102" s="187"/>
      <c r="L102" s="187"/>
      <c r="M102" s="187">
        <f>'Inputs &amp; Calcs'!C277</f>
        <v>2.4506266777500098E-2</v>
      </c>
      <c r="N102" s="187">
        <f>'Inputs &amp; Calcs'!D277</f>
        <v>3.7410203649976194E-2</v>
      </c>
      <c r="O102" s="187">
        <f>'Inputs &amp; Calcs'!E277</f>
        <v>3.0377502803184457E-2</v>
      </c>
      <c r="P102" s="187">
        <f>'Inputs &amp; Calcs'!F277</f>
        <v>3.3922301937507525E-2</v>
      </c>
      <c r="Q102" s="187">
        <f>'Inputs &amp; Calcs'!G277</f>
        <v>3.5482821630545981E-2</v>
      </c>
      <c r="R102" s="187">
        <f>'Inputs &amp; Calcs'!H277</f>
        <v>3.1841089795651902E-2</v>
      </c>
      <c r="S102" s="187">
        <f>'Inputs &amp; Calcs'!I277</f>
        <v>2.5318495902575573E-2</v>
      </c>
      <c r="T102" s="187">
        <f>'Inputs &amp; Calcs'!J277</f>
        <v>2.3615218880891131E-2</v>
      </c>
      <c r="U102" s="187">
        <f>'Inputs &amp; Calcs'!K277</f>
        <v>2.7537227214524458E-2</v>
      </c>
      <c r="V102" s="187">
        <f>'Inputs &amp; Calcs'!L277</f>
        <v>2.0588814545683252E-2</v>
      </c>
    </row>
    <row r="103" spans="1:23" ht="15">
      <c r="A103" s="136"/>
      <c r="B103" s="138" t="s">
        <v>114</v>
      </c>
      <c r="C103" s="188">
        <f>SUM(C94:C102)</f>
        <v>0.19449670516271569</v>
      </c>
      <c r="D103" s="188">
        <f>SUM(D94:D102)</f>
        <v>0.20717498768140127</v>
      </c>
      <c r="E103" s="188">
        <f>SUM(E94:E102)</f>
        <v>0.21173749248835672</v>
      </c>
      <c r="F103" s="188">
        <f t="shared" ref="F103:R103" si="78">SUM(F94:F102)</f>
        <v>0.26838637134565374</v>
      </c>
      <c r="G103" s="188">
        <f t="shared" si="78"/>
        <v>0.13646491888732987</v>
      </c>
      <c r="H103" s="188">
        <f t="shared" si="78"/>
        <v>0.22566907332335912</v>
      </c>
      <c r="I103" s="188">
        <f t="shared" si="78"/>
        <v>0.15024392347209065</v>
      </c>
      <c r="J103" s="188">
        <f t="shared" si="78"/>
        <v>0.1957671796062237</v>
      </c>
      <c r="K103" s="188">
        <f t="shared" si="78"/>
        <v>0.23091553426828032</v>
      </c>
      <c r="L103" s="188">
        <f t="shared" si="78"/>
        <v>0.22747024032342589</v>
      </c>
      <c r="M103" s="188">
        <f>SUM(M94:M102)</f>
        <v>0.23772320081408507</v>
      </c>
      <c r="N103" s="188">
        <f t="shared" si="78"/>
        <v>0.31442470381422</v>
      </c>
      <c r="O103" s="188">
        <f t="shared" si="78"/>
        <v>0.33769783455848962</v>
      </c>
      <c r="P103" s="188">
        <f t="shared" si="78"/>
        <v>0.35927643323644531</v>
      </c>
      <c r="Q103" s="188">
        <f t="shared" si="78"/>
        <v>0.37847571582583106</v>
      </c>
      <c r="R103" s="188">
        <f t="shared" si="78"/>
        <v>0.37822955921468621</v>
      </c>
      <c r="S103" s="188">
        <f t="shared" ref="S103:V103" si="79">SUM(S94:S102)</f>
        <v>0.35380035563943213</v>
      </c>
      <c r="T103" s="188">
        <f t="shared" si="79"/>
        <v>0.33625942169431322</v>
      </c>
      <c r="U103" s="188">
        <f t="shared" si="79"/>
        <v>0.33957722859805778</v>
      </c>
      <c r="V103" s="188">
        <f t="shared" si="79"/>
        <v>0.33184129197918166</v>
      </c>
    </row>
    <row r="104" spans="1:23" ht="30">
      <c r="A104" s="136"/>
      <c r="B104" s="136" t="s">
        <v>221</v>
      </c>
      <c r="C104" s="186"/>
      <c r="D104" s="186"/>
      <c r="E104" s="186"/>
      <c r="F104" s="186"/>
      <c r="G104" s="186"/>
      <c r="H104" s="186"/>
      <c r="I104" s="186"/>
      <c r="J104" s="186"/>
      <c r="K104" s="186"/>
      <c r="L104" s="187"/>
      <c r="M104" s="187">
        <f t="shared" ref="M104:R104" si="80">M103-M94</f>
        <v>4.9911074902628333E-2</v>
      </c>
      <c r="N104" s="187">
        <f t="shared" si="80"/>
        <v>0.1224389751047309</v>
      </c>
      <c r="O104" s="187">
        <f t="shared" si="80"/>
        <v>0.14571210584900052</v>
      </c>
      <c r="P104" s="187">
        <f t="shared" si="80"/>
        <v>0.16729070452695621</v>
      </c>
      <c r="Q104" s="187">
        <f t="shared" si="80"/>
        <v>0.18648998711634196</v>
      </c>
      <c r="R104" s="187">
        <f t="shared" si="80"/>
        <v>0.18624383050519711</v>
      </c>
      <c r="S104" s="187">
        <f t="shared" ref="S104:V104" si="81">S103-S94</f>
        <v>0.16181462692994303</v>
      </c>
      <c r="T104" s="187">
        <f t="shared" si="81"/>
        <v>0.14427369298482412</v>
      </c>
      <c r="U104" s="187">
        <f t="shared" si="81"/>
        <v>0.14759149988856868</v>
      </c>
      <c r="V104" s="187">
        <f t="shared" si="81"/>
        <v>0.13985556326969256</v>
      </c>
    </row>
    <row r="105" spans="1:23" ht="15">
      <c r="A105" s="76"/>
      <c r="B105" s="76"/>
      <c r="C105" s="76"/>
      <c r="D105" s="76"/>
      <c r="E105" s="76"/>
      <c r="F105" s="76"/>
      <c r="G105" s="76"/>
      <c r="H105" s="76"/>
      <c r="I105" s="76"/>
      <c r="J105" s="76"/>
      <c r="K105" s="76"/>
      <c r="L105" s="90"/>
      <c r="M105" s="90"/>
      <c r="N105" s="90"/>
      <c r="O105" s="90"/>
      <c r="P105" s="90"/>
      <c r="Q105" s="90"/>
      <c r="R105" s="90"/>
      <c r="S105" s="76"/>
      <c r="T105" s="76"/>
      <c r="U105" s="76"/>
      <c r="V105" s="76"/>
      <c r="W105" s="76"/>
    </row>
    <row r="138" spans="1:27" ht="23.25" customHeight="1">
      <c r="A138" s="36" t="s">
        <v>66</v>
      </c>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row>
  </sheetData>
  <pageMargins left="0.70866141732283472" right="0.70866141732283472" top="0.55118110236220474" bottom="0.74803149606299213" header="0.31496062992125984" footer="0.31496062992125984"/>
  <pageSetup paperSize="9" scale="31" fitToHeight="0" orientation="landscape" r:id="rId1"/>
  <headerFooter>
    <oddFooter>&amp;L&amp;"Arial,Bold"&amp;10&amp;K7030A0DISTRIBUTION TRANSFORMERS - POLE MOUNTED&amp;C&amp;"Arial,Regular"&amp;10&amp;K7030A0Page &amp;P of &amp;N&amp;R&amp;"Arial,Regular"&amp;10&amp;K7030A0&amp;A
&amp;T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A40"/>
  <sheetViews>
    <sheetView showGridLines="0" zoomScale="85" zoomScaleNormal="85" workbookViewId="0">
      <selection activeCell="R19" sqref="A6:R19"/>
    </sheetView>
  </sheetViews>
  <sheetFormatPr defaultRowHeight="15"/>
  <sheetData>
    <row r="1" spans="1:27" ht="26.25">
      <c r="A1" s="41" t="s">
        <v>67</v>
      </c>
      <c r="B1" s="42"/>
      <c r="C1" s="42"/>
      <c r="D1" s="42"/>
      <c r="E1" s="42"/>
      <c r="F1" s="42"/>
      <c r="G1" s="42"/>
      <c r="H1" s="42"/>
      <c r="I1" s="42"/>
      <c r="J1" s="42"/>
      <c r="K1" s="42"/>
      <c r="L1" s="42"/>
      <c r="M1" s="42"/>
      <c r="N1" s="42"/>
      <c r="O1" s="42"/>
      <c r="P1" s="42"/>
      <c r="Q1" s="42"/>
      <c r="R1" s="42"/>
    </row>
    <row r="2" spans="1:27">
      <c r="A2" s="64"/>
      <c r="B2" s="64"/>
      <c r="C2" s="64"/>
      <c r="D2" s="64"/>
      <c r="E2" s="64"/>
      <c r="F2" s="64"/>
      <c r="G2" s="64"/>
      <c r="H2" s="64"/>
      <c r="I2" s="64"/>
      <c r="J2" s="64"/>
      <c r="K2" s="64"/>
      <c r="L2" s="64"/>
      <c r="M2" s="64"/>
      <c r="N2" s="64"/>
      <c r="O2" s="64"/>
      <c r="P2" s="64"/>
      <c r="Q2" s="64"/>
      <c r="R2" s="64"/>
    </row>
    <row r="3" spans="1:27" ht="18">
      <c r="A3" s="63" t="s">
        <v>273</v>
      </c>
      <c r="B3" s="42"/>
      <c r="C3" s="42"/>
      <c r="D3" s="42"/>
      <c r="E3" s="42"/>
      <c r="F3" s="42"/>
      <c r="G3" s="42"/>
      <c r="H3" s="42"/>
      <c r="I3" s="42"/>
      <c r="J3" s="42"/>
      <c r="K3" s="42"/>
      <c r="L3" s="42"/>
      <c r="M3" s="42"/>
      <c r="N3" s="42"/>
      <c r="O3" s="42"/>
      <c r="P3" s="42"/>
      <c r="Q3" s="42"/>
      <c r="R3" s="42"/>
    </row>
    <row r="4" spans="1:27">
      <c r="A4" s="64"/>
      <c r="B4" s="64"/>
      <c r="C4" s="64"/>
      <c r="D4" s="64"/>
      <c r="E4" s="64"/>
      <c r="F4" s="64"/>
      <c r="G4" s="64"/>
      <c r="H4" s="64"/>
      <c r="I4" s="64"/>
      <c r="J4" s="64"/>
      <c r="K4" s="64"/>
      <c r="L4" s="64"/>
      <c r="M4" s="64"/>
      <c r="N4" s="64"/>
    </row>
    <row r="5" spans="1:27" ht="18">
      <c r="A5" s="61" t="s">
        <v>271</v>
      </c>
      <c r="B5" s="61"/>
      <c r="C5" s="64"/>
      <c r="D5" s="64"/>
      <c r="E5" s="64"/>
      <c r="F5" s="64"/>
      <c r="G5" s="159"/>
      <c r="H5" s="159"/>
      <c r="I5" s="159"/>
      <c r="J5" s="159"/>
      <c r="K5" s="159"/>
      <c r="L5" s="159"/>
      <c r="M5" s="159"/>
      <c r="N5" s="159"/>
    </row>
    <row r="6" spans="1:27">
      <c r="A6" s="64"/>
      <c r="B6" s="43"/>
      <c r="C6" s="160"/>
      <c r="D6" s="160"/>
      <c r="E6" s="160"/>
      <c r="F6" s="160"/>
      <c r="G6" s="160"/>
      <c r="H6" s="160"/>
      <c r="I6" s="160"/>
      <c r="J6" s="161"/>
      <c r="K6" s="162"/>
      <c r="L6" s="162" t="s">
        <v>212</v>
      </c>
      <c r="M6" s="162"/>
      <c r="N6" s="163"/>
    </row>
    <row r="7" spans="1:27">
      <c r="A7" s="49"/>
      <c r="B7" s="49"/>
      <c r="C7" s="49"/>
      <c r="D7" s="49"/>
      <c r="E7" s="49"/>
      <c r="F7" s="49"/>
      <c r="G7" s="49"/>
      <c r="H7" s="49">
        <v>2017</v>
      </c>
      <c r="I7" s="49">
        <v>2018</v>
      </c>
      <c r="J7" s="164">
        <v>2019</v>
      </c>
      <c r="K7" s="49">
        <v>2020</v>
      </c>
      <c r="L7" s="49">
        <v>2021</v>
      </c>
      <c r="M7" s="49">
        <v>2022</v>
      </c>
      <c r="N7" s="165">
        <v>2023</v>
      </c>
      <c r="O7" s="49">
        <v>2024</v>
      </c>
      <c r="P7" s="49">
        <v>2025</v>
      </c>
      <c r="Q7" s="165">
        <v>2026</v>
      </c>
      <c r="R7" s="49">
        <v>2027</v>
      </c>
    </row>
    <row r="8" spans="1:27">
      <c r="A8" s="49"/>
      <c r="B8" s="49"/>
      <c r="C8" s="49"/>
      <c r="D8" s="49"/>
      <c r="E8" s="49"/>
      <c r="F8" s="49"/>
      <c r="G8" s="49"/>
      <c r="H8" s="49"/>
      <c r="I8" s="49" t="s">
        <v>268</v>
      </c>
      <c r="J8" s="164" t="s">
        <v>268</v>
      </c>
      <c r="K8" s="49" t="s">
        <v>268</v>
      </c>
      <c r="L8" s="49" t="s">
        <v>268</v>
      </c>
      <c r="M8" s="49" t="s">
        <v>268</v>
      </c>
      <c r="N8" s="165" t="s">
        <v>268</v>
      </c>
    </row>
    <row r="9" spans="1:27">
      <c r="A9" s="88" t="s">
        <v>88</v>
      </c>
      <c r="B9" s="88"/>
      <c r="C9" s="88"/>
      <c r="D9" s="88"/>
      <c r="E9" s="88"/>
      <c r="F9" s="88"/>
      <c r="G9" s="88"/>
      <c r="H9" s="166">
        <f>Outputs!L90</f>
        <v>0</v>
      </c>
      <c r="I9" s="166">
        <f>Outputs!M90</f>
        <v>10.493452779274328</v>
      </c>
      <c r="J9" s="166">
        <f>Outputs!N90</f>
        <v>25.943026746939303</v>
      </c>
      <c r="K9" s="166">
        <f>Outputs!O90</f>
        <v>30.355112514900732</v>
      </c>
      <c r="L9" s="166">
        <f>Outputs!P90</f>
        <v>36.92575206759826</v>
      </c>
      <c r="M9" s="166">
        <f>Outputs!Q90</f>
        <v>42.121958205090372</v>
      </c>
      <c r="N9" s="166">
        <f>Outputs!R90</f>
        <v>43.098551637977529</v>
      </c>
      <c r="O9" s="166">
        <f>Outputs!S90</f>
        <v>37.870344490617647</v>
      </c>
      <c r="P9" s="166">
        <f>Outputs!T90</f>
        <v>33.972309914174112</v>
      </c>
      <c r="Q9" s="166">
        <f>Outputs!U90</f>
        <v>35.031290244005653</v>
      </c>
      <c r="R9" s="166">
        <f>Outputs!V90</f>
        <v>33.708612379821211</v>
      </c>
    </row>
    <row r="10" spans="1:27">
      <c r="A10" s="88" t="s">
        <v>89</v>
      </c>
      <c r="B10" s="88"/>
      <c r="C10" s="88"/>
      <c r="D10" s="88"/>
      <c r="E10" s="88"/>
      <c r="F10" s="88"/>
      <c r="G10" s="88"/>
      <c r="H10" s="171">
        <f>Outputs!L104</f>
        <v>0</v>
      </c>
      <c r="I10" s="171">
        <f>Outputs!M104</f>
        <v>4.9911074902628333E-2</v>
      </c>
      <c r="J10" s="171">
        <f>Outputs!N104</f>
        <v>0.1224389751047309</v>
      </c>
      <c r="K10" s="171">
        <f>Outputs!O104</f>
        <v>0.14571210584900052</v>
      </c>
      <c r="L10" s="171">
        <f>Outputs!P104</f>
        <v>0.16729070452695621</v>
      </c>
      <c r="M10" s="171">
        <f>Outputs!Q104</f>
        <v>0.18648998711634196</v>
      </c>
      <c r="N10" s="171">
        <f>Outputs!R104</f>
        <v>0.18624383050519711</v>
      </c>
      <c r="O10" s="171">
        <f>Outputs!S104</f>
        <v>0.16181462692994303</v>
      </c>
      <c r="P10" s="171">
        <f>Outputs!T104</f>
        <v>0.14427369298482412</v>
      </c>
      <c r="Q10" s="171">
        <f>Outputs!U104</f>
        <v>0.14759149988856868</v>
      </c>
      <c r="R10" s="171">
        <f>Outputs!V104</f>
        <v>0.13985556326969256</v>
      </c>
    </row>
    <row r="11" spans="1:27">
      <c r="A11" s="64"/>
      <c r="B11" s="64"/>
      <c r="C11" s="64"/>
      <c r="D11" s="64"/>
      <c r="E11" s="64"/>
      <c r="F11" s="64"/>
      <c r="G11" s="64"/>
      <c r="H11" s="64"/>
      <c r="I11" s="64"/>
      <c r="J11" s="64"/>
      <c r="K11" s="64"/>
      <c r="L11" s="64"/>
      <c r="M11" s="64"/>
      <c r="N11" s="64"/>
    </row>
    <row r="12" spans="1:27" ht="18">
      <c r="A12" s="63" t="s">
        <v>269</v>
      </c>
      <c r="B12" s="42"/>
      <c r="C12" s="42"/>
      <c r="D12" s="42"/>
      <c r="E12" s="42"/>
      <c r="F12" s="42"/>
      <c r="G12" s="42"/>
      <c r="H12" s="42"/>
      <c r="I12" s="42"/>
      <c r="J12" s="42"/>
      <c r="K12" s="42"/>
      <c r="L12" s="42"/>
      <c r="M12" s="42"/>
      <c r="N12" s="42"/>
      <c r="O12" s="42"/>
      <c r="P12" s="42"/>
      <c r="Q12" s="42"/>
      <c r="R12" s="42"/>
    </row>
    <row r="13" spans="1:27">
      <c r="A13" s="64"/>
      <c r="B13" s="64"/>
      <c r="C13" s="64"/>
      <c r="D13" s="64"/>
      <c r="E13" s="64"/>
      <c r="F13" s="64"/>
      <c r="G13" s="64"/>
      <c r="H13" s="64"/>
      <c r="I13" s="64"/>
      <c r="J13" s="64"/>
      <c r="K13" s="64"/>
      <c r="L13" s="64"/>
      <c r="M13" s="64"/>
      <c r="N13" s="64"/>
      <c r="R13" s="177"/>
      <c r="S13" s="177"/>
      <c r="T13" s="177"/>
      <c r="U13" s="177"/>
      <c r="V13" s="177"/>
      <c r="W13" s="177"/>
      <c r="X13" s="177"/>
      <c r="Y13" s="177"/>
      <c r="Z13" s="177"/>
      <c r="AA13" s="177"/>
    </row>
    <row r="14" spans="1:27" ht="18">
      <c r="A14" s="61" t="s">
        <v>272</v>
      </c>
      <c r="B14" s="64"/>
      <c r="C14" s="64"/>
      <c r="D14" s="64"/>
      <c r="E14" s="64"/>
      <c r="F14" s="64"/>
      <c r="G14" s="64"/>
      <c r="H14" s="64"/>
      <c r="I14" s="64"/>
      <c r="J14" s="64"/>
      <c r="K14" s="64"/>
      <c r="L14" s="64"/>
      <c r="M14" s="64"/>
      <c r="N14" s="64"/>
      <c r="P14" s="178"/>
      <c r="Q14" s="178"/>
      <c r="R14" s="178"/>
      <c r="S14" s="178"/>
      <c r="T14" s="178"/>
      <c r="U14" s="178"/>
      <c r="V14" s="178"/>
      <c r="W14" s="178"/>
      <c r="X14" s="178"/>
      <c r="Y14" s="178"/>
      <c r="Z14" s="178"/>
      <c r="AA14" s="178"/>
    </row>
    <row r="15" spans="1:27">
      <c r="A15" s="64"/>
      <c r="B15" s="43"/>
      <c r="C15" s="160"/>
      <c r="D15" s="160"/>
      <c r="E15" s="160"/>
      <c r="F15" s="160"/>
      <c r="G15" s="160"/>
      <c r="H15" s="160"/>
      <c r="I15" s="160"/>
      <c r="J15" s="161"/>
      <c r="K15" s="162"/>
      <c r="L15" s="167" t="s">
        <v>212</v>
      </c>
      <c r="M15" s="162"/>
      <c r="N15" s="163"/>
      <c r="P15" s="178"/>
      <c r="Q15" s="178"/>
      <c r="R15" s="178"/>
      <c r="S15" s="178"/>
      <c r="T15" s="178"/>
      <c r="U15" s="178"/>
      <c r="V15" s="178"/>
      <c r="W15" s="178"/>
      <c r="X15" s="178"/>
      <c r="Y15" s="178"/>
      <c r="Z15" s="178"/>
      <c r="AA15" s="178"/>
    </row>
    <row r="16" spans="1:27">
      <c r="A16" s="49"/>
      <c r="B16" s="49"/>
      <c r="C16" s="49">
        <v>2012</v>
      </c>
      <c r="D16" s="49">
        <v>2013</v>
      </c>
      <c r="E16" s="49">
        <v>2014</v>
      </c>
      <c r="F16" s="49">
        <v>2015</v>
      </c>
      <c r="G16" s="49">
        <v>2016</v>
      </c>
      <c r="H16" s="49">
        <v>2017</v>
      </c>
      <c r="I16" s="49">
        <v>2018</v>
      </c>
      <c r="J16" s="164">
        <v>2019</v>
      </c>
      <c r="K16" s="49">
        <v>2020</v>
      </c>
      <c r="L16" s="49">
        <v>2021</v>
      </c>
      <c r="M16" s="49">
        <v>2022</v>
      </c>
      <c r="N16" s="165">
        <v>2023</v>
      </c>
      <c r="O16" s="49">
        <v>2024</v>
      </c>
      <c r="P16" s="165">
        <v>2025</v>
      </c>
      <c r="Q16" s="49">
        <v>2026</v>
      </c>
      <c r="R16" s="165">
        <v>2027</v>
      </c>
      <c r="S16" s="192"/>
      <c r="T16" s="192"/>
      <c r="U16" s="192"/>
      <c r="V16" s="192"/>
      <c r="W16" s="192"/>
      <c r="X16" s="192"/>
      <c r="Y16" s="192"/>
      <c r="Z16" s="192"/>
      <c r="AA16" s="192"/>
    </row>
    <row r="17" spans="1:27">
      <c r="A17" s="49"/>
      <c r="B17" s="49"/>
      <c r="C17" s="189" t="s">
        <v>270</v>
      </c>
      <c r="D17" s="189" t="s">
        <v>270</v>
      </c>
      <c r="E17" s="189" t="s">
        <v>270</v>
      </c>
      <c r="F17" s="189" t="s">
        <v>270</v>
      </c>
      <c r="G17" s="189" t="s">
        <v>270</v>
      </c>
      <c r="H17" s="189" t="s">
        <v>270</v>
      </c>
      <c r="I17" s="189" t="s">
        <v>268</v>
      </c>
      <c r="J17" s="190" t="s">
        <v>268</v>
      </c>
      <c r="K17" s="189" t="s">
        <v>268</v>
      </c>
      <c r="L17" s="189" t="s">
        <v>268</v>
      </c>
      <c r="M17" s="189" t="s">
        <v>268</v>
      </c>
      <c r="N17" s="191" t="s">
        <v>268</v>
      </c>
      <c r="O17" s="191" t="s">
        <v>268</v>
      </c>
      <c r="P17" s="191" t="s">
        <v>268</v>
      </c>
      <c r="Q17" s="191" t="s">
        <v>268</v>
      </c>
      <c r="R17" s="191" t="s">
        <v>268</v>
      </c>
      <c r="S17" s="192"/>
      <c r="T17" s="192"/>
      <c r="U17" s="192"/>
      <c r="V17" s="192"/>
      <c r="W17" s="192"/>
      <c r="X17" s="192"/>
      <c r="Y17" s="192"/>
      <c r="Z17" s="192"/>
      <c r="AA17" s="192"/>
    </row>
    <row r="18" spans="1:27">
      <c r="A18" s="168" t="s">
        <v>88</v>
      </c>
      <c r="B18" s="168"/>
      <c r="C18" s="169">
        <f>Outputs!G89</f>
        <v>30.359361788288449</v>
      </c>
      <c r="D18" s="169">
        <f>Outputs!H89</f>
        <v>60.015460344698617</v>
      </c>
      <c r="E18" s="169">
        <f>Outputs!I89</f>
        <v>36.050036926902493</v>
      </c>
      <c r="F18" s="169">
        <f>Outputs!J89</f>
        <v>46.002833232537327</v>
      </c>
      <c r="G18" s="169">
        <f>Outputs!K89</f>
        <v>48.12793088086179</v>
      </c>
      <c r="H18" s="169">
        <f>Outputs!L89</f>
        <v>45.850865264156134</v>
      </c>
      <c r="I18" s="169">
        <f>Outputs!M89</f>
        <v>54.604577413932063</v>
      </c>
      <c r="J18" s="169">
        <f>Outputs!N89</f>
        <v>71.034398595700537</v>
      </c>
      <c r="K18" s="169">
        <f>Outputs!O89</f>
        <v>75.446484363661966</v>
      </c>
      <c r="L18" s="169">
        <f>Outputs!P89</f>
        <v>82.017123916359495</v>
      </c>
      <c r="M18" s="169">
        <f>Outputs!Q89</f>
        <v>87.213330053851607</v>
      </c>
      <c r="N18" s="169">
        <f>Outputs!R89</f>
        <v>88.189923486738763</v>
      </c>
      <c r="O18" s="169">
        <f>Outputs!S89</f>
        <v>82.961716339378881</v>
      </c>
      <c r="P18" s="169">
        <f>Outputs!T89</f>
        <v>79.063681762935346</v>
      </c>
      <c r="Q18" s="169">
        <f>Outputs!U89</f>
        <v>80.122662092766888</v>
      </c>
      <c r="R18" s="169">
        <f>Outputs!V89</f>
        <v>78.799984228582446</v>
      </c>
    </row>
    <row r="19" spans="1:27">
      <c r="A19" s="168" t="s">
        <v>89</v>
      </c>
      <c r="B19" s="168"/>
      <c r="C19" s="172">
        <f>Outputs!G103</f>
        <v>0.13646491888732987</v>
      </c>
      <c r="D19" s="172">
        <f>Outputs!H103</f>
        <v>0.22566907332335912</v>
      </c>
      <c r="E19" s="172">
        <f>Outputs!I103</f>
        <v>0.15024392347209065</v>
      </c>
      <c r="F19" s="172">
        <f>Outputs!J103</f>
        <v>0.1957671796062237</v>
      </c>
      <c r="G19" s="172">
        <f>Outputs!K103</f>
        <v>0.23091553426828032</v>
      </c>
      <c r="H19" s="172">
        <f>Outputs!L103</f>
        <v>0.22747024032342589</v>
      </c>
      <c r="I19" s="172">
        <f>Outputs!M103</f>
        <v>0.23772320081408507</v>
      </c>
      <c r="J19" s="172">
        <f>Outputs!N103</f>
        <v>0.31442470381422</v>
      </c>
      <c r="K19" s="172">
        <f>Outputs!O103</f>
        <v>0.33769783455848962</v>
      </c>
      <c r="L19" s="172">
        <f>Outputs!P103</f>
        <v>0.35927643323644531</v>
      </c>
      <c r="M19" s="172">
        <f>Outputs!Q103</f>
        <v>0.37847571582583106</v>
      </c>
      <c r="N19" s="172">
        <f>Outputs!R103</f>
        <v>0.37822955921468621</v>
      </c>
      <c r="O19" s="172">
        <f>Outputs!S103</f>
        <v>0.35380035563943213</v>
      </c>
      <c r="P19" s="172">
        <f>Outputs!T103</f>
        <v>0.33625942169431322</v>
      </c>
      <c r="Q19" s="172">
        <f>Outputs!U103</f>
        <v>0.33957722859805778</v>
      </c>
      <c r="R19" s="172">
        <f>Outputs!V103</f>
        <v>0.33184129197918166</v>
      </c>
    </row>
    <row r="20" spans="1:27">
      <c r="A20" s="64"/>
      <c r="B20" s="64"/>
      <c r="C20" s="64"/>
      <c r="D20" s="64"/>
      <c r="E20" s="64"/>
      <c r="F20" s="64"/>
      <c r="G20" s="64"/>
      <c r="H20" s="64"/>
      <c r="I20" s="64"/>
      <c r="J20" s="64"/>
      <c r="K20" s="64"/>
      <c r="L20" s="64"/>
      <c r="M20" s="64"/>
      <c r="N20" s="64"/>
    </row>
    <row r="21" spans="1:27">
      <c r="A21" s="64"/>
      <c r="B21" s="64"/>
      <c r="C21" s="170"/>
      <c r="D21" s="170"/>
      <c r="E21" s="170"/>
      <c r="F21" s="170"/>
      <c r="G21" s="170"/>
      <c r="H21" s="170"/>
      <c r="I21" s="170"/>
      <c r="J21" s="170"/>
      <c r="K21" s="170"/>
      <c r="L21" s="170"/>
      <c r="M21" s="170"/>
      <c r="N21" s="170"/>
    </row>
    <row r="22" spans="1:27">
      <c r="A22" s="64"/>
      <c r="B22" s="64" t="s">
        <v>139</v>
      </c>
      <c r="C22" s="64"/>
      <c r="D22" s="64"/>
      <c r="E22" s="64"/>
      <c r="F22" s="64"/>
      <c r="G22" s="64"/>
      <c r="H22" s="64"/>
      <c r="I22" s="64"/>
      <c r="J22" s="64" t="s">
        <v>141</v>
      </c>
      <c r="K22" s="64"/>
      <c r="L22" s="64"/>
      <c r="M22" s="64"/>
      <c r="N22" s="64"/>
    </row>
    <row r="23" spans="1:27">
      <c r="A23" s="64"/>
      <c r="B23" s="64"/>
      <c r="C23" s="64"/>
      <c r="D23" s="64"/>
      <c r="E23" s="64"/>
      <c r="F23" s="64"/>
      <c r="G23" s="64"/>
      <c r="H23" s="64"/>
      <c r="I23" s="64"/>
      <c r="J23" s="64"/>
      <c r="K23" s="64"/>
      <c r="L23" s="64"/>
      <c r="M23" s="64"/>
      <c r="N23" s="64"/>
    </row>
    <row r="24" spans="1:27">
      <c r="A24" s="64"/>
      <c r="B24" s="64"/>
      <c r="C24" s="64"/>
      <c r="D24" s="64"/>
      <c r="E24" s="64"/>
      <c r="F24" s="64"/>
      <c r="G24" s="64"/>
      <c r="H24" s="64"/>
      <c r="I24" s="64"/>
      <c r="J24" s="64"/>
      <c r="K24" s="64"/>
      <c r="L24" s="64"/>
      <c r="M24" s="64"/>
      <c r="N24" s="64"/>
    </row>
    <row r="25" spans="1:27">
      <c r="A25" s="64"/>
      <c r="B25" s="64"/>
      <c r="C25" s="64"/>
      <c r="D25" s="64"/>
      <c r="E25" s="64"/>
      <c r="F25" s="64"/>
      <c r="G25" s="64"/>
      <c r="H25" s="64"/>
      <c r="I25" s="64"/>
      <c r="J25" s="64"/>
      <c r="K25" s="64"/>
      <c r="L25" s="64"/>
      <c r="M25" s="64"/>
      <c r="N25" s="64"/>
    </row>
    <row r="26" spans="1:27">
      <c r="A26" s="64"/>
      <c r="B26" s="64"/>
      <c r="C26" s="64"/>
      <c r="D26" s="64"/>
      <c r="E26" s="64"/>
      <c r="F26" s="64"/>
      <c r="G26" s="64"/>
      <c r="H26" s="64"/>
      <c r="I26" s="64"/>
      <c r="J26" s="64"/>
      <c r="K26" s="64"/>
      <c r="L26" s="64"/>
      <c r="M26" s="64"/>
      <c r="N26" s="64"/>
    </row>
    <row r="27" spans="1:27">
      <c r="A27" s="64"/>
      <c r="B27" s="64"/>
      <c r="C27" s="64"/>
      <c r="D27" s="64"/>
      <c r="E27" s="64"/>
      <c r="F27" s="64"/>
      <c r="G27" s="64"/>
      <c r="H27" s="64"/>
      <c r="I27" s="64"/>
      <c r="J27" s="64"/>
      <c r="K27" s="64"/>
      <c r="L27" s="64"/>
      <c r="M27" s="64"/>
      <c r="N27" s="64"/>
    </row>
    <row r="28" spans="1:27">
      <c r="A28" s="64"/>
      <c r="B28" s="64"/>
      <c r="C28" s="64"/>
      <c r="D28" s="64"/>
      <c r="E28" s="64"/>
      <c r="F28" s="64"/>
      <c r="G28" s="64"/>
      <c r="H28" s="64"/>
      <c r="I28" s="64"/>
      <c r="J28" s="64"/>
      <c r="K28" s="64"/>
      <c r="L28" s="64"/>
      <c r="M28" s="64"/>
      <c r="N28" s="64"/>
    </row>
    <row r="29" spans="1:27">
      <c r="A29" s="64"/>
      <c r="B29" s="64"/>
      <c r="C29" s="64"/>
      <c r="D29" s="64"/>
      <c r="E29" s="64"/>
      <c r="F29" s="64"/>
      <c r="G29" s="64"/>
      <c r="H29" s="64"/>
      <c r="I29" s="64"/>
      <c r="J29" s="64"/>
      <c r="K29" s="64"/>
      <c r="L29" s="64"/>
      <c r="M29" s="64"/>
      <c r="N29" s="64"/>
    </row>
    <row r="30" spans="1:27">
      <c r="A30" s="64"/>
      <c r="B30" s="64"/>
      <c r="C30" s="64"/>
      <c r="D30" s="64"/>
      <c r="E30" s="64"/>
      <c r="F30" s="64"/>
      <c r="G30" s="64"/>
      <c r="H30" s="64"/>
      <c r="I30" s="64"/>
      <c r="J30" s="64"/>
      <c r="K30" s="64"/>
      <c r="L30" s="64"/>
      <c r="M30" s="64"/>
      <c r="N30" s="64"/>
    </row>
    <row r="31" spans="1:27">
      <c r="A31" s="64"/>
      <c r="B31" s="64"/>
      <c r="C31" s="64"/>
      <c r="D31" s="64"/>
      <c r="E31" s="64"/>
      <c r="F31" s="64"/>
      <c r="G31" s="64"/>
      <c r="H31" s="64"/>
      <c r="I31" s="64"/>
      <c r="J31" s="64"/>
      <c r="K31" s="64"/>
      <c r="L31" s="64"/>
      <c r="M31" s="64"/>
      <c r="N31" s="64"/>
    </row>
    <row r="32" spans="1:27">
      <c r="A32" s="64"/>
      <c r="B32" s="64"/>
      <c r="C32" s="64"/>
      <c r="D32" s="64"/>
      <c r="E32" s="64"/>
      <c r="F32" s="64"/>
      <c r="G32" s="64"/>
      <c r="H32" s="64"/>
      <c r="I32" s="64"/>
      <c r="J32" s="64"/>
      <c r="K32" s="64"/>
      <c r="L32" s="64"/>
      <c r="M32" s="64"/>
      <c r="N32" s="64"/>
    </row>
    <row r="33" spans="1:14">
      <c r="A33" s="64"/>
      <c r="B33" s="64"/>
      <c r="C33" s="64"/>
      <c r="D33" s="64"/>
      <c r="E33" s="64"/>
      <c r="F33" s="64"/>
      <c r="G33" s="64"/>
      <c r="H33" s="64"/>
      <c r="I33" s="64"/>
      <c r="J33" s="64"/>
      <c r="K33" s="64"/>
      <c r="L33" s="64"/>
      <c r="M33" s="64"/>
      <c r="N33" s="64"/>
    </row>
    <row r="34" spans="1:14">
      <c r="A34" s="64"/>
      <c r="B34" s="64"/>
      <c r="C34" s="64"/>
      <c r="D34" s="64"/>
      <c r="E34" s="64"/>
      <c r="F34" s="64"/>
      <c r="G34" s="64"/>
      <c r="H34" s="64"/>
      <c r="I34" s="64"/>
      <c r="J34" s="64"/>
      <c r="K34" s="64"/>
      <c r="L34" s="64"/>
      <c r="M34" s="64"/>
      <c r="N34" s="64"/>
    </row>
    <row r="35" spans="1:14">
      <c r="A35" s="64"/>
      <c r="B35" s="64"/>
      <c r="C35" s="64"/>
      <c r="D35" s="64"/>
      <c r="E35" s="64"/>
      <c r="F35" s="64"/>
      <c r="G35" s="64"/>
      <c r="H35" s="64"/>
      <c r="I35" s="64"/>
      <c r="J35" s="64"/>
      <c r="K35" s="64"/>
      <c r="L35" s="64"/>
      <c r="M35" s="64"/>
      <c r="N35" s="64"/>
    </row>
    <row r="36" spans="1:14">
      <c r="A36" s="64"/>
      <c r="B36" s="64"/>
      <c r="C36" s="64"/>
      <c r="D36" s="64"/>
      <c r="E36" s="64"/>
      <c r="F36" s="64"/>
      <c r="G36" s="64"/>
      <c r="H36" s="64"/>
      <c r="I36" s="64"/>
      <c r="J36" s="64"/>
      <c r="K36" s="64"/>
      <c r="L36" s="64"/>
      <c r="M36" s="64"/>
      <c r="N36" s="64"/>
    </row>
    <row r="37" spans="1:14">
      <c r="A37" s="64"/>
      <c r="B37" s="64"/>
      <c r="C37" s="64"/>
      <c r="D37" s="64"/>
      <c r="E37" s="64"/>
      <c r="F37" s="64"/>
      <c r="G37" s="64"/>
      <c r="H37" s="64"/>
      <c r="I37" s="64"/>
      <c r="J37" s="64"/>
      <c r="K37" s="64"/>
      <c r="L37" s="64"/>
      <c r="M37" s="64"/>
      <c r="N37" s="64"/>
    </row>
    <row r="38" spans="1:14">
      <c r="A38" s="64"/>
      <c r="B38" s="64"/>
      <c r="C38" s="64"/>
      <c r="D38" s="64"/>
      <c r="E38" s="64"/>
      <c r="F38" s="64"/>
      <c r="G38" s="64"/>
      <c r="H38" s="64"/>
      <c r="I38" s="64"/>
      <c r="J38" s="64"/>
      <c r="K38" s="64"/>
      <c r="L38" s="64"/>
      <c r="M38" s="64"/>
      <c r="N38" s="64"/>
    </row>
    <row r="39" spans="1:14">
      <c r="A39" s="64"/>
      <c r="B39" s="64"/>
      <c r="C39" s="64"/>
      <c r="D39" s="64"/>
      <c r="E39" s="64"/>
      <c r="F39" s="64"/>
      <c r="G39" s="64"/>
      <c r="H39" s="64"/>
      <c r="I39" s="64"/>
      <c r="J39" s="64"/>
      <c r="K39" s="64"/>
      <c r="L39" s="64"/>
      <c r="M39" s="64"/>
      <c r="N39" s="64"/>
    </row>
    <row r="40" spans="1:14">
      <c r="A40" s="64"/>
      <c r="B40" s="64"/>
      <c r="C40" s="64"/>
      <c r="D40" s="64"/>
      <c r="E40" s="64"/>
      <c r="F40" s="64"/>
      <c r="G40" s="64"/>
      <c r="H40" s="64"/>
      <c r="I40" s="64"/>
      <c r="J40" s="64"/>
      <c r="K40" s="64"/>
      <c r="L40" s="64"/>
      <c r="M40" s="64"/>
      <c r="N40" s="64"/>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59512D71F2B245B1119879A6F591C1" ma:contentTypeVersion="0" ma:contentTypeDescription="Create a new document." ma:contentTypeScope="" ma:versionID="cc3300a8d027cb11e36e9233f52f2ff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B1CEF4-8714-4B9C-82BC-CE0BCC0CD81F}">
  <ds:schemaRefs>
    <ds:schemaRef ds:uri="http://schemas.microsoft.com/office/2006/documentManagement/types"/>
    <ds:schemaRef ds:uri="http://purl.org/dc/elements/1.1/"/>
    <ds:schemaRef ds:uri="http://purl.org/dc/terms/"/>
    <ds:schemaRef ds:uri="http://purl.org/dc/dcmitype/"/>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1354EA51-75C9-47AD-9BD9-E53388DAE9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4EFE25E-EDAC-412E-A634-EA8B7FDE77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vt:lpstr>
      <vt:lpstr>Approach</vt:lpstr>
      <vt:lpstr>Inputs &amp; Calcs</vt:lpstr>
      <vt:lpstr>Q_Forecast_All</vt:lpstr>
      <vt:lpstr>Work quantities to SAIDI SAIFI</vt:lpstr>
      <vt:lpstr>Outputs</vt:lpstr>
      <vt:lpstr>Summary Output</vt:lpstr>
      <vt:lpstr>Q_Forecast_All!DTU_RR</vt:lpstr>
      <vt:lpstr>Q_Forecast_All!DTU_Type</vt:lpstr>
      <vt:lpstr>Approach!Print_Area</vt:lpstr>
      <vt:lpstr>Cover!Print_Area</vt:lpstr>
      <vt:lpstr>Q_Forecast_All!Unit_Cost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2015-07-21T22:32:20Z</dcterms:created>
  <dcterms:modified xsi:type="dcterms:W3CDTF">2017-08-31T04:14:07Z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0x0101004559512D71F2B245B1119879A6F591C1</vt:lpwstr>
  </property>
</Properties>
</file>