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trlProps/ctrlProp5.xml" ContentType="application/vnd.ms-excel.controlproperti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ml.chartshape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ml.chartshapes+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ml.chartshapes+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ml.chartshapes+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8.xml" ContentType="application/vnd.openxmlformats-officedocument.drawing+xml"/>
  <Override PartName="/xl/ctrlProps/ctrlProp6.xml" ContentType="application/vnd.ms-excel.controlproperties+xml"/>
  <Override PartName="/xl/ctrlProps/ctrlProp7.xml" ContentType="application/vnd.ms-excel.controlproperties+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9.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mc:AlternateContent xmlns:mc="http://schemas.openxmlformats.org/markup-compatibility/2006">
    <mc:Choice Requires="x15">
      <x15ac:absPath xmlns:x15ac="http://schemas.microsoft.com/office/spreadsheetml/2010/11/ac" url="C:\Users\Richard\Dropbox\Projects shared with all\Com Com Gas DPP reviews\Dashboards for publication\Final Publications April 2017\"/>
    </mc:Choice>
  </mc:AlternateContent>
  <bookViews>
    <workbookView xWindow="540" yWindow="480" windowWidth="26760" windowHeight="16200" tabRatio="893" activeTab="3"/>
  </bookViews>
  <sheets>
    <sheet name="Data Input Sheet" sheetId="1" r:id="rId1"/>
    <sheet name="Asset Data Input Sheet" sheetId="3" r:id="rId2"/>
    <sheet name="Asset Forecast v AMP" sheetId="13" r:id="rId3"/>
    <sheet name="Main Dashboard" sheetId="10" r:id="rId4"/>
    <sheet name="Opex Dashboard" sheetId="15" r:id="rId5"/>
    <sheet name="Capex Dashboard" sheetId="16" r:id="rId6"/>
    <sheet name="Base" sheetId="14" r:id="rId7"/>
    <sheet name="Scenarios" sheetId="8" state="hidden" r:id="rId8"/>
    <sheet name="Ratios" sheetId="2" state="hidden" r:id="rId9"/>
    <sheet name="Calculations" sheetId="6" state="hidden" r:id="rId10"/>
  </sheets>
  <definedNames>
    <definedName name="_xlnm.Print_Area" localSheetId="5">'Capex Dashboard'!$AA$3:$AD$10</definedName>
    <definedName name="_xlnm.Print_Area" localSheetId="0">'Data Input Sheet'!$A$4:$O$84</definedName>
    <definedName name="_xlnm.Print_Area" localSheetId="4">'Opex Dashboard'!$U$5:$X$11</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7" i="1" l="1"/>
  <c r="D31" i="14"/>
  <c r="E8" i="1"/>
  <c r="D32" i="14"/>
  <c r="D34" i="14"/>
  <c r="E11" i="1"/>
  <c r="D35" i="14"/>
  <c r="E12" i="1"/>
  <c r="D36" i="14"/>
  <c r="D37" i="14"/>
  <c r="D38" i="14"/>
  <c r="D33" i="14"/>
  <c r="D30" i="14"/>
  <c r="E20" i="1"/>
  <c r="D13" i="14"/>
  <c r="E21" i="1"/>
  <c r="D14" i="14"/>
  <c r="E22" i="1"/>
  <c r="D15" i="14"/>
  <c r="E23" i="1"/>
  <c r="D16" i="14"/>
  <c r="E24" i="1"/>
  <c r="D17" i="14"/>
  <c r="D23" i="14"/>
  <c r="D24" i="14"/>
  <c r="D22" i="14"/>
  <c r="E197" i="1"/>
  <c r="E155" i="1"/>
  <c r="F197" i="1"/>
  <c r="E97" i="1"/>
  <c r="E82" i="1"/>
  <c r="E74" i="1"/>
  <c r="E65" i="1"/>
  <c r="E26" i="1"/>
  <c r="E61" i="1"/>
  <c r="E25" i="1"/>
  <c r="E28" i="1"/>
  <c r="E27" i="1"/>
  <c r="B23" i="1"/>
  <c r="C23" i="1"/>
  <c r="D23" i="1"/>
  <c r="L22" i="13"/>
  <c r="J23" i="1"/>
  <c r="K22" i="13"/>
  <c r="J22" i="13"/>
  <c r="I23" i="1"/>
  <c r="I22" i="13"/>
  <c r="H22" i="13"/>
  <c r="G23" i="1"/>
  <c r="G22" i="13"/>
  <c r="L10" i="13"/>
  <c r="K10" i="13"/>
  <c r="I20" i="1"/>
  <c r="J10" i="13"/>
  <c r="I10" i="13"/>
  <c r="H20" i="1"/>
  <c r="H10" i="13"/>
  <c r="G10" i="13"/>
  <c r="F20" i="1"/>
  <c r="D25" i="1"/>
  <c r="D28" i="1"/>
  <c r="K29" i="1"/>
  <c r="K28" i="1"/>
  <c r="J28" i="1"/>
  <c r="C25" i="1"/>
  <c r="C28" i="1"/>
  <c r="B25" i="1"/>
  <c r="B28" i="1"/>
  <c r="B29" i="1"/>
  <c r="N114" i="10"/>
  <c r="N113" i="10"/>
  <c r="K117" i="10"/>
  <c r="K116" i="10"/>
  <c r="D47" i="6"/>
  <c r="E47" i="6"/>
  <c r="F47" i="6"/>
  <c r="G47" i="6"/>
  <c r="H47" i="6"/>
  <c r="I47" i="6"/>
  <c r="J47" i="6"/>
  <c r="K115" i="10"/>
  <c r="M114" i="10"/>
  <c r="L114" i="10"/>
  <c r="H114" i="10"/>
  <c r="E114" i="10"/>
  <c r="K114" i="10"/>
  <c r="M113" i="10"/>
  <c r="L113" i="10"/>
  <c r="E113" i="10"/>
  <c r="H113" i="10"/>
  <c r="B17" i="8"/>
  <c r="I113" i="10"/>
  <c r="F113" i="10"/>
  <c r="I114" i="10"/>
  <c r="J113" i="10"/>
  <c r="G113" i="10"/>
  <c r="K113" i="10"/>
  <c r="F114" i="10"/>
  <c r="J114" i="10"/>
  <c r="G114" i="10"/>
  <c r="N31" i="2"/>
  <c r="M31" i="2"/>
  <c r="L31" i="2"/>
  <c r="K31" i="2"/>
  <c r="J29" i="1"/>
  <c r="J31" i="2"/>
  <c r="I31" i="2"/>
  <c r="H31" i="2"/>
  <c r="G31" i="2"/>
  <c r="F31" i="2"/>
  <c r="E29" i="1"/>
  <c r="E10" i="1"/>
  <c r="E13" i="1"/>
  <c r="E14" i="1"/>
  <c r="E31" i="2"/>
  <c r="D29" i="1"/>
  <c r="D10" i="1"/>
  <c r="D13" i="1"/>
  <c r="D14" i="1"/>
  <c r="D31" i="2"/>
  <c r="C29" i="1"/>
  <c r="C10" i="1"/>
  <c r="C13" i="1"/>
  <c r="C14" i="1"/>
  <c r="C31" i="2"/>
  <c r="B10" i="1"/>
  <c r="B13" i="1"/>
  <c r="B14" i="1"/>
  <c r="B31" i="2"/>
  <c r="B20" i="8"/>
  <c r="B18" i="8"/>
  <c r="B36" i="6"/>
  <c r="N36" i="6"/>
  <c r="M36" i="6"/>
  <c r="L36" i="6"/>
  <c r="K36" i="6"/>
  <c r="J36" i="6"/>
  <c r="I36" i="6"/>
  <c r="H36" i="6"/>
  <c r="G36" i="6"/>
  <c r="F36" i="6"/>
  <c r="E36" i="6"/>
  <c r="D36" i="6"/>
  <c r="C36" i="6"/>
  <c r="J27" i="1"/>
  <c r="I27" i="1"/>
  <c r="H27" i="1"/>
  <c r="G27" i="1"/>
  <c r="F27" i="1"/>
  <c r="O28" i="1"/>
  <c r="N28" i="1"/>
  <c r="M28" i="1"/>
  <c r="L28" i="1"/>
  <c r="K25" i="1"/>
  <c r="H61" i="13"/>
  <c r="I61" i="13"/>
  <c r="J61" i="13"/>
  <c r="K61" i="13"/>
  <c r="L61" i="13"/>
  <c r="M61" i="13"/>
  <c r="N61" i="13"/>
  <c r="O61" i="13"/>
  <c r="P61" i="13"/>
  <c r="Q61" i="13"/>
  <c r="G61" i="13"/>
  <c r="P64" i="13"/>
  <c r="O64" i="13"/>
  <c r="N64" i="13"/>
  <c r="M64" i="13"/>
  <c r="L64" i="13"/>
  <c r="K64" i="13"/>
  <c r="J64" i="13"/>
  <c r="I64" i="13"/>
  <c r="H64" i="13"/>
  <c r="G64" i="13"/>
  <c r="F64" i="13"/>
  <c r="P60" i="13"/>
  <c r="O60" i="13"/>
  <c r="N60" i="13"/>
  <c r="M60" i="13"/>
  <c r="L60" i="13"/>
  <c r="K60" i="13"/>
  <c r="J60" i="13"/>
  <c r="I60" i="13"/>
  <c r="H60" i="13"/>
  <c r="G60" i="13"/>
  <c r="F60" i="13"/>
  <c r="P52" i="13"/>
  <c r="O52" i="13"/>
  <c r="N52" i="13"/>
  <c r="M52" i="13"/>
  <c r="L52" i="13"/>
  <c r="K52" i="13"/>
  <c r="J52" i="13"/>
  <c r="I52" i="13"/>
  <c r="H52" i="13"/>
  <c r="G52" i="13"/>
  <c r="F52" i="13"/>
  <c r="P48" i="13"/>
  <c r="O48" i="13"/>
  <c r="N48" i="13"/>
  <c r="M48" i="13"/>
  <c r="L48" i="13"/>
  <c r="K48" i="13"/>
  <c r="J48" i="13"/>
  <c r="I48" i="13"/>
  <c r="H48" i="13"/>
  <c r="G48" i="13"/>
  <c r="F48" i="13"/>
  <c r="P33" i="13"/>
  <c r="O33" i="13"/>
  <c r="N33" i="13"/>
  <c r="M33" i="13"/>
  <c r="L33" i="13"/>
  <c r="K33" i="13"/>
  <c r="J33" i="13"/>
  <c r="I33" i="13"/>
  <c r="H33" i="13"/>
  <c r="G33" i="13"/>
  <c r="F33" i="13"/>
  <c r="P29" i="13"/>
  <c r="O29" i="13"/>
  <c r="N29" i="13"/>
  <c r="M29" i="13"/>
  <c r="L29" i="13"/>
  <c r="K29" i="13"/>
  <c r="J29" i="13"/>
  <c r="I29" i="13"/>
  <c r="H29" i="13"/>
  <c r="G29" i="13"/>
  <c r="F29" i="13"/>
  <c r="P25" i="13"/>
  <c r="O25" i="13"/>
  <c r="N25" i="13"/>
  <c r="M25" i="13"/>
  <c r="L25" i="13"/>
  <c r="K25" i="13"/>
  <c r="J25" i="13"/>
  <c r="I25" i="13"/>
  <c r="H25" i="13"/>
  <c r="G25" i="13"/>
  <c r="F25" i="13"/>
  <c r="P21" i="13"/>
  <c r="O21" i="13"/>
  <c r="N21" i="13"/>
  <c r="M21" i="13"/>
  <c r="L21" i="13"/>
  <c r="K21" i="13"/>
  <c r="J21" i="13"/>
  <c r="I21" i="13"/>
  <c r="H21" i="13"/>
  <c r="G21" i="13"/>
  <c r="F21" i="13"/>
  <c r="P17" i="13"/>
  <c r="O17" i="13"/>
  <c r="N17" i="13"/>
  <c r="M17" i="13"/>
  <c r="L17" i="13"/>
  <c r="K17" i="13"/>
  <c r="J17" i="13"/>
  <c r="I17" i="13"/>
  <c r="H17" i="13"/>
  <c r="G17" i="13"/>
  <c r="F17" i="13"/>
  <c r="P13" i="13"/>
  <c r="O13" i="13"/>
  <c r="N13" i="13"/>
  <c r="M13" i="13"/>
  <c r="L13" i="13"/>
  <c r="K13" i="13"/>
  <c r="J13" i="13"/>
  <c r="I13" i="13"/>
  <c r="H13" i="13"/>
  <c r="G13" i="13"/>
  <c r="F13" i="13"/>
  <c r="P9" i="13"/>
  <c r="O9" i="13"/>
  <c r="N9" i="13"/>
  <c r="M9" i="13"/>
  <c r="L9" i="13"/>
  <c r="K9" i="13"/>
  <c r="J9" i="13"/>
  <c r="I9" i="13"/>
  <c r="H9" i="13"/>
  <c r="G9" i="13"/>
  <c r="F9" i="13"/>
  <c r="O63" i="13"/>
  <c r="N63" i="13"/>
  <c r="M63" i="13"/>
  <c r="L63" i="13"/>
  <c r="K63" i="13"/>
  <c r="J63" i="13"/>
  <c r="I63" i="13"/>
  <c r="H63" i="13"/>
  <c r="G63" i="13"/>
  <c r="F63" i="13"/>
  <c r="E63" i="13"/>
  <c r="O59" i="13"/>
  <c r="N59" i="13"/>
  <c r="M59" i="13"/>
  <c r="L59" i="13"/>
  <c r="K59" i="13"/>
  <c r="J59" i="13"/>
  <c r="I59" i="13"/>
  <c r="H59" i="13"/>
  <c r="G59" i="13"/>
  <c r="F59" i="13"/>
  <c r="E59" i="13"/>
  <c r="O51" i="13"/>
  <c r="N51" i="13"/>
  <c r="M51" i="13"/>
  <c r="L51" i="13"/>
  <c r="K51" i="13"/>
  <c r="J51" i="13"/>
  <c r="I51" i="13"/>
  <c r="H51" i="13"/>
  <c r="G51" i="13"/>
  <c r="F51" i="13"/>
  <c r="E51" i="13"/>
  <c r="O47" i="13"/>
  <c r="N47" i="13"/>
  <c r="M47" i="13"/>
  <c r="L47" i="13"/>
  <c r="K47" i="13"/>
  <c r="J47" i="13"/>
  <c r="I47" i="13"/>
  <c r="H47" i="13"/>
  <c r="G47" i="13"/>
  <c r="F47" i="13"/>
  <c r="E47" i="13"/>
  <c r="O32" i="13"/>
  <c r="N32" i="13"/>
  <c r="M32" i="13"/>
  <c r="L32" i="13"/>
  <c r="K32" i="13"/>
  <c r="J32" i="13"/>
  <c r="I32" i="13"/>
  <c r="H32" i="13"/>
  <c r="G32" i="13"/>
  <c r="F32" i="13"/>
  <c r="E32" i="13"/>
  <c r="O28" i="13"/>
  <c r="N28" i="13"/>
  <c r="M28" i="13"/>
  <c r="L28" i="13"/>
  <c r="K28" i="13"/>
  <c r="J28" i="13"/>
  <c r="I28" i="13"/>
  <c r="H28" i="13"/>
  <c r="G28" i="13"/>
  <c r="F28" i="13"/>
  <c r="E28" i="13"/>
  <c r="O24" i="13"/>
  <c r="N24" i="13"/>
  <c r="M24" i="13"/>
  <c r="L24" i="13"/>
  <c r="K24" i="13"/>
  <c r="J24" i="13"/>
  <c r="I24" i="13"/>
  <c r="H24" i="13"/>
  <c r="G24" i="13"/>
  <c r="F24" i="13"/>
  <c r="E24" i="13"/>
  <c r="O20" i="13"/>
  <c r="N20" i="13"/>
  <c r="M20" i="13"/>
  <c r="L20" i="13"/>
  <c r="K20" i="13"/>
  <c r="J20" i="13"/>
  <c r="I20" i="13"/>
  <c r="H20" i="13"/>
  <c r="G20" i="13"/>
  <c r="F20" i="13"/>
  <c r="E20" i="13"/>
  <c r="O16" i="13"/>
  <c r="N16" i="13"/>
  <c r="M16" i="13"/>
  <c r="L16" i="13"/>
  <c r="K16" i="13"/>
  <c r="J16" i="13"/>
  <c r="I16" i="13"/>
  <c r="H16" i="13"/>
  <c r="G16" i="13"/>
  <c r="F16" i="13"/>
  <c r="E16" i="13"/>
  <c r="O12" i="13"/>
  <c r="N12" i="13"/>
  <c r="M12" i="13"/>
  <c r="L12" i="13"/>
  <c r="K12" i="13"/>
  <c r="J12" i="13"/>
  <c r="I12" i="13"/>
  <c r="H12" i="13"/>
  <c r="G12" i="13"/>
  <c r="F12" i="13"/>
  <c r="E12" i="13"/>
  <c r="N62" i="13"/>
  <c r="M62" i="13"/>
  <c r="L62" i="13"/>
  <c r="K62" i="13"/>
  <c r="J62" i="13"/>
  <c r="I62" i="13"/>
  <c r="H62" i="13"/>
  <c r="G62" i="13"/>
  <c r="F62" i="13"/>
  <c r="E62" i="13"/>
  <c r="D62" i="13"/>
  <c r="M58" i="13"/>
  <c r="N58" i="13"/>
  <c r="L58" i="13"/>
  <c r="K58" i="13"/>
  <c r="J58" i="13"/>
  <c r="I58" i="13"/>
  <c r="H58" i="13"/>
  <c r="G58" i="13"/>
  <c r="F58" i="13"/>
  <c r="E58" i="13"/>
  <c r="D58" i="13"/>
  <c r="D50" i="13"/>
  <c r="E50" i="13"/>
  <c r="F50" i="13"/>
  <c r="G50" i="13"/>
  <c r="H50" i="13"/>
  <c r="I50" i="13"/>
  <c r="J50" i="13"/>
  <c r="K50" i="13"/>
  <c r="L50" i="13"/>
  <c r="M50" i="13"/>
  <c r="N50" i="13"/>
  <c r="O46" i="13"/>
  <c r="N46" i="13"/>
  <c r="M46" i="13"/>
  <c r="L46" i="13"/>
  <c r="K46" i="13"/>
  <c r="J46" i="13"/>
  <c r="I46" i="13"/>
  <c r="H46" i="13"/>
  <c r="G46" i="13"/>
  <c r="F46" i="13"/>
  <c r="E46" i="13"/>
  <c r="D46" i="13"/>
  <c r="N31" i="13"/>
  <c r="M31" i="13"/>
  <c r="L31" i="13"/>
  <c r="K31" i="13"/>
  <c r="J31" i="13"/>
  <c r="I31" i="13"/>
  <c r="H31" i="13"/>
  <c r="G31" i="13"/>
  <c r="F31" i="13"/>
  <c r="E31" i="13"/>
  <c r="D31" i="13"/>
  <c r="J27" i="13"/>
  <c r="K27" i="13"/>
  <c r="L27" i="13"/>
  <c r="M27" i="13"/>
  <c r="N27" i="13"/>
  <c r="I27" i="13"/>
  <c r="H27" i="13"/>
  <c r="G27" i="13"/>
  <c r="F27" i="13"/>
  <c r="E27" i="13"/>
  <c r="D27" i="13"/>
  <c r="E23" i="13"/>
  <c r="D23" i="13"/>
  <c r="F23" i="13"/>
  <c r="G23" i="13"/>
  <c r="H23" i="13"/>
  <c r="I23" i="13"/>
  <c r="J23" i="13"/>
  <c r="K23" i="13"/>
  <c r="L23" i="13"/>
  <c r="M23" i="13"/>
  <c r="N23" i="13"/>
  <c r="K19" i="13"/>
  <c r="L19" i="13"/>
  <c r="M19" i="13"/>
  <c r="N19" i="13"/>
  <c r="J19" i="13"/>
  <c r="I19" i="13"/>
  <c r="H19" i="13"/>
  <c r="G19" i="13"/>
  <c r="F19" i="13"/>
  <c r="E19" i="13"/>
  <c r="D19" i="13"/>
  <c r="D15" i="13"/>
  <c r="E15" i="13"/>
  <c r="F15" i="13"/>
  <c r="G15" i="13"/>
  <c r="H15" i="13"/>
  <c r="I15" i="13"/>
  <c r="J15" i="13"/>
  <c r="K15" i="13"/>
  <c r="L15" i="13"/>
  <c r="M15" i="13"/>
  <c r="N15" i="13"/>
  <c r="N11" i="13"/>
  <c r="M11" i="13"/>
  <c r="L11" i="13"/>
  <c r="K11" i="13"/>
  <c r="J11" i="13"/>
  <c r="I11" i="13"/>
  <c r="H11" i="13"/>
  <c r="G11" i="13"/>
  <c r="F11" i="13"/>
  <c r="E11" i="13"/>
  <c r="D11" i="13"/>
  <c r="O8" i="13"/>
  <c r="N8" i="13"/>
  <c r="M8" i="13"/>
  <c r="L8" i="13"/>
  <c r="K8" i="13"/>
  <c r="J8" i="13"/>
  <c r="I8" i="13"/>
  <c r="H8" i="13"/>
  <c r="G8" i="13"/>
  <c r="F8" i="13"/>
  <c r="E8" i="13"/>
  <c r="N7" i="13"/>
  <c r="M7" i="13"/>
  <c r="L7" i="13"/>
  <c r="K7" i="13"/>
  <c r="J7" i="13"/>
  <c r="I7" i="13"/>
  <c r="H7" i="13"/>
  <c r="G7" i="13"/>
  <c r="F7" i="13"/>
  <c r="E7" i="13"/>
  <c r="D7" i="13"/>
  <c r="L25" i="1"/>
  <c r="M25" i="1"/>
  <c r="N25" i="1"/>
  <c r="O25" i="1"/>
  <c r="G20" i="1"/>
  <c r="H23" i="1"/>
  <c r="J20" i="1"/>
  <c r="G25" i="1"/>
  <c r="G28" i="1"/>
  <c r="G29" i="1"/>
  <c r="H25" i="1"/>
  <c r="H28" i="1"/>
  <c r="H29" i="1"/>
  <c r="I25" i="1"/>
  <c r="I28" i="1"/>
  <c r="I55" i="6"/>
  <c r="J25" i="1"/>
  <c r="G10" i="1"/>
  <c r="G13" i="1"/>
  <c r="G14" i="1"/>
  <c r="H10" i="1"/>
  <c r="H13" i="1"/>
  <c r="H14" i="1"/>
  <c r="I10" i="1"/>
  <c r="I13" i="1"/>
  <c r="I14" i="1"/>
  <c r="J10" i="1"/>
  <c r="J13" i="1"/>
  <c r="J14" i="1"/>
  <c r="K10" i="1"/>
  <c r="K13" i="1"/>
  <c r="K14" i="1"/>
  <c r="C20" i="8"/>
  <c r="D20" i="8"/>
  <c r="E20" i="8"/>
  <c r="F20" i="8"/>
  <c r="G20" i="8"/>
  <c r="H20" i="8"/>
  <c r="I20" i="8"/>
  <c r="J20" i="8"/>
  <c r="K20" i="8"/>
  <c r="L20" i="8"/>
  <c r="M20" i="8"/>
  <c r="N20" i="8"/>
  <c r="L29" i="1"/>
  <c r="M29" i="1"/>
  <c r="N29" i="1"/>
  <c r="O29" i="1"/>
  <c r="D55" i="14"/>
  <c r="D54" i="14"/>
  <c r="C54" i="14"/>
  <c r="C55" i="14"/>
  <c r="C56" i="14"/>
  <c r="C13" i="14"/>
  <c r="C58" i="14"/>
  <c r="C59" i="14"/>
  <c r="F23" i="1"/>
  <c r="F25" i="1"/>
  <c r="F28" i="1"/>
  <c r="J3" i="3"/>
  <c r="J61" i="3"/>
  <c r="K3" i="3"/>
  <c r="K61" i="3"/>
  <c r="L3" i="3"/>
  <c r="L61" i="3"/>
  <c r="M3" i="3"/>
  <c r="M61" i="3"/>
  <c r="N3" i="3"/>
  <c r="N61" i="3"/>
  <c r="O3" i="3"/>
  <c r="O61" i="3"/>
  <c r="P3" i="3"/>
  <c r="P61" i="3"/>
  <c r="Q3" i="3"/>
  <c r="Q61" i="3"/>
  <c r="R3" i="3"/>
  <c r="R61" i="3"/>
  <c r="S3" i="3"/>
  <c r="S61" i="3"/>
  <c r="T3" i="3"/>
  <c r="T61" i="3"/>
  <c r="U3" i="3"/>
  <c r="U61" i="3"/>
  <c r="V3" i="3"/>
  <c r="V61" i="3"/>
  <c r="W3" i="3"/>
  <c r="W61" i="3"/>
  <c r="X3" i="3"/>
  <c r="X61" i="3"/>
  <c r="Y3" i="3"/>
  <c r="Y61" i="3"/>
  <c r="Z3" i="3"/>
  <c r="Z61" i="3"/>
  <c r="AA3" i="3"/>
  <c r="AA61" i="3"/>
  <c r="AB61" i="3"/>
  <c r="E111" i="10"/>
  <c r="F111" i="10"/>
  <c r="G111" i="10"/>
  <c r="H111" i="10"/>
  <c r="I111" i="10"/>
  <c r="J111" i="10"/>
  <c r="K111" i="10"/>
  <c r="L111" i="10"/>
  <c r="E79" i="14"/>
  <c r="E80" i="14"/>
  <c r="E81" i="14"/>
  <c r="M111" i="10"/>
  <c r="D111" i="10"/>
  <c r="F13" i="1"/>
  <c r="F10" i="1"/>
  <c r="F14" i="1"/>
  <c r="A26" i="16"/>
  <c r="P5" i="14"/>
  <c r="B5" i="8"/>
  <c r="O10" i="1"/>
  <c r="O13" i="1"/>
  <c r="O14" i="1"/>
  <c r="E16" i="6"/>
  <c r="C14" i="6"/>
  <c r="D14" i="6"/>
  <c r="D66" i="13"/>
  <c r="D70" i="13"/>
  <c r="V85" i="13"/>
  <c r="B49" i="1"/>
  <c r="B15" i="2"/>
  <c r="E66" i="13"/>
  <c r="E70" i="13"/>
  <c r="W85" i="13"/>
  <c r="C66" i="6"/>
  <c r="F67" i="13"/>
  <c r="F71" i="13"/>
  <c r="X85" i="13"/>
  <c r="D12" i="2"/>
  <c r="H59" i="6"/>
  <c r="B23" i="15"/>
  <c r="D35" i="13"/>
  <c r="V47" i="13"/>
  <c r="E35" i="13"/>
  <c r="W47" i="13"/>
  <c r="F36" i="13"/>
  <c r="X47" i="13"/>
  <c r="X48" i="13"/>
  <c r="A47" i="16"/>
  <c r="E3" i="14"/>
  <c r="F3" i="14"/>
  <c r="N87" i="1"/>
  <c r="N101" i="1"/>
  <c r="M87" i="1"/>
  <c r="L87" i="1"/>
  <c r="K87" i="1"/>
  <c r="J87" i="1"/>
  <c r="I87" i="1"/>
  <c r="H87" i="1"/>
  <c r="G87" i="1"/>
  <c r="F87" i="1"/>
  <c r="E87" i="1"/>
  <c r="D87" i="1"/>
  <c r="C87" i="1"/>
  <c r="B87" i="1"/>
  <c r="B101" i="1"/>
  <c r="B122" i="1"/>
  <c r="J97" i="1"/>
  <c r="J82" i="1"/>
  <c r="J74" i="1"/>
  <c r="E102" i="10"/>
  <c r="F102" i="10"/>
  <c r="G102" i="10"/>
  <c r="H102" i="10"/>
  <c r="I102" i="10"/>
  <c r="J102" i="10"/>
  <c r="E85" i="10"/>
  <c r="F85" i="10"/>
  <c r="G85" i="10"/>
  <c r="H85" i="10"/>
  <c r="I85" i="10"/>
  <c r="J85" i="10"/>
  <c r="E86" i="10"/>
  <c r="F86" i="10"/>
  <c r="G86" i="10"/>
  <c r="H86" i="10"/>
  <c r="I86" i="10"/>
  <c r="J86" i="10"/>
  <c r="E87" i="10"/>
  <c r="F87" i="10"/>
  <c r="G87" i="10"/>
  <c r="H87" i="10"/>
  <c r="I87" i="10"/>
  <c r="J87" i="10"/>
  <c r="E88" i="10"/>
  <c r="F88" i="10"/>
  <c r="G88" i="10"/>
  <c r="H88" i="10"/>
  <c r="I88" i="10"/>
  <c r="J88" i="10"/>
  <c r="R88" i="10"/>
  <c r="E89" i="10"/>
  <c r="F89" i="10"/>
  <c r="G89" i="10"/>
  <c r="H89" i="10"/>
  <c r="I89" i="10"/>
  <c r="J89" i="10"/>
  <c r="E90" i="10"/>
  <c r="F90" i="10"/>
  <c r="G90" i="10"/>
  <c r="H90" i="10"/>
  <c r="I90" i="10"/>
  <c r="J90" i="10"/>
  <c r="E91" i="10"/>
  <c r="F91" i="10"/>
  <c r="G91" i="10"/>
  <c r="H91" i="10"/>
  <c r="I91" i="10"/>
  <c r="J91" i="10"/>
  <c r="E92" i="10"/>
  <c r="F92" i="10"/>
  <c r="G92" i="10"/>
  <c r="H92" i="10"/>
  <c r="I92" i="10"/>
  <c r="J92" i="10"/>
  <c r="E93" i="10"/>
  <c r="F93" i="10"/>
  <c r="G93" i="10"/>
  <c r="H93" i="10"/>
  <c r="I93" i="10"/>
  <c r="J93" i="10"/>
  <c r="R93" i="10"/>
  <c r="E94" i="10"/>
  <c r="F94" i="10"/>
  <c r="G94" i="10"/>
  <c r="H94" i="10"/>
  <c r="I94" i="10"/>
  <c r="J94" i="10"/>
  <c r="E95" i="10"/>
  <c r="F95" i="10"/>
  <c r="G95" i="10"/>
  <c r="H95" i="10"/>
  <c r="I95" i="10"/>
  <c r="J95" i="10"/>
  <c r="E96" i="10"/>
  <c r="F96" i="10"/>
  <c r="G96" i="10"/>
  <c r="H96" i="10"/>
  <c r="I96" i="10"/>
  <c r="J96" i="10"/>
  <c r="E97" i="10"/>
  <c r="F97" i="10"/>
  <c r="G97" i="10"/>
  <c r="H97" i="10"/>
  <c r="I97" i="10"/>
  <c r="J97" i="10"/>
  <c r="E98" i="10"/>
  <c r="F98" i="10"/>
  <c r="G98" i="10"/>
  <c r="H98" i="10"/>
  <c r="I98" i="10"/>
  <c r="J98" i="10"/>
  <c r="E99" i="10"/>
  <c r="K99" i="10"/>
  <c r="L99" i="10"/>
  <c r="F99" i="10"/>
  <c r="G99" i="10"/>
  <c r="H99" i="10"/>
  <c r="I99" i="10"/>
  <c r="J99" i="10"/>
  <c r="E100" i="10"/>
  <c r="F100" i="10"/>
  <c r="G100" i="10"/>
  <c r="H100" i="10"/>
  <c r="I100" i="10"/>
  <c r="J100" i="10"/>
  <c r="R100" i="10"/>
  <c r="E101" i="10"/>
  <c r="F101" i="10"/>
  <c r="G101" i="10"/>
  <c r="H101" i="10"/>
  <c r="I101" i="10"/>
  <c r="J101" i="10"/>
  <c r="E103" i="10"/>
  <c r="F103" i="10"/>
  <c r="G103" i="10"/>
  <c r="H103" i="10"/>
  <c r="I103" i="10"/>
  <c r="J103" i="10"/>
  <c r="E104" i="10"/>
  <c r="F104" i="10"/>
  <c r="G104" i="10"/>
  <c r="H104" i="10"/>
  <c r="I104" i="10"/>
  <c r="J104" i="10"/>
  <c r="E105" i="10"/>
  <c r="F105" i="10"/>
  <c r="G105" i="10"/>
  <c r="H105" i="10"/>
  <c r="I105" i="10"/>
  <c r="J105" i="10"/>
  <c r="E106" i="10"/>
  <c r="F106" i="10"/>
  <c r="G106" i="10"/>
  <c r="H106" i="10"/>
  <c r="I106" i="10"/>
  <c r="J106" i="10"/>
  <c r="E107" i="10"/>
  <c r="F107" i="10"/>
  <c r="G107" i="10"/>
  <c r="H107" i="10"/>
  <c r="I107" i="10"/>
  <c r="J107" i="10"/>
  <c r="E108" i="10"/>
  <c r="F108" i="10"/>
  <c r="G108" i="10"/>
  <c r="H108" i="10"/>
  <c r="I108" i="10"/>
  <c r="J108" i="10"/>
  <c r="E109" i="10"/>
  <c r="F109" i="10"/>
  <c r="G109" i="10"/>
  <c r="H109" i="10"/>
  <c r="I109" i="10"/>
  <c r="J109" i="10"/>
  <c r="E110" i="10"/>
  <c r="F110" i="10"/>
  <c r="G110" i="10"/>
  <c r="H110" i="10"/>
  <c r="I110" i="10"/>
  <c r="J110" i="10"/>
  <c r="E84" i="10"/>
  <c r="F84" i="10"/>
  <c r="G84" i="10"/>
  <c r="H84" i="10"/>
  <c r="I84" i="10"/>
  <c r="J84" i="10"/>
  <c r="K91" i="10"/>
  <c r="L91" i="10"/>
  <c r="K92" i="10"/>
  <c r="L92" i="10"/>
  <c r="K93" i="10"/>
  <c r="L93" i="10"/>
  <c r="K94" i="10"/>
  <c r="K95" i="10"/>
  <c r="L95" i="10"/>
  <c r="K96" i="10"/>
  <c r="L96" i="10"/>
  <c r="K97" i="10"/>
  <c r="K98" i="10"/>
  <c r="K100" i="10"/>
  <c r="L100" i="10"/>
  <c r="K101" i="10"/>
  <c r="L101" i="10"/>
  <c r="L104" i="10"/>
  <c r="K105" i="10"/>
  <c r="L105" i="10"/>
  <c r="K106" i="10"/>
  <c r="L107" i="10"/>
  <c r="K108" i="10"/>
  <c r="L108" i="10"/>
  <c r="L109" i="10"/>
  <c r="K110" i="10"/>
  <c r="F61" i="1"/>
  <c r="G61" i="1"/>
  <c r="H61" i="1"/>
  <c r="I61" i="1"/>
  <c r="J61" i="1"/>
  <c r="B21" i="6"/>
  <c r="B22" i="6"/>
  <c r="D50" i="6"/>
  <c r="D26" i="6"/>
  <c r="D3" i="6"/>
  <c r="D13" i="6"/>
  <c r="E50" i="6"/>
  <c r="E26" i="6"/>
  <c r="E3" i="6"/>
  <c r="E13" i="6"/>
  <c r="F50" i="6"/>
  <c r="F26" i="6"/>
  <c r="F3" i="6"/>
  <c r="F13" i="6"/>
  <c r="G50" i="6"/>
  <c r="G26" i="6"/>
  <c r="G3" i="6"/>
  <c r="G13" i="6"/>
  <c r="H50" i="6"/>
  <c r="H26" i="6"/>
  <c r="H3" i="6"/>
  <c r="H13" i="6"/>
  <c r="I50" i="6"/>
  <c r="I26" i="6"/>
  <c r="I3" i="6"/>
  <c r="I13" i="6"/>
  <c r="J50" i="6"/>
  <c r="J26" i="6"/>
  <c r="J3" i="6"/>
  <c r="J13" i="6"/>
  <c r="K50" i="6"/>
  <c r="K26" i="6"/>
  <c r="K3" i="6"/>
  <c r="K13" i="6"/>
  <c r="L50" i="6"/>
  <c r="L26" i="6"/>
  <c r="L3" i="6"/>
  <c r="L13" i="6"/>
  <c r="M50" i="6"/>
  <c r="M26" i="6"/>
  <c r="M3" i="6"/>
  <c r="M13" i="6"/>
  <c r="N50" i="6"/>
  <c r="N26" i="6"/>
  <c r="N3" i="6"/>
  <c r="N13" i="6"/>
  <c r="C20" i="6"/>
  <c r="C15" i="6"/>
  <c r="C50" i="6"/>
  <c r="C26" i="6"/>
  <c r="C3" i="6"/>
  <c r="C13" i="6"/>
  <c r="B15" i="6"/>
  <c r="B50" i="6"/>
  <c r="B26" i="6"/>
  <c r="B3" i="6"/>
  <c r="B13" i="6"/>
  <c r="C35" i="14"/>
  <c r="C36" i="14"/>
  <c r="F24" i="15" a="1"/>
  <c r="F27" i="15"/>
  <c r="C33" i="14"/>
  <c r="C57" i="14"/>
  <c r="P64" i="6"/>
  <c r="O64" i="6"/>
  <c r="C32" i="14"/>
  <c r="C31" i="14"/>
  <c r="B24" i="15" a="1"/>
  <c r="D71" i="14"/>
  <c r="E71" i="14"/>
  <c r="D72" i="14"/>
  <c r="C68" i="14"/>
  <c r="B55" i="15"/>
  <c r="C55" i="15"/>
  <c r="C56" i="15"/>
  <c r="D55" i="15"/>
  <c r="D56" i="15"/>
  <c r="B56" i="15"/>
  <c r="B69" i="16"/>
  <c r="X30" i="13"/>
  <c r="F94" i="16"/>
  <c r="Y30" i="13"/>
  <c r="G94" i="16"/>
  <c r="Z30" i="13"/>
  <c r="H94" i="16"/>
  <c r="M10" i="13"/>
  <c r="AB30" i="13"/>
  <c r="J94" i="16"/>
  <c r="N10" i="13"/>
  <c r="AC30" i="13"/>
  <c r="K94" i="16"/>
  <c r="O10" i="13"/>
  <c r="AD30" i="13"/>
  <c r="L94" i="16"/>
  <c r="P10" i="13"/>
  <c r="AE30" i="13"/>
  <c r="M94" i="16"/>
  <c r="H14" i="13"/>
  <c r="W31" i="13"/>
  <c r="E95" i="16"/>
  <c r="I14" i="13"/>
  <c r="X31" i="13"/>
  <c r="F95" i="16"/>
  <c r="J14" i="13"/>
  <c r="Y31" i="13"/>
  <c r="G95" i="16"/>
  <c r="K14" i="13"/>
  <c r="Z31" i="13"/>
  <c r="H95" i="16"/>
  <c r="L14" i="13"/>
  <c r="AA31" i="13"/>
  <c r="I95" i="16"/>
  <c r="M14" i="13"/>
  <c r="AB31" i="13"/>
  <c r="J95" i="16"/>
  <c r="N14" i="13"/>
  <c r="AC31" i="13"/>
  <c r="K95" i="16"/>
  <c r="O14" i="13"/>
  <c r="AD31" i="13"/>
  <c r="L95" i="16"/>
  <c r="P14" i="13"/>
  <c r="AE31" i="13"/>
  <c r="M95" i="16"/>
  <c r="H18" i="13"/>
  <c r="W32" i="13"/>
  <c r="E96" i="16"/>
  <c r="I18" i="13"/>
  <c r="X32" i="13"/>
  <c r="F96" i="16"/>
  <c r="J18" i="13"/>
  <c r="Y32" i="13"/>
  <c r="G96" i="16"/>
  <c r="K18" i="13"/>
  <c r="Z32" i="13"/>
  <c r="H96" i="16"/>
  <c r="L18" i="13"/>
  <c r="AA32" i="13"/>
  <c r="I96" i="16"/>
  <c r="M18" i="13"/>
  <c r="AB32" i="13"/>
  <c r="J96" i="16"/>
  <c r="N18" i="13"/>
  <c r="AC32" i="13"/>
  <c r="K96" i="16"/>
  <c r="O18" i="13"/>
  <c r="AD32" i="13"/>
  <c r="L96" i="16"/>
  <c r="P18" i="13"/>
  <c r="AE32" i="13"/>
  <c r="M96" i="16"/>
  <c r="X33" i="13"/>
  <c r="F97" i="16"/>
  <c r="Y33" i="13"/>
  <c r="G97" i="16"/>
  <c r="AA33" i="13"/>
  <c r="I97" i="16"/>
  <c r="M22" i="13"/>
  <c r="AB33" i="13"/>
  <c r="J97" i="16"/>
  <c r="N22" i="13"/>
  <c r="AC33" i="13"/>
  <c r="K97" i="16"/>
  <c r="O22" i="13"/>
  <c r="AD33" i="13"/>
  <c r="L97" i="16"/>
  <c r="P22" i="13"/>
  <c r="AE33" i="13"/>
  <c r="M97" i="16"/>
  <c r="H26" i="13"/>
  <c r="W34" i="13"/>
  <c r="E98" i="16"/>
  <c r="I26" i="13"/>
  <c r="X34" i="13"/>
  <c r="F98" i="16"/>
  <c r="J26" i="13"/>
  <c r="Y34" i="13"/>
  <c r="G98" i="16"/>
  <c r="K26" i="13"/>
  <c r="Z34" i="13"/>
  <c r="H98" i="16"/>
  <c r="L26" i="13"/>
  <c r="AA34" i="13"/>
  <c r="I98" i="16"/>
  <c r="M26" i="13"/>
  <c r="AB34" i="13"/>
  <c r="J98" i="16"/>
  <c r="N26" i="13"/>
  <c r="O26" i="13"/>
  <c r="AD34" i="13"/>
  <c r="L98" i="16"/>
  <c r="P26" i="13"/>
  <c r="AE34" i="13"/>
  <c r="M98" i="16"/>
  <c r="H30" i="13"/>
  <c r="W35" i="13"/>
  <c r="E99" i="16"/>
  <c r="I30" i="13"/>
  <c r="X35" i="13"/>
  <c r="F99" i="16"/>
  <c r="J30" i="13"/>
  <c r="Y35" i="13"/>
  <c r="G99" i="16"/>
  <c r="K30" i="13"/>
  <c r="Z35" i="13"/>
  <c r="H99" i="16"/>
  <c r="L30" i="13"/>
  <c r="AA35" i="13"/>
  <c r="I99" i="16"/>
  <c r="M30" i="13"/>
  <c r="AB35" i="13"/>
  <c r="J99" i="16"/>
  <c r="N30" i="13"/>
  <c r="AC35" i="13"/>
  <c r="K99" i="16"/>
  <c r="O30" i="13"/>
  <c r="AD35" i="13"/>
  <c r="L99" i="16"/>
  <c r="P30" i="13"/>
  <c r="AE35" i="13"/>
  <c r="M99" i="16"/>
  <c r="H34" i="13"/>
  <c r="W36" i="13"/>
  <c r="E100" i="16"/>
  <c r="I34" i="13"/>
  <c r="X36" i="13"/>
  <c r="F100" i="16"/>
  <c r="J34" i="13"/>
  <c r="Y36" i="13"/>
  <c r="G100" i="16"/>
  <c r="K34" i="13"/>
  <c r="Z36" i="13"/>
  <c r="H100" i="16"/>
  <c r="L34" i="13"/>
  <c r="AA36" i="13"/>
  <c r="I100" i="16"/>
  <c r="M34" i="13"/>
  <c r="AB36" i="13"/>
  <c r="J100" i="16"/>
  <c r="N34" i="13"/>
  <c r="AC36" i="13"/>
  <c r="K100" i="16"/>
  <c r="O34" i="13"/>
  <c r="AD36" i="13"/>
  <c r="L100" i="16"/>
  <c r="P34" i="13"/>
  <c r="AE36" i="13"/>
  <c r="M100" i="16"/>
  <c r="H37" i="13"/>
  <c r="I37" i="13"/>
  <c r="J37" i="13"/>
  <c r="K37" i="13"/>
  <c r="K36" i="13"/>
  <c r="Z25" i="13"/>
  <c r="H90" i="16"/>
  <c r="L37" i="13"/>
  <c r="M37" i="13"/>
  <c r="N37" i="13"/>
  <c r="O37" i="13"/>
  <c r="P38" i="13"/>
  <c r="P37" i="13"/>
  <c r="AE37" i="13"/>
  <c r="M101" i="16"/>
  <c r="M125" i="16"/>
  <c r="G14" i="13"/>
  <c r="V31" i="13"/>
  <c r="D95" i="16"/>
  <c r="G18" i="13"/>
  <c r="V32" i="13"/>
  <c r="D96" i="16"/>
  <c r="V33" i="13"/>
  <c r="D97" i="16"/>
  <c r="G26" i="13"/>
  <c r="V34" i="13"/>
  <c r="D98" i="16"/>
  <c r="G30" i="13"/>
  <c r="V35" i="13"/>
  <c r="D99" i="16"/>
  <c r="G34" i="13"/>
  <c r="V36" i="13"/>
  <c r="D100" i="16"/>
  <c r="V30" i="13"/>
  <c r="D94" i="16"/>
  <c r="G37" i="13"/>
  <c r="V18" i="13"/>
  <c r="D83" i="16"/>
  <c r="W18" i="13"/>
  <c r="E83" i="16"/>
  <c r="X18" i="13"/>
  <c r="F83" i="16"/>
  <c r="Y18" i="13"/>
  <c r="G83" i="16"/>
  <c r="Z18" i="13"/>
  <c r="H83" i="16"/>
  <c r="AA18" i="13"/>
  <c r="I83" i="16"/>
  <c r="AB18" i="13"/>
  <c r="J83" i="16"/>
  <c r="AC18" i="13"/>
  <c r="K83" i="16"/>
  <c r="AD18" i="13"/>
  <c r="L83" i="16"/>
  <c r="V19" i="13"/>
  <c r="D84" i="16"/>
  <c r="W19" i="13"/>
  <c r="E84" i="16"/>
  <c r="X19" i="13"/>
  <c r="F84" i="16"/>
  <c r="Y19" i="13"/>
  <c r="G84" i="16"/>
  <c r="Z19" i="13"/>
  <c r="H84" i="16"/>
  <c r="AA19" i="13"/>
  <c r="I84" i="16"/>
  <c r="AB19" i="13"/>
  <c r="J84" i="16"/>
  <c r="AC19" i="13"/>
  <c r="K84" i="16"/>
  <c r="AD19" i="13"/>
  <c r="L84" i="16"/>
  <c r="V20" i="13"/>
  <c r="D85" i="16"/>
  <c r="W20" i="13"/>
  <c r="E85" i="16"/>
  <c r="X20" i="13"/>
  <c r="F85" i="16"/>
  <c r="Y20" i="13"/>
  <c r="G85" i="16"/>
  <c r="Z20" i="13"/>
  <c r="H85" i="16"/>
  <c r="AA20" i="13"/>
  <c r="I85" i="16"/>
  <c r="AB20" i="13"/>
  <c r="J85" i="16"/>
  <c r="AC20" i="13"/>
  <c r="K85" i="16"/>
  <c r="AD20" i="13"/>
  <c r="L85" i="16"/>
  <c r="V21" i="13"/>
  <c r="D86" i="16"/>
  <c r="W21" i="13"/>
  <c r="E86" i="16"/>
  <c r="X21" i="13"/>
  <c r="F86" i="16"/>
  <c r="Y21" i="13"/>
  <c r="G86" i="16"/>
  <c r="Z21" i="13"/>
  <c r="H86" i="16"/>
  <c r="AA21" i="13"/>
  <c r="I86" i="16"/>
  <c r="AB21" i="13"/>
  <c r="J86" i="16"/>
  <c r="AC21" i="13"/>
  <c r="K86" i="16"/>
  <c r="AD21" i="13"/>
  <c r="L86" i="16"/>
  <c r="V22" i="13"/>
  <c r="D87" i="16"/>
  <c r="W22" i="13"/>
  <c r="E87" i="16"/>
  <c r="X22" i="13"/>
  <c r="F87" i="16"/>
  <c r="Y22" i="13"/>
  <c r="G87" i="16"/>
  <c r="Z22" i="13"/>
  <c r="H87" i="16"/>
  <c r="AA22" i="13"/>
  <c r="I87" i="16"/>
  <c r="AB22" i="13"/>
  <c r="J87" i="16"/>
  <c r="AC22" i="13"/>
  <c r="K87" i="16"/>
  <c r="AD22" i="13"/>
  <c r="L87" i="16"/>
  <c r="V23" i="13"/>
  <c r="D88" i="16"/>
  <c r="W23" i="13"/>
  <c r="E88" i="16"/>
  <c r="X23" i="13"/>
  <c r="F88" i="16"/>
  <c r="Y23" i="13"/>
  <c r="G88" i="16"/>
  <c r="Z23" i="13"/>
  <c r="H88" i="16"/>
  <c r="AA23" i="13"/>
  <c r="I88" i="16"/>
  <c r="AB23" i="13"/>
  <c r="J88" i="16"/>
  <c r="AC23" i="13"/>
  <c r="K88" i="16"/>
  <c r="AD23" i="13"/>
  <c r="L88" i="16"/>
  <c r="V24" i="13"/>
  <c r="D89" i="16"/>
  <c r="W24" i="13"/>
  <c r="E89" i="16"/>
  <c r="X24" i="13"/>
  <c r="F89" i="16"/>
  <c r="Y24" i="13"/>
  <c r="G89" i="16"/>
  <c r="Z24" i="13"/>
  <c r="H89" i="16"/>
  <c r="AA24" i="13"/>
  <c r="I89" i="16"/>
  <c r="AB24" i="13"/>
  <c r="J89" i="16"/>
  <c r="AC24" i="13"/>
  <c r="K89" i="16"/>
  <c r="AD24" i="13"/>
  <c r="L89" i="16"/>
  <c r="G36" i="13"/>
  <c r="V25" i="13"/>
  <c r="D90" i="16"/>
  <c r="H36" i="13"/>
  <c r="I36" i="13"/>
  <c r="X25" i="13"/>
  <c r="F90" i="16"/>
  <c r="J36" i="13"/>
  <c r="Y25" i="13"/>
  <c r="G90" i="16"/>
  <c r="L36" i="13"/>
  <c r="M36" i="13"/>
  <c r="AB25" i="13"/>
  <c r="J90" i="16"/>
  <c r="N36" i="13"/>
  <c r="AC25" i="13"/>
  <c r="K90" i="16"/>
  <c r="O36" i="13"/>
  <c r="AD25" i="13"/>
  <c r="L90" i="16"/>
  <c r="U19" i="13"/>
  <c r="C84" i="16"/>
  <c r="U20" i="13"/>
  <c r="C85" i="16"/>
  <c r="U21" i="13"/>
  <c r="C86" i="16"/>
  <c r="U22" i="13"/>
  <c r="C87" i="16"/>
  <c r="U23" i="13"/>
  <c r="C88" i="16"/>
  <c r="U24" i="13"/>
  <c r="C89" i="16"/>
  <c r="F37" i="13"/>
  <c r="U25" i="13"/>
  <c r="C90" i="16"/>
  <c r="U18" i="13"/>
  <c r="C83" i="16"/>
  <c r="U7" i="13"/>
  <c r="C72" i="16"/>
  <c r="V7" i="13"/>
  <c r="D72" i="16"/>
  <c r="W7" i="13"/>
  <c r="E72" i="16"/>
  <c r="X7" i="13"/>
  <c r="F72" i="16"/>
  <c r="Y7" i="13"/>
  <c r="G72" i="16"/>
  <c r="Z7" i="13"/>
  <c r="H72" i="16"/>
  <c r="AA7" i="13"/>
  <c r="I72" i="16"/>
  <c r="AB7" i="13"/>
  <c r="J72" i="16"/>
  <c r="AC7" i="13"/>
  <c r="K72" i="16"/>
  <c r="U8" i="13"/>
  <c r="C73" i="16"/>
  <c r="V8" i="13"/>
  <c r="D73" i="16"/>
  <c r="W8" i="13"/>
  <c r="E73" i="16"/>
  <c r="X8" i="13"/>
  <c r="F73" i="16"/>
  <c r="Y8" i="13"/>
  <c r="G73" i="16"/>
  <c r="Z8" i="13"/>
  <c r="H73" i="16"/>
  <c r="AA8" i="13"/>
  <c r="I73" i="16"/>
  <c r="AB8" i="13"/>
  <c r="J73" i="16"/>
  <c r="AC8" i="13"/>
  <c r="K73" i="16"/>
  <c r="U9" i="13"/>
  <c r="C74" i="16"/>
  <c r="V9" i="13"/>
  <c r="D74" i="16"/>
  <c r="W9" i="13"/>
  <c r="E74" i="16"/>
  <c r="X9" i="13"/>
  <c r="F74" i="16"/>
  <c r="Y9" i="13"/>
  <c r="G74" i="16"/>
  <c r="Z9" i="13"/>
  <c r="H74" i="16"/>
  <c r="AA9" i="13"/>
  <c r="I74" i="16"/>
  <c r="AB9" i="13"/>
  <c r="J74" i="16"/>
  <c r="AC9" i="13"/>
  <c r="K74" i="16"/>
  <c r="U10" i="13"/>
  <c r="C75" i="16"/>
  <c r="V10" i="13"/>
  <c r="D75" i="16"/>
  <c r="W10" i="13"/>
  <c r="E75" i="16"/>
  <c r="X10" i="13"/>
  <c r="F75" i="16"/>
  <c r="Y10" i="13"/>
  <c r="G75" i="16"/>
  <c r="Z10" i="13"/>
  <c r="H75" i="16"/>
  <c r="AA10" i="13"/>
  <c r="I75" i="16"/>
  <c r="AB10" i="13"/>
  <c r="J75" i="16"/>
  <c r="AC10" i="13"/>
  <c r="K75" i="16"/>
  <c r="U11" i="13"/>
  <c r="C76" i="16"/>
  <c r="V11" i="13"/>
  <c r="D76" i="16"/>
  <c r="W11" i="13"/>
  <c r="E76" i="16"/>
  <c r="X11" i="13"/>
  <c r="F76" i="16"/>
  <c r="Y11" i="13"/>
  <c r="G76" i="16"/>
  <c r="Z11" i="13"/>
  <c r="H76" i="16"/>
  <c r="AA11" i="13"/>
  <c r="I76" i="16"/>
  <c r="AB11" i="13"/>
  <c r="J76" i="16"/>
  <c r="AC11" i="13"/>
  <c r="K76" i="16"/>
  <c r="U12" i="13"/>
  <c r="C77" i="16"/>
  <c r="V12" i="13"/>
  <c r="D77" i="16"/>
  <c r="W12" i="13"/>
  <c r="E77" i="16"/>
  <c r="X12" i="13"/>
  <c r="F77" i="16"/>
  <c r="Y12" i="13"/>
  <c r="G77" i="16"/>
  <c r="Z12" i="13"/>
  <c r="H77" i="16"/>
  <c r="AA12" i="13"/>
  <c r="I77" i="16"/>
  <c r="AB12" i="13"/>
  <c r="J77" i="16"/>
  <c r="AC12" i="13"/>
  <c r="K77" i="16"/>
  <c r="U13" i="13"/>
  <c r="C78" i="16"/>
  <c r="V13" i="13"/>
  <c r="D78" i="16"/>
  <c r="W13" i="13"/>
  <c r="E78" i="16"/>
  <c r="X13" i="13"/>
  <c r="F78" i="16"/>
  <c r="Y13" i="13"/>
  <c r="G78" i="16"/>
  <c r="Z13" i="13"/>
  <c r="H78" i="16"/>
  <c r="AA13" i="13"/>
  <c r="I78" i="16"/>
  <c r="AB13" i="13"/>
  <c r="J78" i="16"/>
  <c r="AC13" i="13"/>
  <c r="K78" i="16"/>
  <c r="F35" i="13"/>
  <c r="U14" i="13"/>
  <c r="C79" i="16"/>
  <c r="G35" i="13"/>
  <c r="V14" i="13"/>
  <c r="D79" i="16"/>
  <c r="H35" i="13"/>
  <c r="I35" i="13"/>
  <c r="X14" i="13"/>
  <c r="F79" i="16"/>
  <c r="F123" i="16"/>
  <c r="J35" i="13"/>
  <c r="Y14" i="13"/>
  <c r="G79" i="16"/>
  <c r="K35" i="13"/>
  <c r="Z14" i="13"/>
  <c r="H79" i="16"/>
  <c r="L35" i="13"/>
  <c r="M35" i="13"/>
  <c r="AB14" i="13"/>
  <c r="J79" i="16"/>
  <c r="N35" i="13"/>
  <c r="AC14" i="13"/>
  <c r="K79" i="16"/>
  <c r="T8" i="13"/>
  <c r="B73" i="16"/>
  <c r="T9" i="13"/>
  <c r="B74" i="16"/>
  <c r="T10" i="13"/>
  <c r="B75" i="16"/>
  <c r="T11" i="13"/>
  <c r="B76" i="16"/>
  <c r="T12" i="13"/>
  <c r="B77" i="16"/>
  <c r="T13" i="13"/>
  <c r="B78" i="16"/>
  <c r="E36" i="13"/>
  <c r="T14" i="13"/>
  <c r="B79" i="16"/>
  <c r="T7" i="13"/>
  <c r="B72" i="16"/>
  <c r="H49" i="13"/>
  <c r="W74" i="13"/>
  <c r="E76" i="15"/>
  <c r="I49" i="13"/>
  <c r="X74" i="13"/>
  <c r="F76" i="15"/>
  <c r="J49" i="13"/>
  <c r="Y74" i="13"/>
  <c r="G76" i="15"/>
  <c r="K49" i="13"/>
  <c r="Z74" i="13"/>
  <c r="H76" i="15"/>
  <c r="L49" i="13"/>
  <c r="AA74" i="13"/>
  <c r="I76" i="15"/>
  <c r="M49" i="13"/>
  <c r="AB74" i="13"/>
  <c r="J76" i="15"/>
  <c r="N49" i="13"/>
  <c r="AC74" i="13"/>
  <c r="K76" i="15"/>
  <c r="O49" i="13"/>
  <c r="P49" i="13"/>
  <c r="AE74" i="13"/>
  <c r="M76" i="15"/>
  <c r="H53" i="13"/>
  <c r="W75" i="13"/>
  <c r="E77" i="15"/>
  <c r="I53" i="13"/>
  <c r="X75" i="13"/>
  <c r="F77" i="15"/>
  <c r="J53" i="13"/>
  <c r="Y75" i="13"/>
  <c r="G77" i="15"/>
  <c r="K53" i="13"/>
  <c r="K57" i="13"/>
  <c r="K68" i="13"/>
  <c r="L53" i="13"/>
  <c r="AA75" i="13"/>
  <c r="I77" i="15"/>
  <c r="M53" i="13"/>
  <c r="AB75" i="13"/>
  <c r="J77" i="15"/>
  <c r="N53" i="13"/>
  <c r="AC75" i="13"/>
  <c r="K77" i="15"/>
  <c r="O53" i="13"/>
  <c r="O57" i="13"/>
  <c r="O68" i="13"/>
  <c r="P53" i="13"/>
  <c r="AE75" i="13"/>
  <c r="M77" i="15"/>
  <c r="H57" i="13"/>
  <c r="W76" i="13"/>
  <c r="E78" i="15"/>
  <c r="I57" i="13"/>
  <c r="X76" i="13"/>
  <c r="F78" i="15"/>
  <c r="J57" i="13"/>
  <c r="J68" i="13"/>
  <c r="J72" i="13"/>
  <c r="L57" i="13"/>
  <c r="AA76" i="13"/>
  <c r="I78" i="15"/>
  <c r="M57" i="13"/>
  <c r="AB76" i="13"/>
  <c r="J78" i="15"/>
  <c r="N57" i="13"/>
  <c r="N69" i="13"/>
  <c r="N68" i="13"/>
  <c r="AD76" i="13"/>
  <c r="L78" i="15"/>
  <c r="P57" i="13"/>
  <c r="AE76" i="13"/>
  <c r="M78" i="15"/>
  <c r="W77" i="13"/>
  <c r="E79" i="15"/>
  <c r="Y77" i="13"/>
  <c r="G79" i="15"/>
  <c r="Z77" i="13"/>
  <c r="H79" i="15"/>
  <c r="AA77" i="13"/>
  <c r="I79" i="15"/>
  <c r="AC77" i="13"/>
  <c r="K79" i="15"/>
  <c r="AD77" i="13"/>
  <c r="L79" i="15"/>
  <c r="AE77" i="13"/>
  <c r="M79" i="15"/>
  <c r="H65" i="13"/>
  <c r="I65" i="13"/>
  <c r="X78" i="13"/>
  <c r="F80" i="15"/>
  <c r="J65" i="13"/>
  <c r="Y78" i="13"/>
  <c r="G80" i="15"/>
  <c r="K65" i="13"/>
  <c r="Z78" i="13"/>
  <c r="H80" i="15"/>
  <c r="L65" i="13"/>
  <c r="AA78" i="13"/>
  <c r="I80" i="15"/>
  <c r="M65" i="13"/>
  <c r="AB78" i="13"/>
  <c r="J80" i="15"/>
  <c r="N65" i="13"/>
  <c r="AC78" i="13"/>
  <c r="K80" i="15"/>
  <c r="O65" i="13"/>
  <c r="AD78" i="13"/>
  <c r="L80" i="15"/>
  <c r="P65" i="13"/>
  <c r="H68" i="13"/>
  <c r="I68" i="13"/>
  <c r="L68" i="13"/>
  <c r="M68" i="13"/>
  <c r="P68" i="13"/>
  <c r="P72" i="13"/>
  <c r="H67" i="13"/>
  <c r="H71" i="13"/>
  <c r="I72" i="13"/>
  <c r="K72" i="13"/>
  <c r="L72" i="13"/>
  <c r="L67" i="13"/>
  <c r="L71" i="13"/>
  <c r="AA71" i="13"/>
  <c r="I73" i="15"/>
  <c r="M72" i="13"/>
  <c r="O72" i="13"/>
  <c r="G53" i="13"/>
  <c r="V75" i="13"/>
  <c r="D77" i="15"/>
  <c r="G57" i="13"/>
  <c r="V76" i="13"/>
  <c r="D78" i="15"/>
  <c r="V77" i="13"/>
  <c r="D79" i="15"/>
  <c r="G65" i="13"/>
  <c r="V78" i="13"/>
  <c r="D80" i="15"/>
  <c r="G49" i="13"/>
  <c r="V74" i="13"/>
  <c r="D76" i="15"/>
  <c r="G68" i="13"/>
  <c r="G72" i="13"/>
  <c r="V65" i="13"/>
  <c r="D67" i="15"/>
  <c r="W65" i="13"/>
  <c r="E67" i="15"/>
  <c r="X65" i="13"/>
  <c r="F67" i="15"/>
  <c r="Y65" i="13"/>
  <c r="G67" i="15"/>
  <c r="Z65" i="13"/>
  <c r="H67" i="15"/>
  <c r="AA65" i="13"/>
  <c r="I67" i="15"/>
  <c r="AB65" i="13"/>
  <c r="J67" i="15"/>
  <c r="AC65" i="13"/>
  <c r="K67" i="15"/>
  <c r="AD65" i="13"/>
  <c r="L67" i="15"/>
  <c r="V66" i="13"/>
  <c r="D68" i="15"/>
  <c r="W66" i="13"/>
  <c r="E68" i="15"/>
  <c r="X66" i="13"/>
  <c r="F68" i="15"/>
  <c r="Y66" i="13"/>
  <c r="G68" i="15"/>
  <c r="Z66" i="13"/>
  <c r="H68" i="15"/>
  <c r="AA66" i="13"/>
  <c r="I68" i="15"/>
  <c r="AB66" i="13"/>
  <c r="J68" i="15"/>
  <c r="AC66" i="13"/>
  <c r="K68" i="15"/>
  <c r="AD66" i="13"/>
  <c r="L68" i="15"/>
  <c r="V67" i="13"/>
  <c r="D69" i="15"/>
  <c r="W67" i="13"/>
  <c r="E69" i="15"/>
  <c r="X67" i="13"/>
  <c r="F69" i="15"/>
  <c r="Y67" i="13"/>
  <c r="G69" i="15"/>
  <c r="Z67" i="13"/>
  <c r="H69" i="15"/>
  <c r="AA67" i="13"/>
  <c r="I69" i="15"/>
  <c r="AB67" i="13"/>
  <c r="J69" i="15"/>
  <c r="AC67" i="13"/>
  <c r="K69" i="15"/>
  <c r="AD67" i="13"/>
  <c r="L69" i="15"/>
  <c r="V68" i="13"/>
  <c r="D70" i="15"/>
  <c r="W68" i="13"/>
  <c r="E70" i="15"/>
  <c r="X68" i="13"/>
  <c r="F70" i="15"/>
  <c r="Y68" i="13"/>
  <c r="G70" i="15"/>
  <c r="Z68" i="13"/>
  <c r="H70" i="15"/>
  <c r="AA68" i="13"/>
  <c r="I70" i="15"/>
  <c r="AB68" i="13"/>
  <c r="J70" i="15"/>
  <c r="AC68" i="13"/>
  <c r="K70" i="15"/>
  <c r="AD68" i="13"/>
  <c r="L70" i="15"/>
  <c r="V69" i="13"/>
  <c r="D71" i="15"/>
  <c r="W69" i="13"/>
  <c r="E71" i="15"/>
  <c r="X69" i="13"/>
  <c r="F71" i="15"/>
  <c r="Y69" i="13"/>
  <c r="G71" i="15"/>
  <c r="Z69" i="13"/>
  <c r="H71" i="15"/>
  <c r="AA69" i="13"/>
  <c r="I71" i="15"/>
  <c r="AB69" i="13"/>
  <c r="J71" i="15"/>
  <c r="AC69" i="13"/>
  <c r="K71" i="15"/>
  <c r="AD69" i="13"/>
  <c r="L71" i="15"/>
  <c r="G67" i="13"/>
  <c r="I67" i="13"/>
  <c r="J67" i="13"/>
  <c r="J71" i="13"/>
  <c r="K67" i="13"/>
  <c r="AA70" i="13"/>
  <c r="I72" i="15"/>
  <c r="M67" i="13"/>
  <c r="N67" i="13"/>
  <c r="N71" i="13"/>
  <c r="N66" i="13"/>
  <c r="N70" i="13"/>
  <c r="AC59" i="13"/>
  <c r="K64" i="15"/>
  <c r="K105" i="15"/>
  <c r="O67" i="13"/>
  <c r="O71" i="13"/>
  <c r="AD71" i="13"/>
  <c r="L73" i="15"/>
  <c r="L106" i="15"/>
  <c r="U66" i="13"/>
  <c r="C68" i="15"/>
  <c r="U67" i="13"/>
  <c r="C69" i="15"/>
  <c r="U68" i="13"/>
  <c r="C70" i="15"/>
  <c r="U69" i="13"/>
  <c r="C71" i="15"/>
  <c r="F68" i="13"/>
  <c r="U65" i="13"/>
  <c r="C67" i="15"/>
  <c r="T54" i="13"/>
  <c r="B59" i="15"/>
  <c r="U54" i="13"/>
  <c r="C59" i="15"/>
  <c r="V54" i="13"/>
  <c r="D59" i="15"/>
  <c r="W54" i="13"/>
  <c r="E59" i="15"/>
  <c r="X54" i="13"/>
  <c r="F59" i="15"/>
  <c r="Y54" i="13"/>
  <c r="G59" i="15"/>
  <c r="Z54" i="13"/>
  <c r="H59" i="15"/>
  <c r="AA54" i="13"/>
  <c r="I59" i="15"/>
  <c r="AB54" i="13"/>
  <c r="J59" i="15"/>
  <c r="AC54" i="13"/>
  <c r="K59" i="15"/>
  <c r="T55" i="13"/>
  <c r="B60" i="15"/>
  <c r="U55" i="13"/>
  <c r="C60" i="15"/>
  <c r="V55" i="13"/>
  <c r="D60" i="15"/>
  <c r="W55" i="13"/>
  <c r="E60" i="15"/>
  <c r="X55" i="13"/>
  <c r="F60" i="15"/>
  <c r="Y55" i="13"/>
  <c r="G60" i="15"/>
  <c r="Z55" i="13"/>
  <c r="H60" i="15"/>
  <c r="AA55" i="13"/>
  <c r="I60" i="15"/>
  <c r="AB55" i="13"/>
  <c r="J60" i="15"/>
  <c r="AC55" i="13"/>
  <c r="K60" i="15"/>
  <c r="T56" i="13"/>
  <c r="B61" i="15"/>
  <c r="U56" i="13"/>
  <c r="C61" i="15"/>
  <c r="V56" i="13"/>
  <c r="D61" i="15"/>
  <c r="W56" i="13"/>
  <c r="E61" i="15"/>
  <c r="X56" i="13"/>
  <c r="F61" i="15"/>
  <c r="Y56" i="13"/>
  <c r="G61" i="15"/>
  <c r="Z56" i="13"/>
  <c r="H61" i="15"/>
  <c r="AA56" i="13"/>
  <c r="I61" i="15"/>
  <c r="AB56" i="13"/>
  <c r="J61" i="15"/>
  <c r="AC56" i="13"/>
  <c r="K61" i="15"/>
  <c r="T57" i="13"/>
  <c r="B62" i="15"/>
  <c r="U57" i="13"/>
  <c r="C62" i="15"/>
  <c r="V57" i="13"/>
  <c r="D62" i="15"/>
  <c r="W57" i="13"/>
  <c r="E62" i="15"/>
  <c r="X57" i="13"/>
  <c r="F62" i="15"/>
  <c r="Y57" i="13"/>
  <c r="G62" i="15"/>
  <c r="Z57" i="13"/>
  <c r="H62" i="15"/>
  <c r="AA57" i="13"/>
  <c r="I62" i="15"/>
  <c r="AB57" i="13"/>
  <c r="J62" i="15"/>
  <c r="AC57" i="13"/>
  <c r="K62" i="15"/>
  <c r="E67" i="13"/>
  <c r="F66" i="13"/>
  <c r="F70" i="13"/>
  <c r="U59" i="13"/>
  <c r="C64" i="15"/>
  <c r="C105" i="15"/>
  <c r="U58" i="13"/>
  <c r="C63" i="15"/>
  <c r="G66" i="13"/>
  <c r="H66" i="13"/>
  <c r="H70" i="13"/>
  <c r="W59" i="13"/>
  <c r="W58" i="13"/>
  <c r="E63" i="15"/>
  <c r="I66" i="13"/>
  <c r="J66" i="13"/>
  <c r="J70" i="13"/>
  <c r="K66" i="13"/>
  <c r="K70" i="13"/>
  <c r="L66" i="13"/>
  <c r="M66" i="13"/>
  <c r="AC58" i="13"/>
  <c r="K63" i="15"/>
  <c r="G70" i="13"/>
  <c r="E64" i="15"/>
  <c r="E105" i="15"/>
  <c r="I70" i="13"/>
  <c r="M70" i="13"/>
  <c r="U53" i="13"/>
  <c r="C58" i="15"/>
  <c r="V53" i="13"/>
  <c r="D58" i="15"/>
  <c r="W53" i="13"/>
  <c r="E58" i="15"/>
  <c r="X53" i="13"/>
  <c r="F58" i="15"/>
  <c r="Y53" i="13"/>
  <c r="G58" i="15"/>
  <c r="Z53" i="13"/>
  <c r="H58" i="15"/>
  <c r="AA53" i="13"/>
  <c r="I58" i="15"/>
  <c r="AB53" i="13"/>
  <c r="J58" i="15"/>
  <c r="AC53" i="13"/>
  <c r="K58" i="15"/>
  <c r="T53" i="13"/>
  <c r="B58" i="15"/>
  <c r="U64" i="13"/>
  <c r="U29" i="13"/>
  <c r="S59" i="13"/>
  <c r="A64" i="15"/>
  <c r="A73" i="15"/>
  <c r="V64" i="13"/>
  <c r="W64" i="13"/>
  <c r="X64" i="13"/>
  <c r="Y64" i="13"/>
  <c r="Y29" i="13"/>
  <c r="Z64" i="13"/>
  <c r="AA64" i="13"/>
  <c r="AA29" i="13"/>
  <c r="I66" i="15"/>
  <c r="AB64" i="13"/>
  <c r="AC64" i="13"/>
  <c r="AC29" i="13"/>
  <c r="AD64" i="13"/>
  <c r="AE64" i="13"/>
  <c r="T64" i="13"/>
  <c r="C66" i="15"/>
  <c r="K66" i="15"/>
  <c r="AE52" i="13"/>
  <c r="A77" i="15"/>
  <c r="A78" i="15"/>
  <c r="A79" i="15"/>
  <c r="A80" i="15"/>
  <c r="A81" i="15"/>
  <c r="A82" i="15"/>
  <c r="A76" i="15"/>
  <c r="A68" i="15"/>
  <c r="A69" i="15"/>
  <c r="A70" i="15"/>
  <c r="A71" i="15"/>
  <c r="A72" i="15"/>
  <c r="A67" i="15"/>
  <c r="S54" i="13"/>
  <c r="A59" i="15"/>
  <c r="S55" i="13"/>
  <c r="A60" i="15"/>
  <c r="S56" i="13"/>
  <c r="A61" i="15"/>
  <c r="S57" i="13"/>
  <c r="A62" i="15"/>
  <c r="S58" i="13"/>
  <c r="A63" i="15"/>
  <c r="S53" i="13"/>
  <c r="A58" i="15"/>
  <c r="V84" i="13"/>
  <c r="S14" i="13"/>
  <c r="A79" i="16"/>
  <c r="A90" i="16"/>
  <c r="M123" i="16"/>
  <c r="M124" i="16"/>
  <c r="B123" i="16"/>
  <c r="C123" i="16"/>
  <c r="D123" i="16"/>
  <c r="G123" i="16"/>
  <c r="H123" i="16"/>
  <c r="J123" i="16"/>
  <c r="K123" i="16"/>
  <c r="L123" i="16"/>
  <c r="A101" i="16"/>
  <c r="S8" i="13"/>
  <c r="A73" i="16"/>
  <c r="S9" i="13"/>
  <c r="A74" i="16"/>
  <c r="S10" i="13"/>
  <c r="A75" i="16"/>
  <c r="S11" i="13"/>
  <c r="A76" i="16"/>
  <c r="S12" i="13"/>
  <c r="A77" i="16"/>
  <c r="S13" i="13"/>
  <c r="A78" i="16"/>
  <c r="S7" i="13"/>
  <c r="A72" i="16"/>
  <c r="AF64" i="13"/>
  <c r="AF52" i="13"/>
  <c r="AF17" i="13"/>
  <c r="AF6" i="13"/>
  <c r="AF29" i="13"/>
  <c r="AE29" i="13"/>
  <c r="W29" i="13"/>
  <c r="M90" i="10"/>
  <c r="M86" i="10"/>
  <c r="M87" i="10"/>
  <c r="M89" i="10"/>
  <c r="M103" i="10"/>
  <c r="M104" i="10"/>
  <c r="M107" i="10"/>
  <c r="M109" i="10"/>
  <c r="M84" i="10"/>
  <c r="K107" i="10"/>
  <c r="K103" i="10"/>
  <c r="K102" i="10"/>
  <c r="K90" i="10"/>
  <c r="L90" i="10"/>
  <c r="L89" i="10"/>
  <c r="K88" i="10"/>
  <c r="L88" i="10"/>
  <c r="K87" i="10"/>
  <c r="L87" i="10"/>
  <c r="L86" i="10"/>
  <c r="K85" i="10"/>
  <c r="L85" i="10"/>
  <c r="L84" i="10"/>
  <c r="C4" i="14"/>
  <c r="C5" i="14"/>
  <c r="B33" i="2"/>
  <c r="B50" i="16"/>
  <c r="C14" i="14"/>
  <c r="B52" i="16"/>
  <c r="D52" i="16"/>
  <c r="B51" i="16"/>
  <c r="B53" i="16"/>
  <c r="B54" i="16"/>
  <c r="B55" i="16"/>
  <c r="B56" i="16"/>
  <c r="B57" i="16"/>
  <c r="B58" i="16"/>
  <c r="B59" i="16"/>
  <c r="B60" i="16"/>
  <c r="B61" i="16"/>
  <c r="B49" i="16"/>
  <c r="E49" i="16"/>
  <c r="Q34" i="13"/>
  <c r="Q30" i="13"/>
  <c r="Q26" i="13"/>
  <c r="Q22" i="13"/>
  <c r="Q18" i="13"/>
  <c r="Q14" i="13"/>
  <c r="Q10" i="13"/>
  <c r="Q38" i="13"/>
  <c r="Q65" i="13"/>
  <c r="Q57" i="13"/>
  <c r="Q53" i="13"/>
  <c r="Q49" i="13"/>
  <c r="E48" i="1"/>
  <c r="F48" i="1"/>
  <c r="G48" i="1"/>
  <c r="H48" i="1"/>
  <c r="I48" i="1"/>
  <c r="J48" i="1"/>
  <c r="K48" i="1"/>
  <c r="L48" i="1"/>
  <c r="M48" i="1"/>
  <c r="N48" i="1"/>
  <c r="O48" i="1"/>
  <c r="E47" i="1"/>
  <c r="F47" i="1"/>
  <c r="G47" i="1"/>
  <c r="H47" i="1"/>
  <c r="I47" i="1"/>
  <c r="J47" i="1"/>
  <c r="K47" i="1"/>
  <c r="L47" i="1"/>
  <c r="M47" i="1"/>
  <c r="N47" i="1"/>
  <c r="O47" i="1"/>
  <c r="E46" i="1"/>
  <c r="F46" i="1"/>
  <c r="K43" i="1"/>
  <c r="L43" i="1"/>
  <c r="M43" i="1"/>
  <c r="N43" i="1"/>
  <c r="O43" i="1"/>
  <c r="K42" i="1"/>
  <c r="L42" i="1"/>
  <c r="M42" i="1"/>
  <c r="N42" i="1"/>
  <c r="O42" i="1"/>
  <c r="K41" i="1"/>
  <c r="L41" i="1"/>
  <c r="K36" i="1"/>
  <c r="L36" i="1"/>
  <c r="K35" i="1"/>
  <c r="K31" i="1"/>
  <c r="L31" i="1"/>
  <c r="L10" i="1"/>
  <c r="M10" i="1"/>
  <c r="N10" i="1"/>
  <c r="H43" i="14"/>
  <c r="C47" i="14"/>
  <c r="E47" i="14"/>
  <c r="F43" i="14"/>
  <c r="B52" i="6"/>
  <c r="B53" i="6"/>
  <c r="C49" i="1"/>
  <c r="C51" i="6"/>
  <c r="D49" i="1"/>
  <c r="D51" i="6"/>
  <c r="E49" i="1"/>
  <c r="E51" i="6"/>
  <c r="F49" i="1"/>
  <c r="F51" i="6"/>
  <c r="G46" i="1"/>
  <c r="G49" i="1"/>
  <c r="G51" i="6"/>
  <c r="H46" i="1"/>
  <c r="H49" i="1"/>
  <c r="H51" i="6"/>
  <c r="I46" i="1"/>
  <c r="I49" i="1"/>
  <c r="I51" i="6"/>
  <c r="J46" i="1"/>
  <c r="J49" i="1"/>
  <c r="J51" i="6"/>
  <c r="K46" i="1"/>
  <c r="K49" i="1"/>
  <c r="K51" i="6"/>
  <c r="B51" i="6"/>
  <c r="A50" i="6"/>
  <c r="C5" i="2"/>
  <c r="B5" i="2"/>
  <c r="B24" i="2"/>
  <c r="C8" i="2"/>
  <c r="B8" i="2"/>
  <c r="D47" i="14"/>
  <c r="I44" i="14"/>
  <c r="I45" i="14"/>
  <c r="I43" i="14"/>
  <c r="H44" i="14"/>
  <c r="H45" i="14"/>
  <c r="G44" i="14"/>
  <c r="G45" i="14"/>
  <c r="G43" i="14"/>
  <c r="D70" i="2"/>
  <c r="D69" i="2"/>
  <c r="B37" i="2"/>
  <c r="C37" i="2"/>
  <c r="D37" i="2"/>
  <c r="E37" i="2"/>
  <c r="F37" i="2"/>
  <c r="G37" i="2"/>
  <c r="H37" i="2"/>
  <c r="I37" i="2"/>
  <c r="J37" i="2"/>
  <c r="B38" i="2"/>
  <c r="C38" i="2"/>
  <c r="D38" i="2"/>
  <c r="E38" i="2"/>
  <c r="F38" i="2"/>
  <c r="G38" i="2"/>
  <c r="H38" i="2"/>
  <c r="I38" i="2"/>
  <c r="J38" i="2"/>
  <c r="C39" i="2"/>
  <c r="D39" i="2"/>
  <c r="E39" i="2"/>
  <c r="F39" i="2"/>
  <c r="G39" i="2"/>
  <c r="H39" i="2"/>
  <c r="I39" i="2"/>
  <c r="J39" i="2"/>
  <c r="K39" i="2"/>
  <c r="L39" i="2"/>
  <c r="M39" i="2"/>
  <c r="N39" i="2"/>
  <c r="B39" i="2"/>
  <c r="A39" i="2"/>
  <c r="A38" i="2"/>
  <c r="A37" i="2"/>
  <c r="B21" i="2"/>
  <c r="D14" i="2"/>
  <c r="D5" i="2"/>
  <c r="E5" i="2"/>
  <c r="F5" i="2"/>
  <c r="F4" i="6"/>
  <c r="G5" i="2"/>
  <c r="H5" i="2"/>
  <c r="I5" i="2"/>
  <c r="J5" i="2"/>
  <c r="C3" i="2"/>
  <c r="D3" i="2"/>
  <c r="E3" i="2"/>
  <c r="F3" i="2"/>
  <c r="G3" i="2"/>
  <c r="H3" i="2"/>
  <c r="I3" i="2"/>
  <c r="J3" i="2"/>
  <c r="K3" i="2"/>
  <c r="L3" i="2"/>
  <c r="M3" i="2"/>
  <c r="N3" i="2"/>
  <c r="B3" i="2"/>
  <c r="E3" i="3"/>
  <c r="E37" i="3"/>
  <c r="E35" i="3"/>
  <c r="F3" i="3"/>
  <c r="F37" i="3"/>
  <c r="G3" i="3"/>
  <c r="G40" i="3"/>
  <c r="G35" i="3"/>
  <c r="H3" i="3"/>
  <c r="H40" i="3"/>
  <c r="I3" i="3"/>
  <c r="I42" i="3"/>
  <c r="I35" i="3"/>
  <c r="J37" i="3"/>
  <c r="K45" i="3"/>
  <c r="K35" i="3"/>
  <c r="L40" i="3"/>
  <c r="M37" i="3"/>
  <c r="M35" i="3"/>
  <c r="N37" i="3"/>
  <c r="O40" i="3"/>
  <c r="O35" i="3"/>
  <c r="P40" i="3"/>
  <c r="Q42" i="3"/>
  <c r="Q35" i="3"/>
  <c r="R37" i="3"/>
  <c r="S44" i="3"/>
  <c r="S35" i="3"/>
  <c r="T40" i="3"/>
  <c r="U37" i="3"/>
  <c r="U35" i="3"/>
  <c r="V37" i="3"/>
  <c r="W40" i="3"/>
  <c r="W35" i="3"/>
  <c r="X40" i="3"/>
  <c r="Y42" i="3"/>
  <c r="Y35" i="3"/>
  <c r="Z37" i="3"/>
  <c r="AA48" i="3"/>
  <c r="AA35" i="3"/>
  <c r="I37" i="3"/>
  <c r="K37" i="3"/>
  <c r="Q37" i="3"/>
  <c r="S37" i="3"/>
  <c r="Y37" i="3"/>
  <c r="AA37" i="3"/>
  <c r="F38" i="3"/>
  <c r="H38" i="3"/>
  <c r="J38" i="3"/>
  <c r="L38" i="3"/>
  <c r="N38" i="3"/>
  <c r="P38" i="3"/>
  <c r="R38" i="3"/>
  <c r="T38" i="3"/>
  <c r="V38" i="3"/>
  <c r="X38" i="3"/>
  <c r="Z38" i="3"/>
  <c r="E40" i="3"/>
  <c r="K40" i="3"/>
  <c r="M40" i="3"/>
  <c r="S40" i="3"/>
  <c r="U40" i="3"/>
  <c r="AA40" i="3"/>
  <c r="F41" i="3"/>
  <c r="H41" i="3"/>
  <c r="J41" i="3"/>
  <c r="L41" i="3"/>
  <c r="N41" i="3"/>
  <c r="P41" i="3"/>
  <c r="R41" i="3"/>
  <c r="T41" i="3"/>
  <c r="V41" i="3"/>
  <c r="X41" i="3"/>
  <c r="Z41" i="3"/>
  <c r="E42" i="3"/>
  <c r="G42" i="3"/>
  <c r="M42" i="3"/>
  <c r="O42" i="3"/>
  <c r="U42" i="3"/>
  <c r="W42" i="3"/>
  <c r="F43" i="3"/>
  <c r="H43" i="3"/>
  <c r="J43" i="3"/>
  <c r="L43" i="3"/>
  <c r="N43" i="3"/>
  <c r="P43" i="3"/>
  <c r="R43" i="3"/>
  <c r="T43" i="3"/>
  <c r="V43" i="3"/>
  <c r="X43" i="3"/>
  <c r="Z43" i="3"/>
  <c r="F44" i="3"/>
  <c r="G44" i="3"/>
  <c r="J44" i="3"/>
  <c r="K44" i="3"/>
  <c r="M44" i="3"/>
  <c r="N44" i="3"/>
  <c r="Q44" i="3"/>
  <c r="R44" i="3"/>
  <c r="V44" i="3"/>
  <c r="W44" i="3"/>
  <c r="E45" i="3"/>
  <c r="F45" i="3"/>
  <c r="H45" i="3"/>
  <c r="I45" i="3"/>
  <c r="J45" i="3"/>
  <c r="L45" i="3"/>
  <c r="M45" i="3"/>
  <c r="N45" i="3"/>
  <c r="P45" i="3"/>
  <c r="Q45" i="3"/>
  <c r="R45" i="3"/>
  <c r="T45" i="3"/>
  <c r="U45" i="3"/>
  <c r="V45" i="3"/>
  <c r="X45" i="3"/>
  <c r="Y45" i="3"/>
  <c r="Z45" i="3"/>
  <c r="F46" i="3"/>
  <c r="G46" i="3"/>
  <c r="H46" i="3"/>
  <c r="J46" i="3"/>
  <c r="K46" i="3"/>
  <c r="L46" i="3"/>
  <c r="N46" i="3"/>
  <c r="O46" i="3"/>
  <c r="P46" i="3"/>
  <c r="R46" i="3"/>
  <c r="S46" i="3"/>
  <c r="T46" i="3"/>
  <c r="V46" i="3"/>
  <c r="W46" i="3"/>
  <c r="X46" i="3"/>
  <c r="Z46" i="3"/>
  <c r="AA46" i="3"/>
  <c r="F47" i="3"/>
  <c r="G47" i="3"/>
  <c r="H47" i="3"/>
  <c r="J47" i="3"/>
  <c r="K47" i="3"/>
  <c r="L47" i="3"/>
  <c r="N47" i="3"/>
  <c r="O47" i="3"/>
  <c r="P47" i="3"/>
  <c r="R47" i="3"/>
  <c r="S47" i="3"/>
  <c r="T47" i="3"/>
  <c r="V47" i="3"/>
  <c r="W47" i="3"/>
  <c r="X47" i="3"/>
  <c r="Z47" i="3"/>
  <c r="AA47" i="3"/>
  <c r="E48" i="3"/>
  <c r="F48" i="3"/>
  <c r="H48" i="3"/>
  <c r="I48" i="3"/>
  <c r="J48" i="3"/>
  <c r="L48" i="3"/>
  <c r="M48" i="3"/>
  <c r="N48" i="3"/>
  <c r="P48" i="3"/>
  <c r="Q48" i="3"/>
  <c r="R48" i="3"/>
  <c r="T48" i="3"/>
  <c r="U48" i="3"/>
  <c r="V48" i="3"/>
  <c r="X48" i="3"/>
  <c r="Y48" i="3"/>
  <c r="Z48" i="3"/>
  <c r="E49" i="3"/>
  <c r="F49" i="3"/>
  <c r="H49" i="3"/>
  <c r="I49" i="3"/>
  <c r="J49" i="3"/>
  <c r="L49" i="3"/>
  <c r="M49" i="3"/>
  <c r="N49" i="3"/>
  <c r="P49" i="3"/>
  <c r="Q49" i="3"/>
  <c r="R49" i="3"/>
  <c r="T49" i="3"/>
  <c r="U49" i="3"/>
  <c r="V49" i="3"/>
  <c r="X49" i="3"/>
  <c r="Y49" i="3"/>
  <c r="Z49" i="3"/>
  <c r="E50" i="3"/>
  <c r="F50" i="3"/>
  <c r="G50" i="3"/>
  <c r="H50" i="3"/>
  <c r="I50" i="3"/>
  <c r="J50" i="3"/>
  <c r="K50" i="3"/>
  <c r="L50" i="3"/>
  <c r="N50" i="3"/>
  <c r="O50" i="3"/>
  <c r="P50" i="3"/>
  <c r="R50" i="3"/>
  <c r="S50" i="3"/>
  <c r="T50" i="3"/>
  <c r="V50" i="3"/>
  <c r="W50" i="3"/>
  <c r="X50" i="3"/>
  <c r="Z50" i="3"/>
  <c r="AA50" i="3"/>
  <c r="E51" i="3"/>
  <c r="F51" i="3"/>
  <c r="G51" i="3"/>
  <c r="H51" i="3"/>
  <c r="I51" i="3"/>
  <c r="J51" i="3"/>
  <c r="K51" i="3"/>
  <c r="L51" i="3"/>
  <c r="M51" i="3"/>
  <c r="N51" i="3"/>
  <c r="O51" i="3"/>
  <c r="P51" i="3"/>
  <c r="Q51" i="3"/>
  <c r="R51" i="3"/>
  <c r="S51" i="3"/>
  <c r="T51" i="3"/>
  <c r="U51" i="3"/>
  <c r="V51" i="3"/>
  <c r="W51" i="3"/>
  <c r="X51" i="3"/>
  <c r="Y51" i="3"/>
  <c r="Z51" i="3"/>
  <c r="AA51" i="3"/>
  <c r="E52" i="3"/>
  <c r="F52" i="3"/>
  <c r="G52" i="3"/>
  <c r="H52" i="3"/>
  <c r="I52" i="3"/>
  <c r="J52" i="3"/>
  <c r="K52" i="3"/>
  <c r="L52" i="3"/>
  <c r="M52" i="3"/>
  <c r="N52" i="3"/>
  <c r="O52" i="3"/>
  <c r="P52" i="3"/>
  <c r="Q52" i="3"/>
  <c r="R52" i="3"/>
  <c r="S52" i="3"/>
  <c r="T52" i="3"/>
  <c r="U52" i="3"/>
  <c r="V52" i="3"/>
  <c r="W52" i="3"/>
  <c r="X52" i="3"/>
  <c r="Y52" i="3"/>
  <c r="Z52" i="3"/>
  <c r="AA52" i="3"/>
  <c r="AB52" i="3"/>
  <c r="D102" i="10"/>
  <c r="E53" i="3"/>
  <c r="F53" i="3"/>
  <c r="G53" i="3"/>
  <c r="H53" i="3"/>
  <c r="I53" i="3"/>
  <c r="J53" i="3"/>
  <c r="K53" i="3"/>
  <c r="L53" i="3"/>
  <c r="M53" i="3"/>
  <c r="N53" i="3"/>
  <c r="O53" i="3"/>
  <c r="P53" i="3"/>
  <c r="Q53" i="3"/>
  <c r="R53" i="3"/>
  <c r="S53" i="3"/>
  <c r="T53" i="3"/>
  <c r="U53" i="3"/>
  <c r="V53" i="3"/>
  <c r="W53" i="3"/>
  <c r="X53" i="3"/>
  <c r="Y53" i="3"/>
  <c r="Z53" i="3"/>
  <c r="AA53" i="3"/>
  <c r="E55" i="3"/>
  <c r="F55" i="3"/>
  <c r="G55" i="3"/>
  <c r="H55" i="3"/>
  <c r="I55" i="3"/>
  <c r="J55" i="3"/>
  <c r="K55" i="3"/>
  <c r="L55" i="3"/>
  <c r="M55" i="3"/>
  <c r="N55" i="3"/>
  <c r="O55" i="3"/>
  <c r="P55" i="3"/>
  <c r="Q55" i="3"/>
  <c r="R55" i="3"/>
  <c r="S55" i="3"/>
  <c r="T55" i="3"/>
  <c r="U55" i="3"/>
  <c r="V55" i="3"/>
  <c r="W55" i="3"/>
  <c r="X55" i="3"/>
  <c r="Y55" i="3"/>
  <c r="Z55" i="3"/>
  <c r="AA55" i="3"/>
  <c r="AB55" i="3"/>
  <c r="D105" i="10"/>
  <c r="E56" i="3"/>
  <c r="F56" i="3"/>
  <c r="G56" i="3"/>
  <c r="H56" i="3"/>
  <c r="I56" i="3"/>
  <c r="J56" i="3"/>
  <c r="K56" i="3"/>
  <c r="L56" i="3"/>
  <c r="M56" i="3"/>
  <c r="N56" i="3"/>
  <c r="O56" i="3"/>
  <c r="P56" i="3"/>
  <c r="Q56" i="3"/>
  <c r="R56" i="3"/>
  <c r="S56" i="3"/>
  <c r="T56" i="3"/>
  <c r="U56" i="3"/>
  <c r="V56" i="3"/>
  <c r="W56" i="3"/>
  <c r="X56" i="3"/>
  <c r="Y56" i="3"/>
  <c r="Z56" i="3"/>
  <c r="AA56" i="3"/>
  <c r="AB56" i="3"/>
  <c r="D106" i="10"/>
  <c r="E57" i="3"/>
  <c r="F57" i="3"/>
  <c r="G57" i="3"/>
  <c r="H57" i="3"/>
  <c r="I57" i="3"/>
  <c r="J57" i="3"/>
  <c r="K57" i="3"/>
  <c r="L57" i="3"/>
  <c r="M57" i="3"/>
  <c r="N57" i="3"/>
  <c r="O57" i="3"/>
  <c r="P57" i="3"/>
  <c r="Q57" i="3"/>
  <c r="R57" i="3"/>
  <c r="S57" i="3"/>
  <c r="T57" i="3"/>
  <c r="U57" i="3"/>
  <c r="V57" i="3"/>
  <c r="W57" i="3"/>
  <c r="X57" i="3"/>
  <c r="Y57" i="3"/>
  <c r="Z57" i="3"/>
  <c r="AA57" i="3"/>
  <c r="E58" i="3"/>
  <c r="F58" i="3"/>
  <c r="G58" i="3"/>
  <c r="H58" i="3"/>
  <c r="I58" i="3"/>
  <c r="J58" i="3"/>
  <c r="K58" i="3"/>
  <c r="L58" i="3"/>
  <c r="M58" i="3"/>
  <c r="N58" i="3"/>
  <c r="O58" i="3"/>
  <c r="P58" i="3"/>
  <c r="Q58" i="3"/>
  <c r="R58" i="3"/>
  <c r="S58" i="3"/>
  <c r="T58" i="3"/>
  <c r="U58" i="3"/>
  <c r="V58" i="3"/>
  <c r="W58" i="3"/>
  <c r="X58" i="3"/>
  <c r="Y58" i="3"/>
  <c r="Z58" i="3"/>
  <c r="AA58" i="3"/>
  <c r="E60" i="3"/>
  <c r="F60" i="3"/>
  <c r="G60" i="3"/>
  <c r="H60" i="3"/>
  <c r="I60" i="3"/>
  <c r="J60" i="3"/>
  <c r="K60" i="3"/>
  <c r="L60" i="3"/>
  <c r="M60" i="3"/>
  <c r="N60" i="3"/>
  <c r="O60" i="3"/>
  <c r="P60" i="3"/>
  <c r="Q60" i="3"/>
  <c r="R60" i="3"/>
  <c r="S60" i="3"/>
  <c r="T60" i="3"/>
  <c r="U60" i="3"/>
  <c r="V60" i="3"/>
  <c r="W60" i="3"/>
  <c r="X60" i="3"/>
  <c r="Y60" i="3"/>
  <c r="Z60" i="3"/>
  <c r="AA60" i="3"/>
  <c r="O54" i="2"/>
  <c r="N44" i="2"/>
  <c r="M44" i="2"/>
  <c r="L44" i="2"/>
  <c r="K44" i="2"/>
  <c r="K58" i="16"/>
  <c r="J44" i="2"/>
  <c r="I44" i="2"/>
  <c r="H44" i="2"/>
  <c r="G44" i="2"/>
  <c r="F44" i="2"/>
  <c r="E44" i="2"/>
  <c r="D44" i="2"/>
  <c r="C44" i="2"/>
  <c r="B44" i="2"/>
  <c r="Y47" i="13"/>
  <c r="Y85" i="13"/>
  <c r="E62" i="16"/>
  <c r="E50" i="16"/>
  <c r="E52" i="16"/>
  <c r="F50" i="16"/>
  <c r="E51" i="16"/>
  <c r="E53" i="16"/>
  <c r="F53" i="16"/>
  <c r="E54" i="16"/>
  <c r="F54" i="16"/>
  <c r="E55" i="16"/>
  <c r="F55" i="16"/>
  <c r="E56" i="16"/>
  <c r="E57" i="16"/>
  <c r="E58" i="16"/>
  <c r="E83" i="14"/>
  <c r="N86" i="10"/>
  <c r="N87" i="10"/>
  <c r="N89" i="10"/>
  <c r="N102" i="10"/>
  <c r="N103" i="10"/>
  <c r="N104" i="10"/>
  <c r="N107" i="10"/>
  <c r="N109" i="10"/>
  <c r="E34" i="3"/>
  <c r="F34" i="3"/>
  <c r="G34" i="3"/>
  <c r="H34" i="3"/>
  <c r="I34" i="3"/>
  <c r="J34" i="3"/>
  <c r="K34" i="3"/>
  <c r="L34" i="3"/>
  <c r="M34" i="3"/>
  <c r="N34" i="3"/>
  <c r="O34" i="3"/>
  <c r="P34" i="3"/>
  <c r="Q34" i="3"/>
  <c r="R34" i="3"/>
  <c r="S34" i="3"/>
  <c r="T34" i="3"/>
  <c r="U34" i="3"/>
  <c r="V34" i="3"/>
  <c r="W34" i="3"/>
  <c r="X34" i="3"/>
  <c r="Y34" i="3"/>
  <c r="Z34" i="3"/>
  <c r="AA34" i="3"/>
  <c r="E36" i="3"/>
  <c r="F36" i="3"/>
  <c r="G36" i="3"/>
  <c r="H36" i="3"/>
  <c r="I36" i="3"/>
  <c r="J36" i="3"/>
  <c r="K36" i="3"/>
  <c r="L36" i="3"/>
  <c r="M36" i="3"/>
  <c r="N36" i="3"/>
  <c r="O36" i="3"/>
  <c r="P36" i="3"/>
  <c r="Q36" i="3"/>
  <c r="R36" i="3"/>
  <c r="S36" i="3"/>
  <c r="T36" i="3"/>
  <c r="U36" i="3"/>
  <c r="V36" i="3"/>
  <c r="W36" i="3"/>
  <c r="X36" i="3"/>
  <c r="Y36" i="3"/>
  <c r="Z36" i="3"/>
  <c r="AA36" i="3"/>
  <c r="E39" i="3"/>
  <c r="F39" i="3"/>
  <c r="G39" i="3"/>
  <c r="H39" i="3"/>
  <c r="I39" i="3"/>
  <c r="J39" i="3"/>
  <c r="K39" i="3"/>
  <c r="L39" i="3"/>
  <c r="M39" i="3"/>
  <c r="N39" i="3"/>
  <c r="O39" i="3"/>
  <c r="P39" i="3"/>
  <c r="Q39" i="3"/>
  <c r="R39" i="3"/>
  <c r="S39" i="3"/>
  <c r="T39" i="3"/>
  <c r="U39" i="3"/>
  <c r="V39" i="3"/>
  <c r="W39" i="3"/>
  <c r="X39" i="3"/>
  <c r="Y39" i="3"/>
  <c r="Z39" i="3"/>
  <c r="AA39" i="3"/>
  <c r="AB39" i="3"/>
  <c r="D89" i="10"/>
  <c r="E54" i="3"/>
  <c r="F54" i="3"/>
  <c r="G54" i="3"/>
  <c r="H54" i="3"/>
  <c r="I54" i="3"/>
  <c r="J54" i="3"/>
  <c r="K54" i="3"/>
  <c r="L54" i="3"/>
  <c r="M54" i="3"/>
  <c r="N54" i="3"/>
  <c r="O54" i="3"/>
  <c r="P54" i="3"/>
  <c r="Q54" i="3"/>
  <c r="R54" i="3"/>
  <c r="S54" i="3"/>
  <c r="T54" i="3"/>
  <c r="U54" i="3"/>
  <c r="V54" i="3"/>
  <c r="W54" i="3"/>
  <c r="X54" i="3"/>
  <c r="Y54" i="3"/>
  <c r="Z54" i="3"/>
  <c r="AA54" i="3"/>
  <c r="E59" i="3"/>
  <c r="F59" i="3"/>
  <c r="G59" i="3"/>
  <c r="H59" i="3"/>
  <c r="I59" i="3"/>
  <c r="J59" i="3"/>
  <c r="K59" i="3"/>
  <c r="L59" i="3"/>
  <c r="M59" i="3"/>
  <c r="N59" i="3"/>
  <c r="O59" i="3"/>
  <c r="P59" i="3"/>
  <c r="Q59" i="3"/>
  <c r="R59" i="3"/>
  <c r="S59" i="3"/>
  <c r="T59" i="3"/>
  <c r="U59" i="3"/>
  <c r="V59" i="3"/>
  <c r="W59" i="3"/>
  <c r="X59" i="3"/>
  <c r="Y59" i="3"/>
  <c r="Z59" i="3"/>
  <c r="AA59" i="3"/>
  <c r="N84" i="10"/>
  <c r="E82" i="14"/>
  <c r="C69" i="14"/>
  <c r="C70" i="14"/>
  <c r="C71" i="14"/>
  <c r="C72" i="14"/>
  <c r="C73" i="14"/>
  <c r="C74" i="14"/>
  <c r="C76" i="14"/>
  <c r="J65" i="1"/>
  <c r="D32" i="1"/>
  <c r="O195" i="1"/>
  <c r="O175" i="1"/>
  <c r="O197" i="1"/>
  <c r="O101" i="1"/>
  <c r="O122" i="1"/>
  <c r="O139" i="1"/>
  <c r="O160" i="1"/>
  <c r="O178" i="1"/>
  <c r="O135" i="1"/>
  <c r="O118" i="1"/>
  <c r="O155" i="1"/>
  <c r="O153" i="1"/>
  <c r="O97" i="1"/>
  <c r="O57" i="1"/>
  <c r="O3" i="14"/>
  <c r="N15" i="8"/>
  <c r="N1" i="8"/>
  <c r="N3" i="14"/>
  <c r="M15" i="8"/>
  <c r="M1" i="8"/>
  <c r="M3" i="14"/>
  <c r="L15" i="8"/>
  <c r="L1" i="8"/>
  <c r="L3" i="14"/>
  <c r="K15" i="8"/>
  <c r="K1" i="8"/>
  <c r="K3" i="14"/>
  <c r="J15" i="8"/>
  <c r="J1" i="8"/>
  <c r="J3" i="14"/>
  <c r="I15" i="8"/>
  <c r="I1" i="8"/>
  <c r="I3" i="14"/>
  <c r="H15" i="8"/>
  <c r="H1" i="8"/>
  <c r="H3" i="14"/>
  <c r="G15" i="8"/>
  <c r="G1" i="8"/>
  <c r="G3" i="14"/>
  <c r="F15" i="8"/>
  <c r="F1" i="8"/>
  <c r="D15" i="8"/>
  <c r="D1" i="8"/>
  <c r="D3" i="14"/>
  <c r="C15" i="8"/>
  <c r="C1" i="8"/>
  <c r="C3" i="14"/>
  <c r="B15" i="8"/>
  <c r="B1" i="8"/>
  <c r="E54" i="14"/>
  <c r="E56" i="14"/>
  <c r="E55" i="14"/>
  <c r="C39" i="1"/>
  <c r="C40" i="2"/>
  <c r="D39" i="1"/>
  <c r="D40" i="2"/>
  <c r="E39" i="1"/>
  <c r="E40" i="2"/>
  <c r="F39" i="1"/>
  <c r="F40" i="2"/>
  <c r="G39" i="1"/>
  <c r="G40" i="2"/>
  <c r="H39" i="1"/>
  <c r="H40" i="2"/>
  <c r="I39" i="1"/>
  <c r="I40" i="2"/>
  <c r="J39" i="1"/>
  <c r="J40" i="2"/>
  <c r="K39" i="1"/>
  <c r="K40" i="2"/>
  <c r="B39" i="1"/>
  <c r="B40" i="2"/>
  <c r="O53" i="2"/>
  <c r="C15" i="14"/>
  <c r="D28" i="16" a="1"/>
  <c r="C16" i="14"/>
  <c r="C17" i="14"/>
  <c r="F28" i="16" a="1"/>
  <c r="F39" i="16"/>
  <c r="I115" i="2"/>
  <c r="D115" i="2"/>
  <c r="E115" i="2"/>
  <c r="F115" i="2"/>
  <c r="G115" i="2"/>
  <c r="C115" i="2"/>
  <c r="A51" i="6"/>
  <c r="C53" i="6"/>
  <c r="D53" i="6"/>
  <c r="D54" i="6"/>
  <c r="E53" i="6"/>
  <c r="F53" i="6"/>
  <c r="G53" i="6"/>
  <c r="H53" i="6"/>
  <c r="H54" i="6"/>
  <c r="I53" i="6"/>
  <c r="I54" i="6"/>
  <c r="J53" i="6"/>
  <c r="K53" i="6"/>
  <c r="B103" i="2"/>
  <c r="B104" i="2"/>
  <c r="C104" i="2"/>
  <c r="B102" i="2"/>
  <c r="B106" i="2"/>
  <c r="E32" i="1"/>
  <c r="F32" i="1"/>
  <c r="G32" i="1"/>
  <c r="H32" i="1"/>
  <c r="I32" i="1"/>
  <c r="J32" i="1"/>
  <c r="K32" i="1"/>
  <c r="C32" i="1"/>
  <c r="J38" i="1"/>
  <c r="I38" i="1"/>
  <c r="H38" i="1"/>
  <c r="G38" i="1"/>
  <c r="F38" i="1"/>
  <c r="E38" i="1"/>
  <c r="D38" i="1"/>
  <c r="C38" i="1"/>
  <c r="C24" i="15" a="1"/>
  <c r="C35" i="15"/>
  <c r="C21" i="14"/>
  <c r="E28" i="16" a="1"/>
  <c r="E39" i="16"/>
  <c r="F23" i="15"/>
  <c r="E23" i="15"/>
  <c r="D23" i="15"/>
  <c r="C23" i="15"/>
  <c r="H115" i="2"/>
  <c r="B113" i="2"/>
  <c r="B108" i="2"/>
  <c r="N13" i="1"/>
  <c r="N14" i="1"/>
  <c r="M13" i="1"/>
  <c r="L13" i="1"/>
  <c r="L14" i="1"/>
  <c r="L27" i="6"/>
  <c r="L44" i="6"/>
  <c r="L32" i="2"/>
  <c r="I32" i="2"/>
  <c r="H32" i="2"/>
  <c r="G32" i="2"/>
  <c r="E32" i="2"/>
  <c r="K195" i="1"/>
  <c r="K175" i="1"/>
  <c r="G195" i="1"/>
  <c r="G175" i="1"/>
  <c r="G197" i="1"/>
  <c r="C195" i="1"/>
  <c r="C175" i="1"/>
  <c r="N195" i="1"/>
  <c r="N175" i="1"/>
  <c r="N197" i="1"/>
  <c r="M195" i="1"/>
  <c r="M175" i="1"/>
  <c r="M197" i="1"/>
  <c r="L195" i="1"/>
  <c r="L175" i="1"/>
  <c r="L197" i="1"/>
  <c r="J195" i="1"/>
  <c r="J175" i="1"/>
  <c r="J197" i="1"/>
  <c r="I195" i="1"/>
  <c r="I175" i="1"/>
  <c r="I197" i="1"/>
  <c r="H195" i="1"/>
  <c r="H175" i="1"/>
  <c r="H197" i="1"/>
  <c r="F195" i="1"/>
  <c r="F175" i="1"/>
  <c r="E195" i="1"/>
  <c r="E175" i="1"/>
  <c r="D195" i="1"/>
  <c r="D175" i="1"/>
  <c r="B195" i="1"/>
  <c r="B175" i="1"/>
  <c r="L135" i="1"/>
  <c r="L118" i="1"/>
  <c r="L153" i="1"/>
  <c r="L155" i="1"/>
  <c r="H135" i="1"/>
  <c r="H118" i="1"/>
  <c r="H153" i="1"/>
  <c r="H155" i="1"/>
  <c r="D135" i="1"/>
  <c r="D118" i="1"/>
  <c r="D153" i="1"/>
  <c r="N153" i="1"/>
  <c r="M153" i="1"/>
  <c r="K153" i="1"/>
  <c r="J153" i="1"/>
  <c r="I153" i="1"/>
  <c r="G153" i="1"/>
  <c r="F153" i="1"/>
  <c r="E153" i="1"/>
  <c r="C153" i="1"/>
  <c r="B153" i="1"/>
  <c r="N122" i="1"/>
  <c r="N139" i="1"/>
  <c r="N160" i="1"/>
  <c r="N178" i="1"/>
  <c r="J101" i="1"/>
  <c r="J122" i="1"/>
  <c r="J139" i="1"/>
  <c r="J160" i="1"/>
  <c r="J178" i="1"/>
  <c r="F101" i="1"/>
  <c r="F122" i="1"/>
  <c r="F139" i="1"/>
  <c r="F160" i="1"/>
  <c r="F178" i="1"/>
  <c r="B139" i="1"/>
  <c r="B160" i="1"/>
  <c r="B178" i="1"/>
  <c r="N135" i="1"/>
  <c r="N118" i="1"/>
  <c r="N155" i="1"/>
  <c r="M135" i="1"/>
  <c r="M118" i="1"/>
  <c r="M155" i="1"/>
  <c r="K135" i="1"/>
  <c r="K118" i="1"/>
  <c r="K155" i="1"/>
  <c r="J135" i="1"/>
  <c r="J118" i="1"/>
  <c r="I135" i="1"/>
  <c r="I118" i="1"/>
  <c r="I155" i="1"/>
  <c r="G135" i="1"/>
  <c r="G118" i="1"/>
  <c r="G155" i="1"/>
  <c r="F135" i="1"/>
  <c r="F118" i="1"/>
  <c r="F155" i="1"/>
  <c r="E135" i="1"/>
  <c r="E118" i="1"/>
  <c r="C135" i="1"/>
  <c r="C118" i="1"/>
  <c r="B135" i="1"/>
  <c r="B118" i="1"/>
  <c r="M101" i="1"/>
  <c r="M122" i="1"/>
  <c r="M139" i="1"/>
  <c r="M160" i="1"/>
  <c r="M178" i="1"/>
  <c r="L101" i="1"/>
  <c r="L122" i="1"/>
  <c r="L139" i="1"/>
  <c r="L160" i="1"/>
  <c r="L178" i="1"/>
  <c r="K101" i="1"/>
  <c r="K122" i="1"/>
  <c r="K139" i="1"/>
  <c r="K160" i="1"/>
  <c r="K178" i="1"/>
  <c r="I101" i="1"/>
  <c r="I122" i="1"/>
  <c r="I139" i="1"/>
  <c r="I160" i="1"/>
  <c r="I178" i="1"/>
  <c r="H101" i="1"/>
  <c r="H122" i="1"/>
  <c r="H139" i="1"/>
  <c r="H160" i="1"/>
  <c r="H178" i="1"/>
  <c r="G101" i="1"/>
  <c r="G122" i="1"/>
  <c r="G139" i="1"/>
  <c r="G160" i="1"/>
  <c r="G178" i="1"/>
  <c r="E101" i="1"/>
  <c r="E122" i="1"/>
  <c r="E139" i="1"/>
  <c r="E160" i="1"/>
  <c r="E178" i="1"/>
  <c r="D101" i="1"/>
  <c r="D122" i="1"/>
  <c r="D139" i="1"/>
  <c r="D160" i="1"/>
  <c r="D178" i="1"/>
  <c r="C101" i="1"/>
  <c r="C122" i="1"/>
  <c r="C139" i="1"/>
  <c r="C160" i="1"/>
  <c r="C178" i="1"/>
  <c r="N97" i="1"/>
  <c r="M97" i="1"/>
  <c r="L97" i="1"/>
  <c r="K97" i="1"/>
  <c r="I97" i="1"/>
  <c r="H97" i="1"/>
  <c r="G97" i="1"/>
  <c r="F97" i="1"/>
  <c r="I82" i="1"/>
  <c r="H82" i="1"/>
  <c r="G82" i="1"/>
  <c r="F82" i="1"/>
  <c r="I74" i="1"/>
  <c r="H74" i="1"/>
  <c r="G74" i="1"/>
  <c r="F74" i="1"/>
  <c r="I65" i="1"/>
  <c r="H65" i="1"/>
  <c r="G65" i="1"/>
  <c r="F65" i="1"/>
  <c r="N57" i="1"/>
  <c r="N64" i="2"/>
  <c r="N65" i="2"/>
  <c r="M57" i="1"/>
  <c r="M64" i="2"/>
  <c r="M65" i="2"/>
  <c r="L57" i="1"/>
  <c r="K57" i="1"/>
  <c r="J57" i="1"/>
  <c r="J64" i="2"/>
  <c r="I57" i="1"/>
  <c r="I64" i="2"/>
  <c r="I65" i="2"/>
  <c r="H57" i="1"/>
  <c r="G57" i="1"/>
  <c r="G64" i="2"/>
  <c r="F57" i="1"/>
  <c r="F64" i="2"/>
  <c r="F65" i="2"/>
  <c r="E57" i="1"/>
  <c r="E64" i="2"/>
  <c r="E65" i="2"/>
  <c r="D57" i="1"/>
  <c r="C57" i="1"/>
  <c r="B57" i="1"/>
  <c r="B64" i="2"/>
  <c r="B65" i="2"/>
  <c r="J44" i="1"/>
  <c r="I44" i="1"/>
  <c r="H44" i="1"/>
  <c r="G44" i="1"/>
  <c r="F44" i="1"/>
  <c r="E44" i="1"/>
  <c r="D44" i="1"/>
  <c r="C44" i="1"/>
  <c r="B44" i="1"/>
  <c r="J115" i="2"/>
  <c r="K115" i="2"/>
  <c r="K44" i="1"/>
  <c r="E66" i="6"/>
  <c r="F66" i="6"/>
  <c r="G66" i="6"/>
  <c r="H66" i="6"/>
  <c r="I66" i="6"/>
  <c r="J66" i="6"/>
  <c r="K66" i="6"/>
  <c r="L66" i="6"/>
  <c r="L59" i="6"/>
  <c r="J59" i="6"/>
  <c r="I59" i="6"/>
  <c r="G59" i="6"/>
  <c r="F59" i="6"/>
  <c r="E59" i="6"/>
  <c r="E27" i="6"/>
  <c r="E44" i="6"/>
  <c r="F27" i="6"/>
  <c r="F28" i="6"/>
  <c r="F30" i="6"/>
  <c r="G27" i="6"/>
  <c r="G44" i="6"/>
  <c r="H27" i="6"/>
  <c r="I27" i="6"/>
  <c r="J27" i="6"/>
  <c r="J44" i="6"/>
  <c r="N27" i="6"/>
  <c r="O58" i="2"/>
  <c r="O57" i="2"/>
  <c r="O56" i="2"/>
  <c r="O55" i="2"/>
  <c r="C22" i="14"/>
  <c r="C23" i="14"/>
  <c r="C24" i="14"/>
  <c r="B19" i="8"/>
  <c r="C19" i="8"/>
  <c r="D19" i="8"/>
  <c r="E19" i="8"/>
  <c r="F19" i="8"/>
  <c r="G19" i="8"/>
  <c r="H19" i="8"/>
  <c r="I19" i="8"/>
  <c r="J19" i="8"/>
  <c r="K19" i="8"/>
  <c r="L19" i="8"/>
  <c r="M19" i="8"/>
  <c r="N19" i="8"/>
  <c r="A64" i="6"/>
  <c r="A62" i="6"/>
  <c r="B60" i="6"/>
  <c r="E60" i="6"/>
  <c r="D60" i="6"/>
  <c r="A60" i="6"/>
  <c r="AM31" i="3"/>
  <c r="AM30" i="3"/>
  <c r="AM29" i="3"/>
  <c r="AM28" i="3"/>
  <c r="AM27" i="3"/>
  <c r="AM26" i="3"/>
  <c r="AM25" i="3"/>
  <c r="AM24" i="3"/>
  <c r="AM23" i="3"/>
  <c r="AM22" i="3"/>
  <c r="AM21" i="3"/>
  <c r="AM20" i="3"/>
  <c r="AM19" i="3"/>
  <c r="AM18" i="3"/>
  <c r="AM17" i="3"/>
  <c r="AM16" i="3"/>
  <c r="AM15" i="3"/>
  <c r="AM14" i="3"/>
  <c r="AM13" i="3"/>
  <c r="AM12" i="3"/>
  <c r="AM11" i="3"/>
  <c r="AM10" i="3"/>
  <c r="AM9" i="3"/>
  <c r="AM8" i="3"/>
  <c r="AM7" i="3"/>
  <c r="AM6" i="3"/>
  <c r="AM5" i="3"/>
  <c r="AQ4" i="3"/>
  <c r="AP4" i="3"/>
  <c r="AO4" i="3"/>
  <c r="AN4" i="3"/>
  <c r="J25" i="2"/>
  <c r="C28" i="2"/>
  <c r="AB34" i="3"/>
  <c r="D84" i="10"/>
  <c r="B62" i="6"/>
  <c r="E62" i="6"/>
  <c r="D62" i="6"/>
  <c r="I51" i="16"/>
  <c r="I50" i="16"/>
  <c r="I49" i="16"/>
  <c r="I62" i="16"/>
  <c r="J50" i="16"/>
  <c r="I52" i="16"/>
  <c r="I53" i="16"/>
  <c r="J53" i="16"/>
  <c r="I54" i="16"/>
  <c r="J54" i="16"/>
  <c r="I55" i="16"/>
  <c r="J55" i="16"/>
  <c r="I56" i="16"/>
  <c r="I57" i="16"/>
  <c r="I58" i="16"/>
  <c r="I59" i="16"/>
  <c r="G51" i="16"/>
  <c r="G49" i="16"/>
  <c r="A30" i="16"/>
  <c r="A51" i="16"/>
  <c r="A40" i="16"/>
  <c r="A61" i="16"/>
  <c r="A36" i="15"/>
  <c r="A39" i="16"/>
  <c r="A38" i="16"/>
  <c r="A59" i="16"/>
  <c r="A34" i="15"/>
  <c r="A37" i="16"/>
  <c r="A58" i="16"/>
  <c r="A33" i="15"/>
  <c r="A36" i="16"/>
  <c r="A57" i="16"/>
  <c r="A32" i="15"/>
  <c r="A35" i="16"/>
  <c r="A56" i="16"/>
  <c r="A31" i="15"/>
  <c r="A34" i="16"/>
  <c r="A55" i="16"/>
  <c r="A30" i="15"/>
  <c r="A33" i="16"/>
  <c r="A54" i="16"/>
  <c r="A29" i="15"/>
  <c r="A32" i="16"/>
  <c r="A53" i="16"/>
  <c r="A28" i="15"/>
  <c r="A31" i="16"/>
  <c r="A52" i="16"/>
  <c r="A27" i="15"/>
  <c r="A29" i="16"/>
  <c r="A50" i="16"/>
  <c r="A25" i="15"/>
  <c r="A28" i="16"/>
  <c r="A49" i="16"/>
  <c r="A24" i="15"/>
  <c r="C107" i="15"/>
  <c r="I106" i="15"/>
  <c r="B106" i="15"/>
  <c r="A60" i="16"/>
  <c r="A35" i="15"/>
  <c r="A94" i="16"/>
  <c r="A83" i="16"/>
  <c r="C125" i="16"/>
  <c r="A100" i="16"/>
  <c r="A99" i="16"/>
  <c r="A98" i="16"/>
  <c r="A97" i="16"/>
  <c r="A96" i="16"/>
  <c r="A95" i="16"/>
  <c r="L124" i="16"/>
  <c r="K124" i="16"/>
  <c r="J124" i="16"/>
  <c r="H124" i="16"/>
  <c r="G124" i="16"/>
  <c r="F124" i="16"/>
  <c r="D124" i="16"/>
  <c r="C124" i="16"/>
  <c r="B124" i="16"/>
  <c r="A89" i="16"/>
  <c r="A88" i="16"/>
  <c r="A87" i="16"/>
  <c r="A86" i="16"/>
  <c r="A85" i="16"/>
  <c r="A84" i="16"/>
  <c r="A27" i="16"/>
  <c r="H44" i="6"/>
  <c r="F44" i="6"/>
  <c r="E72" i="14"/>
  <c r="V39" i="13"/>
  <c r="G28" i="6"/>
  <c r="G30" i="6"/>
  <c r="U39" i="13"/>
  <c r="AE39" i="13"/>
  <c r="AD39" i="13"/>
  <c r="AC39" i="13"/>
  <c r="AB39" i="13"/>
  <c r="AA39" i="13"/>
  <c r="Z39" i="13"/>
  <c r="Y39" i="13"/>
  <c r="X39" i="13"/>
  <c r="W39" i="13"/>
  <c r="L64" i="2"/>
  <c r="L65" i="2"/>
  <c r="K64" i="2"/>
  <c r="K65" i="2"/>
  <c r="H64" i="2"/>
  <c r="H65" i="2"/>
  <c r="G65" i="2"/>
  <c r="D64" i="2"/>
  <c r="D65" i="2"/>
  <c r="C64" i="2"/>
  <c r="C65" i="2"/>
  <c r="B27" i="2"/>
  <c r="C60" i="6"/>
  <c r="H64" i="6"/>
  <c r="E64" i="6"/>
  <c r="D64" i="6"/>
  <c r="B64" i="6"/>
  <c r="C64" i="6"/>
  <c r="H62" i="6"/>
  <c r="C62" i="6"/>
  <c r="L64" i="6"/>
  <c r="K64" i="6"/>
  <c r="J64" i="6"/>
  <c r="I64" i="6"/>
  <c r="G64" i="6"/>
  <c r="F64" i="6"/>
  <c r="L62" i="6"/>
  <c r="K62" i="6"/>
  <c r="J62" i="6"/>
  <c r="I62" i="6"/>
  <c r="G62" i="6"/>
  <c r="F62" i="6"/>
  <c r="L60" i="6"/>
  <c r="K60" i="6"/>
  <c r="J60" i="6"/>
  <c r="I60" i="6"/>
  <c r="H60" i="6"/>
  <c r="G60" i="6"/>
  <c r="F60" i="6"/>
  <c r="C52" i="6"/>
  <c r="C56" i="6"/>
  <c r="D52" i="6"/>
  <c r="E52" i="6"/>
  <c r="E56" i="6"/>
  <c r="F52" i="6"/>
  <c r="G52" i="6"/>
  <c r="G56" i="6"/>
  <c r="H52" i="6"/>
  <c r="I52" i="6"/>
  <c r="I56" i="6"/>
  <c r="J52" i="6"/>
  <c r="J56" i="6"/>
  <c r="K52" i="6"/>
  <c r="K56" i="6"/>
  <c r="L52" i="6"/>
  <c r="C54" i="6"/>
  <c r="F54" i="6"/>
  <c r="G54" i="6"/>
  <c r="J54" i="6"/>
  <c r="K54" i="6"/>
  <c r="G28" i="2"/>
  <c r="F28" i="2"/>
  <c r="E28" i="2"/>
  <c r="D28" i="2"/>
  <c r="B28" i="2"/>
  <c r="E27" i="2"/>
  <c r="D48" i="2"/>
  <c r="E48" i="2"/>
  <c r="E45" i="2"/>
  <c r="E49" i="2"/>
  <c r="F48" i="2"/>
  <c r="G48" i="2"/>
  <c r="G46" i="2"/>
  <c r="H48" i="2"/>
  <c r="I48" i="2"/>
  <c r="I46" i="2"/>
  <c r="I50" i="2"/>
  <c r="J48" i="2"/>
  <c r="J47" i="2"/>
  <c r="J51" i="2"/>
  <c r="K48" i="2"/>
  <c r="L48" i="2"/>
  <c r="M48" i="2"/>
  <c r="N48" i="2"/>
  <c r="D46" i="2"/>
  <c r="E46" i="2"/>
  <c r="F46" i="2"/>
  <c r="H46" i="2"/>
  <c r="J46" i="2"/>
  <c r="J50" i="2"/>
  <c r="K46" i="2"/>
  <c r="D47" i="2"/>
  <c r="E47" i="2"/>
  <c r="F47" i="2"/>
  <c r="F51" i="2"/>
  <c r="G47" i="2"/>
  <c r="H47" i="2"/>
  <c r="I47" i="2"/>
  <c r="K47" i="2"/>
  <c r="L47" i="2"/>
  <c r="C48" i="2"/>
  <c r="C46" i="2"/>
  <c r="C50" i="2"/>
  <c r="C47" i="2"/>
  <c r="K24" i="2"/>
  <c r="I24" i="2"/>
  <c r="G24" i="2"/>
  <c r="E24" i="2"/>
  <c r="D24" i="2"/>
  <c r="C62" i="2"/>
  <c r="D62" i="2"/>
  <c r="E62" i="2"/>
  <c r="F62" i="2"/>
  <c r="G62" i="2"/>
  <c r="H62" i="2"/>
  <c r="I62" i="2"/>
  <c r="J62" i="2"/>
  <c r="K62" i="2"/>
  <c r="L62" i="2"/>
  <c r="M62" i="2"/>
  <c r="N62" i="2"/>
  <c r="B62" i="2"/>
  <c r="C63" i="2"/>
  <c r="D63" i="2"/>
  <c r="E63" i="2"/>
  <c r="F63" i="2"/>
  <c r="G63" i="2"/>
  <c r="H63" i="2"/>
  <c r="I63" i="2"/>
  <c r="J63" i="2"/>
  <c r="K63" i="2"/>
  <c r="L63" i="2"/>
  <c r="M63" i="2"/>
  <c r="N63" i="2"/>
  <c r="B63" i="2"/>
  <c r="K109" i="10"/>
  <c r="K104" i="10"/>
  <c r="K89" i="10"/>
  <c r="K86" i="10"/>
  <c r="K84" i="10"/>
  <c r="J83" i="10"/>
  <c r="I83" i="10"/>
  <c r="H83" i="10"/>
  <c r="G83" i="10"/>
  <c r="F83" i="10"/>
  <c r="B11" i="2"/>
  <c r="B22" i="2"/>
  <c r="D8" i="2"/>
  <c r="D119" i="2"/>
  <c r="E8" i="2"/>
  <c r="F8" i="2"/>
  <c r="F119" i="2"/>
  <c r="G8" i="2"/>
  <c r="G119" i="2"/>
  <c r="H8" i="2"/>
  <c r="I8" i="2"/>
  <c r="I119" i="2"/>
  <c r="J8" i="2"/>
  <c r="L8" i="2"/>
  <c r="C9" i="2"/>
  <c r="C70" i="6"/>
  <c r="D9" i="2"/>
  <c r="D70" i="6"/>
  <c r="E9" i="2"/>
  <c r="F9" i="2"/>
  <c r="F70" i="6"/>
  <c r="G9" i="2"/>
  <c r="G120" i="2"/>
  <c r="H9" i="2"/>
  <c r="H70" i="6"/>
  <c r="I9" i="2"/>
  <c r="I120" i="2"/>
  <c r="J9" i="2"/>
  <c r="K9" i="2"/>
  <c r="K120" i="2"/>
  <c r="L9" i="2"/>
  <c r="L70" i="6"/>
  <c r="C25" i="2"/>
  <c r="D25" i="2"/>
  <c r="E25" i="2"/>
  <c r="F25" i="2"/>
  <c r="F123" i="2"/>
  <c r="G25" i="2"/>
  <c r="H25" i="2"/>
  <c r="I25" i="2"/>
  <c r="K25" i="2"/>
  <c r="L25" i="2"/>
  <c r="L123" i="2"/>
  <c r="F56" i="6"/>
  <c r="B29" i="6"/>
  <c r="E21" i="2"/>
  <c r="G21" i="2"/>
  <c r="H21" i="2"/>
  <c r="I21" i="2"/>
  <c r="K21" i="2"/>
  <c r="L21" i="2"/>
  <c r="L9" i="6"/>
  <c r="C22" i="2"/>
  <c r="D22" i="2"/>
  <c r="C11" i="2"/>
  <c r="D11" i="2"/>
  <c r="C12" i="2"/>
  <c r="D6" i="2"/>
  <c r="E11" i="2"/>
  <c r="F11" i="2"/>
  <c r="G11" i="2"/>
  <c r="H11" i="2"/>
  <c r="I11" i="2"/>
  <c r="J11" i="2"/>
  <c r="L11" i="2"/>
  <c r="M11" i="2"/>
  <c r="N11" i="2"/>
  <c r="L100" i="2"/>
  <c r="K100" i="2"/>
  <c r="J100" i="2"/>
  <c r="I100" i="2"/>
  <c r="H100" i="2"/>
  <c r="G100" i="2"/>
  <c r="F100" i="2"/>
  <c r="E100" i="2"/>
  <c r="D100" i="2"/>
  <c r="C100" i="2"/>
  <c r="N98" i="2"/>
  <c r="M98" i="2"/>
  <c r="L98" i="2"/>
  <c r="K98" i="2"/>
  <c r="J98" i="2"/>
  <c r="I98" i="2"/>
  <c r="H98" i="2"/>
  <c r="G98" i="2"/>
  <c r="F98" i="2"/>
  <c r="E98" i="2"/>
  <c r="D98" i="2"/>
  <c r="C98" i="2"/>
  <c r="B98" i="2"/>
  <c r="K97" i="2"/>
  <c r="J97" i="2"/>
  <c r="I97" i="2"/>
  <c r="H97" i="2"/>
  <c r="G97" i="2"/>
  <c r="F97" i="2"/>
  <c r="E97" i="2"/>
  <c r="D97" i="2"/>
  <c r="C97" i="2"/>
  <c r="B97" i="2"/>
  <c r="N28" i="2"/>
  <c r="M28" i="2"/>
  <c r="L28" i="2"/>
  <c r="K28" i="2"/>
  <c r="J28" i="2"/>
  <c r="I28" i="2"/>
  <c r="H28" i="2"/>
  <c r="N27" i="2"/>
  <c r="M27" i="2"/>
  <c r="K27" i="2"/>
  <c r="I27" i="2"/>
  <c r="G27" i="2"/>
  <c r="K22" i="2"/>
  <c r="J22" i="2"/>
  <c r="I22" i="2"/>
  <c r="H22" i="2"/>
  <c r="G22" i="2"/>
  <c r="F22" i="2"/>
  <c r="E22" i="2"/>
  <c r="N12" i="2"/>
  <c r="M12" i="2"/>
  <c r="L12" i="2"/>
  <c r="K12" i="2"/>
  <c r="J12" i="2"/>
  <c r="I12" i="2"/>
  <c r="H12" i="2"/>
  <c r="G12" i="2"/>
  <c r="F12" i="2"/>
  <c r="E12" i="2"/>
  <c r="K6" i="2"/>
  <c r="J6" i="2"/>
  <c r="I6" i="2"/>
  <c r="H6" i="2"/>
  <c r="G6" i="2"/>
  <c r="F6" i="2"/>
  <c r="E6" i="2"/>
  <c r="A26" i="15"/>
  <c r="J56" i="16"/>
  <c r="E54" i="6"/>
  <c r="D56" i="6"/>
  <c r="J51" i="16"/>
  <c r="I58" i="6"/>
  <c r="D27" i="2"/>
  <c r="H24" i="2"/>
  <c r="H58" i="6"/>
  <c r="H55" i="6"/>
  <c r="D21" i="2"/>
  <c r="E9" i="6"/>
  <c r="L24" i="2"/>
  <c r="L122" i="2"/>
  <c r="H27" i="2"/>
  <c r="L27" i="2"/>
  <c r="B25" i="2"/>
  <c r="C123" i="2"/>
  <c r="H45" i="6"/>
  <c r="K51" i="2"/>
  <c r="L120" i="2"/>
  <c r="I4" i="6"/>
  <c r="H4" i="6"/>
  <c r="D4" i="6"/>
  <c r="F50" i="2"/>
  <c r="I123" i="2"/>
  <c r="G4" i="6"/>
  <c r="G123" i="2"/>
  <c r="J4" i="6"/>
  <c r="G37" i="6"/>
  <c r="G58" i="6"/>
  <c r="G55" i="6"/>
  <c r="D45" i="6"/>
  <c r="N45" i="6"/>
  <c r="N32" i="2"/>
  <c r="E45" i="6"/>
  <c r="E55" i="6"/>
  <c r="E58" i="6"/>
  <c r="L58" i="6"/>
  <c r="L55" i="6"/>
  <c r="N37" i="6"/>
  <c r="N39" i="6"/>
  <c r="B20" i="6"/>
  <c r="H120" i="2"/>
  <c r="J70" i="6"/>
  <c r="J119" i="2"/>
  <c r="L5" i="6"/>
  <c r="J28" i="6"/>
  <c r="J29" i="6"/>
  <c r="F29" i="6"/>
  <c r="K197" i="1"/>
  <c r="M36" i="1"/>
  <c r="L38" i="2"/>
  <c r="F57" i="16"/>
  <c r="AB58" i="3"/>
  <c r="D108" i="10"/>
  <c r="Z44" i="3"/>
  <c r="AA43" i="3"/>
  <c r="W43" i="3"/>
  <c r="S43" i="3"/>
  <c r="E43" i="3"/>
  <c r="G43" i="3"/>
  <c r="I43" i="3"/>
  <c r="K43" i="3"/>
  <c r="M43" i="3"/>
  <c r="O43" i="3"/>
  <c r="Q43" i="3"/>
  <c r="U43" i="3"/>
  <c r="Y43" i="3"/>
  <c r="AB43" i="3"/>
  <c r="D93" i="10"/>
  <c r="M93" i="10"/>
  <c r="N93" i="10"/>
  <c r="X42" i="3"/>
  <c r="T42" i="3"/>
  <c r="P42" i="3"/>
  <c r="L42" i="3"/>
  <c r="H42" i="3"/>
  <c r="Y41" i="3"/>
  <c r="U41" i="3"/>
  <c r="Q41" i="3"/>
  <c r="M41" i="3"/>
  <c r="E41" i="3"/>
  <c r="G41" i="3"/>
  <c r="I41" i="3"/>
  <c r="K41" i="3"/>
  <c r="O41" i="3"/>
  <c r="S41" i="3"/>
  <c r="W41" i="3"/>
  <c r="AA41" i="3"/>
  <c r="AB41" i="3"/>
  <c r="D91" i="10"/>
  <c r="M91" i="10"/>
  <c r="N91" i="10"/>
  <c r="Z40" i="3"/>
  <c r="V40" i="3"/>
  <c r="R40" i="3"/>
  <c r="F40" i="3"/>
  <c r="J40" i="3"/>
  <c r="N40" i="3"/>
  <c r="AA38" i="3"/>
  <c r="W38" i="3"/>
  <c r="S38" i="3"/>
  <c r="O38" i="3"/>
  <c r="K38" i="3"/>
  <c r="G38" i="3"/>
  <c r="X37" i="3"/>
  <c r="T37" i="3"/>
  <c r="P37" i="3"/>
  <c r="L37" i="3"/>
  <c r="H37" i="3"/>
  <c r="Z35" i="3"/>
  <c r="X35" i="3"/>
  <c r="V35" i="3"/>
  <c r="T35" i="3"/>
  <c r="R35" i="3"/>
  <c r="P35" i="3"/>
  <c r="N35" i="3"/>
  <c r="L35" i="3"/>
  <c r="J35" i="3"/>
  <c r="H35" i="3"/>
  <c r="F35" i="3"/>
  <c r="AB35" i="3"/>
  <c r="D85" i="10"/>
  <c r="K38" i="2"/>
  <c r="M99" i="10"/>
  <c r="M95" i="10"/>
  <c r="B75" i="15"/>
  <c r="B66" i="15"/>
  <c r="T52" i="13"/>
  <c r="T29" i="13"/>
  <c r="V46" i="13"/>
  <c r="T17" i="13"/>
  <c r="T6" i="13"/>
  <c r="J75" i="15"/>
  <c r="J66" i="15"/>
  <c r="AB52" i="13"/>
  <c r="AB17" i="13"/>
  <c r="AB6" i="13"/>
  <c r="AB29" i="13"/>
  <c r="F66" i="15"/>
  <c r="X17" i="13"/>
  <c r="X6" i="13"/>
  <c r="X29" i="13"/>
  <c r="M98" i="10"/>
  <c r="M94" i="10"/>
  <c r="M71" i="16"/>
  <c r="M82" i="16"/>
  <c r="M93" i="16"/>
  <c r="M57" i="15"/>
  <c r="G66" i="15"/>
  <c r="M75" i="15"/>
  <c r="AE17" i="13"/>
  <c r="AE6" i="13"/>
  <c r="I75" i="15"/>
  <c r="AA52" i="13"/>
  <c r="I71" i="16"/>
  <c r="I82" i="16"/>
  <c r="I93" i="16"/>
  <c r="AA17" i="13"/>
  <c r="AA6" i="13"/>
  <c r="E75" i="15"/>
  <c r="W52" i="13"/>
  <c r="E71" i="16"/>
  <c r="E82" i="16"/>
  <c r="E93" i="16"/>
  <c r="W17" i="13"/>
  <c r="W6" i="13"/>
  <c r="U52" i="13"/>
  <c r="S64" i="13"/>
  <c r="A66" i="15"/>
  <c r="A106" i="15"/>
  <c r="C75" i="15"/>
  <c r="U17" i="13"/>
  <c r="U6" i="13"/>
  <c r="AB58" i="13"/>
  <c r="J63" i="15"/>
  <c r="M71" i="13"/>
  <c r="K71" i="13"/>
  <c r="Z58" i="13"/>
  <c r="H63" i="15"/>
  <c r="X58" i="13"/>
  <c r="F63" i="15"/>
  <c r="I71" i="13"/>
  <c r="X59" i="13"/>
  <c r="F64" i="15"/>
  <c r="F105" i="15"/>
  <c r="G71" i="13"/>
  <c r="V70" i="13"/>
  <c r="D72" i="15"/>
  <c r="V58" i="13"/>
  <c r="D63" i="15"/>
  <c r="Y71" i="13"/>
  <c r="G73" i="15"/>
  <c r="G106" i="15"/>
  <c r="AD70" i="13"/>
  <c r="L72" i="15"/>
  <c r="Z70" i="13"/>
  <c r="H72" i="15"/>
  <c r="H69" i="13"/>
  <c r="H73" i="13"/>
  <c r="AA45" i="3"/>
  <c r="X44" i="3"/>
  <c r="T44" i="3"/>
  <c r="P44" i="3"/>
  <c r="L44" i="3"/>
  <c r="H44" i="3"/>
  <c r="L94" i="10"/>
  <c r="Z42" i="3"/>
  <c r="V42" i="3"/>
  <c r="R42" i="3"/>
  <c r="F42" i="3"/>
  <c r="J42" i="3"/>
  <c r="N42" i="3"/>
  <c r="Y38" i="3"/>
  <c r="U38" i="3"/>
  <c r="Q38" i="3"/>
  <c r="M38" i="3"/>
  <c r="I38" i="3"/>
  <c r="E38" i="3"/>
  <c r="AB38" i="3"/>
  <c r="D88" i="10"/>
  <c r="M105" i="10"/>
  <c r="N105" i="10"/>
  <c r="M101" i="10"/>
  <c r="M97" i="10"/>
  <c r="U84" i="13"/>
  <c r="T84" i="13"/>
  <c r="W84" i="13"/>
  <c r="X84" i="13"/>
  <c r="Y84" i="13"/>
  <c r="Z84" i="13"/>
  <c r="AA84" i="13"/>
  <c r="AB84" i="13"/>
  <c r="AC84" i="13"/>
  <c r="AD84" i="13"/>
  <c r="AE84" i="13"/>
  <c r="AF84" i="13"/>
  <c r="M66" i="15"/>
  <c r="E66" i="15"/>
  <c r="L75" i="15"/>
  <c r="AD17" i="13"/>
  <c r="AD6" i="13"/>
  <c r="L66" i="15"/>
  <c r="H75" i="15"/>
  <c r="Z52" i="13"/>
  <c r="Z17" i="13"/>
  <c r="Z6" i="13"/>
  <c r="H66" i="15"/>
  <c r="Z29" i="13"/>
  <c r="D75" i="15"/>
  <c r="V52" i="13"/>
  <c r="V17" i="13"/>
  <c r="V6" i="13"/>
  <c r="S73" i="13"/>
  <c r="D66" i="15"/>
  <c r="V29" i="13"/>
  <c r="U70" i="13"/>
  <c r="C72" i="15"/>
  <c r="F72" i="13"/>
  <c r="U71" i="13"/>
  <c r="C73" i="15"/>
  <c r="C106" i="15"/>
  <c r="K75" i="15"/>
  <c r="AC52" i="13"/>
  <c r="AC17" i="13"/>
  <c r="AC6" i="13"/>
  <c r="G75" i="15"/>
  <c r="Y52" i="13"/>
  <c r="G57" i="15"/>
  <c r="Y17" i="13"/>
  <c r="Y6" i="13"/>
  <c r="AB70" i="13"/>
  <c r="J72" i="15"/>
  <c r="X70" i="13"/>
  <c r="F72" i="15"/>
  <c r="AE78" i="13"/>
  <c r="M80" i="15"/>
  <c r="W78" i="13"/>
  <c r="E80" i="15"/>
  <c r="AB77" i="13"/>
  <c r="J79" i="15"/>
  <c r="X77" i="13"/>
  <c r="F79" i="15"/>
  <c r="AC76" i="13"/>
  <c r="K78" i="15"/>
  <c r="Y76" i="13"/>
  <c r="G78" i="15"/>
  <c r="AD75" i="13"/>
  <c r="L77" i="15"/>
  <c r="Z75" i="13"/>
  <c r="H77" i="15"/>
  <c r="M69" i="13"/>
  <c r="AB79" i="13"/>
  <c r="J81" i="15"/>
  <c r="L69" i="13"/>
  <c r="AA79" i="13"/>
  <c r="I81" i="15"/>
  <c r="I69" i="13"/>
  <c r="X79" i="13"/>
  <c r="F81" i="15"/>
  <c r="R106" i="10"/>
  <c r="R104" i="10"/>
  <c r="R98" i="10"/>
  <c r="L98" i="10"/>
  <c r="R89" i="10"/>
  <c r="R87" i="10"/>
  <c r="R84" i="10"/>
  <c r="D68" i="14"/>
  <c r="D73" i="14"/>
  <c r="E73" i="14"/>
  <c r="R99" i="10"/>
  <c r="R94" i="10"/>
  <c r="L103" i="10"/>
  <c r="L106" i="10"/>
  <c r="E55" i="15"/>
  <c r="C30" i="14"/>
  <c r="B7" i="8"/>
  <c r="C7" i="8"/>
  <c r="R107" i="10"/>
  <c r="R97" i="10"/>
  <c r="R95" i="10"/>
  <c r="D70" i="14"/>
  <c r="E70" i="14"/>
  <c r="R90" i="10"/>
  <c r="R108" i="10"/>
  <c r="R103" i="10"/>
  <c r="R91" i="10"/>
  <c r="R86" i="10"/>
  <c r="D20" i="6"/>
  <c r="E69" i="2"/>
  <c r="E70" i="2"/>
  <c r="C50" i="14"/>
  <c r="E10" i="6"/>
  <c r="E15" i="2"/>
  <c r="E14" i="2"/>
  <c r="G52" i="16"/>
  <c r="Z59" i="13"/>
  <c r="H64" i="15"/>
  <c r="H105" i="15"/>
  <c r="Z71" i="13"/>
  <c r="H73" i="15"/>
  <c r="H106" i="15"/>
  <c r="B57" i="15"/>
  <c r="B71" i="16"/>
  <c r="B82" i="16"/>
  <c r="B93" i="16"/>
  <c r="B4" i="8"/>
  <c r="C4" i="8"/>
  <c r="D4" i="8"/>
  <c r="E4" i="8"/>
  <c r="F4" i="8"/>
  <c r="G4" i="8"/>
  <c r="H4" i="8"/>
  <c r="I4" i="8"/>
  <c r="J4" i="8"/>
  <c r="K4" i="8"/>
  <c r="L4" i="8"/>
  <c r="M4" i="8"/>
  <c r="N4" i="8"/>
  <c r="E56" i="15"/>
  <c r="F55" i="15"/>
  <c r="D71" i="16"/>
  <c r="D82" i="16"/>
  <c r="D93" i="16"/>
  <c r="D57" i="15"/>
  <c r="X71" i="13"/>
  <c r="F73" i="15"/>
  <c r="F106" i="15"/>
  <c r="G10" i="6"/>
  <c r="N36" i="1"/>
  <c r="M38" i="2"/>
  <c r="G71" i="16"/>
  <c r="G82" i="16"/>
  <c r="G93" i="16"/>
  <c r="H71" i="16"/>
  <c r="H82" i="16"/>
  <c r="H93" i="16"/>
  <c r="H57" i="15"/>
  <c r="C71" i="16"/>
  <c r="C82" i="16"/>
  <c r="C93" i="16"/>
  <c r="S52" i="13"/>
  <c r="C57" i="15"/>
  <c r="J30" i="6"/>
  <c r="V59" i="13"/>
  <c r="D64" i="15"/>
  <c r="D105" i="15"/>
  <c r="V71" i="13"/>
  <c r="D73" i="15"/>
  <c r="D106" i="15"/>
  <c r="F70" i="2"/>
  <c r="G53" i="16"/>
  <c r="F45" i="2"/>
  <c r="F49" i="2"/>
  <c r="F10" i="6"/>
  <c r="F14" i="2"/>
  <c r="F15" i="2"/>
  <c r="S29" i="13"/>
  <c r="A75" i="15"/>
  <c r="A107" i="15"/>
  <c r="A93" i="16"/>
  <c r="A125" i="16"/>
  <c r="I73" i="13"/>
  <c r="X80" i="13"/>
  <c r="F82" i="15"/>
  <c r="F107" i="15"/>
  <c r="J71" i="16"/>
  <c r="J82" i="16"/>
  <c r="J93" i="16"/>
  <c r="J57" i="15"/>
  <c r="W46" i="13"/>
  <c r="X46" i="13"/>
  <c r="Y46" i="13"/>
  <c r="Z46" i="13"/>
  <c r="AA46" i="13"/>
  <c r="AB46" i="13"/>
  <c r="AC46" i="13"/>
  <c r="AD46" i="13"/>
  <c r="AE46" i="13"/>
  <c r="AF46" i="13"/>
  <c r="U46" i="13"/>
  <c r="O36" i="1"/>
  <c r="N38" i="2"/>
  <c r="F56" i="15"/>
  <c r="G55" i="15"/>
  <c r="D69" i="14"/>
  <c r="G70" i="2"/>
  <c r="G69" i="2"/>
  <c r="G54" i="16"/>
  <c r="G14" i="2"/>
  <c r="G45" i="2"/>
  <c r="G49" i="2"/>
  <c r="G15" i="2"/>
  <c r="H10" i="6"/>
  <c r="A57" i="15"/>
  <c r="A105" i="15"/>
  <c r="S6" i="13"/>
  <c r="A71" i="16"/>
  <c r="A123" i="16"/>
  <c r="H69" i="2"/>
  <c r="I15" i="2"/>
  <c r="G56" i="15"/>
  <c r="H55" i="15"/>
  <c r="I70" i="2"/>
  <c r="G56" i="16"/>
  <c r="H56" i="15"/>
  <c r="I55" i="15"/>
  <c r="J55" i="15"/>
  <c r="J70" i="2"/>
  <c r="J45" i="2"/>
  <c r="J49" i="2"/>
  <c r="J14" i="2"/>
  <c r="J15" i="2"/>
  <c r="I56" i="15"/>
  <c r="K70" i="2"/>
  <c r="L46" i="1"/>
  <c r="K69" i="2"/>
  <c r="K14" i="2"/>
  <c r="K15" i="2"/>
  <c r="J56" i="15"/>
  <c r="K55" i="15"/>
  <c r="K56" i="15"/>
  <c r="M46" i="1"/>
  <c r="N46" i="1"/>
  <c r="L49" i="1"/>
  <c r="L69" i="2"/>
  <c r="L70" i="2"/>
  <c r="L45" i="2"/>
  <c r="L49" i="2"/>
  <c r="L14" i="2"/>
  <c r="L10" i="6"/>
  <c r="M49" i="1"/>
  <c r="M70" i="2"/>
  <c r="M15" i="2"/>
  <c r="M45" i="2"/>
  <c r="C61" i="16"/>
  <c r="E40" i="16"/>
  <c r="B28" i="16" a="1"/>
  <c r="B35" i="16"/>
  <c r="P62" i="6"/>
  <c r="O62" i="6"/>
  <c r="D24" i="15" a="1"/>
  <c r="D32" i="15"/>
  <c r="C34" i="14"/>
  <c r="D123" i="2"/>
  <c r="D55" i="6"/>
  <c r="D58" i="6"/>
  <c r="E35" i="16"/>
  <c r="E36" i="16"/>
  <c r="B62" i="16"/>
  <c r="D61" i="16"/>
  <c r="C58" i="16"/>
  <c r="C53" i="16"/>
  <c r="C59" i="16"/>
  <c r="C60" i="16"/>
  <c r="D59" i="16"/>
  <c r="C56" i="16"/>
  <c r="C52" i="16"/>
  <c r="C108" i="2"/>
  <c r="C113" i="2"/>
  <c r="D104" i="2"/>
  <c r="D7" i="8"/>
  <c r="E7" i="8"/>
  <c r="C5" i="8"/>
  <c r="D5" i="14"/>
  <c r="M73" i="13"/>
  <c r="AB80" i="13"/>
  <c r="J82" i="15"/>
  <c r="J107" i="15"/>
  <c r="E61" i="14"/>
  <c r="E62" i="14"/>
  <c r="P69" i="13"/>
  <c r="AE79" i="13"/>
  <c r="M81" i="15"/>
  <c r="H119" i="2"/>
  <c r="L51" i="2"/>
  <c r="H51" i="2"/>
  <c r="K50" i="2"/>
  <c r="H56" i="6"/>
  <c r="J123" i="2"/>
  <c r="E33" i="16"/>
  <c r="E38" i="16"/>
  <c r="B111" i="2"/>
  <c r="C28" i="16" a="1"/>
  <c r="C38" i="16"/>
  <c r="F56" i="16"/>
  <c r="E4" i="6"/>
  <c r="D60" i="16"/>
  <c r="D58" i="16"/>
  <c r="D56" i="16"/>
  <c r="D54" i="16"/>
  <c r="C51" i="16"/>
  <c r="M38" i="13"/>
  <c r="AB37" i="13"/>
  <c r="J101" i="16"/>
  <c r="J125" i="16"/>
  <c r="J38" i="13"/>
  <c r="C54" i="16"/>
  <c r="L73" i="13"/>
  <c r="AA80" i="13"/>
  <c r="I82" i="15"/>
  <c r="I107" i="15"/>
  <c r="P73" i="13"/>
  <c r="AE80" i="13"/>
  <c r="M82" i="15"/>
  <c r="M107" i="15"/>
  <c r="G38" i="13"/>
  <c r="V37" i="13"/>
  <c r="D101" i="16"/>
  <c r="D125" i="16"/>
  <c r="N73" i="13"/>
  <c r="C55" i="16"/>
  <c r="C57" i="16"/>
  <c r="G29" i="6"/>
  <c r="J120" i="2"/>
  <c r="I70" i="6"/>
  <c r="G70" i="6"/>
  <c r="H50" i="2"/>
  <c r="J59" i="16"/>
  <c r="J52" i="16"/>
  <c r="E15" i="8"/>
  <c r="E1" i="8"/>
  <c r="C119" i="2"/>
  <c r="D49" i="16"/>
  <c r="O38" i="13"/>
  <c r="AD37" i="13"/>
  <c r="L101" i="16"/>
  <c r="L125" i="16"/>
  <c r="K70" i="6"/>
  <c r="H123" i="2"/>
  <c r="I51" i="2"/>
  <c r="F58" i="16"/>
  <c r="Q69" i="13"/>
  <c r="Q73" i="13"/>
  <c r="D57" i="16"/>
  <c r="D55" i="16"/>
  <c r="D53" i="16"/>
  <c r="D51" i="16"/>
  <c r="I38" i="13"/>
  <c r="F40" i="16"/>
  <c r="F33" i="16"/>
  <c r="D38" i="16"/>
  <c r="D30" i="16"/>
  <c r="D35" i="16"/>
  <c r="D28" i="16"/>
  <c r="D37" i="16"/>
  <c r="D34" i="16"/>
  <c r="D33" i="16"/>
  <c r="D36" i="16"/>
  <c r="D31" i="16"/>
  <c r="D39" i="16"/>
  <c r="D32" i="16"/>
  <c r="C24" i="2"/>
  <c r="D5" i="6"/>
  <c r="C27" i="2"/>
  <c r="C21" i="2"/>
  <c r="C9" i="6"/>
  <c r="E51" i="2"/>
  <c r="D122" i="2"/>
  <c r="C51" i="2"/>
  <c r="C58" i="6"/>
  <c r="C55" i="6"/>
  <c r="W48" i="13"/>
  <c r="W49" i="13"/>
  <c r="W50" i="13"/>
  <c r="C45" i="6"/>
  <c r="B58" i="6"/>
  <c r="V48" i="13"/>
  <c r="V49" i="13"/>
  <c r="V50" i="13"/>
  <c r="B55" i="6"/>
  <c r="X49" i="13"/>
  <c r="X50" i="13"/>
  <c r="D15" i="2"/>
  <c r="C37" i="14"/>
  <c r="P66" i="6"/>
  <c r="O68" i="6"/>
  <c r="C6" i="2"/>
  <c r="B9" i="2"/>
  <c r="B70" i="6"/>
  <c r="D66" i="6"/>
  <c r="D120" i="2"/>
  <c r="B66" i="6"/>
  <c r="E24" i="15" a="1"/>
  <c r="C120" i="2"/>
  <c r="B12" i="2"/>
  <c r="B6" i="2"/>
  <c r="B72" i="6"/>
  <c r="B30" i="15"/>
  <c r="B35" i="15"/>
  <c r="B36" i="15"/>
  <c r="B24" i="15"/>
  <c r="B31" i="15"/>
  <c r="B34" i="15"/>
  <c r="B25" i="15"/>
  <c r="B27" i="15"/>
  <c r="B33" i="15"/>
  <c r="B28" i="15"/>
  <c r="B29" i="15"/>
  <c r="B26" i="15"/>
  <c r="P60" i="6"/>
  <c r="O60" i="6"/>
  <c r="N49" i="1"/>
  <c r="O46" i="1"/>
  <c r="O49" i="1"/>
  <c r="H122" i="2"/>
  <c r="H5" i="6"/>
  <c r="F120" i="2"/>
  <c r="E120" i="2"/>
  <c r="K58" i="6"/>
  <c r="K55" i="6"/>
  <c r="L37" i="6"/>
  <c r="C70" i="2"/>
  <c r="C69" i="2"/>
  <c r="C15" i="2"/>
  <c r="C14" i="2"/>
  <c r="D45" i="2"/>
  <c r="D49" i="2"/>
  <c r="C45" i="2"/>
  <c r="C49" i="2"/>
  <c r="D10" i="6"/>
  <c r="C10" i="6"/>
  <c r="G50" i="16"/>
  <c r="F44" i="14"/>
  <c r="G47" i="14"/>
  <c r="K5" i="2"/>
  <c r="K4" i="6"/>
  <c r="K11" i="2"/>
  <c r="K8" i="2"/>
  <c r="M14" i="2"/>
  <c r="M10" i="6"/>
  <c r="L55" i="15"/>
  <c r="L56" i="15"/>
  <c r="L15" i="2"/>
  <c r="G59" i="16"/>
  <c r="D5" i="8"/>
  <c r="E5" i="14"/>
  <c r="I57" i="15"/>
  <c r="K57" i="15"/>
  <c r="K71" i="16"/>
  <c r="K82" i="16"/>
  <c r="K93" i="16"/>
  <c r="AB53" i="3"/>
  <c r="D103" i="10"/>
  <c r="M41" i="1"/>
  <c r="M6" i="2"/>
  <c r="L51" i="6"/>
  <c r="L5" i="2"/>
  <c r="L4" i="6"/>
  <c r="E59" i="16"/>
  <c r="F59" i="16"/>
  <c r="L53" i="6"/>
  <c r="L22" i="2"/>
  <c r="L44" i="1"/>
  <c r="L97" i="2"/>
  <c r="L46" i="2"/>
  <c r="L50" i="2"/>
  <c r="L6" i="2"/>
  <c r="L115" i="2"/>
  <c r="M69" i="2"/>
  <c r="K45" i="2"/>
  <c r="K49" i="2"/>
  <c r="G57" i="16"/>
  <c r="J10" i="6"/>
  <c r="E57" i="15"/>
  <c r="E70" i="6"/>
  <c r="N44" i="6"/>
  <c r="M49" i="2"/>
  <c r="G60" i="16"/>
  <c r="G58" i="16"/>
  <c r="K10" i="6"/>
  <c r="I69" i="2"/>
  <c r="I45" i="2"/>
  <c r="I49" i="2"/>
  <c r="I10" i="6"/>
  <c r="I14" i="2"/>
  <c r="G55" i="16"/>
  <c r="H15" i="2"/>
  <c r="H70" i="2"/>
  <c r="H45" i="2"/>
  <c r="H49" i="2"/>
  <c r="H14" i="2"/>
  <c r="AB71" i="13"/>
  <c r="J73" i="15"/>
  <c r="J106" i="15"/>
  <c r="AB59" i="13"/>
  <c r="J64" i="15"/>
  <c r="J105" i="15"/>
  <c r="A82" i="16"/>
  <c r="A124" i="16"/>
  <c r="S17" i="13"/>
  <c r="L45" i="6"/>
  <c r="H9" i="6"/>
  <c r="I9" i="6"/>
  <c r="G50" i="2"/>
  <c r="G51" i="2"/>
  <c r="J65" i="2"/>
  <c r="G28" i="16" a="1"/>
  <c r="C60" i="14"/>
  <c r="W79" i="13"/>
  <c r="E81" i="15"/>
  <c r="M45" i="6"/>
  <c r="M37" i="6"/>
  <c r="M39" i="6"/>
  <c r="K123" i="2"/>
  <c r="M14" i="1"/>
  <c r="F52" i="16"/>
  <c r="F51" i="16"/>
  <c r="AB60" i="3"/>
  <c r="D110" i="10"/>
  <c r="AB57" i="3"/>
  <c r="D107" i="10"/>
  <c r="AD74" i="13"/>
  <c r="L76" i="15"/>
  <c r="O69" i="13"/>
  <c r="E50" i="2"/>
  <c r="F34" i="16"/>
  <c r="F32" i="16"/>
  <c r="F31" i="16"/>
  <c r="F30" i="16"/>
  <c r="F28" i="16"/>
  <c r="F37" i="16"/>
  <c r="F38" i="16"/>
  <c r="F35" i="16"/>
  <c r="F29" i="16"/>
  <c r="F36" i="16"/>
  <c r="E123" i="2"/>
  <c r="E119" i="2"/>
  <c r="E5" i="6"/>
  <c r="E122" i="2"/>
  <c r="I122" i="2"/>
  <c r="I5" i="6"/>
  <c r="D51" i="2"/>
  <c r="D50" i="2"/>
  <c r="J58" i="16"/>
  <c r="J57" i="16"/>
  <c r="I44" i="6"/>
  <c r="I28" i="6"/>
  <c r="C18" i="8"/>
  <c r="D18" i="8"/>
  <c r="AD52" i="13"/>
  <c r="AD29" i="13"/>
  <c r="F75" i="15"/>
  <c r="X52" i="13"/>
  <c r="H28" i="6"/>
  <c r="E29" i="16"/>
  <c r="E34" i="16"/>
  <c r="E32" i="16"/>
  <c r="E31" i="16"/>
  <c r="E30" i="16"/>
  <c r="E28" i="16"/>
  <c r="E37" i="16"/>
  <c r="B107" i="2"/>
  <c r="B109" i="2"/>
  <c r="B112" i="2"/>
  <c r="B114" i="2"/>
  <c r="O102" i="2"/>
  <c r="AB54" i="3"/>
  <c r="D104" i="10"/>
  <c r="AB51" i="3"/>
  <c r="D101" i="10"/>
  <c r="N101" i="10"/>
  <c r="B69" i="2"/>
  <c r="B70" i="2"/>
  <c r="B14" i="2"/>
  <c r="H47" i="14"/>
  <c r="I47" i="14"/>
  <c r="C4" i="6"/>
  <c r="L35" i="1"/>
  <c r="K37" i="2"/>
  <c r="K38" i="1"/>
  <c r="E71" i="13"/>
  <c r="T59" i="13"/>
  <c r="B64" i="15"/>
  <c r="B105" i="15"/>
  <c r="T58" i="13"/>
  <c r="B63" i="15"/>
  <c r="F16" i="6"/>
  <c r="E17" i="6"/>
  <c r="G16" i="6"/>
  <c r="AB36" i="3"/>
  <c r="D86" i="10"/>
  <c r="C47" i="6"/>
  <c r="B47" i="6"/>
  <c r="K47" i="6"/>
  <c r="L47" i="6"/>
  <c r="M47" i="6"/>
  <c r="N47" i="6"/>
  <c r="AA58" i="13"/>
  <c r="I63" i="15"/>
  <c r="L70" i="13"/>
  <c r="L97" i="10"/>
  <c r="E112" i="10"/>
  <c r="L102" i="10"/>
  <c r="R102" i="10"/>
  <c r="M102" i="10"/>
  <c r="J155" i="1"/>
  <c r="AB59" i="3"/>
  <c r="D109" i="10"/>
  <c r="B56" i="6"/>
  <c r="B54" i="6"/>
  <c r="M31" i="1"/>
  <c r="L32" i="1"/>
  <c r="L38" i="1"/>
  <c r="D50" i="16"/>
  <c r="C50" i="16"/>
  <c r="M92" i="10"/>
  <c r="M108" i="10"/>
  <c r="N108" i="10"/>
  <c r="M96" i="10"/>
  <c r="M110" i="10"/>
  <c r="M100" i="10"/>
  <c r="M106" i="10"/>
  <c r="N106" i="10"/>
  <c r="M85" i="10"/>
  <c r="M88" i="10"/>
  <c r="N88" i="10"/>
  <c r="AC34" i="13"/>
  <c r="K98" i="16"/>
  <c r="N38" i="13"/>
  <c r="AC37" i="13"/>
  <c r="K101" i="16"/>
  <c r="K125" i="16"/>
  <c r="Z33" i="13"/>
  <c r="H97" i="16"/>
  <c r="K38" i="13"/>
  <c r="Z37" i="13"/>
  <c r="H101" i="16"/>
  <c r="H125" i="16"/>
  <c r="D40" i="16"/>
  <c r="D29" i="16"/>
  <c r="B32" i="15"/>
  <c r="AA49" i="3"/>
  <c r="W49" i="3"/>
  <c r="S49" i="3"/>
  <c r="G49" i="3"/>
  <c r="K49" i="3"/>
  <c r="O49" i="3"/>
  <c r="AB49" i="3"/>
  <c r="D99" i="10"/>
  <c r="N99" i="10"/>
  <c r="Y47" i="3"/>
  <c r="U47" i="3"/>
  <c r="Q47" i="3"/>
  <c r="M47" i="3"/>
  <c r="I47" i="3"/>
  <c r="E47" i="3"/>
  <c r="AA44" i="3"/>
  <c r="U44" i="3"/>
  <c r="O44" i="3"/>
  <c r="E44" i="3"/>
  <c r="AA42" i="3"/>
  <c r="S42" i="3"/>
  <c r="K42" i="3"/>
  <c r="AB42" i="3"/>
  <c r="D92" i="10"/>
  <c r="N92" i="10"/>
  <c r="Y40" i="3"/>
  <c r="Q40" i="3"/>
  <c r="I40" i="3"/>
  <c r="AB40" i="3"/>
  <c r="D90" i="10"/>
  <c r="N90" i="10"/>
  <c r="W37" i="3"/>
  <c r="G37" i="3"/>
  <c r="O37" i="3"/>
  <c r="AB37" i="3"/>
  <c r="D87" i="10"/>
  <c r="Y59" i="13"/>
  <c r="G64" i="15"/>
  <c r="G105" i="15"/>
  <c r="H72" i="13"/>
  <c r="W71" i="13"/>
  <c r="E73" i="15"/>
  <c r="E106" i="15"/>
  <c r="W70" i="13"/>
  <c r="E72" i="15"/>
  <c r="N72" i="13"/>
  <c r="AC70" i="13"/>
  <c r="K72" i="15"/>
  <c r="J69" i="13"/>
  <c r="W25" i="13"/>
  <c r="E90" i="16"/>
  <c r="E124" i="16"/>
  <c r="W14" i="13"/>
  <c r="E79" i="16"/>
  <c r="E123" i="16"/>
  <c r="D15" i="6"/>
  <c r="E14" i="6"/>
  <c r="H16" i="6"/>
  <c r="Y50" i="3"/>
  <c r="U50" i="3"/>
  <c r="Q50" i="3"/>
  <c r="M50" i="3"/>
  <c r="AB50" i="3"/>
  <c r="D100" i="10"/>
  <c r="N100" i="10"/>
  <c r="W48" i="3"/>
  <c r="S48" i="3"/>
  <c r="O48" i="3"/>
  <c r="K48" i="3"/>
  <c r="G48" i="3"/>
  <c r="AB48" i="3"/>
  <c r="D98" i="10"/>
  <c r="N98" i="10"/>
  <c r="Y46" i="3"/>
  <c r="U46" i="3"/>
  <c r="Q46" i="3"/>
  <c r="M46" i="3"/>
  <c r="I46" i="3"/>
  <c r="E46" i="3"/>
  <c r="W45" i="3"/>
  <c r="S45" i="3"/>
  <c r="O45" i="3"/>
  <c r="G45" i="3"/>
  <c r="Y44" i="3"/>
  <c r="I44" i="3"/>
  <c r="G69" i="13"/>
  <c r="AA59" i="13"/>
  <c r="I64" i="15"/>
  <c r="I105" i="15"/>
  <c r="AC79" i="13"/>
  <c r="K81" i="15"/>
  <c r="K69" i="13"/>
  <c r="Z76" i="13"/>
  <c r="H78" i="15"/>
  <c r="AA25" i="13"/>
  <c r="I90" i="16"/>
  <c r="I124" i="16"/>
  <c r="AA14" i="13"/>
  <c r="I79" i="16"/>
  <c r="I123" i="16"/>
  <c r="X37" i="13"/>
  <c r="F101" i="16"/>
  <c r="F125" i="16"/>
  <c r="R109" i="10"/>
  <c r="R105" i="10"/>
  <c r="W30" i="13"/>
  <c r="E94" i="16"/>
  <c r="Y58" i="13"/>
  <c r="G63" i="15"/>
  <c r="Y70" i="13"/>
  <c r="G72" i="15"/>
  <c r="C69" i="16"/>
  <c r="B70" i="16"/>
  <c r="R96" i="10"/>
  <c r="R92" i="10"/>
  <c r="R85" i="10"/>
  <c r="Y37" i="13"/>
  <c r="G101" i="16"/>
  <c r="G125" i="16"/>
  <c r="R110" i="10"/>
  <c r="L110" i="10"/>
  <c r="R101" i="10"/>
  <c r="D28" i="15"/>
  <c r="B31" i="16"/>
  <c r="B39" i="16"/>
  <c r="B30" i="16"/>
  <c r="B33" i="16"/>
  <c r="B29" i="16"/>
  <c r="B34" i="16"/>
  <c r="B28" i="16"/>
  <c r="B38" i="16"/>
  <c r="B40" i="16"/>
  <c r="B36" i="16"/>
  <c r="B37" i="16"/>
  <c r="D24" i="15"/>
  <c r="D29" i="15"/>
  <c r="C33" i="16"/>
  <c r="B32" i="16"/>
  <c r="O66" i="6"/>
  <c r="D36" i="15"/>
  <c r="D26" i="15"/>
  <c r="D33" i="15"/>
  <c r="D30" i="15"/>
  <c r="D35" i="15"/>
  <c r="D25" i="15"/>
  <c r="D31" i="15"/>
  <c r="D27" i="15"/>
  <c r="D34" i="15"/>
  <c r="C38" i="14"/>
  <c r="C68" i="6"/>
  <c r="C72" i="6"/>
  <c r="C30" i="16"/>
  <c r="C39" i="16"/>
  <c r="C35" i="16"/>
  <c r="C34" i="16"/>
  <c r="C28" i="16"/>
  <c r="D113" i="2"/>
  <c r="D108" i="2"/>
  <c r="E104" i="2"/>
  <c r="C40" i="16"/>
  <c r="C32" i="16"/>
  <c r="C29" i="16"/>
  <c r="C36" i="16"/>
  <c r="C37" i="16"/>
  <c r="C31" i="16"/>
  <c r="E5" i="8"/>
  <c r="F5" i="14"/>
  <c r="F7" i="8"/>
  <c r="D9" i="6"/>
  <c r="C122" i="2"/>
  <c r="C5" i="6"/>
  <c r="D37" i="6"/>
  <c r="D38" i="6"/>
  <c r="C37" i="6"/>
  <c r="C38" i="6"/>
  <c r="B45" i="6"/>
  <c r="B16" i="8"/>
  <c r="P16" i="8"/>
  <c r="C16" i="8"/>
  <c r="C17" i="8"/>
  <c r="D17" i="8"/>
  <c r="E17" i="8"/>
  <c r="F17" i="8"/>
  <c r="G17" i="8"/>
  <c r="H17" i="8"/>
  <c r="I17" i="8"/>
  <c r="J17" i="8"/>
  <c r="K17" i="8"/>
  <c r="L17" i="8"/>
  <c r="M17" i="8"/>
  <c r="N17" i="8"/>
  <c r="W86" i="13"/>
  <c r="W87" i="13"/>
  <c r="W88" i="13"/>
  <c r="C27" i="6"/>
  <c r="C32" i="2"/>
  <c r="C59" i="6"/>
  <c r="D32" i="2"/>
  <c r="D59" i="6"/>
  <c r="D27" i="6"/>
  <c r="X86" i="13"/>
  <c r="X87" i="13"/>
  <c r="X88" i="13"/>
  <c r="B6" i="8"/>
  <c r="C6" i="8"/>
  <c r="D6" i="8"/>
  <c r="E6" i="8"/>
  <c r="F6" i="8"/>
  <c r="G6" i="8"/>
  <c r="H6" i="8"/>
  <c r="I6" i="8"/>
  <c r="J6" i="8"/>
  <c r="K6" i="8"/>
  <c r="L6" i="8"/>
  <c r="M6" i="8"/>
  <c r="N6" i="8"/>
  <c r="E31" i="15"/>
  <c r="E28" i="15"/>
  <c r="E27" i="15"/>
  <c r="E33" i="15"/>
  <c r="E34" i="15"/>
  <c r="E25" i="15"/>
  <c r="E35" i="15"/>
  <c r="E30" i="15"/>
  <c r="E26" i="15"/>
  <c r="E32" i="15"/>
  <c r="E24" i="15"/>
  <c r="E36" i="15"/>
  <c r="E29" i="15"/>
  <c r="V86" i="13"/>
  <c r="V87" i="13"/>
  <c r="V88" i="13"/>
  <c r="B3" i="8"/>
  <c r="B32" i="2"/>
  <c r="B27" i="6"/>
  <c r="B44" i="6"/>
  <c r="B59" i="6"/>
  <c r="Y79" i="13"/>
  <c r="G81" i="15"/>
  <c r="J73" i="13"/>
  <c r="Y80" i="13"/>
  <c r="G82" i="15"/>
  <c r="G107" i="15"/>
  <c r="F14" i="6"/>
  <c r="I17" i="6"/>
  <c r="G17" i="6"/>
  <c r="E18" i="6"/>
  <c r="H17" i="6"/>
  <c r="F17" i="6"/>
  <c r="F71" i="16"/>
  <c r="F82" i="16"/>
  <c r="F93" i="16"/>
  <c r="F57" i="15"/>
  <c r="I30" i="6"/>
  <c r="I29" i="6"/>
  <c r="W80" i="13"/>
  <c r="E82" i="15"/>
  <c r="E107" i="15"/>
  <c r="F27" i="2"/>
  <c r="F21" i="2"/>
  <c r="F24" i="2"/>
  <c r="F69" i="2"/>
  <c r="H112" i="10"/>
  <c r="F112" i="10"/>
  <c r="J112" i="10"/>
  <c r="I112" i="10"/>
  <c r="G112" i="10"/>
  <c r="C72" i="2"/>
  <c r="M72" i="2"/>
  <c r="F72" i="2"/>
  <c r="H72" i="2"/>
  <c r="K72" i="2"/>
  <c r="E72" i="2"/>
  <c r="D72" i="2"/>
  <c r="I72" i="2"/>
  <c r="I8" i="6"/>
  <c r="J72" i="2"/>
  <c r="G72" i="2"/>
  <c r="B72" i="2"/>
  <c r="L72" i="2"/>
  <c r="K32" i="2"/>
  <c r="K27" i="6"/>
  <c r="K59" i="6"/>
  <c r="E15" i="6"/>
  <c r="E20" i="6"/>
  <c r="L56" i="6"/>
  <c r="L54" i="6"/>
  <c r="M53" i="6"/>
  <c r="E60" i="16"/>
  <c r="F60" i="16"/>
  <c r="M44" i="1"/>
  <c r="M51" i="6"/>
  <c r="M5" i="2"/>
  <c r="M4" i="6"/>
  <c r="M46" i="2"/>
  <c r="M50" i="2"/>
  <c r="M115" i="2"/>
  <c r="M97" i="2"/>
  <c r="M22" i="2"/>
  <c r="M21" i="2"/>
  <c r="M9" i="6"/>
  <c r="N41" i="1"/>
  <c r="I73" i="2"/>
  <c r="F73" i="2"/>
  <c r="E73" i="2"/>
  <c r="F6" i="6"/>
  <c r="D73" i="2"/>
  <c r="G73" i="2"/>
  <c r="H73" i="2"/>
  <c r="C73" i="2"/>
  <c r="J73" i="2"/>
  <c r="J6" i="6"/>
  <c r="M73" i="2"/>
  <c r="L73" i="2"/>
  <c r="K73" i="2"/>
  <c r="L6" i="6"/>
  <c r="B73" i="2"/>
  <c r="E69" i="14"/>
  <c r="AB45" i="3"/>
  <c r="D95" i="10"/>
  <c r="N95" i="10"/>
  <c r="H38" i="13"/>
  <c r="W37" i="13"/>
  <c r="E101" i="16"/>
  <c r="E125" i="16"/>
  <c r="W33" i="13"/>
  <c r="E97" i="16"/>
  <c r="G73" i="13"/>
  <c r="V80" i="13"/>
  <c r="D82" i="15"/>
  <c r="D107" i="15"/>
  <c r="V79" i="13"/>
  <c r="D81" i="15"/>
  <c r="AC71" i="13"/>
  <c r="K73" i="15"/>
  <c r="K106" i="15"/>
  <c r="AC80" i="13"/>
  <c r="K82" i="15"/>
  <c r="K107" i="15"/>
  <c r="D112" i="10"/>
  <c r="M112" i="10"/>
  <c r="L112" i="10"/>
  <c r="N112" i="10"/>
  <c r="K112" i="10"/>
  <c r="M35" i="1"/>
  <c r="L39" i="1"/>
  <c r="L40" i="2"/>
  <c r="L37" i="2"/>
  <c r="C102" i="2"/>
  <c r="O103" i="2"/>
  <c r="C103" i="2"/>
  <c r="H29" i="6"/>
  <c r="H30" i="6"/>
  <c r="AD79" i="13"/>
  <c r="L81" i="15"/>
  <c r="O73" i="13"/>
  <c r="AD80" i="13"/>
  <c r="L82" i="15"/>
  <c r="L107" i="15"/>
  <c r="N110" i="10"/>
  <c r="M32" i="2"/>
  <c r="M59" i="6"/>
  <c r="M27" i="6"/>
  <c r="G28" i="16"/>
  <c r="G37" i="16"/>
  <c r="G38" i="16"/>
  <c r="G29" i="16"/>
  <c r="G34" i="16"/>
  <c r="G33" i="16"/>
  <c r="G35" i="16"/>
  <c r="G40" i="16"/>
  <c r="G32" i="16"/>
  <c r="G30" i="16"/>
  <c r="G36" i="16"/>
  <c r="G31" i="16"/>
  <c r="G39" i="16"/>
  <c r="D72" i="6"/>
  <c r="J21" i="2"/>
  <c r="J27" i="2"/>
  <c r="J69" i="2"/>
  <c r="J24" i="2"/>
  <c r="N85" i="10"/>
  <c r="C70" i="16"/>
  <c r="D69" i="16"/>
  <c r="AB46" i="3"/>
  <c r="D96" i="10"/>
  <c r="N96" i="10"/>
  <c r="AA30" i="13"/>
  <c r="I94" i="16"/>
  <c r="L38" i="13"/>
  <c r="AA37" i="13"/>
  <c r="I101" i="16"/>
  <c r="I125" i="16"/>
  <c r="Z79" i="13"/>
  <c r="H81" i="15"/>
  <c r="K73" i="13"/>
  <c r="Z80" i="13"/>
  <c r="H82" i="15"/>
  <c r="H107" i="15"/>
  <c r="AB44" i="3"/>
  <c r="D94" i="10"/>
  <c r="N94" i="10"/>
  <c r="AB47" i="3"/>
  <c r="D97" i="10"/>
  <c r="N97" i="10"/>
  <c r="N31" i="1"/>
  <c r="M32" i="1"/>
  <c r="M52" i="6"/>
  <c r="M8" i="2"/>
  <c r="M119" i="2"/>
  <c r="M64" i="6"/>
  <c r="M62" i="6"/>
  <c r="M60" i="6"/>
  <c r="M47" i="2"/>
  <c r="M51" i="2"/>
  <c r="M55" i="6"/>
  <c r="M25" i="2"/>
  <c r="M123" i="2"/>
  <c r="M38" i="1"/>
  <c r="M24" i="2"/>
  <c r="M100" i="2"/>
  <c r="I60" i="16"/>
  <c r="J60" i="16"/>
  <c r="M58" i="6"/>
  <c r="M9" i="2"/>
  <c r="L71" i="16"/>
  <c r="L82" i="16"/>
  <c r="L93" i="16"/>
  <c r="L57" i="15"/>
  <c r="M66" i="6"/>
  <c r="K119" i="2"/>
  <c r="L119" i="2"/>
  <c r="G61" i="16"/>
  <c r="N10" i="6"/>
  <c r="N69" i="2"/>
  <c r="N14" i="2"/>
  <c r="N70" i="2"/>
  <c r="N45" i="2"/>
  <c r="N49" i="2"/>
  <c r="N15" i="2"/>
  <c r="P59" i="6"/>
  <c r="O59" i="6"/>
  <c r="B67" i="6"/>
  <c r="O66" i="2"/>
  <c r="C61" i="6"/>
  <c r="B63" i="6"/>
  <c r="B65" i="6"/>
  <c r="D67" i="6"/>
  <c r="C65" i="6"/>
  <c r="D61" i="6"/>
  <c r="D63" i="6"/>
  <c r="C67" i="6"/>
  <c r="B61" i="6"/>
  <c r="B17" i="2"/>
  <c r="B18" i="2"/>
  <c r="E68" i="6"/>
  <c r="D68" i="6"/>
  <c r="D17" i="2"/>
  <c r="D18" i="2"/>
  <c r="C17" i="2"/>
  <c r="C18" i="2"/>
  <c r="C51" i="14"/>
  <c r="B68" i="6"/>
  <c r="F5" i="8"/>
  <c r="G5" i="8"/>
  <c r="H5" i="8"/>
  <c r="I5" i="8"/>
  <c r="J5" i="8"/>
  <c r="K5" i="8"/>
  <c r="L5" i="8"/>
  <c r="M5" i="8"/>
  <c r="N5" i="8"/>
  <c r="E108" i="2"/>
  <c r="E113" i="2"/>
  <c r="F104" i="2"/>
  <c r="H6" i="6"/>
  <c r="J8" i="6"/>
  <c r="C8" i="6"/>
  <c r="E31" i="6"/>
  <c r="E63" i="6"/>
  <c r="E61" i="6"/>
  <c r="E72" i="6"/>
  <c r="E65" i="6"/>
  <c r="E67" i="6"/>
  <c r="O44" i="6"/>
  <c r="H8" i="6"/>
  <c r="D6" i="6"/>
  <c r="F8" i="6"/>
  <c r="E17" i="2"/>
  <c r="E18" i="2"/>
  <c r="G5" i="14"/>
  <c r="G7" i="8"/>
  <c r="C44" i="6"/>
  <c r="C28" i="6"/>
  <c r="E28" i="6"/>
  <c r="D44" i="6"/>
  <c r="D28" i="6"/>
  <c r="P2" i="8"/>
  <c r="Q2" i="8"/>
  <c r="C3" i="8"/>
  <c r="D3" i="8"/>
  <c r="E3" i="8"/>
  <c r="F3" i="8"/>
  <c r="G3" i="8"/>
  <c r="H3" i="8"/>
  <c r="I3" i="8"/>
  <c r="J3" i="8"/>
  <c r="K3" i="8"/>
  <c r="L3" i="8"/>
  <c r="M3" i="8"/>
  <c r="N3" i="8"/>
  <c r="B2" i="8"/>
  <c r="F122" i="2"/>
  <c r="F5" i="6"/>
  <c r="G122" i="2"/>
  <c r="G5" i="6"/>
  <c r="M120" i="2"/>
  <c r="M70" i="6"/>
  <c r="O41" i="1"/>
  <c r="O44" i="1"/>
  <c r="N44" i="1"/>
  <c r="N6" i="2"/>
  <c r="N51" i="6"/>
  <c r="E61" i="16"/>
  <c r="F61" i="16"/>
  <c r="N97" i="2"/>
  <c r="N21" i="2"/>
  <c r="N9" i="6"/>
  <c r="N46" i="2"/>
  <c r="N50" i="2"/>
  <c r="N115" i="2"/>
  <c r="N53" i="6"/>
  <c r="N5" i="2"/>
  <c r="N4" i="6"/>
  <c r="N22" i="2"/>
  <c r="N72" i="2"/>
  <c r="N8" i="6"/>
  <c r="D70" i="16"/>
  <c r="E69" i="16"/>
  <c r="J5" i="6"/>
  <c r="K122" i="2"/>
  <c r="J122" i="2"/>
  <c r="K5" i="6"/>
  <c r="J32" i="2"/>
  <c r="J45" i="6"/>
  <c r="J55" i="6"/>
  <c r="J58" i="6"/>
  <c r="M44" i="6"/>
  <c r="M28" i="6"/>
  <c r="N28" i="6"/>
  <c r="C112" i="2"/>
  <c r="C107" i="2"/>
  <c r="D103" i="2"/>
  <c r="M37" i="2"/>
  <c r="M39" i="1"/>
  <c r="M40" i="2"/>
  <c r="N35" i="1"/>
  <c r="C6" i="6"/>
  <c r="L8" i="6"/>
  <c r="F9" i="6"/>
  <c r="G9" i="6"/>
  <c r="M5" i="6"/>
  <c r="M122" i="2"/>
  <c r="J9" i="6"/>
  <c r="K8" i="6"/>
  <c r="C111" i="2"/>
  <c r="C106" i="2"/>
  <c r="C109" i="2"/>
  <c r="D102" i="2"/>
  <c r="E6" i="6"/>
  <c r="I6" i="6"/>
  <c r="M54" i="6"/>
  <c r="M56" i="6"/>
  <c r="D8" i="6"/>
  <c r="H18" i="6"/>
  <c r="I18" i="6"/>
  <c r="G18" i="6"/>
  <c r="F18" i="6"/>
  <c r="O31" i="1"/>
  <c r="O32" i="1"/>
  <c r="N100" i="2"/>
  <c r="N55" i="6"/>
  <c r="N66" i="6"/>
  <c r="N25" i="2"/>
  <c r="N123" i="2"/>
  <c r="I61" i="16"/>
  <c r="J61" i="16"/>
  <c r="N52" i="6"/>
  <c r="N24" i="2"/>
  <c r="N8" i="2"/>
  <c r="N119" i="2"/>
  <c r="N9" i="2"/>
  <c r="N60" i="6"/>
  <c r="N47" i="2"/>
  <c r="N51" i="2"/>
  <c r="N59" i="6"/>
  <c r="N62" i="6"/>
  <c r="N64" i="6"/>
  <c r="N58" i="6"/>
  <c r="N32" i="1"/>
  <c r="K6" i="6"/>
  <c r="M6" i="6"/>
  <c r="G6" i="6"/>
  <c r="N73" i="2"/>
  <c r="N6" i="6"/>
  <c r="G14" i="6"/>
  <c r="F20" i="6"/>
  <c r="F15" i="6"/>
  <c r="I16" i="6"/>
  <c r="L28" i="6"/>
  <c r="K28" i="6"/>
  <c r="K44" i="6"/>
  <c r="G8" i="6"/>
  <c r="E8" i="6"/>
  <c r="M8" i="6"/>
  <c r="F29" i="1"/>
  <c r="F32" i="2"/>
  <c r="F45" i="6"/>
  <c r="F55" i="6"/>
  <c r="F58" i="6"/>
  <c r="B66" i="2"/>
  <c r="L66" i="2"/>
  <c r="M66" i="2"/>
  <c r="I66" i="2"/>
  <c r="D66" i="2"/>
  <c r="N66" i="2"/>
  <c r="F66" i="2"/>
  <c r="G66" i="2"/>
  <c r="H66" i="2"/>
  <c r="K66" i="2"/>
  <c r="C66" i="2"/>
  <c r="J66" i="2"/>
  <c r="E66" i="2"/>
  <c r="C63" i="6"/>
  <c r="D65" i="6"/>
  <c r="P45" i="6"/>
  <c r="B32" i="6"/>
  <c r="C32" i="6"/>
  <c r="B31" i="6"/>
  <c r="C31" i="6"/>
  <c r="D32" i="6"/>
  <c r="D31" i="6"/>
  <c r="H5" i="14"/>
  <c r="H7" i="8"/>
  <c r="G104" i="2"/>
  <c r="F108" i="2"/>
  <c r="F113" i="2"/>
  <c r="F72" i="6"/>
  <c r="F31" i="6"/>
  <c r="F63" i="6"/>
  <c r="F67" i="6"/>
  <c r="F61" i="6"/>
  <c r="F65" i="6"/>
  <c r="F32" i="6"/>
  <c r="F17" i="2"/>
  <c r="F18" i="2"/>
  <c r="F68" i="6"/>
  <c r="C114" i="2"/>
  <c r="E32" i="6"/>
  <c r="D29" i="6"/>
  <c r="D30" i="6"/>
  <c r="C30" i="6"/>
  <c r="B30" i="6"/>
  <c r="C29" i="6"/>
  <c r="C2" i="8"/>
  <c r="R2" i="8"/>
  <c r="E29" i="6"/>
  <c r="E30" i="6"/>
  <c r="N120" i="2"/>
  <c r="N70" i="6"/>
  <c r="P4" i="14"/>
  <c r="N30" i="6"/>
  <c r="N29" i="6"/>
  <c r="F69" i="16"/>
  <c r="E70" i="16"/>
  <c r="E103" i="2"/>
  <c r="D107" i="2"/>
  <c r="D112" i="2"/>
  <c r="M29" i="6"/>
  <c r="M30" i="6"/>
  <c r="K30" i="6"/>
  <c r="K29" i="6"/>
  <c r="H14" i="6"/>
  <c r="G20" i="6"/>
  <c r="G15" i="6"/>
  <c r="J16" i="6"/>
  <c r="J17" i="6"/>
  <c r="N5" i="6"/>
  <c r="N122" i="2"/>
  <c r="J18" i="6"/>
  <c r="D106" i="2"/>
  <c r="D109" i="2"/>
  <c r="E102" i="2"/>
  <c r="D111" i="2"/>
  <c r="D114" i="2"/>
  <c r="N37" i="2"/>
  <c r="O35" i="1"/>
  <c r="N39" i="1"/>
  <c r="N40" i="2"/>
  <c r="N38" i="1"/>
  <c r="N56" i="6"/>
  <c r="N54" i="6"/>
  <c r="F37" i="6"/>
  <c r="F39" i="6"/>
  <c r="L30" i="6"/>
  <c r="L29" i="6"/>
  <c r="G108" i="2"/>
  <c r="H104" i="2"/>
  <c r="G113" i="2"/>
  <c r="G67" i="6"/>
  <c r="G32" i="6"/>
  <c r="G72" i="6"/>
  <c r="G61" i="6"/>
  <c r="G63" i="6"/>
  <c r="G31" i="6"/>
  <c r="G65" i="6"/>
  <c r="G68" i="6"/>
  <c r="G17" i="2"/>
  <c r="G18" i="2"/>
  <c r="I5" i="14"/>
  <c r="I7" i="8"/>
  <c r="S2" i="8"/>
  <c r="D2" i="8"/>
  <c r="E107" i="2"/>
  <c r="F103" i="2"/>
  <c r="E112" i="2"/>
  <c r="O39" i="1"/>
  <c r="O38" i="1"/>
  <c r="F102" i="2"/>
  <c r="E111" i="2"/>
  <c r="E114" i="2"/>
  <c r="E106" i="2"/>
  <c r="E109" i="2"/>
  <c r="I14" i="6"/>
  <c r="H15" i="6"/>
  <c r="H20" i="6"/>
  <c r="K16" i="6"/>
  <c r="K17" i="6"/>
  <c r="K18" i="6"/>
  <c r="F70" i="16"/>
  <c r="G69" i="16"/>
  <c r="J5" i="14"/>
  <c r="J7" i="8"/>
  <c r="H113" i="2"/>
  <c r="H108" i="2"/>
  <c r="I104" i="2"/>
  <c r="H17" i="2"/>
  <c r="H18" i="2"/>
  <c r="H68" i="6"/>
  <c r="H72" i="6"/>
  <c r="H67" i="6"/>
  <c r="H65" i="6"/>
  <c r="H32" i="6"/>
  <c r="H63" i="6"/>
  <c r="H61" i="6"/>
  <c r="H31" i="6"/>
  <c r="T2" i="8"/>
  <c r="E2" i="8"/>
  <c r="H69" i="16"/>
  <c r="G70" i="16"/>
  <c r="F111" i="2"/>
  <c r="G102" i="2"/>
  <c r="F106" i="2"/>
  <c r="F107" i="2"/>
  <c r="G103" i="2"/>
  <c r="F112" i="2"/>
  <c r="J14" i="6"/>
  <c r="I20" i="6"/>
  <c r="I15" i="6"/>
  <c r="L16" i="6"/>
  <c r="L17" i="6"/>
  <c r="L18" i="6"/>
  <c r="K7" i="8"/>
  <c r="K5" i="14"/>
  <c r="I113" i="2"/>
  <c r="I108" i="2"/>
  <c r="J104" i="2"/>
  <c r="I63" i="6"/>
  <c r="I65" i="6"/>
  <c r="I17" i="2"/>
  <c r="I18" i="2"/>
  <c r="I72" i="6"/>
  <c r="I31" i="6"/>
  <c r="I67" i="6"/>
  <c r="I32" i="6"/>
  <c r="I61" i="6"/>
  <c r="I68" i="6"/>
  <c r="F2" i="8"/>
  <c r="U2" i="8"/>
  <c r="H103" i="2"/>
  <c r="G112" i="2"/>
  <c r="G107" i="2"/>
  <c r="F109" i="2"/>
  <c r="H70" i="16"/>
  <c r="I69" i="16"/>
  <c r="H102" i="2"/>
  <c r="G111" i="2"/>
  <c r="G106" i="2"/>
  <c r="G109" i="2"/>
  <c r="K14" i="6"/>
  <c r="J15" i="6"/>
  <c r="J20" i="6"/>
  <c r="M16" i="6"/>
  <c r="M17" i="6"/>
  <c r="M18" i="6"/>
  <c r="F114" i="2"/>
  <c r="J32" i="6"/>
  <c r="J68" i="6"/>
  <c r="J31" i="6"/>
  <c r="J63" i="6"/>
  <c r="J61" i="6"/>
  <c r="J65" i="6"/>
  <c r="J17" i="2"/>
  <c r="J18" i="2"/>
  <c r="J72" i="6"/>
  <c r="J67" i="6"/>
  <c r="J108" i="2"/>
  <c r="K104" i="2"/>
  <c r="J113" i="2"/>
  <c r="L5" i="14"/>
  <c r="L7" i="8"/>
  <c r="G2" i="8"/>
  <c r="V2" i="8"/>
  <c r="I102" i="2"/>
  <c r="H106" i="2"/>
  <c r="H111" i="2"/>
  <c r="J69" i="16"/>
  <c r="I70" i="16"/>
  <c r="H112" i="2"/>
  <c r="I103" i="2"/>
  <c r="H107" i="2"/>
  <c r="K15" i="6"/>
  <c r="L14" i="6"/>
  <c r="K20" i="6"/>
  <c r="N16" i="6"/>
  <c r="N17" i="6"/>
  <c r="N18" i="6"/>
  <c r="G114" i="2"/>
  <c r="K108" i="2"/>
  <c r="L104" i="2"/>
  <c r="K113" i="2"/>
  <c r="M5" i="14"/>
  <c r="M7" i="8"/>
  <c r="K32" i="6"/>
  <c r="K65" i="6"/>
  <c r="K72" i="6"/>
  <c r="K61" i="6"/>
  <c r="K68" i="6"/>
  <c r="K63" i="6"/>
  <c r="K31" i="6"/>
  <c r="K67" i="6"/>
  <c r="K17" i="2"/>
  <c r="K18" i="2"/>
  <c r="W2" i="8"/>
  <c r="H2" i="8"/>
  <c r="J70" i="16"/>
  <c r="K69" i="16"/>
  <c r="H114" i="2"/>
  <c r="L20" i="6"/>
  <c r="M14" i="6"/>
  <c r="L15" i="6"/>
  <c r="H109" i="2"/>
  <c r="I106" i="2"/>
  <c r="I111" i="2"/>
  <c r="J102" i="2"/>
  <c r="I112" i="2"/>
  <c r="J103" i="2"/>
  <c r="I107" i="2"/>
  <c r="L61" i="6"/>
  <c r="L32" i="6"/>
  <c r="L31" i="6"/>
  <c r="L68" i="6"/>
  <c r="L65" i="6"/>
  <c r="L67" i="6"/>
  <c r="L63" i="6"/>
  <c r="L72" i="6"/>
  <c r="L17" i="2"/>
  <c r="L18" i="2"/>
  <c r="I109" i="2"/>
  <c r="L113" i="2"/>
  <c r="L108" i="2"/>
  <c r="M104" i="2"/>
  <c r="N5" i="14"/>
  <c r="N7" i="8"/>
  <c r="O5" i="14"/>
  <c r="X2" i="8"/>
  <c r="I2" i="8"/>
  <c r="I114" i="2"/>
  <c r="K103" i="2"/>
  <c r="J112" i="2"/>
  <c r="J107" i="2"/>
  <c r="M20" i="6"/>
  <c r="M15" i="6"/>
  <c r="N14" i="6"/>
  <c r="K70" i="16"/>
  <c r="L69" i="16"/>
  <c r="L70" i="16"/>
  <c r="J111" i="2"/>
  <c r="J114" i="2"/>
  <c r="K102" i="2"/>
  <c r="J106" i="2"/>
  <c r="J109" i="2"/>
  <c r="N17" i="2"/>
  <c r="N18" i="2"/>
  <c r="N32" i="6"/>
  <c r="N68" i="6"/>
  <c r="N61" i="6"/>
  <c r="N63" i="6"/>
  <c r="N31" i="6"/>
  <c r="N67" i="6"/>
  <c r="N65" i="6"/>
  <c r="N72" i="6"/>
  <c r="M67" i="6"/>
  <c r="M63" i="6"/>
  <c r="M31" i="6"/>
  <c r="M32" i="6"/>
  <c r="M65" i="6"/>
  <c r="M68" i="6"/>
  <c r="M72" i="6"/>
  <c r="M61" i="6"/>
  <c r="M17" i="2"/>
  <c r="M18" i="2"/>
  <c r="M108" i="2"/>
  <c r="M113" i="2"/>
  <c r="N104" i="2"/>
  <c r="Y2" i="8"/>
  <c r="J2" i="8"/>
  <c r="K111" i="2"/>
  <c r="K106" i="2"/>
  <c r="L102" i="2"/>
  <c r="N15" i="6"/>
  <c r="N20" i="6"/>
  <c r="L103" i="2"/>
  <c r="K112" i="2"/>
  <c r="K107" i="2"/>
  <c r="N113" i="2"/>
  <c r="N108" i="2"/>
  <c r="Z2" i="8"/>
  <c r="K2" i="8"/>
  <c r="L107" i="2"/>
  <c r="L112" i="2"/>
  <c r="M103" i="2"/>
  <c r="L111" i="2"/>
  <c r="L114" i="2"/>
  <c r="M102" i="2"/>
  <c r="L106" i="2"/>
  <c r="L109" i="2"/>
  <c r="K109" i="2"/>
  <c r="K114" i="2"/>
  <c r="L2" i="8"/>
  <c r="AA2" i="8"/>
  <c r="M107" i="2"/>
  <c r="N103" i="2"/>
  <c r="M112" i="2"/>
  <c r="M106" i="2"/>
  <c r="M109" i="2"/>
  <c r="N102" i="2"/>
  <c r="M111" i="2"/>
  <c r="M114" i="2"/>
  <c r="AB2" i="8"/>
  <c r="N2" i="8"/>
  <c r="M2" i="8"/>
  <c r="N112" i="2"/>
  <c r="N107" i="2"/>
  <c r="N106" i="2"/>
  <c r="N109" i="2"/>
  <c r="N111" i="2"/>
  <c r="N114" i="2"/>
  <c r="D76" i="14"/>
  <c r="E76" i="14"/>
  <c r="G62" i="16"/>
  <c r="E68" i="14"/>
  <c r="C39" i="6"/>
  <c r="B39" i="6"/>
  <c r="Q16" i="8"/>
  <c r="D39" i="6"/>
  <c r="D4" i="14"/>
  <c r="C33" i="2"/>
  <c r="E18" i="8"/>
  <c r="E4" i="14"/>
  <c r="D41" i="6"/>
  <c r="M38" i="6"/>
  <c r="I45" i="6"/>
  <c r="I29" i="1"/>
  <c r="G45" i="6"/>
  <c r="F38" i="6"/>
  <c r="E37" i="6"/>
  <c r="E38" i="6"/>
  <c r="I37" i="6"/>
  <c r="H37" i="6"/>
  <c r="G39" i="6"/>
  <c r="G38" i="6"/>
  <c r="B40" i="6"/>
  <c r="B34" i="2"/>
  <c r="B57" i="2"/>
  <c r="B71" i="6"/>
  <c r="B53" i="2"/>
  <c r="B41" i="2"/>
  <c r="D71" i="6"/>
  <c r="D58" i="2"/>
  <c r="O45" i="6"/>
  <c r="B41" i="6"/>
  <c r="P44" i="6"/>
  <c r="D34" i="2"/>
  <c r="N38" i="6"/>
  <c r="E21" i="6"/>
  <c r="K21" i="6"/>
  <c r="B23" i="6"/>
  <c r="E23" i="6"/>
  <c r="N21" i="6"/>
  <c r="F21" i="6"/>
  <c r="C21" i="6"/>
  <c r="I21" i="6"/>
  <c r="K9" i="6"/>
  <c r="J37" i="6"/>
  <c r="L38" i="6"/>
  <c r="L39" i="6"/>
  <c r="B56" i="2"/>
  <c r="D21" i="6"/>
  <c r="K45" i="6"/>
  <c r="B58" i="2"/>
  <c r="K37" i="6"/>
  <c r="C22" i="6"/>
  <c r="F22" i="6"/>
  <c r="E22" i="6"/>
  <c r="H22" i="6"/>
  <c r="I22" i="6"/>
  <c r="J22" i="6"/>
  <c r="K22" i="6"/>
  <c r="L22" i="6"/>
  <c r="G22" i="6"/>
  <c r="M22" i="6"/>
  <c r="N22" i="6"/>
  <c r="D22" i="6"/>
  <c r="B55" i="2"/>
  <c r="L21" i="6"/>
  <c r="G21" i="6"/>
  <c r="M21" i="6"/>
  <c r="J21" i="6"/>
  <c r="H21" i="6"/>
  <c r="F31" i="15"/>
  <c r="F36" i="15"/>
  <c r="F26" i="15"/>
  <c r="C28" i="15"/>
  <c r="C31" i="15"/>
  <c r="C26" i="15"/>
  <c r="F25" i="15"/>
  <c r="B54" i="2"/>
  <c r="K49" i="16"/>
  <c r="C32" i="15"/>
  <c r="C25" i="15"/>
  <c r="C34" i="15"/>
  <c r="C33" i="15"/>
  <c r="F28" i="15"/>
  <c r="F34" i="15"/>
  <c r="C29" i="15"/>
  <c r="F29" i="15"/>
  <c r="C27" i="15"/>
  <c r="C30" i="15"/>
  <c r="F35" i="15"/>
  <c r="F32" i="15"/>
  <c r="F24" i="15"/>
  <c r="F30" i="15"/>
  <c r="C36" i="15"/>
  <c r="F33" i="15"/>
  <c r="C24" i="15"/>
  <c r="H53" i="16"/>
  <c r="H58" i="16"/>
  <c r="H55" i="16"/>
  <c r="H56" i="16"/>
  <c r="H51" i="16"/>
  <c r="H50" i="16"/>
  <c r="H52" i="16"/>
  <c r="H57" i="16"/>
  <c r="H59" i="16"/>
  <c r="H60" i="16"/>
  <c r="H61" i="16"/>
  <c r="H54" i="16"/>
  <c r="D40" i="6"/>
  <c r="C53" i="2"/>
  <c r="C41" i="2"/>
  <c r="C40" i="6"/>
  <c r="C34" i="2"/>
  <c r="C56" i="2"/>
  <c r="C57" i="2"/>
  <c r="C54" i="2"/>
  <c r="K50" i="16"/>
  <c r="C55" i="2"/>
  <c r="C58" i="2"/>
  <c r="C41" i="6"/>
  <c r="D55" i="2"/>
  <c r="C71" i="6"/>
  <c r="D57" i="2"/>
  <c r="D54" i="2"/>
  <c r="K51" i="16"/>
  <c r="D53" i="2"/>
  <c r="D41" i="2"/>
  <c r="D56" i="2"/>
  <c r="D16" i="8"/>
  <c r="R16" i="8"/>
  <c r="D33" i="2"/>
  <c r="F4" i="14"/>
  <c r="F18" i="8"/>
  <c r="E39" i="6"/>
  <c r="I38" i="6"/>
  <c r="I39" i="6"/>
  <c r="H39" i="6"/>
  <c r="H38" i="6"/>
  <c r="L23" i="6"/>
  <c r="D23" i="6"/>
  <c r="H23" i="6"/>
  <c r="C23" i="6"/>
  <c r="F23" i="6"/>
  <c r="M23" i="6"/>
  <c r="G23" i="6"/>
  <c r="J23" i="6"/>
  <c r="K23" i="6"/>
  <c r="N23" i="6"/>
  <c r="I23" i="6"/>
  <c r="J38" i="6"/>
  <c r="J39" i="6"/>
  <c r="K38" i="6"/>
  <c r="K39" i="6"/>
  <c r="F37" i="15"/>
  <c r="E37" i="15"/>
  <c r="C37" i="15"/>
  <c r="B37" i="15"/>
  <c r="D37" i="15"/>
  <c r="S16" i="8"/>
  <c r="E16" i="8"/>
  <c r="G18" i="8"/>
  <c r="G4" i="14"/>
  <c r="E34" i="2"/>
  <c r="E71" i="6"/>
  <c r="E56" i="2"/>
  <c r="E53" i="2"/>
  <c r="E41" i="2"/>
  <c r="E54" i="2"/>
  <c r="K52" i="16"/>
  <c r="E40" i="6"/>
  <c r="E41" i="6"/>
  <c r="E58" i="2"/>
  <c r="E33" i="2"/>
  <c r="E57" i="2"/>
  <c r="E55" i="2"/>
  <c r="F16" i="8"/>
  <c r="T16" i="8"/>
  <c r="F33" i="2"/>
  <c r="F40" i="6"/>
  <c r="F57" i="2"/>
  <c r="F41" i="6"/>
  <c r="F53" i="2"/>
  <c r="F41" i="2"/>
  <c r="F71" i="6"/>
  <c r="F55" i="2"/>
  <c r="F56" i="2"/>
  <c r="F54" i="2"/>
  <c r="K53" i="16"/>
  <c r="F34" i="2"/>
  <c r="F58" i="2"/>
  <c r="H18" i="8"/>
  <c r="H4" i="14"/>
  <c r="G16" i="8"/>
  <c r="U16" i="8"/>
  <c r="G71" i="6"/>
  <c r="G34" i="2"/>
  <c r="G55" i="2"/>
  <c r="G56" i="2"/>
  <c r="G40" i="6"/>
  <c r="G33" i="2"/>
  <c r="G58" i="2"/>
  <c r="G54" i="2"/>
  <c r="K54" i="16"/>
  <c r="G41" i="6"/>
  <c r="G53" i="2"/>
  <c r="G41" i="2"/>
  <c r="G57" i="2"/>
  <c r="I18" i="8"/>
  <c r="I4" i="14"/>
  <c r="V16" i="8"/>
  <c r="H16" i="8"/>
  <c r="J18" i="8"/>
  <c r="J4" i="14"/>
  <c r="H71" i="6"/>
  <c r="H56" i="2"/>
  <c r="H57" i="2"/>
  <c r="H55" i="2"/>
  <c r="H53" i="2"/>
  <c r="H41" i="2"/>
  <c r="H33" i="2"/>
  <c r="H40" i="6"/>
  <c r="H41" i="6"/>
  <c r="H58" i="2"/>
  <c r="H54" i="2"/>
  <c r="K55" i="16"/>
  <c r="H34" i="2"/>
  <c r="I16" i="8"/>
  <c r="W16" i="8"/>
  <c r="I71" i="6"/>
  <c r="I41" i="6"/>
  <c r="I40" i="6"/>
  <c r="I57" i="2"/>
  <c r="I56" i="2"/>
  <c r="I33" i="2"/>
  <c r="I34" i="2"/>
  <c r="I53" i="2"/>
  <c r="I41" i="2"/>
  <c r="I54" i="2"/>
  <c r="K56" i="16"/>
  <c r="I58" i="2"/>
  <c r="I55" i="2"/>
  <c r="K4" i="14"/>
  <c r="K18" i="8"/>
  <c r="J16" i="8"/>
  <c r="X16" i="8"/>
  <c r="L18" i="8"/>
  <c r="L4" i="14"/>
  <c r="J71" i="6"/>
  <c r="J34" i="2"/>
  <c r="J41" i="6"/>
  <c r="J58" i="2"/>
  <c r="J33" i="2"/>
  <c r="J40" i="6"/>
  <c r="J55" i="2"/>
  <c r="J54" i="2"/>
  <c r="K57" i="16"/>
  <c r="J56" i="2"/>
  <c r="J53" i="2"/>
  <c r="J41" i="2"/>
  <c r="J57" i="2"/>
  <c r="Y16" i="8"/>
  <c r="K16" i="8"/>
  <c r="K33" i="2"/>
  <c r="K40" i="6"/>
  <c r="K56" i="2"/>
  <c r="K34" i="2"/>
  <c r="K41" i="6"/>
  <c r="K71" i="6"/>
  <c r="K57" i="2"/>
  <c r="K58" i="2"/>
  <c r="K54" i="2"/>
  <c r="K55" i="2"/>
  <c r="K53" i="2"/>
  <c r="K41" i="2"/>
  <c r="M18" i="8"/>
  <c r="M4" i="14"/>
  <c r="L16" i="8"/>
  <c r="Z16" i="8"/>
  <c r="N4" i="14"/>
  <c r="N18" i="8"/>
  <c r="O4" i="14"/>
  <c r="L33" i="2"/>
  <c r="L54" i="2"/>
  <c r="K59" i="16"/>
  <c r="L56" i="2"/>
  <c r="L58" i="2"/>
  <c r="L55" i="2"/>
  <c r="L53" i="2"/>
  <c r="L41" i="2"/>
  <c r="L57" i="2"/>
  <c r="L71" i="6"/>
  <c r="L40" i="6"/>
  <c r="L41" i="6"/>
  <c r="L34" i="2"/>
  <c r="AA16" i="8"/>
  <c r="M16" i="8"/>
  <c r="N71" i="6"/>
  <c r="N34" i="2"/>
  <c r="N58" i="2"/>
  <c r="N53" i="2"/>
  <c r="N41" i="2"/>
  <c r="N40" i="6"/>
  <c r="N41" i="6"/>
  <c r="N33" i="2"/>
  <c r="N55" i="2"/>
  <c r="N57" i="2"/>
  <c r="N54" i="2"/>
  <c r="K61" i="16"/>
  <c r="N56" i="2"/>
  <c r="M71" i="6"/>
  <c r="M33" i="2"/>
  <c r="M34" i="2"/>
  <c r="M41" i="6"/>
  <c r="M40" i="6"/>
  <c r="M57" i="2"/>
  <c r="M58" i="2"/>
  <c r="M54" i="2"/>
  <c r="K60" i="16"/>
  <c r="M53" i="2"/>
  <c r="M41" i="2"/>
  <c r="M55" i="2"/>
  <c r="M56" i="2"/>
  <c r="N16" i="8"/>
  <c r="AB16" i="8"/>
</calcChain>
</file>

<file path=xl/comments1.xml><?xml version="1.0" encoding="utf-8"?>
<comments xmlns="http://schemas.openxmlformats.org/spreadsheetml/2006/main">
  <authors>
    <author>Michaelangelo</author>
    <author>Richard H</author>
    <author>Michael</author>
    <author>Microsoft Office User</author>
  </authors>
  <commentList>
    <comment ref="J20" authorId="0" shapeId="0">
      <text>
        <r>
          <rPr>
            <b/>
            <sz val="9"/>
            <color indexed="81"/>
            <rFont val="Tahoma"/>
            <family val="2"/>
          </rPr>
          <t>Richard H:</t>
        </r>
        <r>
          <rPr>
            <sz val="9"/>
            <color indexed="81"/>
            <rFont val="Tahoma"/>
            <family val="2"/>
          </rPr>
          <t xml:space="preserve">
Capital Contributions are removed from 2016 - 2021 figures, based on information in the individual capex categories from the 2016 AMP</t>
        </r>
      </text>
    </comment>
    <comment ref="B27" authorId="1" shapeId="0">
      <text>
        <r>
          <rPr>
            <b/>
            <sz val="9"/>
            <color indexed="81"/>
            <rFont val="Tahoma"/>
            <family val="2"/>
          </rPr>
          <t>Richard H:</t>
        </r>
        <r>
          <rPr>
            <sz val="9"/>
            <color indexed="81"/>
            <rFont val="Tahoma"/>
            <family val="2"/>
          </rPr>
          <t xml:space="preserve">
Proxy Data derived from the Commerce Commission backcasting, currently awaiting refined figures</t>
        </r>
      </text>
    </comment>
    <comment ref="K27" authorId="0" shapeId="0">
      <text>
        <r>
          <rPr>
            <b/>
            <sz val="9"/>
            <color indexed="81"/>
            <rFont val="Tahoma"/>
            <family val="2"/>
          </rPr>
          <t>Richard H:</t>
        </r>
        <r>
          <rPr>
            <sz val="9"/>
            <color indexed="81"/>
            <rFont val="Tahoma"/>
            <family val="2"/>
          </rPr>
          <t xml:space="preserve">
Values here are Nominal as only nominal values are given in the AMP for this point onwards.</t>
        </r>
      </text>
    </comment>
    <comment ref="E53" authorId="2" shapeId="0">
      <text>
        <r>
          <rPr>
            <b/>
            <sz val="9"/>
            <color indexed="81"/>
            <rFont val="Tahoma"/>
            <family val="2"/>
          </rPr>
          <t>Michael:</t>
        </r>
        <r>
          <rPr>
            <sz val="9"/>
            <color indexed="81"/>
            <rFont val="Tahoma"/>
            <family val="2"/>
          </rPr>
          <t xml:space="preserve">
Classes B, C and Class I should be adjusted to Auckland only from 2015 ID</t>
        </r>
      </text>
    </comment>
    <comment ref="B57" authorId="3" shapeId="0">
      <text>
        <r>
          <rPr>
            <b/>
            <sz val="10"/>
            <color indexed="81"/>
            <rFont val="Calibri"/>
            <family val="2"/>
          </rPr>
          <t>Microsoft Office User:</t>
        </r>
        <r>
          <rPr>
            <sz val="10"/>
            <color indexed="81"/>
            <rFont val="Calibri"/>
            <family val="2"/>
          </rPr>
          <t xml:space="preserve">
ID Schd 10a(i)</t>
        </r>
      </text>
    </comment>
    <comment ref="D57" authorId="3" shapeId="0">
      <text>
        <r>
          <rPr>
            <b/>
            <sz val="10"/>
            <color indexed="81"/>
            <rFont val="Calibri"/>
            <family val="2"/>
          </rPr>
          <t>Microsoft Office User:</t>
        </r>
        <r>
          <rPr>
            <sz val="10"/>
            <color indexed="81"/>
            <rFont val="Calibri"/>
            <family val="2"/>
          </rPr>
          <t xml:space="preserve">
ID Schd 10a(i)</t>
        </r>
      </text>
    </comment>
  </commentList>
</comments>
</file>

<file path=xl/comments2.xml><?xml version="1.0" encoding="utf-8"?>
<comments xmlns="http://schemas.openxmlformats.org/spreadsheetml/2006/main">
  <authors>
    <author>Microsoft Office User</author>
  </authors>
  <commentList>
    <comment ref="A1" authorId="0" shapeId="0">
      <text>
        <r>
          <rPr>
            <b/>
            <sz val="10"/>
            <color indexed="81"/>
            <rFont val="Calibri"/>
            <family val="2"/>
          </rPr>
          <t>Microsoft Office User:
2015 ID Schedule 9b</t>
        </r>
        <r>
          <rPr>
            <sz val="10"/>
            <color indexed="81"/>
            <rFont val="Calibri"/>
            <family val="2"/>
          </rPr>
          <t xml:space="preserve">
</t>
        </r>
      </text>
    </comment>
  </commentList>
</comments>
</file>

<file path=xl/comments3.xml><?xml version="1.0" encoding="utf-8"?>
<comments xmlns="http://schemas.openxmlformats.org/spreadsheetml/2006/main">
  <authors>
    <author>Richard H</author>
  </authors>
  <commentList>
    <comment ref="L10" authorId="0" shapeId="0">
      <text>
        <r>
          <rPr>
            <b/>
            <sz val="9"/>
            <color indexed="81"/>
            <rFont val="Tahoma"/>
            <family val="2"/>
          </rPr>
          <t>Richard H:</t>
        </r>
        <r>
          <rPr>
            <sz val="9"/>
            <color indexed="81"/>
            <rFont val="Tahoma"/>
            <family val="2"/>
          </rPr>
          <t xml:space="preserve">
Capital contributions per category were removed from these numbers in the data input sheet, they have been added back in here for comparison to previous AMP forecasts that do not include Capital Contributions</t>
        </r>
      </text>
    </comment>
    <comment ref="L22" authorId="0" shapeId="0">
      <text>
        <r>
          <rPr>
            <b/>
            <sz val="9"/>
            <color indexed="81"/>
            <rFont val="Tahoma"/>
            <family val="2"/>
          </rPr>
          <t>Richard H:</t>
        </r>
        <r>
          <rPr>
            <sz val="9"/>
            <color indexed="81"/>
            <rFont val="Tahoma"/>
            <family val="2"/>
          </rPr>
          <t xml:space="preserve">
Capital contributions per category were removed from these numbers in the data input sheet, they have been added back in here for comparison to previous AMP forecasts that do not include Capital Contributions</t>
        </r>
      </text>
    </comment>
  </commentList>
</comments>
</file>

<file path=xl/comments4.xml><?xml version="1.0" encoding="utf-8"?>
<comments xmlns="http://schemas.openxmlformats.org/spreadsheetml/2006/main">
  <authors>
    <author>Microsoft Office User</author>
  </authors>
  <commentList>
    <comment ref="A3" authorId="0" shapeId="0">
      <text>
        <r>
          <rPr>
            <b/>
            <sz val="10"/>
            <color indexed="81"/>
            <rFont val="Calibri"/>
            <family val="2"/>
          </rPr>
          <t>Microsoft Office User:</t>
        </r>
        <r>
          <rPr>
            <sz val="10"/>
            <color indexed="81"/>
            <rFont val="Calibri"/>
            <family val="2"/>
          </rPr>
          <t xml:space="preserve">
Need to know if these are calculated from nominal or constant $*</t>
        </r>
      </text>
    </comment>
  </commentList>
</comments>
</file>

<file path=xl/sharedStrings.xml><?xml version="1.0" encoding="utf-8"?>
<sst xmlns="http://schemas.openxmlformats.org/spreadsheetml/2006/main" count="1046" uniqueCount="430">
  <si>
    <t>Metrics</t>
  </si>
  <si>
    <t>Forecast</t>
  </si>
  <si>
    <t>Service interruptions, incidents and emergencies</t>
  </si>
  <si>
    <t>Routine and corrective maintenance and inspection</t>
  </si>
  <si>
    <t xml:space="preserve"> Asset replacement and  renewal</t>
  </si>
  <si>
    <t>Total network opex</t>
  </si>
  <si>
    <t xml:space="preserve">System operations and network support </t>
  </si>
  <si>
    <t>Business  support</t>
  </si>
  <si>
    <t>Total non Network opex</t>
  </si>
  <si>
    <t>Total operational expenditure</t>
  </si>
  <si>
    <t>Consumer connection</t>
  </si>
  <si>
    <t>System growth</t>
  </si>
  <si>
    <t>Asset replacement and renewal</t>
  </si>
  <si>
    <t>Asset relocations</t>
  </si>
  <si>
    <t>Total reliability, safety and environment</t>
  </si>
  <si>
    <t>Total network expenditure on assets</t>
  </si>
  <si>
    <t>Value of capital contributions</t>
  </si>
  <si>
    <t>Total capital expenditure (excl cost of funding and capital contributions)</t>
  </si>
  <si>
    <t>Total ICPs at year end</t>
  </si>
  <si>
    <t>Difference</t>
  </si>
  <si>
    <t>ICP disconnections</t>
  </si>
  <si>
    <t>ICPs connected in year</t>
  </si>
  <si>
    <t>Total</t>
  </si>
  <si>
    <t>Total gas conveyed/annum (GJ)</t>
  </si>
  <si>
    <t>Maximum daily load (GJ/day)</t>
  </si>
  <si>
    <t>Maximum monthly load (GJ/month)</t>
  </si>
  <si>
    <t>Average monthly load (average GJ/month)</t>
  </si>
  <si>
    <t>PE</t>
  </si>
  <si>
    <t>Steel</t>
  </si>
  <si>
    <t>Other</t>
  </si>
  <si>
    <t>km of pipeline for supply</t>
  </si>
  <si>
    <t>Load Factor</t>
  </si>
  <si>
    <t>Class B (planned interruptions on the network)</t>
  </si>
  <si>
    <t>Class C (unplanned interruptions on the network)</t>
  </si>
  <si>
    <t>Class D (unplanned interruptions by GTB)</t>
  </si>
  <si>
    <t>Class I (unplanned interruptions caused by third party damage)</t>
  </si>
  <si>
    <t>Total interruptions</t>
  </si>
  <si>
    <t>Ratios</t>
  </si>
  <si>
    <t>Operational Expenditure</t>
  </si>
  <si>
    <t>Expenditure per TJ energy delivered to ICPs</t>
  </si>
  <si>
    <t>Network</t>
  </si>
  <si>
    <t>Non Network</t>
  </si>
  <si>
    <t>Ratio of expenditure to maximum monthly amount of gas entering network ($ per GJ/month)</t>
  </si>
  <si>
    <t>Expenditure per km of pipeline for supply</t>
  </si>
  <si>
    <t>Revenue per TJ energy delivered to ICPs ($/TJ)</t>
  </si>
  <si>
    <t>Total regulatory income</t>
  </si>
  <si>
    <t>Composition of Revenue Requirement (% of revenue)</t>
  </si>
  <si>
    <t>Operational expenditure</t>
  </si>
  <si>
    <t>Pass-through and recoverable costs excluding financial incentives and wash-ups</t>
  </si>
  <si>
    <t>Total depreciation</t>
  </si>
  <si>
    <t>Total revaluations</t>
  </si>
  <si>
    <t>Regulatory tax allowance</t>
  </si>
  <si>
    <t>Regulatory profit/(loss) including financial incentives and wash-ups (% of revenue)</t>
  </si>
  <si>
    <t>Service intensity measures</t>
  </si>
  <si>
    <t>Demand density</t>
  </si>
  <si>
    <t>Volume density</t>
  </si>
  <si>
    <t>Connection point density</t>
  </si>
  <si>
    <t>Energy intensity</t>
  </si>
  <si>
    <t>Interruption ratio (per 100km of pipe length)</t>
  </si>
  <si>
    <t>Asset age (remaining life)</t>
  </si>
  <si>
    <t>Number of assets</t>
  </si>
  <si>
    <t>Total gas conveyed (GJ/100)</t>
  </si>
  <si>
    <t>Maximum monthly load (GJ/month)/10</t>
  </si>
  <si>
    <t>Change in ICP numbers</t>
  </si>
  <si>
    <t>Data for % variation charts</t>
  </si>
  <si>
    <t>Opex per ICP (% variation)</t>
  </si>
  <si>
    <t>Capex per ICP (% variation)</t>
  </si>
  <si>
    <t>Opex per total gas conveyed (% variation)</t>
  </si>
  <si>
    <t>Operating Pressure</t>
  </si>
  <si>
    <t>Asset Category</t>
  </si>
  <si>
    <t>Asset Class</t>
  </si>
  <si>
    <t>Units</t>
  </si>
  <si>
    <t>pre-1970</t>
  </si>
  <si>
    <t>Intermediate Pressure</t>
  </si>
  <si>
    <t>Main pipe</t>
  </si>
  <si>
    <t>IP PE main pipe</t>
  </si>
  <si>
    <t>km</t>
  </si>
  <si>
    <t>IP steel main pipe</t>
  </si>
  <si>
    <t>IP other main pipe</t>
  </si>
  <si>
    <t>Service pipe</t>
  </si>
  <si>
    <t>IP PE service pipe</t>
  </si>
  <si>
    <t>IP steel  service pipe</t>
  </si>
  <si>
    <t>IP other service pipe</t>
  </si>
  <si>
    <t>Stations</t>
  </si>
  <si>
    <t>Intermediate pressure DRS</t>
  </si>
  <si>
    <t>No.</t>
  </si>
  <si>
    <t>Line valve</t>
  </si>
  <si>
    <t>IP line valves</t>
  </si>
  <si>
    <t>Special crossings</t>
  </si>
  <si>
    <t>IP crossings</t>
  </si>
  <si>
    <t>Medium Pressure</t>
  </si>
  <si>
    <t>MP PE main pipe</t>
  </si>
  <si>
    <t>MP steel main pipe</t>
  </si>
  <si>
    <t>MP other main pipe</t>
  </si>
  <si>
    <t>MP PE service pipe</t>
  </si>
  <si>
    <t>MP steel service pipe</t>
  </si>
  <si>
    <t>MP other service pipe</t>
  </si>
  <si>
    <t>Medium pressure DRS</t>
  </si>
  <si>
    <t>MP line valves</t>
  </si>
  <si>
    <t>MP special crossings</t>
  </si>
  <si>
    <t>Low Pressure</t>
  </si>
  <si>
    <t>LP PE main pipe</t>
  </si>
  <si>
    <t>LP  steel main pipe</t>
  </si>
  <si>
    <t>LP  other main pipe</t>
  </si>
  <si>
    <t>LP  PE service pipe</t>
  </si>
  <si>
    <t>LP  steel service pipe</t>
  </si>
  <si>
    <t>LP  other service pipe</t>
  </si>
  <si>
    <t>LP line valves</t>
  </si>
  <si>
    <t>LP special crossings</t>
  </si>
  <si>
    <t>All</t>
  </si>
  <si>
    <t>Monitoring and control systems</t>
  </si>
  <si>
    <t>Remote terminal units</t>
  </si>
  <si>
    <t>Asset age</t>
  </si>
  <si>
    <t>Asset Condition</t>
  </si>
  <si>
    <t>1985-1989</t>
  </si>
  <si>
    <t>1980–1984</t>
  </si>
  <si>
    <t>1975–1979</t>
  </si>
  <si>
    <t>1970–1974</t>
  </si>
  <si>
    <t>1990–1994</t>
  </si>
  <si>
    <t>1995–1999</t>
  </si>
  <si>
    <t>Asset variations - See Asset data tab</t>
  </si>
  <si>
    <t xml:space="preserve">Uses imediately preceeding value </t>
  </si>
  <si>
    <t>GDB Forecast values</t>
  </si>
  <si>
    <t>GDB Actual values</t>
  </si>
  <si>
    <t>Expenditure per aveage number of ICPs</t>
  </si>
  <si>
    <t>Main Pipe</t>
  </si>
  <si>
    <t>Service Pipe</t>
  </si>
  <si>
    <t>Line Valve</t>
  </si>
  <si>
    <t>Special Crossings</t>
  </si>
  <si>
    <t>Monitoring and control systens</t>
  </si>
  <si>
    <t>Cathodic protection systems</t>
  </si>
  <si>
    <t>IP steel service  pipe</t>
  </si>
  <si>
    <t>MP SPE service pipe</t>
  </si>
  <si>
    <t>LP steel main pipe</t>
  </si>
  <si>
    <t>LP other main pipe</t>
  </si>
  <si>
    <t>LP PE service pipe</t>
  </si>
  <si>
    <t>LP other service pipe</t>
  </si>
  <si>
    <t>LP steel Service pipe</t>
  </si>
  <si>
    <t>Cathodic protection</t>
  </si>
  <si>
    <t>Grade 1</t>
  </si>
  <si>
    <t>Grade 2</t>
  </si>
  <si>
    <t>Grade 3</t>
  </si>
  <si>
    <t>Grade 4</t>
  </si>
  <si>
    <t>Grade Unknown</t>
  </si>
  <si>
    <t>Data Accuracy [1-4]</t>
  </si>
  <si>
    <t>% of asset forecast to be replaced in the next 5 years</t>
  </si>
  <si>
    <t>Network opex per TJ energy delivered to ICPs</t>
  </si>
  <si>
    <t>Capex per ICP</t>
  </si>
  <si>
    <t>Change in revenue/ICP</t>
  </si>
  <si>
    <t xml:space="preserve">Change in non-network opex </t>
  </si>
  <si>
    <t>Change in revenue/TJ</t>
  </si>
  <si>
    <t>Change in capex/TJ</t>
  </si>
  <si>
    <t>Change in pipe length (%)</t>
  </si>
  <si>
    <t>Capex and Opex</t>
  </si>
  <si>
    <t>Opex Waterfall</t>
  </si>
  <si>
    <t>Original</t>
  </si>
  <si>
    <t>Change</t>
  </si>
  <si>
    <t>White Height</t>
  </si>
  <si>
    <t>Capex Waterfall</t>
  </si>
  <si>
    <t>Graph Change</t>
  </si>
  <si>
    <t>Average</t>
  </si>
  <si>
    <t>Opex</t>
  </si>
  <si>
    <t>Capex</t>
  </si>
  <si>
    <t>Current Year:</t>
  </si>
  <si>
    <t>Current Average Age (Years / Km)</t>
  </si>
  <si>
    <t>Current Average Age (Years / Unit)</t>
  </si>
  <si>
    <t>ICPs at Year End</t>
  </si>
  <si>
    <t>Capex / ICP : Network</t>
  </si>
  <si>
    <t>Opex / ICP Network</t>
  </si>
  <si>
    <t>Opex / ICP Non-network</t>
  </si>
  <si>
    <t>Annual GJ supplied/ICP</t>
  </si>
  <si>
    <t>Assets</t>
  </si>
  <si>
    <t>Asset Category 1</t>
  </si>
  <si>
    <t>Asset Category 2</t>
  </si>
  <si>
    <t>Asset Category 3</t>
  </si>
  <si>
    <t>+/-</t>
  </si>
  <si>
    <t>Consumer Connection Capex</t>
  </si>
  <si>
    <t>System Growth Capex</t>
  </si>
  <si>
    <t>Change in Total Energy Supplied</t>
  </si>
  <si>
    <t>Change in ICPs</t>
  </si>
  <si>
    <r>
      <t>For Asset Comparisons (</t>
    </r>
    <r>
      <rPr>
        <sz val="12"/>
        <color theme="7"/>
        <rFont val="Calibri"/>
        <family val="2"/>
        <scheme val="minor"/>
      </rPr>
      <t>Yellow</t>
    </r>
    <r>
      <rPr>
        <sz val="12"/>
        <color theme="1"/>
        <rFont val="Calibri"/>
        <family val="2"/>
        <scheme val="minor"/>
      </rPr>
      <t xml:space="preserve">, </t>
    </r>
    <r>
      <rPr>
        <sz val="12"/>
        <color theme="8"/>
        <rFont val="Calibri"/>
        <family val="2"/>
        <scheme val="minor"/>
      </rPr>
      <t>Dark Blue</t>
    </r>
    <r>
      <rPr>
        <sz val="12"/>
        <color theme="1"/>
        <rFont val="Calibri"/>
        <family val="2"/>
        <scheme val="minor"/>
      </rPr>
      <t xml:space="preserve"> and </t>
    </r>
    <r>
      <rPr>
        <sz val="12"/>
        <color theme="1" tint="0.499984740745262"/>
        <rFont val="Calibri"/>
        <family val="2"/>
        <scheme val="minor"/>
      </rPr>
      <t>Grey</t>
    </r>
    <r>
      <rPr>
        <sz val="12"/>
        <color theme="1"/>
        <rFont val="Calibri"/>
        <family val="2"/>
        <scheme val="minor"/>
      </rPr>
      <t>), see the Asset Management section below</t>
    </r>
  </si>
  <si>
    <t>Total Planned Interruptions</t>
  </si>
  <si>
    <t>Total Unplanned Interruptions</t>
  </si>
  <si>
    <t>Total Interruptions</t>
  </si>
  <si>
    <t>Capex / 100 ICPs</t>
  </si>
  <si>
    <t>Change in length of Pipeline</t>
  </si>
  <si>
    <t>Change in Capex</t>
  </si>
  <si>
    <t>Change in Capex : Change in Asset Base</t>
  </si>
  <si>
    <t>Change in Capex : Change in Energy Supply</t>
  </si>
  <si>
    <t>Change in Capex : Change in Customer Base</t>
  </si>
  <si>
    <t>Year</t>
  </si>
  <si>
    <t>Total Pipe Length</t>
  </si>
  <si>
    <t>Year End ICPs</t>
  </si>
  <si>
    <t>Total gas conveyed/annum (100TJ)</t>
  </si>
  <si>
    <t>Growth Capex Boundary</t>
  </si>
  <si>
    <t>Total Expenditure</t>
  </si>
  <si>
    <t>Total Expenditure to GJ of gas</t>
  </si>
  <si>
    <t>Expenditure per GJ Boundary</t>
  </si>
  <si>
    <t>Expenditure Overview</t>
  </si>
  <si>
    <t>System Growth Capex ($000)</t>
  </si>
  <si>
    <t>Energy Supplied (GJ)</t>
  </si>
  <si>
    <t xml:space="preserve"> Opex ($) per Interruption</t>
  </si>
  <si>
    <t>Interruptions Opex Boundary</t>
  </si>
  <si>
    <t>Forecast accuracy boundary (% variation)</t>
  </si>
  <si>
    <t>2013 AMP</t>
  </si>
  <si>
    <t>2014 AMP</t>
  </si>
  <si>
    <t>2015 AMP</t>
  </si>
  <si>
    <t>2016 AMP</t>
  </si>
  <si>
    <t>Non network assets</t>
  </si>
  <si>
    <t>Maximum boundary</t>
  </si>
  <si>
    <t>Minimum boundary</t>
  </si>
  <si>
    <t>Opex boundary</t>
  </si>
  <si>
    <t>Capex boundary / 100 ICPs</t>
  </si>
  <si>
    <t>Forecast Variances</t>
  </si>
  <si>
    <t>Variance Boundary</t>
  </si>
  <si>
    <t>Service, Interruptions, Incidents and Emergencies</t>
  </si>
  <si>
    <t>Routine and Corrective Maintenance and Inspection</t>
  </si>
  <si>
    <t>Asset Replacement and Renewal</t>
  </si>
  <si>
    <t>System Operations and Network Support</t>
  </si>
  <si>
    <t>Business Support</t>
  </si>
  <si>
    <t>Total Network Opex</t>
  </si>
  <si>
    <t>Total Opex</t>
  </si>
  <si>
    <t>Consumer Connection Capex / new connection - Boundary</t>
  </si>
  <si>
    <t>Consumer Connection Capex / new connection</t>
  </si>
  <si>
    <t>Class A (planned interruptions by GDB)</t>
  </si>
  <si>
    <t>Commercial</t>
  </si>
  <si>
    <t>Industrial</t>
  </si>
  <si>
    <t>Residential / Small Commercial</t>
  </si>
  <si>
    <t>Customer Type</t>
  </si>
  <si>
    <t>Average ICPs</t>
  </si>
  <si>
    <t>Gas Delivered (GJ)</t>
  </si>
  <si>
    <t>Customer Base - Total</t>
  </si>
  <si>
    <t>$/ICP</t>
  </si>
  <si>
    <t>$/GJ</t>
  </si>
  <si>
    <t>Other Network Assets</t>
  </si>
  <si>
    <t>Non-network assets</t>
  </si>
  <si>
    <t>Unit</t>
  </si>
  <si>
    <t>$000/km</t>
  </si>
  <si>
    <t>$000/Station</t>
  </si>
  <si>
    <t>$000/Valve</t>
  </si>
  <si>
    <t>$000/Crossing</t>
  </si>
  <si>
    <t>$000/number</t>
  </si>
  <si>
    <t>Base Year Capex</t>
  </si>
  <si>
    <t>Base Year Opex</t>
  </si>
  <si>
    <t>Capex Category</t>
  </si>
  <si>
    <t>Amount</t>
  </si>
  <si>
    <t>Opex Category</t>
  </si>
  <si>
    <t>Asset Type</t>
  </si>
  <si>
    <t>Size of Assets</t>
  </si>
  <si>
    <t>Estimated Revenue ($000) based on:</t>
  </si>
  <si>
    <t>Average no of ICPs across all types</t>
  </si>
  <si>
    <t>Energy Supplied across all customers</t>
  </si>
  <si>
    <t>Average Value</t>
  </si>
  <si>
    <t>Current Valuation ($000)</t>
  </si>
  <si>
    <t>Average Number of ICPs</t>
  </si>
  <si>
    <t>New Connections</t>
  </si>
  <si>
    <t>Average Cost per Connection</t>
  </si>
  <si>
    <t>Connections</t>
  </si>
  <si>
    <t>Gas Delivered (Gj)</t>
  </si>
  <si>
    <t>Estimated Cost of Additional ICPs</t>
  </si>
  <si>
    <t>Estimated Cost of Total Supplied Energy</t>
  </si>
  <si>
    <t>Estimated Cost of new Network Expansion (Pipe Length)</t>
  </si>
  <si>
    <t>Expenditure to total energy supply</t>
  </si>
  <si>
    <t>Expenditure to number of ICPs</t>
  </si>
  <si>
    <t>Expenditure to estimated network size (km)</t>
  </si>
  <si>
    <t>Consumer Connection Capex($000)</t>
  </si>
  <si>
    <t>System Growth Capex + Operational Expenditure Opex($000)</t>
  </si>
  <si>
    <t>Cost of delivery per ($000/GJ)</t>
  </si>
  <si>
    <t>Existing ICPs</t>
  </si>
  <si>
    <t>Cost per existing ICP</t>
  </si>
  <si>
    <t>Current Network Size</t>
  </si>
  <si>
    <t>Km</t>
  </si>
  <si>
    <t>Estimated Total Service</t>
  </si>
  <si>
    <t>Estimated Cost of Service</t>
  </si>
  <si>
    <t>Quality of supply</t>
  </si>
  <si>
    <t>Legislative and regulatory</t>
  </si>
  <si>
    <t>Other reliability, safety and environment</t>
  </si>
  <si>
    <t>Expenditure on non-network assets</t>
  </si>
  <si>
    <t>8(i)</t>
  </si>
  <si>
    <t>Forecast Opex</t>
  </si>
  <si>
    <t>Forecast Capex</t>
  </si>
  <si>
    <t>Project Name</t>
  </si>
  <si>
    <t>Routine Expenditure</t>
  </si>
  <si>
    <t>Total Routine Expenditure Project Costs</t>
  </si>
  <si>
    <t>Atypical Expenditure</t>
  </si>
  <si>
    <t>Total Atypical Expenditure Project Costs</t>
  </si>
  <si>
    <t>Total Other Reliability, Safety and Environment Costs</t>
  </si>
  <si>
    <t>Total Legislative and Regulatory Costs</t>
  </si>
  <si>
    <t>11a(ii) System Growth</t>
  </si>
  <si>
    <t>Medium pressure</t>
  </si>
  <si>
    <t>Low pressure</t>
  </si>
  <si>
    <t>11a(ii) Consumer Connection</t>
  </si>
  <si>
    <t>11 a(v) Asset Relocations</t>
  </si>
  <si>
    <t>11a(iv) Asset Replacement and Renewal</t>
  </si>
  <si>
    <t>11a(vii) Quality of Supply</t>
  </si>
  <si>
    <t>11a(vii) Legislative and Regulatory</t>
  </si>
  <si>
    <t>11a(viii) Other Reliability, Safety and Environment</t>
  </si>
  <si>
    <t>11a(ix) Non-Network Assets</t>
  </si>
  <si>
    <t>Total Non-Network Assets Costs</t>
  </si>
  <si>
    <t>Total Consumer Connection Expenditure</t>
  </si>
  <si>
    <t>Total System Growth Expenditure</t>
  </si>
  <si>
    <t>Total Asset Replacement and Renewal Expenditure</t>
  </si>
  <si>
    <t>Total Quality of Supply Project Costs</t>
  </si>
  <si>
    <t>Total Reliability, Safety and Environment Costs</t>
  </si>
  <si>
    <t>Expenditure on Non-Network Assets</t>
  </si>
  <si>
    <t>Asset replacement and renewal Boundary</t>
  </si>
  <si>
    <t>Asset relocations Boundary</t>
  </si>
  <si>
    <t>Total reliability, safety and environment Boundary</t>
  </si>
  <si>
    <t>Expenditure on Non-Network Assets Boundary</t>
  </si>
  <si>
    <t>Non-Network Assets</t>
  </si>
  <si>
    <t>Total Closing RAB ($000)</t>
  </si>
  <si>
    <t>Asset Value and Growth</t>
  </si>
  <si>
    <t>Opex Details</t>
  </si>
  <si>
    <t>Capex Details</t>
  </si>
  <si>
    <t>Renewal opex materiality boundary</t>
  </si>
  <si>
    <t>Maintenance opex materiality boundary</t>
  </si>
  <si>
    <t>Service opex materiality boundary</t>
  </si>
  <si>
    <t>Non-Network Opex per ICP</t>
  </si>
  <si>
    <t>Non Network opex materiality boundary</t>
  </si>
  <si>
    <t>Primary Materiality Boundary</t>
  </si>
  <si>
    <t>Capex Materiality Boundaries</t>
  </si>
  <si>
    <t>Consumer Connection Capex Boundary</t>
  </si>
  <si>
    <t>Base Case</t>
  </si>
  <si>
    <t>Base Year Assets - From ID</t>
  </si>
  <si>
    <t xml:space="preserve">Base Year Service Numbers </t>
  </si>
  <si>
    <t>Base Case Connections</t>
  </si>
  <si>
    <t>Total capital expenditure</t>
  </si>
  <si>
    <t>Total Capex boundary ($000)</t>
  </si>
  <si>
    <t>Total Opex boundary ($000)</t>
  </si>
  <si>
    <t>Operating cost per Km</t>
  </si>
  <si>
    <t>Fixed Scenario @ real 2013</t>
  </si>
  <si>
    <t>Fixed Scenario @ Boundary 2013</t>
  </si>
  <si>
    <t>Fixed Scenario @ Base 2013</t>
  </si>
  <si>
    <t>Step Trend+20%</t>
  </si>
  <si>
    <t>Fixed Scenario @ real 2015</t>
  </si>
  <si>
    <t>Network opex materiality boundary</t>
  </si>
  <si>
    <t>Operational expenditure ($ real)</t>
  </si>
  <si>
    <t>Changes from Base Case
($000)</t>
  </si>
  <si>
    <t>Billed Quantities</t>
  </si>
  <si>
    <t>Total New Connections</t>
  </si>
  <si>
    <t>GJ/ICP</t>
  </si>
  <si>
    <t>ICP Makeup, estimated from Base Year</t>
  </si>
  <si>
    <t>Gas Use, Estimated from Base Year</t>
  </si>
  <si>
    <t>Totex Materiality Boundary</t>
  </si>
  <si>
    <t>Predicted Billed Amount, Estimated from Base Case and new ICPs</t>
  </si>
  <si>
    <t>Additional gas supplied from previous year (GJ)</t>
  </si>
  <si>
    <t>Forcast vs actual expenditure variation</t>
  </si>
  <si>
    <t>Prior year forecast</t>
  </si>
  <si>
    <t>Actual expenditure</t>
  </si>
  <si>
    <t>OPEX Materiality Boundary Scenarios</t>
  </si>
  <si>
    <t>CAPEX Materiality Boundary Scenarios</t>
  </si>
  <si>
    <t>Expenditure on assets ($ real)</t>
  </si>
  <si>
    <t>Nothing planned</t>
  </si>
  <si>
    <t>Cathodic Protection</t>
  </si>
  <si>
    <t>Actuals</t>
  </si>
  <si>
    <t>Source:</t>
  </si>
  <si>
    <t>$000/unit</t>
  </si>
  <si>
    <t>Estimated Network Opex boundary</t>
  </si>
  <si>
    <t>Adjusted network opex boundary</t>
  </si>
  <si>
    <t>Replacement Requirements</t>
  </si>
  <si>
    <t>Grade</t>
  </si>
  <si>
    <t>Percent to be replaced</t>
  </si>
  <si>
    <t>Confirmation</t>
  </si>
  <si>
    <t>Average Age (years):</t>
  </si>
  <si>
    <t>For Materiality, must be greater than (km):</t>
  </si>
  <si>
    <t>Accepted Unknown Assets:</t>
  </si>
  <si>
    <t>Grade 1:</t>
  </si>
  <si>
    <t>Grade 2:</t>
  </si>
  <si>
    <t>Grade 3:</t>
  </si>
  <si>
    <t>Grade 4:</t>
  </si>
  <si>
    <t>Materiality Boundary Assessment</t>
  </si>
  <si>
    <t>Total size (km + units)</t>
  </si>
  <si>
    <t>Size of assets to be replaced</t>
  </si>
  <si>
    <t>Assets requiring replacement</t>
  </si>
  <si>
    <t>Fixed Scenario @ real 2016</t>
  </si>
  <si>
    <t>Capital Expenditure per TJ energy delivered to ICPs</t>
  </si>
  <si>
    <t>Capital Expenditure peraveage number of ICPs</t>
  </si>
  <si>
    <t>Capital Expenditure on assets</t>
  </si>
  <si>
    <t>Supply - Dynamic Chart</t>
  </si>
  <si>
    <t>Mains Extensions/Subdivisons + Residential Connections</t>
  </si>
  <si>
    <t>Commercial Connections</t>
  </si>
  <si>
    <t>Customer Easements</t>
  </si>
  <si>
    <t>Residential</t>
  </si>
  <si>
    <t>System length by material (defined by GDB)</t>
  </si>
  <si>
    <t>Waterview Connection</t>
  </si>
  <si>
    <t>Capex Variance Margin</t>
  </si>
  <si>
    <t>Opex Variance Margin</t>
  </si>
  <si>
    <t>2015 ID x CPI of 0.5%</t>
  </si>
  <si>
    <t>Difference %</t>
  </si>
  <si>
    <t>Base-Step-Trend Calculations</t>
  </si>
  <si>
    <t>Annual Trend Factor (Real)</t>
  </si>
  <si>
    <t>Trend (Low)</t>
  </si>
  <si>
    <t>Trend (Mid)</t>
  </si>
  <si>
    <t>Trend (High)</t>
  </si>
  <si>
    <t>Base Step-Trend Calculations</t>
  </si>
  <si>
    <t>Capex Base Year</t>
  </si>
  <si>
    <t>Opex Base Year</t>
  </si>
  <si>
    <t>t</t>
  </si>
  <si>
    <t>Low</t>
  </si>
  <si>
    <t>Mid</t>
  </si>
  <si>
    <t>High</t>
  </si>
  <si>
    <t>Fixed Scenario @ Base Average</t>
  </si>
  <si>
    <t>Additional Customers as % of BAU base ICPs</t>
  </si>
  <si>
    <t>Additional asset growth as % of BAU base assets</t>
  </si>
  <si>
    <t>Change in SG Capex from previous year as % of BAU base SG Capex</t>
  </si>
  <si>
    <t>Additional SG Capex above BAU base SG Capex</t>
  </si>
  <si>
    <t>Additional supply as % of BAU base supply</t>
  </si>
  <si>
    <t>2659423_Backcasting for ID category expenditure 2013-2015 for First Gas and Vector * CPI of 1%, 1.4% &amp; 0.5%</t>
  </si>
  <si>
    <t>2659423_Backcasting for ID category expenditure 2013-2015 for First Gas and Vector * CPI of 1.4% &amp; 0.5%</t>
  </si>
  <si>
    <t>2659423_Backcasting for ID category expenditure 2013-2015 for First Gas and Vector * CPI of 0.5%</t>
  </si>
  <si>
    <t>Cathodic protection units</t>
  </si>
  <si>
    <t>Total Asset relocation costs</t>
  </si>
  <si>
    <t>Vector Gas Distribution AMP 2016</t>
  </si>
  <si>
    <t>Include Capital Contributions</t>
  </si>
  <si>
    <t>Exclude Capital Contributions</t>
  </si>
  <si>
    <t>Assessment Indication Prompt</t>
  </si>
  <si>
    <t>* See Base rows 79 - 83 for Replacement % Settings</t>
  </si>
  <si>
    <t>Estimated 5 year R&amp;R expenditure range - based on estimated asset base value</t>
  </si>
  <si>
    <t>** This can be made more accurate if we obtain approximate $values for each asset category</t>
  </si>
  <si>
    <t>Forecast 5 year R&amp;R</t>
  </si>
  <si>
    <t>Forecast 5 year R&amp;R as a percentage of 2015 RAB</t>
  </si>
  <si>
    <t>Inflation figures used:</t>
  </si>
  <si>
    <t>2013: 1%</t>
  </si>
  <si>
    <t>2014: 1.4%</t>
  </si>
  <si>
    <t>2015: 0.5%</t>
  </si>
  <si>
    <t>** Capex categories in these charts (Lines graph portions) exclude capital contributions for 2016 to 2021</t>
  </si>
  <si>
    <t>Boundary Adjustments can include or exclude Capital Contributions using the box below:</t>
  </si>
  <si>
    <t>Back casting Scenario:</t>
  </si>
  <si>
    <t>A</t>
  </si>
  <si>
    <t>Comm Comm Backcasting scenarios A and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</si>
</sst>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4" formatCode="_-&quot;$&quot;* #,##0.00_-;\-&quot;$&quot;* #,##0.00_-;_-&quot;$&quot;* &quot;-&quot;??_-;_-@_-"/>
    <numFmt numFmtId="43" formatCode="_-* #,##0.00_-;\-* #,##0.00_-;_-* &quot;-&quot;??_-;_-@_-"/>
    <numFmt numFmtId="164" formatCode="&quot;$&quot;#,##0"/>
    <numFmt numFmtId="165" formatCode="&quot;$&quot;#,##0.00"/>
    <numFmt numFmtId="166" formatCode="&quot;$&quot;#,##0.0"/>
    <numFmt numFmtId="167" formatCode="0.0%"/>
    <numFmt numFmtId="168" formatCode="0.000"/>
    <numFmt numFmtId="169" formatCode="0.0"/>
    <numFmt numFmtId="170" formatCode="_(@_)"/>
    <numFmt numFmtId="171" formatCode="_([$-1409]d\ mmmm\ yyyy;_(@"/>
    <numFmt numFmtId="172" formatCode="[$-1409]d\ mmm\ yy;@"/>
    <numFmt numFmtId="173" formatCode="_(* #,##0%_);_(* \(#,##0%\);_(* &quot;–&quot;???_);_(* @_)"/>
    <numFmt numFmtId="174" formatCode="_(* @_)"/>
    <numFmt numFmtId="175" formatCode="d\ mmmm\ yyyy"/>
    <numFmt numFmtId="176" formatCode="#,##0.00;\(#,##0.00\);\-"/>
    <numFmt numFmtId="177" formatCode="#,##0;\(#,##0\);\-"/>
    <numFmt numFmtId="178" formatCode="0.000%"/>
    <numFmt numFmtId="179" formatCode="&quot;$&quot;#,##0.0000"/>
    <numFmt numFmtId="180" formatCode="_-&quot;$&quot;* #,##0.000_-;\-&quot;$&quot;* #,##0.000_-;_-&quot;$&quot;* &quot;-&quot;??_-;_-@_-"/>
    <numFmt numFmtId="181" formatCode="&quot;$&quot;#,##0.00000"/>
    <numFmt numFmtId="182" formatCode="0.0000%"/>
    <numFmt numFmtId="183" formatCode="0.000000000000000"/>
  </numFmts>
  <fonts count="59">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u/>
      <sz val="14"/>
      <color theme="1"/>
      <name val="Calibri"/>
      <family val="2"/>
      <scheme val="minor"/>
    </font>
    <font>
      <sz val="12"/>
      <color theme="9" tint="-0.249977111117893"/>
      <name val="Calibri"/>
      <family val="2"/>
      <scheme val="minor"/>
    </font>
    <font>
      <b/>
      <sz val="10"/>
      <color indexed="81"/>
      <name val="Calibri"/>
      <family val="2"/>
    </font>
    <font>
      <sz val="10"/>
      <color indexed="81"/>
      <name val="Calibri"/>
      <family val="2"/>
    </font>
    <font>
      <sz val="12"/>
      <name val="Calibri"/>
      <family val="2"/>
      <scheme val="minor"/>
    </font>
    <font>
      <sz val="8"/>
      <name val="Calibri"/>
      <family val="2"/>
      <scheme val="minor"/>
    </font>
    <font>
      <u/>
      <sz val="20"/>
      <color theme="1"/>
      <name val="Calibri"/>
      <family val="2"/>
      <scheme val="minor"/>
    </font>
    <font>
      <sz val="12"/>
      <color theme="1"/>
      <name val="Arial"/>
      <family val="2"/>
    </font>
    <font>
      <b/>
      <sz val="12"/>
      <color theme="1"/>
      <name val="Arial"/>
      <family val="2"/>
    </font>
    <font>
      <b/>
      <u/>
      <sz val="16"/>
      <color theme="1"/>
      <name val="Arial"/>
      <family val="2"/>
    </font>
    <font>
      <sz val="12"/>
      <name val="Arial"/>
      <family val="2"/>
    </font>
    <font>
      <b/>
      <sz val="12"/>
      <name val="Calibri"/>
      <family val="2"/>
      <scheme val="minor"/>
    </font>
    <font>
      <sz val="10"/>
      <color theme="1"/>
      <name val="Calibri"/>
      <family val="4"/>
      <scheme val="minor"/>
    </font>
    <font>
      <sz val="10"/>
      <color indexed="8"/>
      <name val="Arial"/>
      <family val="1"/>
    </font>
    <font>
      <sz val="10"/>
      <name val="Calibri"/>
      <family val="2"/>
    </font>
    <font>
      <b/>
      <sz val="13"/>
      <color theme="4"/>
      <name val="Calibri"/>
      <family val="2"/>
      <scheme val="minor"/>
    </font>
    <font>
      <i/>
      <sz val="10"/>
      <name val="Calibri"/>
      <family val="2"/>
      <scheme val="minor"/>
    </font>
    <font>
      <sz val="10"/>
      <color theme="8"/>
      <name val="Calibri"/>
      <family val="4"/>
      <scheme val="minor"/>
    </font>
    <font>
      <sz val="10"/>
      <color theme="1"/>
      <name val="Calibri"/>
      <family val="2"/>
    </font>
    <font>
      <b/>
      <sz val="13"/>
      <color theme="4"/>
      <name val="Calibri"/>
      <family val="4"/>
      <scheme val="minor"/>
    </font>
    <font>
      <i/>
      <sz val="10"/>
      <color theme="1"/>
      <name val="Calibri"/>
      <family val="4"/>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2"/>
      <color theme="1"/>
      <name val="Calibri Light"/>
      <family val="1"/>
      <scheme val="major"/>
    </font>
    <font>
      <b/>
      <sz val="11"/>
      <color theme="1"/>
      <name val="Calibri"/>
      <family val="1"/>
    </font>
    <font>
      <b/>
      <sz val="10"/>
      <color theme="1"/>
      <name val="Calibri"/>
      <family val="1"/>
    </font>
    <font>
      <sz val="10"/>
      <color theme="1"/>
      <name val="Calibri"/>
      <family val="1"/>
    </font>
    <font>
      <b/>
      <sz val="14"/>
      <name val="Calibri"/>
      <family val="2"/>
      <scheme val="minor"/>
    </font>
    <font>
      <b/>
      <sz val="10"/>
      <name val="Calibri"/>
      <family val="2"/>
      <scheme val="minor"/>
    </font>
    <font>
      <u/>
      <sz val="10"/>
      <color theme="4"/>
      <name val="Calibri"/>
      <family val="2"/>
    </font>
    <font>
      <sz val="14"/>
      <color theme="1"/>
      <name val="Calibri"/>
      <family val="1"/>
    </font>
    <font>
      <b/>
      <sz val="10"/>
      <color theme="1"/>
      <name val="Calibri"/>
      <family val="4"/>
      <scheme val="minor"/>
    </font>
    <font>
      <i/>
      <sz val="12"/>
      <color theme="1"/>
      <name val="Calibri"/>
      <family val="2"/>
      <scheme val="minor"/>
    </font>
    <font>
      <sz val="12"/>
      <color rgb="FFC00000"/>
      <name val="Calibri"/>
      <family val="2"/>
      <scheme val="minor"/>
    </font>
    <font>
      <sz val="10"/>
      <color theme="1"/>
      <name val="Calibri"/>
      <family val="2"/>
      <scheme val="minor"/>
    </font>
    <font>
      <sz val="12"/>
      <color theme="7"/>
      <name val="Calibri"/>
      <family val="2"/>
      <scheme val="minor"/>
    </font>
    <font>
      <sz val="12"/>
      <color theme="8"/>
      <name val="Calibri"/>
      <family val="2"/>
      <scheme val="minor"/>
    </font>
    <font>
      <sz val="12"/>
      <color theme="1" tint="0.499984740745262"/>
      <name val="Calibri"/>
      <family val="2"/>
      <scheme val="minor"/>
    </font>
    <font>
      <sz val="12"/>
      <color rgb="FFBE0000"/>
      <name val="Calibri"/>
      <family val="2"/>
      <scheme val="minor"/>
    </font>
    <font>
      <b/>
      <u/>
      <sz val="12"/>
      <color theme="5"/>
      <name val="Calibri"/>
      <family val="2"/>
      <scheme val="minor"/>
    </font>
    <font>
      <b/>
      <u/>
      <sz val="12"/>
      <color theme="1"/>
      <name val="Calibri"/>
      <family val="2"/>
      <scheme val="minor"/>
    </font>
    <font>
      <sz val="16"/>
      <color theme="1"/>
      <name val="Calibri (Body)"/>
    </font>
    <font>
      <b/>
      <sz val="16"/>
      <color theme="1"/>
      <name val="Calibri (Body)"/>
    </font>
    <font>
      <sz val="12"/>
      <color theme="0"/>
      <name val="Calibri"/>
      <family val="2"/>
      <scheme val="minor"/>
    </font>
    <font>
      <i/>
      <strike/>
      <sz val="12"/>
      <color theme="0" tint="-0.499984740745262"/>
      <name val="Calibri"/>
      <family val="2"/>
      <scheme val="minor"/>
    </font>
    <font>
      <b/>
      <sz val="12"/>
      <color rgb="FFFF0000"/>
      <name val="Calibri"/>
      <family val="2"/>
      <scheme val="minor"/>
    </font>
    <font>
      <b/>
      <i/>
      <sz val="12"/>
      <color theme="1"/>
      <name val="Calibri"/>
      <family val="2"/>
      <scheme val="minor"/>
    </font>
    <font>
      <sz val="12"/>
      <color rgb="FFFF0000"/>
      <name val="Calibri"/>
      <family val="2"/>
      <scheme val="minor"/>
    </font>
    <font>
      <b/>
      <sz val="10"/>
      <color theme="1"/>
      <name val="Arial"/>
      <family val="2"/>
    </font>
    <font>
      <sz val="10"/>
      <color theme="1"/>
      <name val="Arial"/>
      <family val="2"/>
    </font>
    <font>
      <u/>
      <sz val="12"/>
      <color theme="11"/>
      <name val="Calibri"/>
      <family val="2"/>
      <scheme val="minor"/>
    </font>
    <font>
      <sz val="9"/>
      <color indexed="81"/>
      <name val="Tahoma"/>
      <family val="2"/>
    </font>
    <font>
      <b/>
      <sz val="9"/>
      <color indexed="81"/>
      <name val="Tahoma"/>
      <family val="2"/>
    </font>
  </fonts>
  <fills count="23">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indexed="43"/>
        <bgColor indexed="64"/>
      </patternFill>
    </fill>
    <fill>
      <patternFill patternType="solid">
        <fgColor rgb="FFCCFFCC"/>
        <bgColor indexed="64"/>
      </patternFill>
    </fill>
    <fill>
      <patternFill patternType="solid">
        <fgColor theme="2"/>
        <bgColor indexed="64"/>
      </patternFill>
    </fill>
    <fill>
      <patternFill patternType="solid">
        <fgColor theme="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gradientFill degree="45">
        <stop position="0">
          <color theme="0"/>
        </stop>
        <stop position="0.5">
          <color theme="0" tint="-0.25098422193060094"/>
        </stop>
        <stop position="1">
          <color theme="0"/>
        </stop>
      </gradientFill>
    </fill>
    <fill>
      <patternFill patternType="solid">
        <fgColor rgb="FFBDD7EE"/>
        <bgColor indexed="64"/>
      </patternFill>
    </fill>
    <fill>
      <patternFill patternType="solid">
        <fgColor rgb="FFF8CBAD"/>
        <bgColor indexed="64"/>
      </patternFill>
    </fill>
    <fill>
      <patternFill patternType="solid">
        <fgColor indexed="9"/>
        <bgColor indexed="64"/>
      </patternFill>
    </fill>
    <fill>
      <patternFill patternType="solid">
        <fgColor rgb="FFFFFF00"/>
        <bgColor indexed="64"/>
      </patternFill>
    </fill>
  </fills>
  <borders count="39">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medium">
        <color rgb="FF000000"/>
      </left>
      <right/>
      <top/>
      <bottom/>
      <diagonal/>
    </border>
    <border>
      <left/>
      <right style="medium">
        <color rgb="FF000000"/>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theme="5"/>
      </left>
      <right style="thin">
        <color theme="5"/>
      </right>
      <top style="thin">
        <color theme="5"/>
      </top>
      <bottom style="thin">
        <color theme="5"/>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hair">
        <color theme="0" tint="-0.24994659260841701"/>
      </bottom>
      <diagonal/>
    </border>
    <border>
      <left style="thin">
        <color auto="1"/>
      </left>
      <right/>
      <top style="hair">
        <color theme="0" tint="-0.24994659260841701"/>
      </top>
      <bottom style="hair">
        <color theme="0" tint="-0.24994659260841701"/>
      </bottom>
      <diagonal/>
    </border>
    <border>
      <left style="thin">
        <color auto="1"/>
      </left>
      <right style="thin">
        <color auto="1"/>
      </right>
      <top style="hair">
        <color theme="0" tint="-0.24994659260841701"/>
      </top>
      <bottom style="hair">
        <color theme="0" tint="-0.24994659260841701"/>
      </bottom>
      <diagonal/>
    </border>
    <border>
      <left style="thin">
        <color auto="1"/>
      </left>
      <right/>
      <top style="hair">
        <color theme="0" tint="-0.24994659260841701"/>
      </top>
      <bottom style="thin">
        <color auto="1"/>
      </bottom>
      <diagonal/>
    </border>
    <border>
      <left style="thin">
        <color auto="1"/>
      </left>
      <right style="thin">
        <color auto="1"/>
      </right>
      <top style="hair">
        <color theme="0" tint="-0.24994659260841701"/>
      </top>
      <bottom style="thin">
        <color auto="1"/>
      </bottom>
      <diagonal/>
    </border>
    <border>
      <left style="thin">
        <color auto="1"/>
      </left>
      <right/>
      <top/>
      <bottom style="hair">
        <color theme="0" tint="-0.24994659260841701"/>
      </bottom>
      <diagonal/>
    </border>
    <border>
      <left style="thin">
        <color indexed="8"/>
      </left>
      <right style="thin">
        <color indexed="8"/>
      </right>
      <top style="thin">
        <color indexed="8"/>
      </top>
      <bottom style="thin">
        <color indexed="8"/>
      </bottom>
      <diagonal/>
    </border>
  </borders>
  <cellStyleXfs count="49">
    <xf numFmtId="0" fontId="0" fillId="0" borderId="0"/>
    <xf numFmtId="9" fontId="2" fillId="0" borderId="0" applyFont="0" applyFill="0" applyBorder="0" applyAlignment="0" applyProtection="0"/>
    <xf numFmtId="0" fontId="16" fillId="0" borderId="0">
      <alignment horizontal="right"/>
    </xf>
    <xf numFmtId="0" fontId="19" fillId="0" borderId="9">
      <alignment horizontal="center" vertical="center"/>
      <protection locked="0"/>
    </xf>
    <xf numFmtId="177" fontId="17" fillId="0" borderId="0" applyFont="0" applyFill="0" applyBorder="0" applyProtection="0">
      <alignment horizontal="right"/>
      <protection locked="0"/>
    </xf>
    <xf numFmtId="176" fontId="18" fillId="4" borderId="0" applyFont="0" applyBorder="0" applyProtection="0">
      <alignment horizontal="right"/>
    </xf>
    <xf numFmtId="0" fontId="19" fillId="11" borderId="9">
      <alignment horizontal="center"/>
    </xf>
    <xf numFmtId="0" fontId="21" fillId="8" borderId="11" applyNumberFormat="0">
      <protection locked="0"/>
    </xf>
    <xf numFmtId="0" fontId="16" fillId="12" borderId="0"/>
    <xf numFmtId="171" fontId="17" fillId="0" borderId="0" applyFont="0" applyFill="0" applyBorder="0" applyProtection="0">
      <protection locked="0"/>
    </xf>
    <xf numFmtId="172" fontId="17" fillId="0" borderId="0" applyFont="0" applyFill="0" applyBorder="0" applyAlignment="0" applyProtection="0">
      <alignment wrapText="1"/>
    </xf>
    <xf numFmtId="175" fontId="19" fillId="11" borderId="9">
      <alignment horizontal="center" vertical="center"/>
    </xf>
    <xf numFmtId="0" fontId="23" fillId="0" borderId="11" applyFill="0">
      <alignment horizontal="center"/>
    </xf>
    <xf numFmtId="0" fontId="23" fillId="0" borderId="11" applyFill="0">
      <alignment horizontal="center" vertical="center"/>
      <protection locked="0"/>
    </xf>
    <xf numFmtId="49" fontId="24" fillId="0" borderId="0" applyFill="0" applyProtection="0">
      <alignment vertical="top"/>
    </xf>
    <xf numFmtId="0" fontId="25" fillId="11" borderId="10" applyBorder="0"/>
    <xf numFmtId="0" fontId="26" fillId="11" borderId="0" applyNumberFormat="0" applyBorder="0">
      <alignment horizontal="right"/>
    </xf>
    <xf numFmtId="0" fontId="27" fillId="11" borderId="0" applyBorder="0">
      <alignment vertical="top" wrapText="1"/>
    </xf>
    <xf numFmtId="0" fontId="20" fillId="11" borderId="0" applyAlignment="0">
      <alignment horizontal="center"/>
    </xf>
    <xf numFmtId="0" fontId="28" fillId="0" borderId="0" applyNumberFormat="0" applyFill="0" applyAlignment="0"/>
    <xf numFmtId="0" fontId="29" fillId="0" borderId="0" applyNumberFormat="0" applyFill="0" applyAlignment="0"/>
    <xf numFmtId="0" fontId="30" fillId="0" borderId="0" applyNumberFormat="0" applyFill="0" applyAlignment="0"/>
    <xf numFmtId="49" fontId="31" fillId="10" borderId="0" applyFill="0" applyBorder="0">
      <alignment horizontal="left"/>
    </xf>
    <xf numFmtId="0" fontId="32" fillId="10" borderId="0" applyFill="0" applyBorder="0">
      <alignment wrapText="1"/>
    </xf>
    <xf numFmtId="0" fontId="33" fillId="4" borderId="0" applyBorder="0"/>
    <xf numFmtId="0" fontId="15" fillId="4" borderId="0" applyBorder="0"/>
    <xf numFmtId="0" fontId="34" fillId="4" borderId="0" applyBorder="0">
      <alignment horizontal="left"/>
    </xf>
    <xf numFmtId="0" fontId="34" fillId="4" borderId="0" applyBorder="0">
      <alignment horizontal="center" wrapText="1"/>
    </xf>
    <xf numFmtId="0" fontId="18" fillId="4" borderId="8" applyNumberFormat="0" applyFont="0" applyAlignment="0"/>
    <xf numFmtId="0" fontId="35" fillId="0" borderId="0" applyNumberFormat="0" applyFill="0" applyBorder="0" applyAlignment="0" applyProtection="0">
      <alignment vertical="top"/>
      <protection locked="0"/>
    </xf>
    <xf numFmtId="49" fontId="36" fillId="0" borderId="0" applyFill="0" applyBorder="0">
      <alignment horizontal="right" indent="1"/>
    </xf>
    <xf numFmtId="49" fontId="37" fillId="0" borderId="0" applyFill="0" applyBorder="0">
      <alignment horizontal="center" wrapText="1"/>
    </xf>
    <xf numFmtId="0" fontId="37" fillId="0" borderId="0" applyFill="0" applyBorder="0">
      <alignment horizontal="centerContinuous" wrapText="1"/>
    </xf>
    <xf numFmtId="49" fontId="16" fillId="0" borderId="0" applyFill="0" applyBorder="0">
      <alignment horizontal="left" indent="1"/>
    </xf>
    <xf numFmtId="0" fontId="16" fillId="12" borderId="11" applyNumberFormat="0">
      <alignment horizontal="left"/>
    </xf>
    <xf numFmtId="173" fontId="17" fillId="0" borderId="0" applyFont="0" applyFill="0" applyBorder="0" applyAlignment="0" applyProtection="0">
      <protection locked="0"/>
    </xf>
    <xf numFmtId="0" fontId="22" fillId="12" borderId="9" applyFill="0" applyProtection="0">
      <alignment horizontal="left" wrapText="1"/>
    </xf>
    <xf numFmtId="170" fontId="17" fillId="0" borderId="0" applyFont="0" applyFill="0" applyBorder="0" applyAlignment="0" applyProtection="0">
      <alignment horizontal="left"/>
      <protection locked="0"/>
    </xf>
    <xf numFmtId="174" fontId="17" fillId="0" borderId="0" applyFont="0" applyFill="0" applyBorder="0">
      <alignment horizontal="left"/>
      <protection locked="0"/>
    </xf>
    <xf numFmtId="0" fontId="32" fillId="13" borderId="0"/>
    <xf numFmtId="0" fontId="20" fillId="4" borderId="0" applyBorder="0">
      <alignment horizontal="center" wrapText="1"/>
    </xf>
    <xf numFmtId="177" fontId="17" fillId="0" borderId="0" applyFont="0" applyFill="0" applyBorder="0" applyProtection="0">
      <alignment horizontal="right"/>
      <protection locked="0"/>
    </xf>
    <xf numFmtId="0" fontId="16" fillId="0" borderId="0">
      <alignment horizontal="right"/>
    </xf>
    <xf numFmtId="9" fontId="16" fillId="0" borderId="0" applyFont="0" applyFill="0" applyBorder="0" applyAlignment="0" applyProtection="0"/>
    <xf numFmtId="0" fontId="1" fillId="0" borderId="0"/>
    <xf numFmtId="44" fontId="2" fillId="0" borderId="0" applyFont="0" applyFill="0" applyBorder="0" applyAlignment="0" applyProtection="0"/>
    <xf numFmtId="43" fontId="2"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cellStyleXfs>
  <cellXfs count="311">
    <xf numFmtId="0" fontId="0" fillId="0" borderId="0" xfId="0"/>
    <xf numFmtId="0" fontId="4" fillId="0" borderId="0" xfId="0" applyFont="1"/>
    <xf numFmtId="0" fontId="3" fillId="0" borderId="1" xfId="0" applyFont="1" applyBorder="1"/>
    <xf numFmtId="0" fontId="3" fillId="0" borderId="0" xfId="0" applyFont="1"/>
    <xf numFmtId="0" fontId="3" fillId="0" borderId="0" xfId="0" applyFont="1" applyBorder="1"/>
    <xf numFmtId="0" fontId="0" fillId="0" borderId="0" xfId="0" applyAlignment="1">
      <alignment horizontal="right" vertical="top"/>
    </xf>
    <xf numFmtId="0" fontId="0" fillId="0" borderId="0" xfId="0" applyAlignment="1">
      <alignment horizontal="right"/>
    </xf>
    <xf numFmtId="164" fontId="3" fillId="0" borderId="2" xfId="0" applyNumberFormat="1" applyFont="1" applyBorder="1"/>
    <xf numFmtId="0" fontId="0" fillId="0" borderId="0" xfId="0" applyFont="1"/>
    <xf numFmtId="0" fontId="0" fillId="0" borderId="0" xfId="0" applyFill="1"/>
    <xf numFmtId="3" fontId="0" fillId="0" borderId="0" xfId="0" applyNumberFormat="1"/>
    <xf numFmtId="0" fontId="3" fillId="0" borderId="2" xfId="0" applyFont="1" applyFill="1" applyBorder="1"/>
    <xf numFmtId="0" fontId="3" fillId="0" borderId="0" xfId="0" applyFont="1" applyFill="1" applyBorder="1"/>
    <xf numFmtId="3" fontId="5" fillId="0" borderId="0" xfId="0" applyNumberFormat="1" applyFont="1"/>
    <xf numFmtId="1" fontId="0" fillId="0" borderId="0" xfId="0" applyNumberFormat="1"/>
    <xf numFmtId="0" fontId="0" fillId="0" borderId="0" xfId="0" applyFont="1" applyAlignment="1">
      <alignment horizontal="right"/>
    </xf>
    <xf numFmtId="9" fontId="0" fillId="0" borderId="0" xfId="1" applyFont="1"/>
    <xf numFmtId="0" fontId="0" fillId="0" borderId="0" xfId="0" applyAlignment="1">
      <alignment horizontal="left" vertical="top" wrapText="1"/>
    </xf>
    <xf numFmtId="164" fontId="0" fillId="0" borderId="0" xfId="0" applyNumberFormat="1"/>
    <xf numFmtId="10" fontId="0" fillId="0" borderId="0" xfId="0" applyNumberFormat="1"/>
    <xf numFmtId="0" fontId="3" fillId="0" borderId="0" xfId="0" applyFont="1" applyAlignment="1">
      <alignment horizontal="left" vertical="top"/>
    </xf>
    <xf numFmtId="0" fontId="0" fillId="0" borderId="0" xfId="0" applyAlignment="1">
      <alignment horizontal="left" vertical="top"/>
    </xf>
    <xf numFmtId="165" fontId="5" fillId="0" borderId="0" xfId="0" applyNumberFormat="1" applyFont="1"/>
    <xf numFmtId="9" fontId="0" fillId="0" borderId="0" xfId="0" applyNumberFormat="1"/>
    <xf numFmtId="164" fontId="5" fillId="0" borderId="0" xfId="0" applyNumberFormat="1" applyFont="1"/>
    <xf numFmtId="166" fontId="5" fillId="0" borderId="0" xfId="0" applyNumberFormat="1" applyFont="1"/>
    <xf numFmtId="0" fontId="5" fillId="0" borderId="0" xfId="0" applyFont="1"/>
    <xf numFmtId="0" fontId="10" fillId="0" borderId="0" xfId="0" applyFont="1" applyBorder="1"/>
    <xf numFmtId="0" fontId="13" fillId="0" borderId="0" xfId="0" applyFont="1" applyAlignment="1">
      <alignment horizontal="left" vertical="top"/>
    </xf>
    <xf numFmtId="0" fontId="11" fillId="0" borderId="0" xfId="0" applyFont="1"/>
    <xf numFmtId="0" fontId="12" fillId="4" borderId="4" xfId="0" applyFont="1" applyFill="1" applyBorder="1" applyAlignment="1">
      <alignment horizontal="left" vertical="top" wrapText="1" indent="1"/>
    </xf>
    <xf numFmtId="0" fontId="12" fillId="4" borderId="0" xfId="0" applyFont="1" applyFill="1" applyAlignment="1">
      <alignment horizontal="left" vertical="center" wrapText="1" indent="1"/>
    </xf>
    <xf numFmtId="0" fontId="12" fillId="4" borderId="0" xfId="0" applyFont="1" applyFill="1" applyAlignment="1">
      <alignment vertical="center" wrapText="1"/>
    </xf>
    <xf numFmtId="0" fontId="12" fillId="4" borderId="0" xfId="0" applyFont="1" applyFill="1" applyAlignment="1">
      <alignment horizontal="right" vertical="center" wrapText="1"/>
    </xf>
    <xf numFmtId="0" fontId="11" fillId="4" borderId="4" xfId="0" applyFont="1" applyFill="1" applyBorder="1" applyAlignment="1">
      <alignment horizontal="left" vertical="top" wrapText="1"/>
    </xf>
    <xf numFmtId="0" fontId="11" fillId="4" borderId="0" xfId="0" applyFont="1" applyFill="1" applyAlignment="1">
      <alignment horizontal="left" vertical="center" wrapText="1" indent="1"/>
    </xf>
    <xf numFmtId="0" fontId="11" fillId="4" borderId="0" xfId="0" applyFont="1" applyFill="1" applyAlignment="1">
      <alignment vertical="center" wrapText="1"/>
    </xf>
    <xf numFmtId="0" fontId="11" fillId="4" borderId="5" xfId="0" applyFont="1" applyFill="1" applyBorder="1" applyAlignment="1">
      <alignment horizontal="right" vertical="center" wrapText="1"/>
    </xf>
    <xf numFmtId="0" fontId="11" fillId="4" borderId="4" xfId="0" applyFont="1" applyFill="1" applyBorder="1" applyAlignment="1">
      <alignment horizontal="left" vertical="top" wrapText="1" indent="2"/>
    </xf>
    <xf numFmtId="0" fontId="0" fillId="0" borderId="0" xfId="0" applyAlignment="1">
      <alignment horizontal="right" vertical="center"/>
    </xf>
    <xf numFmtId="164" fontId="0" fillId="5" borderId="0" xfId="0" applyNumberFormat="1" applyFont="1" applyFill="1"/>
    <xf numFmtId="164" fontId="0" fillId="5" borderId="0" xfId="0" applyNumberFormat="1" applyFont="1" applyFill="1" applyBorder="1"/>
    <xf numFmtId="3" fontId="0" fillId="5" borderId="0" xfId="0" applyNumberFormat="1" applyFill="1"/>
    <xf numFmtId="0" fontId="0" fillId="5" borderId="0" xfId="1" applyNumberFormat="1" applyFont="1" applyFill="1"/>
    <xf numFmtId="164" fontId="0" fillId="5" borderId="0" xfId="0" applyNumberFormat="1" applyFill="1"/>
    <xf numFmtId="9" fontId="0" fillId="5" borderId="0" xfId="1" applyFont="1" applyFill="1"/>
    <xf numFmtId="1" fontId="0" fillId="5" borderId="0" xfId="0" applyNumberFormat="1" applyFill="1"/>
    <xf numFmtId="9" fontId="0" fillId="5" borderId="0" xfId="0" applyNumberFormat="1" applyFill="1"/>
    <xf numFmtId="0" fontId="0" fillId="5" borderId="0" xfId="0" applyFill="1"/>
    <xf numFmtId="164" fontId="5" fillId="5" borderId="0" xfId="0" applyNumberFormat="1" applyFont="1" applyFill="1"/>
    <xf numFmtId="165" fontId="5" fillId="5" borderId="0" xfId="0" applyNumberFormat="1" applyFont="1" applyFill="1"/>
    <xf numFmtId="166" fontId="5" fillId="5" borderId="0" xfId="0" applyNumberFormat="1" applyFont="1" applyFill="1"/>
    <xf numFmtId="9" fontId="5" fillId="5" borderId="0" xfId="0" applyNumberFormat="1" applyFont="1" applyFill="1"/>
    <xf numFmtId="10" fontId="0" fillId="5" borderId="0" xfId="0" applyNumberFormat="1" applyFill="1"/>
    <xf numFmtId="9" fontId="0" fillId="6" borderId="0" xfId="0" applyNumberFormat="1" applyFill="1"/>
    <xf numFmtId="164" fontId="0" fillId="0" borderId="0" xfId="0" applyNumberFormat="1" applyFont="1" applyFill="1" applyBorder="1"/>
    <xf numFmtId="0" fontId="0" fillId="0" borderId="0" xfId="0" applyBorder="1"/>
    <xf numFmtId="3" fontId="0" fillId="0" borderId="0" xfId="0" applyNumberFormat="1" applyBorder="1"/>
    <xf numFmtId="10" fontId="8" fillId="5" borderId="0" xfId="1" applyNumberFormat="1" applyFont="1" applyFill="1"/>
    <xf numFmtId="0" fontId="0" fillId="7" borderId="0" xfId="0" applyFill="1"/>
    <xf numFmtId="2" fontId="0" fillId="0" borderId="0" xfId="0" applyNumberFormat="1"/>
    <xf numFmtId="1" fontId="5" fillId="0" borderId="0" xfId="0" applyNumberFormat="1" applyFont="1"/>
    <xf numFmtId="164" fontId="0" fillId="5" borderId="6" xfId="0" applyNumberFormat="1" applyFill="1" applyBorder="1"/>
    <xf numFmtId="164" fontId="0" fillId="5" borderId="7" xfId="0" applyNumberFormat="1" applyFill="1" applyBorder="1"/>
    <xf numFmtId="0" fontId="0" fillId="8" borderId="0" xfId="0" applyFill="1"/>
    <xf numFmtId="0" fontId="0" fillId="8" borderId="0" xfId="0" applyFill="1" applyAlignment="1">
      <alignment horizontal="right"/>
    </xf>
    <xf numFmtId="169" fontId="0" fillId="0" borderId="0" xfId="0" applyNumberFormat="1"/>
    <xf numFmtId="169" fontId="0" fillId="8" borderId="0" xfId="0" applyNumberFormat="1" applyFill="1" applyAlignment="1">
      <alignment horizontal="center"/>
    </xf>
    <xf numFmtId="10" fontId="0" fillId="8" borderId="0" xfId="1" applyNumberFormat="1" applyFont="1" applyFill="1" applyAlignment="1">
      <alignment horizontal="center"/>
    </xf>
    <xf numFmtId="0" fontId="0" fillId="8" borderId="0" xfId="0" applyFill="1" applyAlignment="1">
      <alignment horizontal="center"/>
    </xf>
    <xf numFmtId="165" fontId="0" fillId="0" borderId="0" xfId="0" applyNumberFormat="1"/>
    <xf numFmtId="0" fontId="0" fillId="0" borderId="0" xfId="0" applyFont="1" applyFill="1" applyBorder="1"/>
    <xf numFmtId="0" fontId="3" fillId="9" borderId="0" xfId="0" applyFont="1" applyFill="1"/>
    <xf numFmtId="0" fontId="0" fillId="9" borderId="0" xfId="0" applyFill="1"/>
    <xf numFmtId="1" fontId="0" fillId="8" borderId="13" xfId="0" applyNumberFormat="1" applyFill="1" applyBorder="1" applyAlignment="1">
      <alignment horizontal="center"/>
    </xf>
    <xf numFmtId="1" fontId="0" fillId="8" borderId="0" xfId="0" applyNumberFormat="1" applyFill="1" applyAlignment="1">
      <alignment horizontal="center"/>
    </xf>
    <xf numFmtId="178" fontId="0" fillId="8" borderId="13" xfId="1" applyNumberFormat="1" applyFont="1" applyFill="1" applyBorder="1" applyAlignment="1">
      <alignment horizontal="center"/>
    </xf>
    <xf numFmtId="2" fontId="0" fillId="8" borderId="13" xfId="0" applyNumberFormat="1" applyFill="1" applyBorder="1" applyAlignment="1">
      <alignment horizontal="center"/>
    </xf>
    <xf numFmtId="0" fontId="0" fillId="8" borderId="13" xfId="0" applyFill="1" applyBorder="1"/>
    <xf numFmtId="0" fontId="0" fillId="8" borderId="12" xfId="0" applyFill="1" applyBorder="1"/>
    <xf numFmtId="169" fontId="0" fillId="8" borderId="0" xfId="1" applyNumberFormat="1" applyFont="1" applyFill="1" applyAlignment="1">
      <alignment horizontal="center"/>
    </xf>
    <xf numFmtId="10" fontId="0" fillId="8" borderId="0" xfId="1" applyNumberFormat="1" applyFont="1" applyFill="1" applyAlignment="1">
      <alignment horizontal="center" vertical="center" wrapText="1"/>
    </xf>
    <xf numFmtId="0" fontId="8" fillId="0" borderId="0" xfId="0" applyFont="1" applyFill="1"/>
    <xf numFmtId="3" fontId="0" fillId="0" borderId="0" xfId="0" applyNumberFormat="1" applyFill="1"/>
    <xf numFmtId="3" fontId="8" fillId="0" borderId="0" xfId="0" applyNumberFormat="1" applyFont="1" applyFill="1"/>
    <xf numFmtId="9" fontId="0" fillId="0" borderId="0" xfId="1" applyFont="1" applyFill="1"/>
    <xf numFmtId="9" fontId="5" fillId="0" borderId="0" xfId="1" applyFont="1" applyFill="1"/>
    <xf numFmtId="0" fontId="8" fillId="0" borderId="0" xfId="1" applyNumberFormat="1" applyFont="1" applyFill="1"/>
    <xf numFmtId="164" fontId="3" fillId="0" borderId="13" xfId="0" applyNumberFormat="1" applyFont="1" applyFill="1" applyBorder="1"/>
    <xf numFmtId="164" fontId="3" fillId="0" borderId="14" xfId="0" applyNumberFormat="1" applyFont="1" applyFill="1" applyBorder="1"/>
    <xf numFmtId="3" fontId="3" fillId="0" borderId="13" xfId="0" applyNumberFormat="1" applyFont="1" applyBorder="1"/>
    <xf numFmtId="0" fontId="3" fillId="0" borderId="13" xfId="1" applyNumberFormat="1" applyFont="1" applyBorder="1"/>
    <xf numFmtId="0" fontId="3" fillId="0" borderId="14" xfId="1" applyNumberFormat="1" applyFont="1" applyBorder="1"/>
    <xf numFmtId="0" fontId="3" fillId="0" borderId="0" xfId="1" applyNumberFormat="1" applyFont="1" applyBorder="1"/>
    <xf numFmtId="0" fontId="0" fillId="0" borderId="12" xfId="0" applyBorder="1" applyAlignment="1">
      <alignment horizontal="left" vertical="top"/>
    </xf>
    <xf numFmtId="164" fontId="3" fillId="5" borderId="13" xfId="0" applyNumberFormat="1" applyFont="1" applyFill="1" applyBorder="1"/>
    <xf numFmtId="0" fontId="3" fillId="0" borderId="15" xfId="0" applyFont="1" applyBorder="1" applyAlignment="1">
      <alignment horizontal="left" vertical="top"/>
    </xf>
    <xf numFmtId="164" fontId="3" fillId="0" borderId="16" xfId="0" applyNumberFormat="1" applyFont="1" applyFill="1" applyBorder="1"/>
    <xf numFmtId="164" fontId="3" fillId="0" borderId="16" xfId="0" applyNumberFormat="1" applyFont="1" applyBorder="1"/>
    <xf numFmtId="164" fontId="3" fillId="0" borderId="17" xfId="0" applyNumberFormat="1" applyFont="1" applyBorder="1"/>
    <xf numFmtId="0" fontId="3" fillId="0" borderId="18" xfId="0" applyFont="1" applyBorder="1" applyAlignment="1">
      <alignment horizontal="left" vertical="top"/>
    </xf>
    <xf numFmtId="164" fontId="3" fillId="0" borderId="19" xfId="0" applyNumberFormat="1" applyFont="1" applyBorder="1"/>
    <xf numFmtId="164" fontId="3" fillId="0" borderId="20" xfId="0" applyNumberFormat="1" applyFont="1" applyBorder="1"/>
    <xf numFmtId="3" fontId="0" fillId="5" borderId="0" xfId="0" applyNumberFormat="1" applyFont="1" applyFill="1" applyBorder="1"/>
    <xf numFmtId="0" fontId="3" fillId="0" borderId="15" xfId="0" applyFont="1" applyBorder="1"/>
    <xf numFmtId="3" fontId="3" fillId="0" borderId="21" xfId="0" applyNumberFormat="1" applyFont="1" applyBorder="1"/>
    <xf numFmtId="0" fontId="3" fillId="0" borderId="12" xfId="0" applyFont="1" applyBorder="1"/>
    <xf numFmtId="3" fontId="3" fillId="0" borderId="14" xfId="0" applyNumberFormat="1" applyFont="1" applyFill="1" applyBorder="1"/>
    <xf numFmtId="3" fontId="15" fillId="0" borderId="14" xfId="0" applyNumberFormat="1" applyFont="1" applyFill="1" applyBorder="1"/>
    <xf numFmtId="0" fontId="0" fillId="0" borderId="12" xfId="0" applyFont="1" applyBorder="1"/>
    <xf numFmtId="0" fontId="11" fillId="0" borderId="4" xfId="0" applyFont="1" applyFill="1" applyBorder="1" applyAlignment="1">
      <alignment horizontal="left" vertical="top" wrapText="1"/>
    </xf>
    <xf numFmtId="0" fontId="11" fillId="0" borderId="0" xfId="0" applyFont="1" applyFill="1" applyAlignment="1">
      <alignment horizontal="left" vertical="center" wrapText="1" indent="1"/>
    </xf>
    <xf numFmtId="0" fontId="11" fillId="0" borderId="0" xfId="0" applyFont="1" applyFill="1" applyAlignment="1">
      <alignment vertical="center" wrapText="1"/>
    </xf>
    <xf numFmtId="0" fontId="11" fillId="0" borderId="4" xfId="0" applyFont="1" applyFill="1" applyBorder="1" applyAlignment="1">
      <alignment horizontal="left" vertical="top" wrapText="1" indent="2"/>
    </xf>
    <xf numFmtId="0" fontId="12" fillId="0" borderId="0" xfId="0" applyFont="1" applyFill="1" applyBorder="1" applyAlignment="1">
      <alignment horizontal="center" vertical="center" wrapText="1"/>
    </xf>
    <xf numFmtId="0" fontId="11" fillId="0" borderId="0" xfId="0" applyFont="1" applyFill="1" applyAlignment="1">
      <alignment horizontal="center"/>
    </xf>
    <xf numFmtId="0" fontId="11" fillId="0" borderId="0" xfId="0" applyFont="1" applyFill="1" applyBorder="1" applyAlignment="1">
      <alignment horizontal="right" vertical="center" wrapText="1"/>
    </xf>
    <xf numFmtId="0" fontId="14" fillId="0" borderId="9" xfId="0" applyFont="1" applyBorder="1" applyAlignment="1">
      <alignment horizontal="center" vertical="center" wrapText="1"/>
    </xf>
    <xf numFmtId="167" fontId="14" fillId="0" borderId="9" xfId="1" applyNumberFormat="1" applyFont="1" applyBorder="1" applyAlignment="1">
      <alignment horizontal="center" vertical="center" wrapText="1"/>
    </xf>
    <xf numFmtId="10" fontId="14" fillId="0" borderId="9" xfId="1" applyNumberFormat="1" applyFont="1" applyBorder="1" applyAlignment="1">
      <alignment horizontal="center" vertical="center" wrapText="1"/>
    </xf>
    <xf numFmtId="0" fontId="12" fillId="0" borderId="0" xfId="0" applyFont="1" applyFill="1" applyAlignment="1">
      <alignment horizontal="center" vertical="center" wrapText="1"/>
    </xf>
    <xf numFmtId="0" fontId="12" fillId="0" borderId="4" xfId="0" applyFont="1" applyFill="1" applyBorder="1" applyAlignment="1">
      <alignment horizontal="center" vertical="top" wrapText="1"/>
    </xf>
    <xf numFmtId="0" fontId="0" fillId="0" borderId="9" xfId="0" applyBorder="1"/>
    <xf numFmtId="0" fontId="39" fillId="8" borderId="0" xfId="0" applyFont="1" applyFill="1"/>
    <xf numFmtId="3" fontId="0" fillId="0" borderId="9" xfId="0" applyNumberFormat="1" applyBorder="1"/>
    <xf numFmtId="0" fontId="0" fillId="8" borderId="0" xfId="0" applyFill="1" applyBorder="1"/>
    <xf numFmtId="0" fontId="38" fillId="8" borderId="0" xfId="0" applyFont="1" applyFill="1" applyAlignment="1">
      <alignment horizontal="left"/>
    </xf>
    <xf numFmtId="1" fontId="0" fillId="0" borderId="0" xfId="0" applyNumberFormat="1" applyAlignment="1">
      <alignment horizontal="center"/>
    </xf>
    <xf numFmtId="1" fontId="0" fillId="0" borderId="9" xfId="0" applyNumberFormat="1" applyBorder="1"/>
    <xf numFmtId="164" fontId="0" fillId="0" borderId="0" xfId="0" applyNumberFormat="1" applyAlignment="1">
      <alignment horizontal="center"/>
    </xf>
    <xf numFmtId="0" fontId="0" fillId="0" borderId="0" xfId="0" applyAlignment="1">
      <alignment horizontal="center"/>
    </xf>
    <xf numFmtId="167" fontId="0" fillId="0" borderId="0" xfId="1" applyNumberFormat="1" applyFont="1" applyAlignment="1">
      <alignment horizontal="center"/>
    </xf>
    <xf numFmtId="2" fontId="0" fillId="0" borderId="0" xfId="0" applyNumberFormat="1" applyAlignment="1">
      <alignment horizontal="center"/>
    </xf>
    <xf numFmtId="9" fontId="0" fillId="8" borderId="0" xfId="1" applyFont="1" applyFill="1"/>
    <xf numFmtId="0" fontId="0" fillId="8" borderId="26" xfId="0" applyFill="1" applyBorder="1" applyAlignment="1">
      <alignment horizontal="center" vertical="center" wrapText="1"/>
    </xf>
    <xf numFmtId="0" fontId="0" fillId="8" borderId="27" xfId="0" applyFill="1" applyBorder="1" applyAlignment="1">
      <alignment horizontal="center"/>
    </xf>
    <xf numFmtId="1" fontId="0" fillId="8" borderId="28" xfId="0" applyNumberFormat="1" applyFill="1" applyBorder="1" applyAlignment="1">
      <alignment horizontal="center"/>
    </xf>
    <xf numFmtId="0" fontId="0" fillId="8" borderId="28" xfId="0" applyFill="1" applyBorder="1"/>
    <xf numFmtId="3" fontId="0" fillId="8" borderId="28" xfId="0" applyNumberFormat="1" applyFill="1" applyBorder="1" applyAlignment="1">
      <alignment horizontal="center"/>
    </xf>
    <xf numFmtId="0" fontId="0" fillId="8" borderId="29" xfId="0" applyFill="1" applyBorder="1"/>
    <xf numFmtId="0" fontId="0" fillId="8" borderId="30" xfId="0" applyFill="1" applyBorder="1" applyAlignment="1">
      <alignment horizontal="center"/>
    </xf>
    <xf numFmtId="1" fontId="0" fillId="8" borderId="31" xfId="0" applyNumberFormat="1" applyFill="1" applyBorder="1" applyAlignment="1">
      <alignment horizontal="center"/>
    </xf>
    <xf numFmtId="9" fontId="0" fillId="8" borderId="31" xfId="1" applyFont="1" applyFill="1" applyBorder="1"/>
    <xf numFmtId="3" fontId="0" fillId="8" borderId="31" xfId="0" applyNumberFormat="1" applyFill="1" applyBorder="1" applyAlignment="1">
      <alignment horizontal="center"/>
    </xf>
    <xf numFmtId="167" fontId="0" fillId="8" borderId="31" xfId="1" applyNumberFormat="1" applyFont="1" applyFill="1" applyBorder="1"/>
    <xf numFmtId="167" fontId="0" fillId="8" borderId="10" xfId="1" applyNumberFormat="1" applyFont="1" applyFill="1" applyBorder="1"/>
    <xf numFmtId="0" fontId="0" fillId="8" borderId="31" xfId="0" applyFill="1" applyBorder="1" applyAlignment="1">
      <alignment horizontal="center"/>
    </xf>
    <xf numFmtId="10" fontId="0" fillId="8" borderId="0" xfId="0" applyNumberFormat="1" applyFill="1"/>
    <xf numFmtId="0" fontId="44" fillId="8" borderId="0" xfId="0" applyFont="1" applyFill="1"/>
    <xf numFmtId="10" fontId="0" fillId="0" borderId="0" xfId="1" applyNumberFormat="1" applyFont="1"/>
    <xf numFmtId="1" fontId="0" fillId="8" borderId="30" xfId="0" applyNumberFormat="1" applyFill="1" applyBorder="1" applyAlignment="1">
      <alignment horizontal="center"/>
    </xf>
    <xf numFmtId="168" fontId="0" fillId="8" borderId="14" xfId="0" applyNumberFormat="1" applyFill="1" applyBorder="1" applyAlignment="1">
      <alignment horizontal="center"/>
    </xf>
    <xf numFmtId="0" fontId="45" fillId="8" borderId="0" xfId="0" applyFont="1" applyFill="1"/>
    <xf numFmtId="0" fontId="46" fillId="8" borderId="0" xfId="0" applyFont="1" applyFill="1"/>
    <xf numFmtId="0" fontId="0" fillId="8" borderId="26" xfId="0" applyFill="1" applyBorder="1" applyAlignment="1">
      <alignment horizontal="left" vertical="center"/>
    </xf>
    <xf numFmtId="0" fontId="0" fillId="8" borderId="26" xfId="0" applyFill="1" applyBorder="1" applyAlignment="1">
      <alignment horizontal="center" vertical="center"/>
    </xf>
    <xf numFmtId="10" fontId="0" fillId="8" borderId="26" xfId="1" applyNumberFormat="1" applyFont="1" applyFill="1" applyBorder="1" applyAlignment="1">
      <alignment horizontal="center" vertical="center" wrapText="1"/>
    </xf>
    <xf numFmtId="0" fontId="0" fillId="14" borderId="0" xfId="0" applyFill="1"/>
    <xf numFmtId="0" fontId="0" fillId="15" borderId="0" xfId="0" applyFill="1"/>
    <xf numFmtId="0" fontId="0" fillId="16" borderId="0" xfId="0" applyFill="1"/>
    <xf numFmtId="0" fontId="47" fillId="0" borderId="0" xfId="0" applyFont="1"/>
    <xf numFmtId="9" fontId="0" fillId="8" borderId="0" xfId="0" applyNumberFormat="1" applyFill="1"/>
    <xf numFmtId="167" fontId="0" fillId="8" borderId="0" xfId="1" applyNumberFormat="1" applyFont="1" applyFill="1"/>
    <xf numFmtId="0" fontId="48" fillId="0" borderId="0" xfId="0" applyFont="1"/>
    <xf numFmtId="0" fontId="3" fillId="8" borderId="0" xfId="0" applyFont="1" applyFill="1"/>
    <xf numFmtId="0" fontId="0" fillId="0" borderId="0" xfId="0" quotePrefix="1"/>
    <xf numFmtId="3" fontId="0" fillId="0" borderId="0" xfId="0" applyNumberFormat="1" applyAlignment="1">
      <alignment horizontal="center"/>
    </xf>
    <xf numFmtId="0" fontId="3" fillId="0" borderId="0" xfId="0" applyFont="1" applyAlignment="1">
      <alignment horizontal="center"/>
    </xf>
    <xf numFmtId="0" fontId="3" fillId="0" borderId="3" xfId="0" applyFont="1" applyBorder="1" applyAlignment="1">
      <alignment horizontal="right"/>
    </xf>
    <xf numFmtId="1" fontId="0" fillId="0" borderId="3" xfId="0" applyNumberFormat="1" applyBorder="1" applyAlignment="1">
      <alignment horizontal="center"/>
    </xf>
    <xf numFmtId="164" fontId="0" fillId="0" borderId="0" xfId="45" applyNumberFormat="1" applyFont="1" applyAlignment="1">
      <alignment horizontal="center"/>
    </xf>
    <xf numFmtId="165" fontId="0" fillId="0" borderId="0" xfId="0" applyNumberFormat="1" applyAlignment="1">
      <alignment horizontal="center"/>
    </xf>
    <xf numFmtId="0" fontId="0" fillId="0" borderId="0" xfId="0" applyAlignment="1">
      <alignment horizontal="left"/>
    </xf>
    <xf numFmtId="165" fontId="0" fillId="0" borderId="0" xfId="0" applyNumberFormat="1" applyAlignment="1">
      <alignment horizontal="left"/>
    </xf>
    <xf numFmtId="164" fontId="0" fillId="8" borderId="0" xfId="0" applyNumberFormat="1" applyFill="1" applyAlignment="1">
      <alignment horizontal="center"/>
    </xf>
    <xf numFmtId="164" fontId="3" fillId="8" borderId="0" xfId="0" applyNumberFormat="1" applyFont="1" applyFill="1" applyAlignment="1">
      <alignment horizontal="center"/>
    </xf>
    <xf numFmtId="0" fontId="49" fillId="8" borderId="0" xfId="0" applyFont="1" applyFill="1"/>
    <xf numFmtId="165" fontId="40" fillId="8" borderId="0" xfId="0" applyNumberFormat="1" applyFont="1" applyFill="1" applyAlignment="1">
      <alignment horizontal="center"/>
    </xf>
    <xf numFmtId="0" fontId="3" fillId="0" borderId="0" xfId="0" applyFont="1" applyAlignment="1">
      <alignment horizontal="left"/>
    </xf>
    <xf numFmtId="3" fontId="3" fillId="0" borderId="0" xfId="0" applyNumberFormat="1" applyFont="1" applyAlignment="1">
      <alignment horizontal="center"/>
    </xf>
    <xf numFmtId="165" fontId="0" fillId="0" borderId="0" xfId="0" applyNumberFormat="1" applyBorder="1" applyAlignment="1">
      <alignment horizontal="center"/>
    </xf>
    <xf numFmtId="0" fontId="3" fillId="0" borderId="0" xfId="0" applyFont="1" applyAlignment="1">
      <alignment horizontal="right"/>
    </xf>
    <xf numFmtId="0" fontId="40" fillId="0" borderId="0" xfId="0" applyFont="1" applyAlignment="1">
      <alignment horizontal="right"/>
    </xf>
    <xf numFmtId="0" fontId="0" fillId="0" borderId="0" xfId="0" applyFill="1" applyAlignment="1">
      <alignment horizontal="left"/>
    </xf>
    <xf numFmtId="0" fontId="3" fillId="0" borderId="3" xfId="0" applyFont="1" applyBorder="1" applyAlignment="1">
      <alignment horizontal="left"/>
    </xf>
    <xf numFmtId="164" fontId="50" fillId="0" borderId="0" xfId="0" applyNumberFormat="1" applyFont="1"/>
    <xf numFmtId="0" fontId="39" fillId="0" borderId="0" xfId="0" applyFont="1"/>
    <xf numFmtId="0" fontId="0" fillId="0" borderId="0" xfId="0" applyAlignment="1">
      <alignment horizontal="left" wrapText="1"/>
    </xf>
    <xf numFmtId="165" fontId="40" fillId="8" borderId="0" xfId="0" applyNumberFormat="1" applyFont="1" applyFill="1" applyAlignment="1">
      <alignment horizontal="left"/>
    </xf>
    <xf numFmtId="9" fontId="0" fillId="8" borderId="0" xfId="0" applyNumberFormat="1" applyFill="1" applyAlignment="1">
      <alignment horizontal="center"/>
    </xf>
    <xf numFmtId="0" fontId="3" fillId="17" borderId="8" xfId="0" applyFont="1" applyFill="1" applyBorder="1"/>
    <xf numFmtId="0" fontId="3" fillId="0" borderId="8" xfId="0" applyFont="1" applyFill="1" applyBorder="1"/>
    <xf numFmtId="0" fontId="0" fillId="0" borderId="22" xfId="0" applyFont="1" applyFill="1" applyBorder="1"/>
    <xf numFmtId="164" fontId="0" fillId="5" borderId="23" xfId="0" applyNumberFormat="1" applyFont="1" applyFill="1" applyBorder="1"/>
    <xf numFmtId="0" fontId="3" fillId="0" borderId="12" xfId="0" applyFont="1" applyFill="1" applyBorder="1"/>
    <xf numFmtId="9" fontId="8" fillId="0" borderId="0" xfId="1" applyFont="1" applyFill="1"/>
    <xf numFmtId="1" fontId="0" fillId="0" borderId="0" xfId="0" applyNumberFormat="1" applyFill="1"/>
    <xf numFmtId="179" fontId="0" fillId="0" borderId="0" xfId="0" applyNumberFormat="1"/>
    <xf numFmtId="0" fontId="0" fillId="0" borderId="0" xfId="0" applyAlignment="1">
      <alignment horizontal="center"/>
    </xf>
    <xf numFmtId="3" fontId="51" fillId="0" borderId="0" xfId="0" applyNumberFormat="1" applyFont="1" applyAlignment="1">
      <alignment horizontal="center"/>
    </xf>
    <xf numFmtId="1" fontId="0" fillId="0" borderId="8" xfId="0" applyNumberFormat="1" applyBorder="1" applyAlignment="1">
      <alignment horizontal="center"/>
    </xf>
    <xf numFmtId="0" fontId="3" fillId="15" borderId="0" xfId="0" applyFont="1" applyFill="1"/>
    <xf numFmtId="3" fontId="40" fillId="18" borderId="24" xfId="0" applyNumberFormat="1" applyFont="1" applyFill="1" applyBorder="1" applyAlignment="1">
      <alignment horizontal="center"/>
    </xf>
    <xf numFmtId="3" fontId="40" fillId="18" borderId="3" xfId="0" applyNumberFormat="1" applyFont="1" applyFill="1" applyBorder="1" applyAlignment="1">
      <alignment horizontal="center"/>
    </xf>
    <xf numFmtId="3" fontId="40" fillId="18" borderId="25" xfId="0" applyNumberFormat="1" applyFont="1" applyFill="1" applyBorder="1" applyAlignment="1">
      <alignment horizontal="center"/>
    </xf>
    <xf numFmtId="164" fontId="3" fillId="0" borderId="0" xfId="0" applyNumberFormat="1" applyFont="1" applyBorder="1"/>
    <xf numFmtId="3" fontId="0" fillId="8" borderId="0" xfId="0" applyNumberFormat="1" applyFill="1"/>
    <xf numFmtId="3" fontId="0" fillId="8" borderId="0" xfId="0" applyNumberFormat="1" applyFill="1" applyAlignment="1">
      <alignment horizontal="center"/>
    </xf>
    <xf numFmtId="180" fontId="0" fillId="0" borderId="0" xfId="45" applyNumberFormat="1" applyFont="1" applyAlignment="1">
      <alignment horizontal="center"/>
    </xf>
    <xf numFmtId="1" fontId="3" fillId="0" borderId="13" xfId="0" applyNumberFormat="1" applyFont="1" applyBorder="1"/>
    <xf numFmtId="1" fontId="3" fillId="0" borderId="14" xfId="0" applyNumberFormat="1" applyFont="1" applyFill="1" applyBorder="1"/>
    <xf numFmtId="10" fontId="0" fillId="0" borderId="0" xfId="1" applyNumberFormat="1" applyFont="1" applyAlignment="1">
      <alignment horizontal="center"/>
    </xf>
    <xf numFmtId="3" fontId="0" fillId="0" borderId="8" xfId="46" applyNumberFormat="1" applyFont="1" applyBorder="1" applyAlignment="1">
      <alignment horizontal="center"/>
    </xf>
    <xf numFmtId="0" fontId="0" fillId="8" borderId="33" xfId="0" applyFill="1" applyBorder="1" applyAlignment="1">
      <alignment horizontal="center"/>
    </xf>
    <xf numFmtId="0" fontId="0" fillId="8" borderId="35" xfId="0" applyFill="1" applyBorder="1" applyAlignment="1">
      <alignment horizontal="center"/>
    </xf>
    <xf numFmtId="0" fontId="0" fillId="8" borderId="37" xfId="0" applyFill="1" applyBorder="1" applyAlignment="1">
      <alignment horizontal="center"/>
    </xf>
    <xf numFmtId="0" fontId="40" fillId="8" borderId="9" xfId="0" applyFont="1" applyFill="1" applyBorder="1" applyAlignment="1">
      <alignment horizontal="center" vertical="center" wrapText="1"/>
    </xf>
    <xf numFmtId="164" fontId="0" fillId="8" borderId="27" xfId="1" applyNumberFormat="1" applyFont="1" applyFill="1" applyBorder="1" applyAlignment="1">
      <alignment horizontal="center"/>
    </xf>
    <xf numFmtId="164" fontId="0" fillId="8" borderId="30" xfId="1" applyNumberFormat="1" applyFont="1" applyFill="1" applyBorder="1" applyAlignment="1">
      <alignment horizontal="center"/>
    </xf>
    <xf numFmtId="164" fontId="0" fillId="8" borderId="0" xfId="1" applyNumberFormat="1" applyFont="1" applyFill="1" applyAlignment="1">
      <alignment horizontal="center"/>
    </xf>
    <xf numFmtId="164" fontId="0" fillId="8" borderId="32" xfId="1" applyNumberFormat="1" applyFont="1" applyFill="1" applyBorder="1" applyAlignment="1">
      <alignment horizontal="center"/>
    </xf>
    <xf numFmtId="164" fontId="0" fillId="8" borderId="34" xfId="1" applyNumberFormat="1" applyFont="1" applyFill="1" applyBorder="1" applyAlignment="1">
      <alignment horizontal="center"/>
    </xf>
    <xf numFmtId="164" fontId="0" fillId="8" borderId="36" xfId="1" applyNumberFormat="1" applyFont="1" applyFill="1" applyBorder="1" applyAlignment="1">
      <alignment horizontal="center"/>
    </xf>
    <xf numFmtId="0" fontId="0" fillId="8" borderId="12" xfId="0" applyFill="1" applyBorder="1" applyAlignment="1">
      <alignment horizontal="center" vertical="center" wrapText="1"/>
    </xf>
    <xf numFmtId="0" fontId="3" fillId="0" borderId="0" xfId="0" applyFont="1" applyAlignment="1">
      <alignment horizontal="left" vertical="top" wrapText="1"/>
    </xf>
    <xf numFmtId="3" fontId="0" fillId="0" borderId="0" xfId="0" applyNumberFormat="1" applyFont="1"/>
    <xf numFmtId="165" fontId="0" fillId="5" borderId="0" xfId="0" applyNumberFormat="1" applyFill="1"/>
    <xf numFmtId="3" fontId="3" fillId="0" borderId="12" xfId="0" applyNumberFormat="1" applyFont="1" applyFill="1" applyBorder="1"/>
    <xf numFmtId="164" fontId="3" fillId="0" borderId="13" xfId="0" applyNumberFormat="1" applyFont="1" applyFill="1" applyBorder="1" applyAlignment="1">
      <alignment horizontal="center"/>
    </xf>
    <xf numFmtId="164" fontId="3" fillId="0" borderId="14" xfId="0" applyNumberFormat="1" applyFont="1" applyFill="1" applyBorder="1" applyAlignment="1">
      <alignment horizontal="center"/>
    </xf>
    <xf numFmtId="10" fontId="0" fillId="0" borderId="0" xfId="1" applyNumberFormat="1" applyFont="1" applyFill="1"/>
    <xf numFmtId="3" fontId="3" fillId="0" borderId="0" xfId="0" applyNumberFormat="1" applyFont="1" applyFill="1" applyBorder="1"/>
    <xf numFmtId="164" fontId="3" fillId="0" borderId="0" xfId="0" applyNumberFormat="1" applyFont="1" applyFill="1" applyBorder="1" applyAlignment="1">
      <alignment horizontal="center"/>
    </xf>
    <xf numFmtId="3" fontId="3" fillId="0" borderId="13" xfId="0" applyNumberFormat="1" applyFont="1" applyFill="1" applyBorder="1" applyAlignment="1">
      <alignment horizontal="center"/>
    </xf>
    <xf numFmtId="3" fontId="3" fillId="0" borderId="14" xfId="0" applyNumberFormat="1" applyFont="1" applyFill="1" applyBorder="1" applyAlignment="1">
      <alignment horizontal="center"/>
    </xf>
    <xf numFmtId="164" fontId="0" fillId="0" borderId="0" xfId="0" applyNumberFormat="1" applyFont="1" applyAlignment="1">
      <alignment horizontal="center"/>
    </xf>
    <xf numFmtId="3" fontId="3" fillId="0" borderId="0" xfId="0" applyNumberFormat="1" applyFont="1" applyFill="1" applyBorder="1" applyAlignment="1">
      <alignment horizontal="center"/>
    </xf>
    <xf numFmtId="0" fontId="0" fillId="8" borderId="0" xfId="0" applyFill="1" applyBorder="1" applyAlignment="1">
      <alignment horizontal="center"/>
    </xf>
    <xf numFmtId="164" fontId="0" fillId="8" borderId="0" xfId="1" applyNumberFormat="1" applyFont="1" applyFill="1" applyBorder="1" applyAlignment="1">
      <alignment horizontal="center"/>
    </xf>
    <xf numFmtId="165" fontId="0" fillId="0" borderId="9" xfId="0" applyNumberFormat="1" applyBorder="1" applyAlignment="1">
      <alignment horizontal="center"/>
    </xf>
    <xf numFmtId="3" fontId="3" fillId="5" borderId="13" xfId="0" applyNumberFormat="1" applyFont="1" applyFill="1" applyBorder="1"/>
    <xf numFmtId="3" fontId="3" fillId="0" borderId="13" xfId="0" applyNumberFormat="1" applyFont="1" applyFill="1" applyBorder="1"/>
    <xf numFmtId="164" fontId="0" fillId="19" borderId="0" xfId="0" applyNumberFormat="1" applyFont="1" applyFill="1"/>
    <xf numFmtId="164" fontId="0" fillId="19" borderId="0" xfId="0" applyNumberFormat="1" applyFont="1" applyFill="1" applyBorder="1"/>
    <xf numFmtId="164" fontId="0" fillId="19" borderId="23" xfId="0" applyNumberFormat="1" applyFont="1" applyFill="1" applyBorder="1"/>
    <xf numFmtId="3" fontId="0" fillId="19" borderId="0" xfId="0" applyNumberFormat="1" applyFont="1" applyFill="1" applyBorder="1"/>
    <xf numFmtId="3" fontId="8" fillId="19" borderId="0" xfId="0" applyNumberFormat="1" applyFont="1" applyFill="1" applyBorder="1"/>
    <xf numFmtId="3" fontId="0" fillId="19" borderId="0" xfId="0" applyNumberFormat="1" applyFill="1"/>
    <xf numFmtId="3" fontId="8" fillId="19" borderId="0" xfId="0" applyNumberFormat="1" applyFont="1" applyFill="1"/>
    <xf numFmtId="0" fontId="0" fillId="19" borderId="0" xfId="0" applyFill="1"/>
    <xf numFmtId="0" fontId="0" fillId="20" borderId="0" xfId="0" applyFill="1"/>
    <xf numFmtId="3" fontId="8" fillId="20" borderId="0" xfId="0" applyNumberFormat="1" applyFont="1" applyFill="1" applyBorder="1"/>
    <xf numFmtId="0" fontId="8" fillId="20" borderId="0" xfId="1" applyNumberFormat="1" applyFont="1" applyFill="1"/>
    <xf numFmtId="3" fontId="8" fillId="20" borderId="0" xfId="0" applyNumberFormat="1" applyFont="1" applyFill="1"/>
    <xf numFmtId="0" fontId="0" fillId="0" borderId="0" xfId="0" applyAlignment="1">
      <alignment horizontal="center"/>
    </xf>
    <xf numFmtId="181" fontId="0" fillId="8" borderId="0" xfId="0" applyNumberFormat="1" applyFill="1" applyAlignment="1">
      <alignment horizontal="center"/>
    </xf>
    <xf numFmtId="9" fontId="52" fillId="0" borderId="0" xfId="1" applyFont="1" applyAlignment="1">
      <alignment horizontal="center"/>
    </xf>
    <xf numFmtId="164" fontId="0" fillId="0" borderId="8" xfId="0" applyNumberFormat="1" applyBorder="1" applyAlignment="1">
      <alignment horizontal="center"/>
    </xf>
    <xf numFmtId="0" fontId="0" fillId="0" borderId="12" xfId="0" applyBorder="1"/>
    <xf numFmtId="0" fontId="0" fillId="0" borderId="13" xfId="0" applyBorder="1"/>
    <xf numFmtId="0" fontId="0" fillId="20" borderId="13" xfId="0" applyFill="1" applyBorder="1"/>
    <xf numFmtId="0" fontId="2" fillId="19" borderId="0" xfId="1" applyNumberFormat="1" applyFont="1" applyFill="1" applyBorder="1"/>
    <xf numFmtId="164" fontId="2" fillId="19" borderId="0" xfId="1" applyNumberFormat="1" applyFont="1" applyFill="1" applyBorder="1"/>
    <xf numFmtId="0" fontId="0" fillId="0" borderId="0" xfId="0" applyFill="1" applyBorder="1"/>
    <xf numFmtId="0" fontId="0" fillId="19" borderId="0" xfId="1" applyNumberFormat="1" applyFont="1" applyFill="1" applyBorder="1"/>
    <xf numFmtId="1" fontId="14" fillId="0" borderId="9" xfId="0" applyNumberFormat="1" applyFont="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center" wrapText="1"/>
    </xf>
    <xf numFmtId="0" fontId="11" fillId="0" borderId="0" xfId="0" applyFont="1" applyAlignment="1">
      <alignment horizontal="right"/>
    </xf>
    <xf numFmtId="10" fontId="14" fillId="21" borderId="38" xfId="35" applyNumberFormat="1" applyFont="1" applyFill="1" applyBorder="1" applyAlignment="1">
      <protection locked="0"/>
    </xf>
    <xf numFmtId="10" fontId="14" fillId="21" borderId="38" xfId="35" applyNumberFormat="1" applyFont="1" applyFill="1" applyBorder="1" applyAlignment="1" applyProtection="1">
      <protection locked="0"/>
    </xf>
    <xf numFmtId="3" fontId="0" fillId="16" borderId="0" xfId="0" applyNumberFormat="1" applyFill="1"/>
    <xf numFmtId="182" fontId="0" fillId="0" borderId="0" xfId="0" applyNumberFormat="1"/>
    <xf numFmtId="0" fontId="0" fillId="0" borderId="0" xfId="0" applyAlignment="1">
      <alignment horizontal="center"/>
    </xf>
    <xf numFmtId="165" fontId="3" fillId="0" borderId="0" xfId="0" applyNumberFormat="1" applyFont="1" applyAlignment="1">
      <alignment horizontal="right"/>
    </xf>
    <xf numFmtId="165" fontId="0" fillId="0" borderId="0" xfId="0" applyNumberFormat="1" applyAlignment="1">
      <alignment horizontal="right"/>
    </xf>
    <xf numFmtId="183" fontId="0" fillId="0" borderId="8" xfId="0" applyNumberFormat="1" applyBorder="1" applyAlignment="1" applyProtection="1">
      <alignment horizontal="center"/>
      <protection locked="0"/>
    </xf>
    <xf numFmtId="0" fontId="3" fillId="0" borderId="0" xfId="0" applyFont="1" applyFill="1"/>
    <xf numFmtId="0" fontId="53" fillId="8" borderId="0" xfId="0" applyFont="1" applyFill="1"/>
    <xf numFmtId="164" fontId="51" fillId="8" borderId="0" xfId="0" applyNumberFormat="1" applyFont="1" applyFill="1" applyAlignment="1">
      <alignment horizontal="center"/>
    </xf>
    <xf numFmtId="0" fontId="54" fillId="8" borderId="0" xfId="0" applyFont="1" applyFill="1"/>
    <xf numFmtId="0" fontId="54" fillId="8" borderId="0" xfId="0" applyFont="1" applyFill="1" applyAlignment="1">
      <alignment horizontal="center" vertical="center"/>
    </xf>
    <xf numFmtId="0" fontId="54" fillId="8" borderId="0" xfId="0" applyFont="1" applyFill="1" applyAlignment="1">
      <alignment horizontal="center" vertical="center" wrapText="1"/>
    </xf>
    <xf numFmtId="0" fontId="55" fillId="8" borderId="0" xfId="0" applyFont="1" applyFill="1"/>
    <xf numFmtId="164" fontId="55" fillId="8" borderId="0" xfId="0" applyNumberFormat="1" applyFont="1" applyFill="1"/>
    <xf numFmtId="167" fontId="55" fillId="8" borderId="0" xfId="1" applyNumberFormat="1" applyFont="1" applyFill="1"/>
    <xf numFmtId="0" fontId="0" fillId="8" borderId="0" xfId="0" applyFill="1" applyAlignment="1">
      <alignment vertical="center"/>
    </xf>
    <xf numFmtId="10" fontId="8" fillId="0" borderId="0" xfId="1" applyNumberFormat="1" applyFont="1" applyFill="1"/>
    <xf numFmtId="164" fontId="53" fillId="0" borderId="0" xfId="0" applyNumberFormat="1" applyFont="1" applyFill="1" applyBorder="1"/>
    <xf numFmtId="0" fontId="38" fillId="8" borderId="0" xfId="0" applyFont="1" applyFill="1"/>
    <xf numFmtId="0" fontId="0" fillId="8" borderId="16" xfId="0" applyFill="1" applyBorder="1"/>
    <xf numFmtId="0" fontId="0" fillId="8" borderId="16" xfId="0" applyFill="1" applyBorder="1" applyAlignment="1">
      <alignment horizontal="right" vertical="center"/>
    </xf>
    <xf numFmtId="164" fontId="0" fillId="8" borderId="16" xfId="45" applyNumberFormat="1" applyFont="1" applyFill="1" applyBorder="1" applyAlignment="1">
      <alignment horizontal="left"/>
    </xf>
    <xf numFmtId="0" fontId="0" fillId="8" borderId="3" xfId="0" applyFill="1" applyBorder="1"/>
    <xf numFmtId="0" fontId="0" fillId="8" borderId="3" xfId="0" applyFill="1" applyBorder="1" applyAlignment="1">
      <alignment horizontal="right"/>
    </xf>
    <xf numFmtId="164" fontId="0" fillId="8" borderId="16" xfId="45" applyNumberFormat="1" applyFont="1" applyFill="1" applyBorder="1" applyAlignment="1">
      <alignment horizontal="center"/>
    </xf>
    <xf numFmtId="0" fontId="0" fillId="8" borderId="1" xfId="0" applyFill="1" applyBorder="1"/>
    <xf numFmtId="0" fontId="0" fillId="8" borderId="1" xfId="0" applyFill="1" applyBorder="1" applyAlignment="1">
      <alignment horizontal="right"/>
    </xf>
    <xf numFmtId="10" fontId="0" fillId="8" borderId="1" xfId="0" applyNumberFormat="1" applyFill="1" applyBorder="1" applyAlignment="1">
      <alignment horizontal="center"/>
    </xf>
    <xf numFmtId="0" fontId="0" fillId="8" borderId="12" xfId="0" applyFill="1" applyBorder="1" applyAlignment="1">
      <alignment horizontal="center"/>
    </xf>
    <xf numFmtId="164" fontId="3" fillId="0" borderId="2" xfId="45" applyNumberFormat="1" applyFont="1" applyBorder="1"/>
    <xf numFmtId="0" fontId="53" fillId="0" borderId="0" xfId="0" applyFont="1"/>
    <xf numFmtId="0" fontId="53" fillId="0" borderId="0" xfId="0" applyFont="1" applyFill="1"/>
    <xf numFmtId="1" fontId="0" fillId="0" borderId="0" xfId="0" applyNumberFormat="1" applyAlignment="1">
      <alignment horizontal="right"/>
    </xf>
    <xf numFmtId="1" fontId="0" fillId="22" borderId="8" xfId="0" applyNumberFormat="1" applyFill="1" applyBorder="1" applyAlignment="1">
      <alignment horizontal="center"/>
    </xf>
    <xf numFmtId="0" fontId="0" fillId="5" borderId="0" xfId="0" applyFill="1" applyAlignment="1">
      <alignment horizontal="center"/>
    </xf>
    <xf numFmtId="0" fontId="0" fillId="19" borderId="0" xfId="0" applyFill="1" applyAlignment="1">
      <alignment horizontal="center"/>
    </xf>
    <xf numFmtId="0" fontId="0" fillId="0" borderId="0" xfId="0" applyAlignment="1">
      <alignment horizontal="left" vertical="center"/>
    </xf>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cellXfs>
  <cellStyles count="49">
    <cellStyle name="AM Standard" xfId="3"/>
    <cellStyle name="Comma" xfId="46" builtinId="3"/>
    <cellStyle name="Comma [0] 2" xfId="41"/>
    <cellStyle name="Comma [0] 3" xfId="4"/>
    <cellStyle name="Comma(2)" xfId="5"/>
    <cellStyle name="Company Name" xfId="6"/>
    <cellStyle name="Currency" xfId="45" builtinId="4"/>
    <cellStyle name="Data Input" xfId="7"/>
    <cellStyle name="Data Rows" xfId="8"/>
    <cellStyle name="Date" xfId="9"/>
    <cellStyle name="Date (short)" xfId="10"/>
    <cellStyle name="Disclosure Date" xfId="11"/>
    <cellStyle name="Entry 1A" xfId="12"/>
    <cellStyle name="Entry 1B" xfId="13"/>
    <cellStyle name="Explanatory text 2" xfId="14"/>
    <cellStyle name="Followed Hyperlink" xfId="47" builtinId="9" hidden="1"/>
    <cellStyle name="Followed Hyperlink" xfId="48" builtinId="9" hidden="1"/>
    <cellStyle name="Header 1" xfId="15"/>
    <cellStyle name="Header Company" xfId="16"/>
    <cellStyle name="Header Text" xfId="17"/>
    <cellStyle name="Header Version" xfId="18"/>
    <cellStyle name="Heading 1 2" xfId="20"/>
    <cellStyle name="Heading 1 3" xfId="19"/>
    <cellStyle name="Heading 2 2" xfId="21"/>
    <cellStyle name="Heading 3 2" xfId="22"/>
    <cellStyle name="Heading 4 2" xfId="23"/>
    <cellStyle name="Heading1" xfId="24"/>
    <cellStyle name="Heading2" xfId="25"/>
    <cellStyle name="Heading3" xfId="26"/>
    <cellStyle name="Heading3WrapLow" xfId="27"/>
    <cellStyle name="Heavy Box 2" xfId="28"/>
    <cellStyle name="Hyperlink" xfId="29" builtinId="8" customBuiltin="1"/>
    <cellStyle name="Label 1" xfId="30"/>
    <cellStyle name="Label 2a" xfId="31"/>
    <cellStyle name="Label 2a centre" xfId="32"/>
    <cellStyle name="Label 2b" xfId="33"/>
    <cellStyle name="Link" xfId="34"/>
    <cellStyle name="Normal" xfId="0" builtinId="0"/>
    <cellStyle name="Normal 2" xfId="42"/>
    <cellStyle name="Normal 3" xfId="44"/>
    <cellStyle name="Normal 4" xfId="2"/>
    <cellStyle name="Percent" xfId="1" builtinId="5"/>
    <cellStyle name="Percent [0]" xfId="35"/>
    <cellStyle name="Percent 2" xfId="43"/>
    <cellStyle name="Table Text" xfId="36"/>
    <cellStyle name="Text" xfId="37"/>
    <cellStyle name="Text rjustify" xfId="38"/>
    <cellStyle name="Top rows" xfId="39"/>
    <cellStyle name="Year0" xfId="40"/>
  </cellStyles>
  <dxfs count="15">
    <dxf>
      <font>
        <color rgb="FFC00000"/>
      </font>
      <fill>
        <patternFill>
          <bgColor theme="0"/>
        </patternFill>
      </fill>
    </dxf>
    <dxf>
      <font>
        <color rgb="FFC00000"/>
      </font>
      <fill>
        <patternFill>
          <bgColor theme="0"/>
        </patternFill>
      </fill>
    </dxf>
    <dxf>
      <font>
        <color rgb="FFC00000"/>
      </font>
      <fill>
        <patternFill>
          <bgColor theme="0"/>
        </patternFill>
      </fill>
    </dxf>
    <dxf>
      <font>
        <color rgb="FFC00000"/>
      </font>
      <fill>
        <patternFill>
          <bgColor theme="0"/>
        </patternFill>
      </fill>
    </dxf>
    <dxf>
      <font>
        <color rgb="FFC00000"/>
      </font>
      <fill>
        <patternFill>
          <bgColor theme="0"/>
        </patternFill>
      </fill>
    </dxf>
    <dxf>
      <font>
        <color rgb="FFC00000"/>
      </font>
      <fill>
        <patternFill>
          <bgColor theme="0"/>
        </patternFill>
      </fill>
    </dxf>
    <dxf>
      <font>
        <color rgb="FFC00000"/>
      </font>
      <fill>
        <patternFill>
          <bgColor theme="0"/>
        </patternFill>
      </fill>
    </dxf>
    <dxf>
      <font>
        <color rgb="FFC00000"/>
      </font>
      <fill>
        <patternFill>
          <bgColor theme="0"/>
        </patternFill>
      </fill>
    </dxf>
    <dxf>
      <font>
        <color rgb="FFC00000"/>
      </font>
      <fill>
        <patternFill>
          <bgColor theme="0"/>
        </patternFill>
      </fill>
    </dxf>
    <dxf>
      <font>
        <color rgb="FFC00000"/>
      </font>
      <fill>
        <patternFill>
          <bgColor theme="0"/>
        </patternFill>
      </fill>
    </dxf>
    <dxf>
      <font>
        <color rgb="FFC00000"/>
      </font>
      <fill>
        <patternFill>
          <bgColor theme="0"/>
        </patternFill>
      </fill>
    </dxf>
    <dxf>
      <font>
        <color theme="0" tint="-0.24994659260841701"/>
      </font>
    </dxf>
    <dxf>
      <font>
        <color theme="0" tint="-0.24994659260841701"/>
      </font>
    </dxf>
    <dxf>
      <font>
        <color theme="0" tint="-0.14996795556505021"/>
      </font>
    </dxf>
    <dxf>
      <font>
        <color theme="0" tint="-0.14996795556505021"/>
      </font>
    </dxf>
  </dxfs>
  <tableStyles count="0" defaultTableStyle="TableStyleMedium9" defaultPivotStyle="PivotStyleMedium7"/>
  <colors>
    <mruColors>
      <color rgb="FF008000"/>
      <color rgb="FFF8CBAD"/>
      <color rgb="FFFFD5D5"/>
      <color rgb="FFF9D5BD"/>
      <color rgb="FF81B2DF"/>
      <color rgb="FF1438AC"/>
      <color rgb="FFBDD7EE"/>
      <color rgb="FF339966"/>
      <color rgb="FF2E6DEA"/>
      <color rgb="FF185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Change in Total Opex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Calculations!$A$30</c:f>
              <c:strCache>
                <c:ptCount val="1"/>
                <c:pt idx="0">
                  <c:v>White Height</c:v>
                </c:pt>
              </c:strCache>
            </c:strRef>
          </c:tx>
          <c:spPr>
            <a:noFill/>
            <a:ln>
              <a:noFill/>
            </a:ln>
            <a:effectLst/>
          </c:spPr>
          <c:invertIfNegative val="0"/>
          <c:cat>
            <c:numRef>
              <c:f>Calculations!$B$26:$N$26</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Calculations!$B$30:$N$30</c:f>
              <c:numCache>
                <c:formatCode>0</c:formatCode>
                <c:ptCount val="13"/>
                <c:pt idx="0">
                  <c:v>10763</c:v>
                </c:pt>
                <c:pt idx="1">
                  <c:v>10763</c:v>
                </c:pt>
                <c:pt idx="2">
                  <c:v>10816</c:v>
                </c:pt>
                <c:pt idx="3">
                  <c:v>10521</c:v>
                </c:pt>
                <c:pt idx="4">
                  <c:v>10521</c:v>
                </c:pt>
                <c:pt idx="5">
                  <c:v>11767</c:v>
                </c:pt>
                <c:pt idx="6">
                  <c:v>11770</c:v>
                </c:pt>
                <c:pt idx="7">
                  <c:v>11772</c:v>
                </c:pt>
                <c:pt idx="8">
                  <c:v>11775</c:v>
                </c:pt>
                <c:pt idx="9">
                  <c:v>11778</c:v>
                </c:pt>
                <c:pt idx="10">
                  <c:v>11780</c:v>
                </c:pt>
                <c:pt idx="11">
                  <c:v>11783</c:v>
                </c:pt>
                <c:pt idx="12">
                  <c:v>11786</c:v>
                </c:pt>
              </c:numCache>
            </c:numRef>
          </c:val>
          <c:extLst>
            <c:ext xmlns:c16="http://schemas.microsoft.com/office/drawing/2014/chart" uri="{C3380CC4-5D6E-409C-BE32-E72D297353CC}">
              <c16:uniqueId val="{00000000-690B-4673-A0DB-6890FD735F9E}"/>
            </c:ext>
          </c:extLst>
        </c:ser>
        <c:ser>
          <c:idx val="0"/>
          <c:order val="1"/>
          <c:tx>
            <c:strRef>
              <c:f>Calculations!$A$29</c:f>
              <c:strCache>
                <c:ptCount val="1"/>
                <c:pt idx="0">
                  <c:v>Change</c:v>
                </c:pt>
              </c:strCache>
            </c:strRef>
          </c:tx>
          <c:spPr>
            <a:solidFill>
              <a:schemeClr val="accent1"/>
            </a:solidFill>
            <a:ln>
              <a:noFill/>
            </a:ln>
            <a:effectLst/>
          </c:spPr>
          <c:invertIfNegative val="0"/>
          <c:dPt>
            <c:idx val="0"/>
            <c:invertIfNegative val="0"/>
            <c:bubble3D val="0"/>
            <c:spPr>
              <a:noFill/>
              <a:ln>
                <a:noFill/>
              </a:ln>
              <a:effectLst/>
            </c:spPr>
            <c:extLst>
              <c:ext xmlns:c16="http://schemas.microsoft.com/office/drawing/2014/chart" uri="{C3380CC4-5D6E-409C-BE32-E72D297353CC}">
                <c16:uniqueId val="{00000002-690B-4673-A0DB-6890FD735F9E}"/>
              </c:ext>
            </c:extLst>
          </c:dPt>
          <c:dPt>
            <c:idx val="1"/>
            <c:invertIfNegative val="0"/>
            <c:bubble3D val="0"/>
            <c:spPr>
              <a:solidFill>
                <a:srgbClr val="008000"/>
              </a:solidFill>
              <a:ln>
                <a:noFill/>
              </a:ln>
              <a:effectLst/>
            </c:spPr>
            <c:extLst>
              <c:ext xmlns:c16="http://schemas.microsoft.com/office/drawing/2014/chart" uri="{C3380CC4-5D6E-409C-BE32-E72D297353CC}">
                <c16:uniqueId val="{00000012-8392-4D3A-8BBC-C4FA7E28A755}"/>
              </c:ext>
            </c:extLst>
          </c:dPt>
          <c:dPt>
            <c:idx val="2"/>
            <c:invertIfNegative val="0"/>
            <c:bubble3D val="0"/>
            <c:extLst>
              <c:ext xmlns:c16="http://schemas.microsoft.com/office/drawing/2014/chart" uri="{C3380CC4-5D6E-409C-BE32-E72D297353CC}">
                <c16:uniqueId val="{00000002-7C02-4622-B5B1-22FF222BBA1C}"/>
              </c:ext>
            </c:extLst>
          </c:dPt>
          <c:dPt>
            <c:idx val="3"/>
            <c:invertIfNegative val="0"/>
            <c:bubble3D val="0"/>
            <c:spPr>
              <a:solidFill>
                <a:srgbClr val="008000"/>
              </a:solidFill>
              <a:ln>
                <a:solidFill>
                  <a:srgbClr val="F8CBAD"/>
                </a:solidFill>
              </a:ln>
              <a:effectLst/>
            </c:spPr>
            <c:extLst>
              <c:ext xmlns:c16="http://schemas.microsoft.com/office/drawing/2014/chart" uri="{C3380CC4-5D6E-409C-BE32-E72D297353CC}">
                <c16:uniqueId val="{00000018-CDDC-4810-8395-88F1936BC085}"/>
              </c:ext>
            </c:extLst>
          </c:dPt>
          <c:dPt>
            <c:idx val="4"/>
            <c:invertIfNegative val="0"/>
            <c:bubble3D val="0"/>
            <c:extLst>
              <c:ext xmlns:c16="http://schemas.microsoft.com/office/drawing/2014/chart" uri="{C3380CC4-5D6E-409C-BE32-E72D297353CC}">
                <c16:uniqueId val="{00000004-7C02-4622-B5B1-22FF222BBA1C}"/>
              </c:ext>
            </c:extLst>
          </c:dPt>
          <c:dPt>
            <c:idx val="6"/>
            <c:invertIfNegative val="0"/>
            <c:bubble3D val="0"/>
            <c:extLst>
              <c:ext xmlns:c16="http://schemas.microsoft.com/office/drawing/2014/chart" uri="{C3380CC4-5D6E-409C-BE32-E72D297353CC}">
                <c16:uniqueId val="{00000005-7C02-4622-B5B1-22FF222BBA1C}"/>
              </c:ext>
            </c:extLst>
          </c:dPt>
          <c:dPt>
            <c:idx val="7"/>
            <c:invertIfNegative val="0"/>
            <c:bubble3D val="0"/>
            <c:extLst>
              <c:ext xmlns:c16="http://schemas.microsoft.com/office/drawing/2014/chart" uri="{C3380CC4-5D6E-409C-BE32-E72D297353CC}">
                <c16:uniqueId val="{00000006-7C02-4622-B5B1-22FF222BBA1C}"/>
              </c:ext>
            </c:extLst>
          </c:dPt>
          <c:dPt>
            <c:idx val="8"/>
            <c:invertIfNegative val="0"/>
            <c:bubble3D val="0"/>
            <c:extLst>
              <c:ext xmlns:c16="http://schemas.microsoft.com/office/drawing/2014/chart" uri="{C3380CC4-5D6E-409C-BE32-E72D297353CC}">
                <c16:uniqueId val="{0000000C-54BE-4E2F-9722-23AF1BEAC23E}"/>
              </c:ext>
            </c:extLst>
          </c:dPt>
          <c:dPt>
            <c:idx val="10"/>
            <c:invertIfNegative val="0"/>
            <c:bubble3D val="0"/>
            <c:spPr>
              <a:solidFill>
                <a:srgbClr val="339966"/>
              </a:solidFill>
              <a:ln>
                <a:noFill/>
              </a:ln>
              <a:effectLst/>
            </c:spPr>
            <c:extLst>
              <c:ext xmlns:c16="http://schemas.microsoft.com/office/drawing/2014/chart" uri="{C3380CC4-5D6E-409C-BE32-E72D297353CC}">
                <c16:uniqueId val="{0000000D-54BE-4E2F-9722-23AF1BEAC23E}"/>
              </c:ext>
            </c:extLst>
          </c:dPt>
          <c:dPt>
            <c:idx val="11"/>
            <c:invertIfNegative val="0"/>
            <c:bubble3D val="0"/>
            <c:extLst>
              <c:ext xmlns:c16="http://schemas.microsoft.com/office/drawing/2014/chart" uri="{C3380CC4-5D6E-409C-BE32-E72D297353CC}">
                <c16:uniqueId val="{00000007-7C02-4622-B5B1-22FF222BBA1C}"/>
              </c:ext>
            </c:extLst>
          </c:dPt>
          <c:dPt>
            <c:idx val="12"/>
            <c:invertIfNegative val="0"/>
            <c:bubble3D val="0"/>
            <c:spPr>
              <a:solidFill>
                <a:srgbClr val="339966"/>
              </a:solidFill>
              <a:ln>
                <a:noFill/>
              </a:ln>
              <a:effectLst/>
            </c:spPr>
            <c:extLst>
              <c:ext xmlns:c16="http://schemas.microsoft.com/office/drawing/2014/chart" uri="{C3380CC4-5D6E-409C-BE32-E72D297353CC}">
                <c16:uniqueId val="{0000000E-54BE-4E2F-9722-23AF1BEAC23E}"/>
              </c:ext>
            </c:extLst>
          </c:dPt>
          <c:cat>
            <c:numRef>
              <c:f>Calculations!$B$26:$N$26</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Calculations!$B$29:$N$29</c:f>
              <c:numCache>
                <c:formatCode>0</c:formatCode>
                <c:ptCount val="13"/>
                <c:pt idx="0">
                  <c:v>0</c:v>
                </c:pt>
                <c:pt idx="1">
                  <c:v>53</c:v>
                </c:pt>
                <c:pt idx="2">
                  <c:v>9</c:v>
                </c:pt>
                <c:pt idx="3">
                  <c:v>304</c:v>
                </c:pt>
                <c:pt idx="4">
                  <c:v>1246</c:v>
                </c:pt>
                <c:pt idx="5">
                  <c:v>3</c:v>
                </c:pt>
                <c:pt idx="6">
                  <c:v>2</c:v>
                </c:pt>
                <c:pt idx="7">
                  <c:v>3</c:v>
                </c:pt>
                <c:pt idx="8">
                  <c:v>3</c:v>
                </c:pt>
                <c:pt idx="9">
                  <c:v>2</c:v>
                </c:pt>
                <c:pt idx="10">
                  <c:v>3</c:v>
                </c:pt>
                <c:pt idx="11">
                  <c:v>3</c:v>
                </c:pt>
                <c:pt idx="12">
                  <c:v>3</c:v>
                </c:pt>
              </c:numCache>
            </c:numRef>
          </c:val>
          <c:extLst>
            <c:ext xmlns:c16="http://schemas.microsoft.com/office/drawing/2014/chart" uri="{C3380CC4-5D6E-409C-BE32-E72D297353CC}">
              <c16:uniqueId val="{00000003-690B-4673-A0DB-6890FD735F9E}"/>
            </c:ext>
          </c:extLst>
        </c:ser>
        <c:dLbls>
          <c:showLegendKey val="0"/>
          <c:showVal val="0"/>
          <c:showCatName val="0"/>
          <c:showSerName val="0"/>
          <c:showPercent val="0"/>
          <c:showBubbleSize val="0"/>
        </c:dLbls>
        <c:gapWidth val="0"/>
        <c:overlap val="100"/>
        <c:axId val="-341421104"/>
        <c:axId val="-341418784"/>
      </c:barChart>
      <c:lineChart>
        <c:grouping val="standard"/>
        <c:varyColors val="0"/>
        <c:ser>
          <c:idx val="2"/>
          <c:order val="2"/>
          <c:tx>
            <c:strRef>
              <c:f>Calculations!$A$31</c:f>
              <c:strCache>
                <c:ptCount val="1"/>
                <c:pt idx="0">
                  <c:v>Maximum boundary</c:v>
                </c:pt>
              </c:strCache>
            </c:strRef>
          </c:tx>
          <c:spPr>
            <a:ln w="28575" cap="rnd">
              <a:solidFill>
                <a:srgbClr val="C00000"/>
              </a:solidFill>
              <a:prstDash val="sysDot"/>
              <a:round/>
            </a:ln>
            <a:effectLst/>
          </c:spPr>
          <c:marker>
            <c:symbol val="none"/>
          </c:marker>
          <c:val>
            <c:numRef>
              <c:f>Calculations!$B$31:$N$31</c:f>
              <c:numCache>
                <c:formatCode>0</c:formatCode>
                <c:ptCount val="13"/>
                <c:pt idx="0" formatCode="#,##0">
                  <c:v>11337.895833333334</c:v>
                </c:pt>
                <c:pt idx="1">
                  <c:v>11337.895833333334</c:v>
                </c:pt>
                <c:pt idx="2">
                  <c:v>11337.895833333334</c:v>
                </c:pt>
                <c:pt idx="3">
                  <c:v>11337.895833333334</c:v>
                </c:pt>
                <c:pt idx="4">
                  <c:v>11337.895833333334</c:v>
                </c:pt>
                <c:pt idx="5">
                  <c:v>11337.895833333334</c:v>
                </c:pt>
                <c:pt idx="6">
                  <c:v>11337.895833333334</c:v>
                </c:pt>
                <c:pt idx="7">
                  <c:v>11337.895833333334</c:v>
                </c:pt>
                <c:pt idx="8">
                  <c:v>11337.895833333334</c:v>
                </c:pt>
                <c:pt idx="9">
                  <c:v>11337.895833333334</c:v>
                </c:pt>
                <c:pt idx="10">
                  <c:v>11337.895833333334</c:v>
                </c:pt>
                <c:pt idx="11">
                  <c:v>11337.895833333334</c:v>
                </c:pt>
                <c:pt idx="12">
                  <c:v>11337.895833333334</c:v>
                </c:pt>
              </c:numCache>
            </c:numRef>
          </c:val>
          <c:smooth val="0"/>
          <c:extLst>
            <c:ext xmlns:c16="http://schemas.microsoft.com/office/drawing/2014/chart" uri="{C3380CC4-5D6E-409C-BE32-E72D297353CC}">
              <c16:uniqueId val="{00000004-690B-4673-A0DB-6890FD735F9E}"/>
            </c:ext>
          </c:extLst>
        </c:ser>
        <c:ser>
          <c:idx val="3"/>
          <c:order val="3"/>
          <c:tx>
            <c:strRef>
              <c:f>Calculations!$A$32</c:f>
              <c:strCache>
                <c:ptCount val="1"/>
                <c:pt idx="0">
                  <c:v>Minimum boundary</c:v>
                </c:pt>
              </c:strCache>
            </c:strRef>
          </c:tx>
          <c:spPr>
            <a:ln w="28575" cap="rnd">
              <a:solidFill>
                <a:srgbClr val="C00000"/>
              </a:solidFill>
              <a:prstDash val="sysDot"/>
              <a:round/>
            </a:ln>
            <a:effectLst/>
          </c:spPr>
          <c:marker>
            <c:symbol val="none"/>
          </c:marker>
          <c:val>
            <c:numRef>
              <c:f>Calculations!$B$32:$N$32</c:f>
              <c:numCache>
                <c:formatCode>0</c:formatCode>
                <c:ptCount val="13"/>
                <c:pt idx="0" formatCode="#,##0">
                  <c:v>10264.770833333334</c:v>
                </c:pt>
                <c:pt idx="1">
                  <c:v>10264.770833333334</c:v>
                </c:pt>
                <c:pt idx="2">
                  <c:v>10264.770833333334</c:v>
                </c:pt>
                <c:pt idx="3">
                  <c:v>10264.770833333334</c:v>
                </c:pt>
                <c:pt idx="4">
                  <c:v>10264.770833333334</c:v>
                </c:pt>
                <c:pt idx="5">
                  <c:v>10264.770833333334</c:v>
                </c:pt>
                <c:pt idx="6">
                  <c:v>10264.770833333334</c:v>
                </c:pt>
                <c:pt idx="7">
                  <c:v>10264.770833333334</c:v>
                </c:pt>
                <c:pt idx="8">
                  <c:v>10264.770833333334</c:v>
                </c:pt>
                <c:pt idx="9">
                  <c:v>10264.770833333334</c:v>
                </c:pt>
                <c:pt idx="10">
                  <c:v>10264.770833333334</c:v>
                </c:pt>
                <c:pt idx="11">
                  <c:v>10264.770833333334</c:v>
                </c:pt>
                <c:pt idx="12">
                  <c:v>10264.770833333334</c:v>
                </c:pt>
              </c:numCache>
            </c:numRef>
          </c:val>
          <c:smooth val="0"/>
          <c:extLst>
            <c:ext xmlns:c16="http://schemas.microsoft.com/office/drawing/2014/chart" uri="{C3380CC4-5D6E-409C-BE32-E72D297353CC}">
              <c16:uniqueId val="{00000005-690B-4673-A0DB-6890FD735F9E}"/>
            </c:ext>
          </c:extLst>
        </c:ser>
        <c:ser>
          <c:idx val="4"/>
          <c:order val="4"/>
          <c:tx>
            <c:v>Materiality Limit</c:v>
          </c:tx>
          <c:spPr>
            <a:ln w="6350" cap="rnd">
              <a:solidFill>
                <a:srgbClr val="C00000"/>
              </a:solidFill>
              <a:prstDash val="sysDash"/>
              <a:round/>
            </a:ln>
            <a:effectLst/>
          </c:spPr>
          <c:marker>
            <c:symbol val="none"/>
          </c:marker>
          <c:val>
            <c:numRef>
              <c:f>Base!$C$5:$O$5</c:f>
              <c:numCache>
                <c:formatCode>#,##0</c:formatCode>
                <c:ptCount val="13"/>
                <c:pt idx="0">
                  <c:v>10801.333333333334</c:v>
                </c:pt>
                <c:pt idx="1">
                  <c:v>10801.333333333334</c:v>
                </c:pt>
                <c:pt idx="2">
                  <c:v>10801.333333333334</c:v>
                </c:pt>
                <c:pt idx="3">
                  <c:v>10801.333333333334</c:v>
                </c:pt>
                <c:pt idx="4">
                  <c:v>10801.333333333334</c:v>
                </c:pt>
                <c:pt idx="5">
                  <c:v>10801.333333333334</c:v>
                </c:pt>
                <c:pt idx="6">
                  <c:v>10801.333333333334</c:v>
                </c:pt>
                <c:pt idx="7">
                  <c:v>10801.333333333334</c:v>
                </c:pt>
                <c:pt idx="8">
                  <c:v>10801.333333333334</c:v>
                </c:pt>
                <c:pt idx="9">
                  <c:v>10801.333333333334</c:v>
                </c:pt>
                <c:pt idx="10">
                  <c:v>10801.333333333334</c:v>
                </c:pt>
                <c:pt idx="11">
                  <c:v>10801.333333333334</c:v>
                </c:pt>
                <c:pt idx="12">
                  <c:v>10801.333333333334</c:v>
                </c:pt>
              </c:numCache>
            </c:numRef>
          </c:val>
          <c:smooth val="0"/>
          <c:extLst>
            <c:ext xmlns:c16="http://schemas.microsoft.com/office/drawing/2014/chart" uri="{C3380CC4-5D6E-409C-BE32-E72D297353CC}">
              <c16:uniqueId val="{00000006-690B-4673-A0DB-6890FD735F9E}"/>
            </c:ext>
          </c:extLst>
        </c:ser>
        <c:ser>
          <c:idx val="5"/>
          <c:order val="5"/>
          <c:tx>
            <c:strRef>
              <c:f>'Data Input Sheet'!$A$14</c:f>
              <c:strCache>
                <c:ptCount val="1"/>
                <c:pt idx="0">
                  <c:v>Total operational expenditure</c:v>
                </c:pt>
              </c:strCache>
            </c:strRef>
          </c:tx>
          <c:spPr>
            <a:ln w="19050" cap="rnd">
              <a:solidFill>
                <a:schemeClr val="accent1">
                  <a:lumMod val="60000"/>
                  <a:lumOff val="40000"/>
                </a:schemeClr>
              </a:solidFill>
              <a:round/>
            </a:ln>
            <a:effectLst/>
          </c:spPr>
          <c:marker>
            <c:symbol val="none"/>
          </c:marker>
          <c:val>
            <c:numRef>
              <c:f>'Data Input Sheet'!$B$14:$N$14</c:f>
              <c:numCache>
                <c:formatCode>"$"#,##0</c:formatCode>
                <c:ptCount val="13"/>
                <c:pt idx="0">
                  <c:v>10763</c:v>
                </c:pt>
                <c:pt idx="1">
                  <c:v>10816</c:v>
                </c:pt>
                <c:pt idx="2">
                  <c:v>10825</c:v>
                </c:pt>
                <c:pt idx="3">
                  <c:v>10521</c:v>
                </c:pt>
                <c:pt idx="4">
                  <c:v>11767</c:v>
                </c:pt>
                <c:pt idx="5">
                  <c:v>11770</c:v>
                </c:pt>
                <c:pt idx="6">
                  <c:v>11772</c:v>
                </c:pt>
                <c:pt idx="7">
                  <c:v>11775</c:v>
                </c:pt>
                <c:pt idx="8">
                  <c:v>11778</c:v>
                </c:pt>
                <c:pt idx="9">
                  <c:v>11780</c:v>
                </c:pt>
                <c:pt idx="10">
                  <c:v>11783</c:v>
                </c:pt>
                <c:pt idx="11">
                  <c:v>11786</c:v>
                </c:pt>
                <c:pt idx="12">
                  <c:v>11789</c:v>
                </c:pt>
              </c:numCache>
            </c:numRef>
          </c:val>
          <c:smooth val="0"/>
          <c:extLst>
            <c:ext xmlns:c16="http://schemas.microsoft.com/office/drawing/2014/chart" uri="{C3380CC4-5D6E-409C-BE32-E72D297353CC}">
              <c16:uniqueId val="{0000000C-BBA0-4626-93D0-8247C06BD690}"/>
            </c:ext>
          </c:extLst>
        </c:ser>
        <c:dLbls>
          <c:showLegendKey val="0"/>
          <c:showVal val="0"/>
          <c:showCatName val="0"/>
          <c:showSerName val="0"/>
          <c:showPercent val="0"/>
          <c:showBubbleSize val="0"/>
        </c:dLbls>
        <c:marker val="1"/>
        <c:smooth val="0"/>
        <c:axId val="-341421104"/>
        <c:axId val="-341418784"/>
      </c:lineChart>
      <c:catAx>
        <c:axId val="-34142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418784"/>
        <c:crosses val="autoZero"/>
        <c:auto val="1"/>
        <c:lblAlgn val="ctr"/>
        <c:lblOffset val="100"/>
        <c:noMultiLvlLbl val="0"/>
      </c:catAx>
      <c:valAx>
        <c:axId val="-34141878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$000s</a:t>
                </a:r>
              </a:p>
            </c:rich>
          </c:tx>
          <c:layout>
            <c:manualLayout>
              <c:xMode val="edge"/>
              <c:yMode val="edge"/>
              <c:x val="1.6806722689075598E-2"/>
              <c:y val="0.429354076502643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4211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Change in Total Capex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Calculations!$A$39</c:f>
              <c:strCache>
                <c:ptCount val="1"/>
                <c:pt idx="0">
                  <c:v>White Height</c:v>
                </c:pt>
              </c:strCache>
            </c:strRef>
          </c:tx>
          <c:spPr>
            <a:noFill/>
            <a:ln>
              <a:noFill/>
            </a:ln>
            <a:effectLst/>
          </c:spPr>
          <c:invertIfNegative val="0"/>
          <c:cat>
            <c:numRef>
              <c:f>Calculations!$B$35:$N$35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Calculations!$B$39:$N$39</c:f>
              <c:numCache>
                <c:formatCode>General</c:formatCode>
                <c:ptCount val="13"/>
                <c:pt idx="0">
                  <c:v>13694</c:v>
                </c:pt>
                <c:pt idx="1">
                  <c:v>13694</c:v>
                </c:pt>
                <c:pt idx="2">
                  <c:v>13339</c:v>
                </c:pt>
                <c:pt idx="3">
                  <c:v>13339</c:v>
                </c:pt>
                <c:pt idx="4">
                  <c:v>17491</c:v>
                </c:pt>
                <c:pt idx="5">
                  <c:v>17339</c:v>
                </c:pt>
                <c:pt idx="6">
                  <c:v>17339</c:v>
                </c:pt>
                <c:pt idx="7">
                  <c:v>17261</c:v>
                </c:pt>
                <c:pt idx="8">
                  <c:v>17261</c:v>
                </c:pt>
                <c:pt idx="9">
                  <c:v>16400</c:v>
                </c:pt>
                <c:pt idx="10">
                  <c:v>16257</c:v>
                </c:pt>
                <c:pt idx="11">
                  <c:v>16257</c:v>
                </c:pt>
                <c:pt idx="12">
                  <c:v>16634</c:v>
                </c:pt>
              </c:numCache>
            </c:numRef>
          </c:val>
          <c:extLst>
            <c:ext xmlns:c16="http://schemas.microsoft.com/office/drawing/2014/chart" uri="{C3380CC4-5D6E-409C-BE32-E72D297353CC}">
              <c16:uniqueId val="{00000000-B8E0-49D8-A5AD-AE3A737E2655}"/>
            </c:ext>
          </c:extLst>
        </c:ser>
        <c:ser>
          <c:idx val="0"/>
          <c:order val="1"/>
          <c:tx>
            <c:strRef>
              <c:f>Calculations!$A$37</c:f>
              <c:strCache>
                <c:ptCount val="1"/>
                <c:pt idx="0">
                  <c:v>Change</c:v>
                </c:pt>
              </c:strCache>
            </c:strRef>
          </c:tx>
          <c:spPr>
            <a:solidFill>
              <a:schemeClr val="accent1"/>
            </a:solidFill>
            <a:ln>
              <a:noFill/>
            </a:ln>
            <a:effectLst/>
          </c:spPr>
          <c:invertIfNegative val="0"/>
          <c:dPt>
            <c:idx val="0"/>
            <c:invertIfNegative val="0"/>
            <c:bubble3D val="0"/>
            <c:spPr>
              <a:solidFill>
                <a:schemeClr val="bg1"/>
              </a:solidFill>
              <a:ln>
                <a:noFill/>
              </a:ln>
              <a:effectLst/>
            </c:spPr>
            <c:extLst>
              <c:ext xmlns:c16="http://schemas.microsoft.com/office/drawing/2014/chart" uri="{C3380CC4-5D6E-409C-BE32-E72D297353CC}">
                <c16:uniqueId val="{00000002-B8E0-49D8-A5AD-AE3A737E2655}"/>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4-B8E0-49D8-A5AD-AE3A737E2655}"/>
              </c:ext>
            </c:extLst>
          </c:dPt>
          <c:dPt>
            <c:idx val="2"/>
            <c:invertIfNegative val="0"/>
            <c:bubble3D val="0"/>
            <c:spPr>
              <a:solidFill>
                <a:srgbClr val="008000"/>
              </a:solidFill>
              <a:ln>
                <a:noFill/>
              </a:ln>
              <a:effectLst/>
            </c:spPr>
            <c:extLst>
              <c:ext xmlns:c16="http://schemas.microsoft.com/office/drawing/2014/chart" uri="{C3380CC4-5D6E-409C-BE32-E72D297353CC}">
                <c16:uniqueId val="{00000012-BCE3-47B5-B5F3-1BC641E5625C}"/>
              </c:ext>
            </c:extLst>
          </c:dPt>
          <c:dPt>
            <c:idx val="3"/>
            <c:invertIfNegative val="0"/>
            <c:bubble3D val="0"/>
            <c:spPr>
              <a:solidFill>
                <a:srgbClr val="008000"/>
              </a:solidFill>
              <a:ln>
                <a:noFill/>
              </a:ln>
              <a:effectLst/>
            </c:spPr>
            <c:extLst>
              <c:ext xmlns:c16="http://schemas.microsoft.com/office/drawing/2014/chart" uri="{C3380CC4-5D6E-409C-BE32-E72D297353CC}">
                <c16:uniqueId val="{00000016-681A-4883-B027-4C0AFD2C8BE9}"/>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6-B8E0-49D8-A5AD-AE3A737E2655}"/>
              </c:ext>
            </c:extLst>
          </c:dPt>
          <c:dPt>
            <c:idx val="5"/>
            <c:invertIfNegative val="0"/>
            <c:bubble3D val="0"/>
            <c:spPr>
              <a:solidFill>
                <a:srgbClr val="008000"/>
              </a:solidFill>
              <a:ln>
                <a:noFill/>
              </a:ln>
              <a:effectLst/>
            </c:spPr>
            <c:extLst>
              <c:ext xmlns:c16="http://schemas.microsoft.com/office/drawing/2014/chart" uri="{C3380CC4-5D6E-409C-BE32-E72D297353CC}">
                <c16:uniqueId val="{00000008-B8E0-49D8-A5AD-AE3A737E2655}"/>
              </c:ext>
            </c:extLst>
          </c:dPt>
          <c:dPt>
            <c:idx val="6"/>
            <c:invertIfNegative val="0"/>
            <c:bubble3D val="0"/>
            <c:spPr>
              <a:solidFill>
                <a:srgbClr val="008000"/>
              </a:solidFill>
              <a:ln>
                <a:noFill/>
              </a:ln>
              <a:effectLst/>
            </c:spPr>
            <c:extLst>
              <c:ext xmlns:c16="http://schemas.microsoft.com/office/drawing/2014/chart" uri="{C3380CC4-5D6E-409C-BE32-E72D297353CC}">
                <c16:uniqueId val="{00000013-BCE3-47B5-B5F3-1BC641E5625C}"/>
              </c:ext>
            </c:extLst>
          </c:dPt>
          <c:dPt>
            <c:idx val="7"/>
            <c:invertIfNegative val="0"/>
            <c:bubble3D val="0"/>
            <c:spPr>
              <a:solidFill>
                <a:srgbClr val="339966"/>
              </a:solidFill>
              <a:ln>
                <a:noFill/>
              </a:ln>
              <a:effectLst/>
            </c:spPr>
            <c:extLst>
              <c:ext xmlns:c16="http://schemas.microsoft.com/office/drawing/2014/chart" uri="{C3380CC4-5D6E-409C-BE32-E72D297353CC}">
                <c16:uniqueId val="{0000000A-B8E0-49D8-A5AD-AE3A737E2655}"/>
              </c:ext>
            </c:extLst>
          </c:dPt>
          <c:dPt>
            <c:idx val="9"/>
            <c:invertIfNegative val="0"/>
            <c:bubble3D val="0"/>
            <c:spPr>
              <a:solidFill>
                <a:srgbClr val="008000"/>
              </a:solidFill>
              <a:ln>
                <a:noFill/>
              </a:ln>
              <a:effectLst/>
            </c:spPr>
            <c:extLst>
              <c:ext xmlns:c16="http://schemas.microsoft.com/office/drawing/2014/chart" uri="{C3380CC4-5D6E-409C-BE32-E72D297353CC}">
                <c16:uniqueId val="{0000000C-B8E0-49D8-A5AD-AE3A737E2655}"/>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E-B8E0-49D8-A5AD-AE3A737E2655}"/>
              </c:ext>
            </c:extLst>
          </c:dPt>
          <c:dPt>
            <c:idx val="11"/>
            <c:invertIfNegative val="0"/>
            <c:bubble3D val="0"/>
            <c:spPr>
              <a:solidFill>
                <a:schemeClr val="accent1"/>
              </a:solidFill>
              <a:ln>
                <a:noFill/>
              </a:ln>
              <a:effectLst/>
            </c:spPr>
            <c:extLst>
              <c:ext xmlns:c16="http://schemas.microsoft.com/office/drawing/2014/chart" uri="{C3380CC4-5D6E-409C-BE32-E72D297353CC}">
                <c16:uniqueId val="{00000014-6636-43C5-997A-4D8BE38BD371}"/>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10-28CA-4809-B280-84E758304636}"/>
              </c:ext>
            </c:extLst>
          </c:dPt>
          <c:cat>
            <c:numRef>
              <c:f>Calculations!$B$35:$N$35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Calculations!$B$38:$N$38</c:f>
              <c:numCache>
                <c:formatCode>General</c:formatCode>
                <c:ptCount val="13"/>
                <c:pt idx="0">
                  <c:v>0</c:v>
                </c:pt>
                <c:pt idx="1">
                  <c:v>5112</c:v>
                </c:pt>
                <c:pt idx="2">
                  <c:v>5467</c:v>
                </c:pt>
                <c:pt idx="3">
                  <c:v>4152</c:v>
                </c:pt>
                <c:pt idx="4">
                  <c:v>2094</c:v>
                </c:pt>
                <c:pt idx="5">
                  <c:v>2246</c:v>
                </c:pt>
                <c:pt idx="6">
                  <c:v>25</c:v>
                </c:pt>
                <c:pt idx="7">
                  <c:v>103</c:v>
                </c:pt>
                <c:pt idx="8">
                  <c:v>850</c:v>
                </c:pt>
                <c:pt idx="9">
                  <c:v>1711</c:v>
                </c:pt>
                <c:pt idx="10">
                  <c:v>143</c:v>
                </c:pt>
                <c:pt idx="11">
                  <c:v>507</c:v>
                </c:pt>
                <c:pt idx="12">
                  <c:v>130</c:v>
                </c:pt>
              </c:numCache>
            </c:numRef>
          </c:val>
          <c:extLst>
            <c:ext xmlns:c16="http://schemas.microsoft.com/office/drawing/2014/chart" uri="{C3380CC4-5D6E-409C-BE32-E72D297353CC}">
              <c16:uniqueId val="{0000000F-B8E0-49D8-A5AD-AE3A737E2655}"/>
            </c:ext>
          </c:extLst>
        </c:ser>
        <c:dLbls>
          <c:showLegendKey val="0"/>
          <c:showVal val="0"/>
          <c:showCatName val="0"/>
          <c:showSerName val="0"/>
          <c:showPercent val="0"/>
          <c:showBubbleSize val="0"/>
        </c:dLbls>
        <c:gapWidth val="0"/>
        <c:overlap val="100"/>
        <c:axId val="34724496"/>
        <c:axId val="34726816"/>
      </c:barChart>
      <c:lineChart>
        <c:grouping val="standard"/>
        <c:varyColors val="0"/>
        <c:ser>
          <c:idx val="2"/>
          <c:order val="2"/>
          <c:tx>
            <c:strRef>
              <c:f>Calculations!$A$40</c:f>
              <c:strCache>
                <c:ptCount val="1"/>
                <c:pt idx="0">
                  <c:v>Maximum boundary</c:v>
                </c:pt>
              </c:strCache>
            </c:strRef>
          </c:tx>
          <c:spPr>
            <a:ln w="28575" cap="rnd">
              <a:solidFill>
                <a:srgbClr val="C00000"/>
              </a:solidFill>
              <a:prstDash val="sysDot"/>
              <a:round/>
            </a:ln>
            <a:effectLst/>
          </c:spPr>
          <c:marker>
            <c:symbol val="none"/>
          </c:marker>
          <c:val>
            <c:numRef>
              <c:f>Calculations!$B$40:$N$40</c:f>
              <c:numCache>
                <c:formatCode>#,##0</c:formatCode>
                <c:ptCount val="13"/>
                <c:pt idx="0">
                  <c:v>17050.716666666667</c:v>
                </c:pt>
                <c:pt idx="1">
                  <c:v>17050.716666666667</c:v>
                </c:pt>
                <c:pt idx="2" formatCode="General">
                  <c:v>17050.716666666667</c:v>
                </c:pt>
                <c:pt idx="3" formatCode="General">
                  <c:v>17050.716666666667</c:v>
                </c:pt>
                <c:pt idx="4" formatCode="General">
                  <c:v>17050.716666666667</c:v>
                </c:pt>
                <c:pt idx="5" formatCode="General">
                  <c:v>17050.716666666667</c:v>
                </c:pt>
                <c:pt idx="6" formatCode="General">
                  <c:v>17050.716666666667</c:v>
                </c:pt>
                <c:pt idx="7" formatCode="General">
                  <c:v>17050.716666666667</c:v>
                </c:pt>
                <c:pt idx="8" formatCode="General">
                  <c:v>17050.716666666667</c:v>
                </c:pt>
                <c:pt idx="9" formatCode="General">
                  <c:v>17050.716666666667</c:v>
                </c:pt>
                <c:pt idx="10" formatCode="General">
                  <c:v>17050.716666666667</c:v>
                </c:pt>
                <c:pt idx="11" formatCode="General">
                  <c:v>17050.716666666667</c:v>
                </c:pt>
                <c:pt idx="12" formatCode="General">
                  <c:v>17050.716666666667</c:v>
                </c:pt>
              </c:numCache>
            </c:numRef>
          </c:val>
          <c:smooth val="0"/>
          <c:extLst>
            <c:ext xmlns:c16="http://schemas.microsoft.com/office/drawing/2014/chart" uri="{C3380CC4-5D6E-409C-BE32-E72D297353CC}">
              <c16:uniqueId val="{00000010-B8E0-49D8-A5AD-AE3A737E2655}"/>
            </c:ext>
          </c:extLst>
        </c:ser>
        <c:ser>
          <c:idx val="3"/>
          <c:order val="3"/>
          <c:tx>
            <c:strRef>
              <c:f>Calculations!$A$41</c:f>
              <c:strCache>
                <c:ptCount val="1"/>
                <c:pt idx="0">
                  <c:v>Minimum boundary</c:v>
                </c:pt>
              </c:strCache>
            </c:strRef>
          </c:tx>
          <c:spPr>
            <a:ln w="28575" cap="rnd">
              <a:solidFill>
                <a:srgbClr val="C00000"/>
              </a:solidFill>
              <a:prstDash val="sysDot"/>
              <a:round/>
            </a:ln>
            <a:effectLst/>
          </c:spPr>
          <c:marker>
            <c:symbol val="none"/>
          </c:marker>
          <c:val>
            <c:numRef>
              <c:f>Calculations!$B$41:$N$41</c:f>
              <c:numCache>
                <c:formatCode>#,##0</c:formatCode>
                <c:ptCount val="13"/>
                <c:pt idx="0">
                  <c:v>13508.616666666665</c:v>
                </c:pt>
                <c:pt idx="1">
                  <c:v>13508.616666666665</c:v>
                </c:pt>
                <c:pt idx="2" formatCode="General">
                  <c:v>13508.616666666665</c:v>
                </c:pt>
                <c:pt idx="3" formatCode="General">
                  <c:v>13508.616666666665</c:v>
                </c:pt>
                <c:pt idx="4" formatCode="General">
                  <c:v>13508.616666666665</c:v>
                </c:pt>
                <c:pt idx="5" formatCode="General">
                  <c:v>13508.616666666665</c:v>
                </c:pt>
                <c:pt idx="6" formatCode="General">
                  <c:v>13508.616666666665</c:v>
                </c:pt>
                <c:pt idx="7" formatCode="General">
                  <c:v>13508.616666666665</c:v>
                </c:pt>
                <c:pt idx="8" formatCode="General">
                  <c:v>13508.616666666665</c:v>
                </c:pt>
                <c:pt idx="9" formatCode="General">
                  <c:v>13508.616666666665</c:v>
                </c:pt>
                <c:pt idx="10" formatCode="General">
                  <c:v>13508.616666666665</c:v>
                </c:pt>
                <c:pt idx="11" formatCode="General">
                  <c:v>13508.616666666665</c:v>
                </c:pt>
                <c:pt idx="12" formatCode="General">
                  <c:v>13508.616666666665</c:v>
                </c:pt>
              </c:numCache>
            </c:numRef>
          </c:val>
          <c:smooth val="0"/>
          <c:extLst>
            <c:ext xmlns:c16="http://schemas.microsoft.com/office/drawing/2014/chart" uri="{C3380CC4-5D6E-409C-BE32-E72D297353CC}">
              <c16:uniqueId val="{00000011-B8E0-49D8-A5AD-AE3A737E2655}"/>
            </c:ext>
          </c:extLst>
        </c:ser>
        <c:ser>
          <c:idx val="4"/>
          <c:order val="4"/>
          <c:tx>
            <c:v>Materiality Limit</c:v>
          </c:tx>
          <c:spPr>
            <a:ln w="6350" cap="rnd">
              <a:solidFill>
                <a:srgbClr val="C00000"/>
              </a:solidFill>
              <a:prstDash val="sysDash"/>
              <a:round/>
            </a:ln>
            <a:effectLst/>
          </c:spPr>
          <c:marker>
            <c:symbol val="none"/>
          </c:marker>
          <c:val>
            <c:numRef>
              <c:f>Base!$C$4:$O$4</c:f>
              <c:numCache>
                <c:formatCode>#,##0</c:formatCode>
                <c:ptCount val="13"/>
                <c:pt idx="0">
                  <c:v>15279.666666666666</c:v>
                </c:pt>
                <c:pt idx="1">
                  <c:v>15279.666666666666</c:v>
                </c:pt>
                <c:pt idx="2">
                  <c:v>15279.666666666666</c:v>
                </c:pt>
                <c:pt idx="3">
                  <c:v>15279.666666666666</c:v>
                </c:pt>
                <c:pt idx="4">
                  <c:v>15279.666666666666</c:v>
                </c:pt>
                <c:pt idx="5">
                  <c:v>15279.666666666666</c:v>
                </c:pt>
                <c:pt idx="6">
                  <c:v>15279.666666666666</c:v>
                </c:pt>
                <c:pt idx="7">
                  <c:v>15279.666666666666</c:v>
                </c:pt>
                <c:pt idx="8">
                  <c:v>15279.666666666666</c:v>
                </c:pt>
                <c:pt idx="9">
                  <c:v>15279.666666666666</c:v>
                </c:pt>
                <c:pt idx="10">
                  <c:v>15279.666666666666</c:v>
                </c:pt>
                <c:pt idx="11">
                  <c:v>15279.666666666666</c:v>
                </c:pt>
                <c:pt idx="12">
                  <c:v>15279.666666666666</c:v>
                </c:pt>
              </c:numCache>
            </c:numRef>
          </c:val>
          <c:smooth val="0"/>
          <c:extLst>
            <c:ext xmlns:c16="http://schemas.microsoft.com/office/drawing/2014/chart" uri="{C3380CC4-5D6E-409C-BE32-E72D297353CC}">
              <c16:uniqueId val="{00000012-B8E0-49D8-A5AD-AE3A737E2655}"/>
            </c:ext>
          </c:extLst>
        </c:ser>
        <c:ser>
          <c:idx val="5"/>
          <c:order val="5"/>
          <c:tx>
            <c:strRef>
              <c:f>'Data Input Sheet'!$A$28</c:f>
              <c:strCache>
                <c:ptCount val="1"/>
                <c:pt idx="0">
                  <c:v>Total capital expenditure</c:v>
                </c:pt>
              </c:strCache>
            </c:strRef>
          </c:tx>
          <c:spPr>
            <a:ln w="19050" cap="rnd">
              <a:solidFill>
                <a:schemeClr val="accent2">
                  <a:lumMod val="60000"/>
                  <a:lumOff val="40000"/>
                </a:schemeClr>
              </a:solidFill>
              <a:round/>
            </a:ln>
            <a:effectLst/>
          </c:spPr>
          <c:marker>
            <c:symbol val="none"/>
          </c:marker>
          <c:val>
            <c:numRef>
              <c:f>Calculations!$B$36:$N$36</c:f>
              <c:numCache>
                <c:formatCode>General</c:formatCode>
                <c:ptCount val="13"/>
                <c:pt idx="0">
                  <c:v>13694</c:v>
                </c:pt>
                <c:pt idx="1">
                  <c:v>18806</c:v>
                </c:pt>
                <c:pt idx="2">
                  <c:v>13339</c:v>
                </c:pt>
                <c:pt idx="3">
                  <c:v>17491</c:v>
                </c:pt>
                <c:pt idx="4">
                  <c:v>19585</c:v>
                </c:pt>
                <c:pt idx="5">
                  <c:v>17339</c:v>
                </c:pt>
                <c:pt idx="6">
                  <c:v>17364</c:v>
                </c:pt>
                <c:pt idx="7">
                  <c:v>17261</c:v>
                </c:pt>
                <c:pt idx="8">
                  <c:v>18111</c:v>
                </c:pt>
                <c:pt idx="9">
                  <c:v>16400</c:v>
                </c:pt>
                <c:pt idx="10">
                  <c:v>16257</c:v>
                </c:pt>
                <c:pt idx="11">
                  <c:v>16764</c:v>
                </c:pt>
                <c:pt idx="12">
                  <c:v>16634</c:v>
                </c:pt>
              </c:numCache>
            </c:numRef>
          </c:val>
          <c:smooth val="0"/>
          <c:extLst>
            <c:ext xmlns:c16="http://schemas.microsoft.com/office/drawing/2014/chart" uri="{C3380CC4-5D6E-409C-BE32-E72D297353CC}">
              <c16:uniqueId val="{00000010-5923-4FB7-BC67-99615F08DAFF}"/>
            </c:ext>
          </c:extLst>
        </c:ser>
        <c:dLbls>
          <c:showLegendKey val="0"/>
          <c:showVal val="0"/>
          <c:showCatName val="0"/>
          <c:showSerName val="0"/>
          <c:showPercent val="0"/>
          <c:showBubbleSize val="0"/>
        </c:dLbls>
        <c:marker val="1"/>
        <c:smooth val="0"/>
        <c:axId val="34724496"/>
        <c:axId val="34726816"/>
      </c:lineChart>
      <c:catAx>
        <c:axId val="3472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26816"/>
        <c:crosses val="autoZero"/>
        <c:auto val="1"/>
        <c:lblAlgn val="ctr"/>
        <c:lblOffset val="100"/>
        <c:noMultiLvlLbl val="0"/>
      </c:catAx>
      <c:valAx>
        <c:axId val="34726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$000s</a:t>
                </a:r>
              </a:p>
            </c:rich>
          </c:tx>
          <c:layout>
            <c:manualLayout>
              <c:xMode val="edge"/>
              <c:yMode val="edge"/>
              <c:x val="1.2266146401769399E-2"/>
              <c:y val="0.4549973089446779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244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Opex to Output</a:t>
            </a:r>
          </a:p>
        </c:rich>
      </c:tx>
      <c:layout>
        <c:manualLayout>
          <c:xMode val="edge"/>
          <c:yMode val="edge"/>
          <c:x val="0.328176832817349"/>
          <c:y val="1.234802479340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557710915259602"/>
          <c:y val="0.24210050619271001"/>
          <c:w val="0.42958462103144301"/>
          <c:h val="0.66416194037575804"/>
        </c:manualLayout>
      </c:layout>
      <c:radarChart>
        <c:radarStyle val="marker"/>
        <c:varyColors val="0"/>
        <c:ser>
          <c:idx val="0"/>
          <c:order val="0"/>
          <c:tx>
            <c:strRef>
              <c:f>Calculations!$A$56</c:f>
              <c:strCache>
                <c:ptCount val="1"/>
                <c:pt idx="0">
                  <c:v>Annual GJ supplied/ICP</c:v>
                </c:pt>
              </c:strCache>
            </c:strRef>
          </c:tx>
          <c:spPr>
            <a:ln w="12700" cap="rnd">
              <a:solidFill>
                <a:srgbClr val="008000"/>
              </a:solidFill>
              <a:round/>
            </a:ln>
            <a:effectLst/>
          </c:spPr>
          <c:marker>
            <c:symbol val="circle"/>
            <c:size val="4"/>
            <c:spPr>
              <a:solidFill>
                <a:srgbClr val="008000"/>
              </a:solidFill>
              <a:ln w="9525" cap="rnd">
                <a:solidFill>
                  <a:schemeClr val="accent1"/>
                </a:solidFill>
              </a:ln>
              <a:effectLst/>
            </c:spPr>
          </c:marker>
          <c:dPt>
            <c:idx val="0"/>
            <c:marker>
              <c:symbol val="circle"/>
              <c:size val="4"/>
              <c:spPr>
                <a:solidFill>
                  <a:srgbClr val="008000"/>
                </a:solidFill>
                <a:ln w="9525" cap="rnd">
                  <a:solidFill>
                    <a:schemeClr val="accent1"/>
                  </a:solidFill>
                </a:ln>
                <a:effectLst/>
              </c:spPr>
            </c:marker>
            <c:bubble3D val="0"/>
            <c:spPr>
              <a:ln w="12700" cap="rnd">
                <a:noFill/>
                <a:round/>
              </a:ln>
              <a:effectLst/>
            </c:spPr>
            <c:extLst>
              <c:ext xmlns:c16="http://schemas.microsoft.com/office/drawing/2014/chart" uri="{C3380CC4-5D6E-409C-BE32-E72D297353CC}">
                <c16:uniqueId val="{00000001-0BCD-492E-9AD2-004283922FBF}"/>
              </c:ext>
            </c:extLst>
          </c:dPt>
          <c:cat>
            <c:numRef>
              <c:f>Calculations!$B$50:$N$50</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Calculations!$B$56:$N$56</c:f>
              <c:numCache>
                <c:formatCode>General</c:formatCode>
                <c:ptCount val="13"/>
                <c:pt idx="0">
                  <c:v>137.55237269993373</c:v>
                </c:pt>
                <c:pt idx="1">
                  <c:v>137.31654959996996</c:v>
                </c:pt>
                <c:pt idx="2">
                  <c:v>139.59782655305281</c:v>
                </c:pt>
                <c:pt idx="3">
                  <c:v>133.73180058268804</c:v>
                </c:pt>
                <c:pt idx="4">
                  <c:v>128.50963894712322</c:v>
                </c:pt>
                <c:pt idx="5">
                  <c:v>125.89186204399384</c:v>
                </c:pt>
                <c:pt idx="6">
                  <c:v>124.26246809259749</c:v>
                </c:pt>
                <c:pt idx="7">
                  <c:v>121.76079532323915</c:v>
                </c:pt>
                <c:pt idx="8">
                  <c:v>119.29816147082335</c:v>
                </c:pt>
                <c:pt idx="9">
                  <c:v>119.29816147082335</c:v>
                </c:pt>
                <c:pt idx="10">
                  <c:v>119.29816147082335</c:v>
                </c:pt>
                <c:pt idx="11">
                  <c:v>119.29816147082335</c:v>
                </c:pt>
                <c:pt idx="12">
                  <c:v>119.29816147082335</c:v>
                </c:pt>
              </c:numCache>
            </c:numRef>
          </c:val>
          <c:extLst>
            <c:ext xmlns:c16="http://schemas.microsoft.com/office/drawing/2014/chart" uri="{C3380CC4-5D6E-409C-BE32-E72D297353CC}">
              <c16:uniqueId val="{00000002-0BCD-492E-9AD2-004283922FBF}"/>
            </c:ext>
          </c:extLst>
        </c:ser>
        <c:ser>
          <c:idx val="1"/>
          <c:order val="1"/>
          <c:tx>
            <c:strRef>
              <c:f>Calculations!$A$59</c:f>
              <c:strCache>
                <c:ptCount val="1"/>
                <c:pt idx="0">
                  <c:v>Opex / ICP Network</c:v>
                </c:pt>
              </c:strCache>
            </c:strRef>
          </c:tx>
          <c:spPr>
            <a:ln w="15875" cap="rnd">
              <a:solidFill>
                <a:schemeClr val="accent1"/>
              </a:solidFill>
              <a:round/>
            </a:ln>
            <a:effectLst/>
          </c:spPr>
          <c:marker>
            <c:symbol val="none"/>
          </c:marker>
          <c:dPt>
            <c:idx val="0"/>
            <c:marker>
              <c:symbol val="none"/>
            </c:marker>
            <c:bubble3D val="0"/>
            <c:spPr>
              <a:ln w="15875" cap="rnd">
                <a:noFill/>
                <a:round/>
              </a:ln>
              <a:effectLst/>
            </c:spPr>
            <c:extLst>
              <c:ext xmlns:c16="http://schemas.microsoft.com/office/drawing/2014/chart" uri="{C3380CC4-5D6E-409C-BE32-E72D297353CC}">
                <c16:uniqueId val="{00000004-0BCD-492E-9AD2-004283922FBF}"/>
              </c:ext>
            </c:extLst>
          </c:dPt>
          <c:cat>
            <c:numRef>
              <c:f>Calculations!$B$50:$N$50</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Calculations!$B$59:$N$59</c:f>
              <c:numCache>
                <c:formatCode>"$"#,##0.00</c:formatCode>
                <c:ptCount val="13"/>
                <c:pt idx="0">
                  <c:v>68.575105764819824</c:v>
                </c:pt>
                <c:pt idx="1">
                  <c:v>67.710876560367609</c:v>
                </c:pt>
                <c:pt idx="2">
                  <c:v>66.312184902262274</c:v>
                </c:pt>
                <c:pt idx="3">
                  <c:v>100.82994709806026</c:v>
                </c:pt>
                <c:pt idx="4">
                  <c:v>109.63894712322386</c:v>
                </c:pt>
                <c:pt idx="5">
                  <c:v>106.54476328414954</c:v>
                </c:pt>
                <c:pt idx="6">
                  <c:v>103.61763929231581</c:v>
                </c:pt>
                <c:pt idx="7">
                  <c:v>100.78488098396858</c:v>
                </c:pt>
                <c:pt idx="8">
                  <c:v>98.07154276578737</c:v>
                </c:pt>
                <c:pt idx="9">
                  <c:v>98.088196109778849</c:v>
                </c:pt>
                <c:pt idx="10">
                  <c:v>98.11317612576606</c:v>
                </c:pt>
                <c:pt idx="11">
                  <c:v>98.138156141753271</c:v>
                </c:pt>
                <c:pt idx="12">
                  <c:v>98.163136157740468</c:v>
                </c:pt>
              </c:numCache>
            </c:numRef>
          </c:val>
          <c:extLst>
            <c:ext xmlns:c16="http://schemas.microsoft.com/office/drawing/2014/chart" uri="{C3380CC4-5D6E-409C-BE32-E72D297353CC}">
              <c16:uniqueId val="{00000005-0BCD-492E-9AD2-004283922FBF}"/>
            </c:ext>
          </c:extLst>
        </c:ser>
        <c:ser>
          <c:idx val="2"/>
          <c:order val="2"/>
          <c:tx>
            <c:v>Materiality Boundary</c:v>
          </c:tx>
          <c:spPr>
            <a:ln w="25400" cap="rnd">
              <a:solidFill>
                <a:srgbClr val="C00000"/>
              </a:solidFill>
              <a:prstDash val="sysDot"/>
              <a:round/>
            </a:ln>
            <a:effectLst/>
          </c:spPr>
          <c:marker>
            <c:symbol val="none"/>
          </c:marker>
          <c:dPt>
            <c:idx val="0"/>
            <c:marker>
              <c:symbol val="none"/>
            </c:marker>
            <c:bubble3D val="0"/>
            <c:spPr>
              <a:ln w="25400" cap="rnd">
                <a:noFill/>
                <a:prstDash val="sysDot"/>
                <a:round/>
              </a:ln>
              <a:effectLst/>
            </c:spPr>
            <c:extLst>
              <c:ext xmlns:c16="http://schemas.microsoft.com/office/drawing/2014/chart" uri="{C3380CC4-5D6E-409C-BE32-E72D297353CC}">
                <c16:uniqueId val="{00000007-0BCD-492E-9AD2-004283922FBF}"/>
              </c:ext>
            </c:extLst>
          </c:dPt>
          <c:val>
            <c:numRef>
              <c:f>Calculations!$B$72:$N$72</c:f>
              <c:numCache>
                <c:formatCode>"$"#,##0.00</c:formatCode>
                <c:ptCount val="13"/>
                <c:pt idx="0">
                  <c:v>68.81934179451892</c:v>
                </c:pt>
                <c:pt idx="1">
                  <c:v>67.619059543335553</c:v>
                </c:pt>
                <c:pt idx="2">
                  <c:v>66.16720676129043</c:v>
                </c:pt>
                <c:pt idx="3">
                  <c:v>103.51657338546859</c:v>
                </c:pt>
                <c:pt idx="4">
                  <c:v>100.64135414240236</c:v>
                </c:pt>
                <c:pt idx="5">
                  <c:v>97.7761684922</c:v>
                </c:pt>
                <c:pt idx="6">
                  <c:v>95.07379045271837</c:v>
                </c:pt>
                <c:pt idx="7">
                  <c:v>92.451048362477508</c:v>
                </c:pt>
                <c:pt idx="8">
                  <c:v>89.939159783284495</c:v>
                </c:pt>
                <c:pt idx="9">
                  <c:v>89.939159783284495</c:v>
                </c:pt>
                <c:pt idx="10">
                  <c:v>89.939159783284495</c:v>
                </c:pt>
                <c:pt idx="11">
                  <c:v>89.939159783284495</c:v>
                </c:pt>
                <c:pt idx="12">
                  <c:v>89.939159783284495</c:v>
                </c:pt>
              </c:numCache>
            </c:numRef>
          </c:val>
          <c:extLst>
            <c:ext xmlns:c16="http://schemas.microsoft.com/office/drawing/2014/chart" uri="{C3380CC4-5D6E-409C-BE32-E72D297353CC}">
              <c16:uniqueId val="{00000008-0BCD-492E-9AD2-004283922FBF}"/>
            </c:ext>
          </c:extLst>
        </c:ser>
        <c:dLbls>
          <c:showLegendKey val="0"/>
          <c:showVal val="0"/>
          <c:showCatName val="0"/>
          <c:showSerName val="0"/>
          <c:showPercent val="0"/>
          <c:showBubbleSize val="0"/>
        </c:dLbls>
        <c:axId val="34760208"/>
        <c:axId val="34762528"/>
      </c:radarChart>
      <c:catAx>
        <c:axId val="3476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62528"/>
        <c:crosses val="autoZero"/>
        <c:auto val="1"/>
        <c:lblAlgn val="ctr"/>
        <c:lblOffset val="100"/>
        <c:noMultiLvlLbl val="0"/>
      </c:catAx>
      <c:valAx>
        <c:axId val="34762528"/>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4760208"/>
        <c:crosses val="autoZero"/>
        <c:crossBetween val="between"/>
      </c:valAx>
      <c:spPr>
        <a:noFill/>
        <a:ln>
          <a:noFill/>
        </a:ln>
        <a:effectLst/>
      </c:spPr>
    </c:plotArea>
    <c:legend>
      <c:legendPos val="t"/>
      <c:layout>
        <c:manualLayout>
          <c:xMode val="edge"/>
          <c:yMode val="edge"/>
          <c:x val="0.15601312335958001"/>
          <c:y val="0.13004629629629599"/>
          <c:w val="0.79511636691169996"/>
          <c:h val="7.81255468066491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Calculations!$A$50</c:f>
          <c:strCache>
            <c:ptCount val="1"/>
            <c:pt idx="0">
              <c:v>Expenditure to estimated network size (km)</c:v>
            </c:pt>
          </c:strCache>
        </c:strRef>
      </c:tx>
      <c:layout>
        <c:manualLayout>
          <c:xMode val="edge"/>
          <c:yMode val="edge"/>
          <c:x val="0.29415803830916398"/>
          <c:y val="1.71172298017031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4106514303765"/>
          <c:y val="0.19588172642575299"/>
          <c:w val="0.71906771984868201"/>
          <c:h val="0.65692873631465898"/>
        </c:manualLayout>
      </c:layout>
      <c:lineChart>
        <c:grouping val="standard"/>
        <c:varyColors val="0"/>
        <c:ser>
          <c:idx val="0"/>
          <c:order val="0"/>
          <c:tx>
            <c:v>Opex</c:v>
          </c:tx>
          <c:marker>
            <c:symbol val="none"/>
          </c:marker>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Sheet'!$B$14:$N$14</c:f>
              <c:numCache>
                <c:formatCode>"$"#,##0</c:formatCode>
                <c:ptCount val="13"/>
                <c:pt idx="0">
                  <c:v>10763</c:v>
                </c:pt>
                <c:pt idx="1">
                  <c:v>10816</c:v>
                </c:pt>
                <c:pt idx="2">
                  <c:v>10825</c:v>
                </c:pt>
                <c:pt idx="3">
                  <c:v>10521</c:v>
                </c:pt>
                <c:pt idx="4">
                  <c:v>11767</c:v>
                </c:pt>
                <c:pt idx="5">
                  <c:v>11770</c:v>
                </c:pt>
                <c:pt idx="6">
                  <c:v>11772</c:v>
                </c:pt>
                <c:pt idx="7">
                  <c:v>11775</c:v>
                </c:pt>
                <c:pt idx="8">
                  <c:v>11778</c:v>
                </c:pt>
                <c:pt idx="9">
                  <c:v>11780</c:v>
                </c:pt>
                <c:pt idx="10">
                  <c:v>11783</c:v>
                </c:pt>
                <c:pt idx="11">
                  <c:v>11786</c:v>
                </c:pt>
                <c:pt idx="12">
                  <c:v>11789</c:v>
                </c:pt>
              </c:numCache>
            </c:numRef>
          </c:val>
          <c:smooth val="0"/>
          <c:extLst>
            <c:ext xmlns:c16="http://schemas.microsoft.com/office/drawing/2014/chart" uri="{C3380CC4-5D6E-409C-BE32-E72D297353CC}">
              <c16:uniqueId val="{00000007-C7C3-4E0F-A4DE-AFE85AA32CD1}"/>
            </c:ext>
          </c:extLst>
        </c:ser>
        <c:ser>
          <c:idx val="2"/>
          <c:order val="1"/>
          <c:tx>
            <c:v>Opex Boundary</c:v>
          </c:tx>
          <c:spPr>
            <a:ln w="19050">
              <a:solidFill>
                <a:schemeClr val="accent1">
                  <a:lumMod val="60000"/>
                  <a:lumOff val="40000"/>
                </a:schemeClr>
              </a:solidFill>
              <a:prstDash val="dash"/>
            </a:ln>
          </c:spPr>
          <c:marker>
            <c:symbol val="none"/>
          </c:marker>
          <c:val>
            <c:numRef>
              <c:f>Base!$C$5:$O$5</c:f>
              <c:numCache>
                <c:formatCode>#,##0</c:formatCode>
                <c:ptCount val="13"/>
                <c:pt idx="0">
                  <c:v>10801.333333333334</c:v>
                </c:pt>
                <c:pt idx="1">
                  <c:v>10801.333333333334</c:v>
                </c:pt>
                <c:pt idx="2">
                  <c:v>10801.333333333334</c:v>
                </c:pt>
                <c:pt idx="3">
                  <c:v>10801.333333333334</c:v>
                </c:pt>
                <c:pt idx="4">
                  <c:v>10801.333333333334</c:v>
                </c:pt>
                <c:pt idx="5">
                  <c:v>10801.333333333334</c:v>
                </c:pt>
                <c:pt idx="6">
                  <c:v>10801.333333333334</c:v>
                </c:pt>
                <c:pt idx="7">
                  <c:v>10801.333333333334</c:v>
                </c:pt>
                <c:pt idx="8">
                  <c:v>10801.333333333334</c:v>
                </c:pt>
                <c:pt idx="9">
                  <c:v>10801.333333333334</c:v>
                </c:pt>
                <c:pt idx="10">
                  <c:v>10801.333333333334</c:v>
                </c:pt>
                <c:pt idx="11">
                  <c:v>10801.333333333334</c:v>
                </c:pt>
                <c:pt idx="12">
                  <c:v>10801.333333333334</c:v>
                </c:pt>
              </c:numCache>
            </c:numRef>
          </c:val>
          <c:smooth val="0"/>
          <c:extLst>
            <c:ext xmlns:c16="http://schemas.microsoft.com/office/drawing/2014/chart" uri="{C3380CC4-5D6E-409C-BE32-E72D297353CC}">
              <c16:uniqueId val="{00000008-C7C3-4E0F-A4DE-AFE85AA32CD1}"/>
            </c:ext>
          </c:extLst>
        </c:ser>
        <c:ser>
          <c:idx val="3"/>
          <c:order val="2"/>
          <c:tx>
            <c:v>Capex</c:v>
          </c:tx>
          <c:spPr>
            <a:ln>
              <a:solidFill>
                <a:schemeClr val="accent2"/>
              </a:solidFill>
            </a:ln>
          </c:spPr>
          <c:marker>
            <c:symbol val="none"/>
          </c:marker>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Calculations!$B$36:$N$36</c:f>
              <c:numCache>
                <c:formatCode>General</c:formatCode>
                <c:ptCount val="13"/>
                <c:pt idx="0">
                  <c:v>13694</c:v>
                </c:pt>
                <c:pt idx="1">
                  <c:v>18806</c:v>
                </c:pt>
                <c:pt idx="2">
                  <c:v>13339</c:v>
                </c:pt>
                <c:pt idx="3">
                  <c:v>17491</c:v>
                </c:pt>
                <c:pt idx="4">
                  <c:v>19585</c:v>
                </c:pt>
                <c:pt idx="5">
                  <c:v>17339</c:v>
                </c:pt>
                <c:pt idx="6">
                  <c:v>17364</c:v>
                </c:pt>
                <c:pt idx="7">
                  <c:v>17261</c:v>
                </c:pt>
                <c:pt idx="8">
                  <c:v>18111</c:v>
                </c:pt>
                <c:pt idx="9">
                  <c:v>16400</c:v>
                </c:pt>
                <c:pt idx="10">
                  <c:v>16257</c:v>
                </c:pt>
                <c:pt idx="11">
                  <c:v>16764</c:v>
                </c:pt>
                <c:pt idx="12">
                  <c:v>16634</c:v>
                </c:pt>
              </c:numCache>
            </c:numRef>
          </c:val>
          <c:smooth val="0"/>
          <c:extLst>
            <c:ext xmlns:c16="http://schemas.microsoft.com/office/drawing/2014/chart" uri="{C3380CC4-5D6E-409C-BE32-E72D297353CC}">
              <c16:uniqueId val="{00000009-C7C3-4E0F-A4DE-AFE85AA32CD1}"/>
            </c:ext>
          </c:extLst>
        </c:ser>
        <c:ser>
          <c:idx val="4"/>
          <c:order val="3"/>
          <c:tx>
            <c:v>Capex Boundary</c:v>
          </c:tx>
          <c:spPr>
            <a:ln w="19050">
              <a:solidFill>
                <a:schemeClr val="accent2">
                  <a:lumMod val="50000"/>
                </a:schemeClr>
              </a:solidFill>
              <a:prstDash val="sysDot"/>
            </a:ln>
          </c:spPr>
          <c:marker>
            <c:symbol val="none"/>
          </c:marker>
          <c:val>
            <c:numRef>
              <c:f>Base!$C$4:$O$4</c:f>
              <c:numCache>
                <c:formatCode>#,##0</c:formatCode>
                <c:ptCount val="13"/>
                <c:pt idx="0">
                  <c:v>15279.666666666666</c:v>
                </c:pt>
                <c:pt idx="1">
                  <c:v>15279.666666666666</c:v>
                </c:pt>
                <c:pt idx="2">
                  <c:v>15279.666666666666</c:v>
                </c:pt>
                <c:pt idx="3">
                  <c:v>15279.666666666666</c:v>
                </c:pt>
                <c:pt idx="4">
                  <c:v>15279.666666666666</c:v>
                </c:pt>
                <c:pt idx="5">
                  <c:v>15279.666666666666</c:v>
                </c:pt>
                <c:pt idx="6">
                  <c:v>15279.666666666666</c:v>
                </c:pt>
                <c:pt idx="7">
                  <c:v>15279.666666666666</c:v>
                </c:pt>
                <c:pt idx="8">
                  <c:v>15279.666666666666</c:v>
                </c:pt>
                <c:pt idx="9">
                  <c:v>15279.666666666666</c:v>
                </c:pt>
                <c:pt idx="10">
                  <c:v>15279.666666666666</c:v>
                </c:pt>
                <c:pt idx="11">
                  <c:v>15279.666666666666</c:v>
                </c:pt>
                <c:pt idx="12">
                  <c:v>15279.666666666666</c:v>
                </c:pt>
              </c:numCache>
            </c:numRef>
          </c:val>
          <c:smooth val="0"/>
          <c:extLst>
            <c:ext xmlns:c16="http://schemas.microsoft.com/office/drawing/2014/chart" uri="{C3380CC4-5D6E-409C-BE32-E72D297353CC}">
              <c16:uniqueId val="{0000000A-C7C3-4E0F-A4DE-AFE85AA32CD1}"/>
            </c:ext>
          </c:extLst>
        </c:ser>
        <c:dLbls>
          <c:showLegendKey val="0"/>
          <c:showVal val="0"/>
          <c:showCatName val="0"/>
          <c:showSerName val="0"/>
          <c:showPercent val="0"/>
          <c:showBubbleSize val="0"/>
        </c:dLbls>
        <c:marker val="1"/>
        <c:smooth val="0"/>
        <c:axId val="34806544"/>
        <c:axId val="34808864"/>
      </c:lineChart>
      <c:lineChart>
        <c:grouping val="standard"/>
        <c:varyColors val="0"/>
        <c:ser>
          <c:idx val="1"/>
          <c:order val="4"/>
          <c:tx>
            <c:strRef>
              <c:f>Calculations!$A$51</c:f>
              <c:strCache>
                <c:ptCount val="1"/>
                <c:pt idx="0">
                  <c:v>km of pipeline for supply</c:v>
                </c:pt>
              </c:strCache>
            </c:strRef>
          </c:tx>
          <c:spPr>
            <a:ln w="28575" cap="rnd">
              <a:solidFill>
                <a:schemeClr val="accent6">
                  <a:lumMod val="50000"/>
                </a:schemeClr>
              </a:solidFill>
              <a:round/>
            </a:ln>
            <a:effectLst/>
          </c:spPr>
          <c:marker>
            <c:symbol val="none"/>
          </c:marker>
          <c:cat>
            <c:numRef>
              <c:f>Calculations!$B$50:$N$50</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Calculations!$B$51:$N$51</c:f>
              <c:numCache>
                <c:formatCode>#,##0</c:formatCode>
                <c:ptCount val="13"/>
                <c:pt idx="0">
                  <c:v>10478</c:v>
                </c:pt>
                <c:pt idx="1">
                  <c:v>10623</c:v>
                </c:pt>
                <c:pt idx="2">
                  <c:v>10770</c:v>
                </c:pt>
                <c:pt idx="3">
                  <c:v>10770</c:v>
                </c:pt>
                <c:pt idx="4">
                  <c:v>10770</c:v>
                </c:pt>
                <c:pt idx="5">
                  <c:v>10770</c:v>
                </c:pt>
                <c:pt idx="6">
                  <c:v>10770</c:v>
                </c:pt>
                <c:pt idx="7">
                  <c:v>10770</c:v>
                </c:pt>
                <c:pt idx="8">
                  <c:v>10770</c:v>
                </c:pt>
                <c:pt idx="9">
                  <c:v>10770</c:v>
                </c:pt>
                <c:pt idx="10">
                  <c:v>10770</c:v>
                </c:pt>
                <c:pt idx="11">
                  <c:v>10770</c:v>
                </c:pt>
                <c:pt idx="12">
                  <c:v>10770</c:v>
                </c:pt>
              </c:numCache>
            </c:numRef>
          </c:val>
          <c:smooth val="0"/>
          <c:extLst>
            <c:ext xmlns:c16="http://schemas.microsoft.com/office/drawing/2014/chart" uri="{C3380CC4-5D6E-409C-BE32-E72D297353CC}">
              <c16:uniqueId val="{00000006-C7C3-4E0F-A4DE-AFE85AA32CD1}"/>
            </c:ext>
          </c:extLst>
        </c:ser>
        <c:dLbls>
          <c:showLegendKey val="0"/>
          <c:showVal val="0"/>
          <c:showCatName val="0"/>
          <c:showSerName val="0"/>
          <c:showPercent val="0"/>
          <c:showBubbleSize val="0"/>
        </c:dLbls>
        <c:marker val="1"/>
        <c:smooth val="0"/>
        <c:axId val="34815648"/>
        <c:axId val="34812256"/>
      </c:lineChart>
      <c:catAx>
        <c:axId val="3480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08864"/>
        <c:crosses val="autoZero"/>
        <c:auto val="1"/>
        <c:lblAlgn val="ctr"/>
        <c:lblOffset val="100"/>
        <c:noMultiLvlLbl val="0"/>
      </c:catAx>
      <c:valAx>
        <c:axId val="3480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NZ" b="0">
                    <a:solidFill>
                      <a:schemeClr val="tx1">
                        <a:lumMod val="65000"/>
                        <a:lumOff val="35000"/>
                      </a:schemeClr>
                    </a:solidFill>
                  </a:rPr>
                  <a:t>Expenditure ($000)</a:t>
                </a:r>
              </a:p>
            </c:rich>
          </c:tx>
          <c:overlay val="0"/>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06544"/>
        <c:crosses val="autoZero"/>
        <c:crossBetween val="between"/>
      </c:valAx>
      <c:valAx>
        <c:axId val="34812256"/>
        <c:scaling>
          <c:orientation val="minMax"/>
          <c:min val="0"/>
        </c:scaling>
        <c:delete val="0"/>
        <c:axPos val="r"/>
        <c:title>
          <c:tx>
            <c:strRef>
              <c:f>Calculations!$A$51</c:f>
              <c:strCache>
                <c:ptCount val="1"/>
                <c:pt idx="0">
                  <c:v>km of pipeline for supply</c:v>
                </c:pt>
              </c:strCache>
            </c:strRef>
          </c:tx>
          <c:overlay val="0"/>
          <c:txPr>
            <a:bodyPr/>
            <a:lstStyle/>
            <a:p>
              <a:pPr>
                <a:defRPr/>
              </a:pPr>
              <a:endParaRPr lang="en-US"/>
            </a:p>
          </c:txPr>
        </c:title>
        <c:numFmt formatCode="#,##0" sourceLinked="1"/>
        <c:majorTickMark val="out"/>
        <c:minorTickMark val="none"/>
        <c:tickLblPos val="nextTo"/>
        <c:spPr>
          <a:ln>
            <a:noFill/>
          </a:ln>
        </c:spPr>
        <c:txPr>
          <a:bodyPr/>
          <a:lstStyle/>
          <a:p>
            <a:pPr>
              <a:defRPr sz="900">
                <a:solidFill>
                  <a:schemeClr val="tx1">
                    <a:lumMod val="65000"/>
                    <a:lumOff val="35000"/>
                  </a:schemeClr>
                </a:solidFill>
              </a:defRPr>
            </a:pPr>
            <a:endParaRPr lang="en-US"/>
          </a:p>
        </c:txPr>
        <c:crossAx val="34815648"/>
        <c:crosses val="max"/>
        <c:crossBetween val="between"/>
      </c:valAx>
      <c:catAx>
        <c:axId val="34815648"/>
        <c:scaling>
          <c:orientation val="minMax"/>
        </c:scaling>
        <c:delete val="1"/>
        <c:axPos val="b"/>
        <c:numFmt formatCode="General" sourceLinked="1"/>
        <c:majorTickMark val="out"/>
        <c:minorTickMark val="none"/>
        <c:tickLblPos val="nextTo"/>
        <c:crossAx val="34812256"/>
        <c:crosses val="autoZero"/>
        <c:auto val="1"/>
        <c:lblAlgn val="ctr"/>
        <c:lblOffset val="100"/>
        <c:noMultiLvlLbl val="0"/>
      </c:catAx>
    </c:plotArea>
    <c:legend>
      <c:legendPos val="b"/>
      <c:layout>
        <c:manualLayout>
          <c:xMode val="edge"/>
          <c:yMode val="edge"/>
          <c:x val="2.4301901602030999E-2"/>
          <c:y val="0.102430008748906"/>
          <c:w val="0.96017893838218005"/>
          <c:h val="7.409733363020989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Expenditure (Totex) per GJ of gas entering network per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Ratios!$A$32</c:f>
              <c:strCache>
                <c:ptCount val="1"/>
                <c:pt idx="0">
                  <c:v>Total Expenditure to GJ of gas</c:v>
                </c:pt>
              </c:strCache>
            </c:strRef>
          </c:tx>
          <c:spPr>
            <a:solidFill>
              <a:schemeClr val="accent1"/>
            </a:solidFill>
            <a:ln>
              <a:noFill/>
            </a:ln>
            <a:effectLst/>
          </c:spPr>
          <c:invertIfNegative val="0"/>
          <c:cat>
            <c:numRef>
              <c:f>Ratios!$B$3:$N$3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Ratios!$B$32:$N$32</c:f>
              <c:numCache>
                <c:formatCode>"$"#,##0.00</c:formatCode>
                <c:ptCount val="13"/>
                <c:pt idx="0">
                  <c:v>11.257221316225413</c:v>
                </c:pt>
                <c:pt idx="1">
                  <c:v>13.776213499219617</c:v>
                </c:pt>
                <c:pt idx="2">
                  <c:v>10.362694300518134</c:v>
                </c:pt>
                <c:pt idx="3">
                  <c:v>18.873950417811532</c:v>
                </c:pt>
                <c:pt idx="4">
                  <c:v>20.952919420947708</c:v>
                </c:pt>
                <c:pt idx="5">
                  <c:v>19.295987145288994</c:v>
                </c:pt>
                <c:pt idx="6">
                  <c:v>19.157103237692468</c:v>
                </c:pt>
                <c:pt idx="7">
                  <c:v>18.936390007721684</c:v>
                </c:pt>
                <c:pt idx="8">
                  <c:v>19.334468384596079</c:v>
                </c:pt>
                <c:pt idx="9">
                  <c:v>18.228957779715529</c:v>
                </c:pt>
                <c:pt idx="10">
                  <c:v>18.138395178964636</c:v>
                </c:pt>
                <c:pt idx="11">
                  <c:v>18.468301795985749</c:v>
                </c:pt>
                <c:pt idx="12">
                  <c:v>18.386148579590294</c:v>
                </c:pt>
              </c:numCache>
            </c:numRef>
          </c:val>
          <c:extLst>
            <c:ext xmlns:c16="http://schemas.microsoft.com/office/drawing/2014/chart" uri="{C3380CC4-5D6E-409C-BE32-E72D297353CC}">
              <c16:uniqueId val="{00000000-C4AA-4290-829E-40B53A4E25CA}"/>
            </c:ext>
          </c:extLst>
        </c:ser>
        <c:dLbls>
          <c:showLegendKey val="0"/>
          <c:showVal val="0"/>
          <c:showCatName val="0"/>
          <c:showSerName val="0"/>
          <c:showPercent val="0"/>
          <c:showBubbleSize val="0"/>
        </c:dLbls>
        <c:gapWidth val="219"/>
        <c:overlap val="-27"/>
        <c:axId val="34839936"/>
        <c:axId val="34842256"/>
      </c:barChart>
      <c:lineChart>
        <c:grouping val="standard"/>
        <c:varyColors val="0"/>
        <c:ser>
          <c:idx val="1"/>
          <c:order val="1"/>
          <c:tx>
            <c:strRef>
              <c:f>Ratios!$A$34</c:f>
              <c:strCache>
                <c:ptCount val="1"/>
                <c:pt idx="0">
                  <c:v>Expenditure per GJ Boundary</c:v>
                </c:pt>
              </c:strCache>
            </c:strRef>
          </c:tx>
          <c:spPr>
            <a:ln w="28575" cap="rnd">
              <a:solidFill>
                <a:srgbClr val="C00000"/>
              </a:solidFill>
              <a:prstDash val="sysDot"/>
              <a:round/>
            </a:ln>
            <a:effectLst/>
          </c:spPr>
          <c:marker>
            <c:symbol val="none"/>
          </c:marker>
          <c:val>
            <c:numRef>
              <c:f>Ratios!$B$34:$N$34</c:f>
              <c:numCache>
                <c:formatCode>"$"#,##0.00</c:formatCode>
                <c:ptCount val="13"/>
                <c:pt idx="0">
                  <c:v>12.004726219424908</c:v>
                </c:pt>
                <c:pt idx="1">
                  <c:v>12.129411392652315</c:v>
                </c:pt>
                <c:pt idx="2">
                  <c:v>11.184796807308951</c:v>
                </c:pt>
                <c:pt idx="3">
                  <c:v>17.572879510457753</c:v>
                </c:pt>
                <c:pt idx="4">
                  <c:v>17.430246600463676</c:v>
                </c:pt>
                <c:pt idx="5">
                  <c:v>17.288764324995096</c:v>
                </c:pt>
                <c:pt idx="6">
                  <c:v>17.148421524651884</c:v>
                </c:pt>
                <c:pt idx="7">
                  <c:v>17.009229501012168</c:v>
                </c:pt>
                <c:pt idx="8">
                  <c:v>16.871165644171779</c:v>
                </c:pt>
                <c:pt idx="9">
                  <c:v>16.871165644171779</c:v>
                </c:pt>
                <c:pt idx="10">
                  <c:v>16.871165644171779</c:v>
                </c:pt>
                <c:pt idx="11">
                  <c:v>16.871165644171779</c:v>
                </c:pt>
                <c:pt idx="12">
                  <c:v>16.871165644171779</c:v>
                </c:pt>
              </c:numCache>
            </c:numRef>
          </c:val>
          <c:smooth val="0"/>
          <c:extLst>
            <c:ext xmlns:c16="http://schemas.microsoft.com/office/drawing/2014/chart" uri="{C3380CC4-5D6E-409C-BE32-E72D297353CC}">
              <c16:uniqueId val="{00000001-C4AA-4290-829E-40B53A4E25CA}"/>
            </c:ext>
          </c:extLst>
        </c:ser>
        <c:dLbls>
          <c:showLegendKey val="0"/>
          <c:showVal val="0"/>
          <c:showCatName val="0"/>
          <c:showSerName val="0"/>
          <c:showPercent val="0"/>
          <c:showBubbleSize val="0"/>
        </c:dLbls>
        <c:marker val="1"/>
        <c:smooth val="0"/>
        <c:axId val="34839936"/>
        <c:axId val="34842256"/>
      </c:lineChart>
      <c:catAx>
        <c:axId val="348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42256"/>
        <c:crosses val="autoZero"/>
        <c:auto val="1"/>
        <c:lblAlgn val="ctr"/>
        <c:lblOffset val="100"/>
        <c:noMultiLvlLbl val="0"/>
      </c:catAx>
      <c:valAx>
        <c:axId val="34842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 per GJ</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399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NZ"/>
              <a:t>Estimated Asset Base and Network Opex</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Calculations!$A$47</c:f>
              <c:strCache>
                <c:ptCount val="1"/>
                <c:pt idx="0">
                  <c:v>Asset Value and Growth</c:v>
                </c:pt>
              </c:strCache>
            </c:strRef>
          </c:tx>
          <c:spPr>
            <a:solidFill>
              <a:schemeClr val="accent6">
                <a:lumMod val="50000"/>
              </a:schemeClr>
            </a:solidFill>
            <a:ln>
              <a:noFill/>
            </a:ln>
            <a:effectLst/>
          </c:spPr>
          <c:invertIfNegative val="0"/>
          <c:cat>
            <c:numRef>
              <c:f>Calculations!$B$3:$N$3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Calculations!$B$47:$N$47</c:f>
              <c:numCache>
                <c:formatCode>General</c:formatCode>
                <c:ptCount val="13"/>
                <c:pt idx="0">
                  <c:v>498708.73499999993</c:v>
                </c:pt>
                <c:pt idx="1">
                  <c:v>498923.73499999993</c:v>
                </c:pt>
                <c:pt idx="2">
                  <c:v>499230.73499999993</c:v>
                </c:pt>
                <c:pt idx="3">
                  <c:v>499524.73499999993</c:v>
                </c:pt>
                <c:pt idx="4">
                  <c:v>500518.73499999993</c:v>
                </c:pt>
                <c:pt idx="5">
                  <c:v>501813.73499999993</c:v>
                </c:pt>
                <c:pt idx="6">
                  <c:v>503459.73499999993</c:v>
                </c:pt>
                <c:pt idx="7">
                  <c:v>504258.73499999993</c:v>
                </c:pt>
                <c:pt idx="8">
                  <c:v>505881.73499999993</c:v>
                </c:pt>
                <c:pt idx="9">
                  <c:v>506330.73499999993</c:v>
                </c:pt>
                <c:pt idx="10">
                  <c:v>506847.73499999993</c:v>
                </c:pt>
                <c:pt idx="11">
                  <c:v>507940.73499999993</c:v>
                </c:pt>
                <c:pt idx="12">
                  <c:v>509033.73499999993</c:v>
                </c:pt>
              </c:numCache>
            </c:numRef>
          </c:val>
          <c:extLst>
            <c:ext xmlns:c16="http://schemas.microsoft.com/office/drawing/2014/chart" uri="{C3380CC4-5D6E-409C-BE32-E72D297353CC}">
              <c16:uniqueId val="{00000000-9C27-40A4-AE0E-E7E471471514}"/>
            </c:ext>
          </c:extLst>
        </c:ser>
        <c:dLbls>
          <c:showLegendKey val="0"/>
          <c:showVal val="0"/>
          <c:showCatName val="0"/>
          <c:showSerName val="0"/>
          <c:showPercent val="0"/>
          <c:showBubbleSize val="0"/>
        </c:dLbls>
        <c:gapWidth val="96"/>
        <c:axId val="35167568"/>
        <c:axId val="35164448"/>
      </c:barChart>
      <c:lineChart>
        <c:grouping val="standard"/>
        <c:varyColors val="0"/>
        <c:ser>
          <c:idx val="1"/>
          <c:order val="1"/>
          <c:tx>
            <c:strRef>
              <c:f>'Data Input Sheet'!$A$10</c:f>
              <c:strCache>
                <c:ptCount val="1"/>
                <c:pt idx="0">
                  <c:v>Total network opex</c:v>
                </c:pt>
              </c:strCache>
            </c:strRef>
          </c:tx>
          <c:spPr>
            <a:ln w="22225" cap="rnd">
              <a:solidFill>
                <a:schemeClr val="accent1"/>
              </a:solidFill>
              <a:round/>
            </a:ln>
            <a:effectLst/>
          </c:spPr>
          <c:marker>
            <c:symbol val="none"/>
          </c:marker>
          <c:cat>
            <c:numRef>
              <c:f>Calculations!$B$3:$N$3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Sheet'!$B$10:$N$10</c:f>
              <c:numCache>
                <c:formatCode>"$"#,##0</c:formatCode>
                <c:ptCount val="13"/>
                <c:pt idx="0">
                  <c:v>4566</c:v>
                </c:pt>
                <c:pt idx="1">
                  <c:v>4588</c:v>
                </c:pt>
                <c:pt idx="2">
                  <c:v>4592</c:v>
                </c:pt>
                <c:pt idx="3">
                  <c:v>4463</c:v>
                </c:pt>
                <c:pt idx="4">
                  <c:v>4410</c:v>
                </c:pt>
                <c:pt idx="5">
                  <c:v>4413</c:v>
                </c:pt>
                <c:pt idx="6">
                  <c:v>4415</c:v>
                </c:pt>
                <c:pt idx="7">
                  <c:v>4418</c:v>
                </c:pt>
                <c:pt idx="8">
                  <c:v>4421</c:v>
                </c:pt>
                <c:pt idx="9">
                  <c:v>4423</c:v>
                </c:pt>
                <c:pt idx="10">
                  <c:v>4426</c:v>
                </c:pt>
                <c:pt idx="11">
                  <c:v>4429</c:v>
                </c:pt>
                <c:pt idx="12">
                  <c:v>4432</c:v>
                </c:pt>
              </c:numCache>
            </c:numRef>
          </c:val>
          <c:smooth val="0"/>
          <c:extLst>
            <c:ext xmlns:c16="http://schemas.microsoft.com/office/drawing/2014/chart" uri="{C3380CC4-5D6E-409C-BE32-E72D297353CC}">
              <c16:uniqueId val="{00000001-9C27-40A4-AE0E-E7E471471514}"/>
            </c:ext>
          </c:extLst>
        </c:ser>
        <c:ser>
          <c:idx val="2"/>
          <c:order val="2"/>
          <c:tx>
            <c:v>Network Opex Boundary</c:v>
          </c:tx>
          <c:spPr>
            <a:ln w="22225" cap="rnd">
              <a:solidFill>
                <a:srgbClr val="C00000"/>
              </a:solidFill>
              <a:prstDash val="dash"/>
              <a:round/>
            </a:ln>
            <a:effectLst/>
          </c:spPr>
          <c:marker>
            <c:symbol val="none"/>
          </c:marker>
          <c:cat>
            <c:numRef>
              <c:f>Calculations!$B$3:$N$3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Ratios!$B$17:$N$17</c:f>
              <c:numCache>
                <c:formatCode>0</c:formatCode>
                <c:ptCount val="13"/>
                <c:pt idx="0">
                  <c:v>4581.9797010289267</c:v>
                </c:pt>
                <c:pt idx="1">
                  <c:v>4581.9797010289267</c:v>
                </c:pt>
                <c:pt idx="2">
                  <c:v>4581.9797010289267</c:v>
                </c:pt>
                <c:pt idx="3">
                  <c:v>4581.9797010289267</c:v>
                </c:pt>
                <c:pt idx="4">
                  <c:v>4581.9797010289267</c:v>
                </c:pt>
                <c:pt idx="5">
                  <c:v>4581.9797010289267</c:v>
                </c:pt>
                <c:pt idx="6">
                  <c:v>4581.9797010289267</c:v>
                </c:pt>
                <c:pt idx="7">
                  <c:v>4581.9797010289267</c:v>
                </c:pt>
                <c:pt idx="8">
                  <c:v>4581.9797010289267</c:v>
                </c:pt>
                <c:pt idx="9">
                  <c:v>4581.9797010289267</c:v>
                </c:pt>
                <c:pt idx="10">
                  <c:v>4581.9797010289267</c:v>
                </c:pt>
                <c:pt idx="11">
                  <c:v>4581.9797010289267</c:v>
                </c:pt>
                <c:pt idx="12">
                  <c:v>4581.9797010289267</c:v>
                </c:pt>
              </c:numCache>
            </c:numRef>
          </c:val>
          <c:smooth val="0"/>
          <c:extLst>
            <c:ext xmlns:c16="http://schemas.microsoft.com/office/drawing/2014/chart" uri="{C3380CC4-5D6E-409C-BE32-E72D297353CC}">
              <c16:uniqueId val="{00000000-86C8-4AA6-89D0-4352435387F1}"/>
            </c:ext>
          </c:extLst>
        </c:ser>
        <c:ser>
          <c:idx val="3"/>
          <c:order val="3"/>
          <c:tx>
            <c:v>Boundary Adjustment</c:v>
          </c:tx>
          <c:spPr>
            <a:ln w="22225" cap="rnd">
              <a:solidFill>
                <a:srgbClr val="FF0000"/>
              </a:solidFill>
              <a:prstDash val="sysDot"/>
              <a:round/>
            </a:ln>
            <a:effectLst/>
          </c:spPr>
          <c:marker>
            <c:symbol val="none"/>
          </c:marker>
          <c:val>
            <c:numRef>
              <c:f>Ratios!$B$18:$N$18</c:f>
              <c:numCache>
                <c:formatCode>0</c:formatCode>
                <c:ptCount val="13"/>
                <c:pt idx="0">
                  <c:v>4581.9797010289267</c:v>
                </c:pt>
                <c:pt idx="1">
                  <c:v>4581.9797010289267</c:v>
                </c:pt>
                <c:pt idx="2">
                  <c:v>4581.9797010289267</c:v>
                </c:pt>
                <c:pt idx="3">
                  <c:v>4627.7994980392159</c:v>
                </c:pt>
                <c:pt idx="4">
                  <c:v>4673.6192950495051</c:v>
                </c:pt>
                <c:pt idx="5">
                  <c:v>4719.4390920597943</c:v>
                </c:pt>
                <c:pt idx="6">
                  <c:v>4765.2588890700836</c:v>
                </c:pt>
                <c:pt idx="7">
                  <c:v>4811.0786860803728</c:v>
                </c:pt>
                <c:pt idx="8">
                  <c:v>4856.8984830906629</c:v>
                </c:pt>
                <c:pt idx="9">
                  <c:v>4902.7182801009521</c:v>
                </c:pt>
                <c:pt idx="10">
                  <c:v>4948.5380771112414</c:v>
                </c:pt>
                <c:pt idx="11">
                  <c:v>4994.3578741215306</c:v>
                </c:pt>
                <c:pt idx="12">
                  <c:v>5040.1776711318198</c:v>
                </c:pt>
              </c:numCache>
            </c:numRef>
          </c:val>
          <c:smooth val="0"/>
          <c:extLst>
            <c:ext xmlns:c16="http://schemas.microsoft.com/office/drawing/2014/chart" uri="{C3380CC4-5D6E-409C-BE32-E72D297353CC}">
              <c16:uniqueId val="{00000000-0894-46F2-8F5E-98FCC96C8846}"/>
            </c:ext>
          </c:extLst>
        </c:ser>
        <c:dLbls>
          <c:showLegendKey val="0"/>
          <c:showVal val="0"/>
          <c:showCatName val="0"/>
          <c:showSerName val="0"/>
          <c:showPercent val="0"/>
          <c:showBubbleSize val="0"/>
        </c:dLbls>
        <c:marker val="1"/>
        <c:smooth val="0"/>
        <c:axId val="35173280"/>
        <c:axId val="35169888"/>
      </c:lineChart>
      <c:valAx>
        <c:axId val="35164448"/>
        <c:scaling>
          <c:orientation val="minMax"/>
          <c:min val="0"/>
        </c:scaling>
        <c:delete val="0"/>
        <c:axPos val="r"/>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NZ"/>
                  <a:t>Asset Value &amp; Growth ($000)</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35167568"/>
        <c:crosses val="max"/>
        <c:crossBetween val="between"/>
      </c:valAx>
      <c:catAx>
        <c:axId val="35167568"/>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35164448"/>
        <c:crosses val="autoZero"/>
        <c:auto val="1"/>
        <c:lblAlgn val="ctr"/>
        <c:lblOffset val="100"/>
        <c:noMultiLvlLbl val="0"/>
      </c:catAx>
      <c:valAx>
        <c:axId val="35169888"/>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NZ"/>
                  <a:t>Total Network Opex ($000)</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35173280"/>
        <c:crosses val="autoZero"/>
        <c:crossBetween val="between"/>
      </c:valAx>
      <c:catAx>
        <c:axId val="35173280"/>
        <c:scaling>
          <c:orientation val="minMax"/>
        </c:scaling>
        <c:delete val="1"/>
        <c:axPos val="b"/>
        <c:numFmt formatCode="General" sourceLinked="1"/>
        <c:majorTickMark val="out"/>
        <c:minorTickMark val="none"/>
        <c:tickLblPos val="nextTo"/>
        <c:crossAx val="35169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Opex Base-Step-Trend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v>Total Opex Forecast</c:v>
          </c:tx>
          <c:spPr>
            <a:solidFill>
              <a:schemeClr val="accent1"/>
            </a:solidFill>
            <a:ln>
              <a:noFill/>
            </a:ln>
            <a:effectLst/>
          </c:spPr>
          <c:invertIfNegative val="0"/>
          <c:val>
            <c:numRef>
              <c:f>'Data Input Sheet'!$B$14:$O$14</c:f>
              <c:numCache>
                <c:formatCode>"$"#,##0</c:formatCode>
                <c:ptCount val="14"/>
                <c:pt idx="0">
                  <c:v>10763</c:v>
                </c:pt>
                <c:pt idx="1">
                  <c:v>10816</c:v>
                </c:pt>
                <c:pt idx="2">
                  <c:v>10825</c:v>
                </c:pt>
                <c:pt idx="3">
                  <c:v>10521</c:v>
                </c:pt>
                <c:pt idx="4">
                  <c:v>11767</c:v>
                </c:pt>
                <c:pt idx="5">
                  <c:v>11770</c:v>
                </c:pt>
                <c:pt idx="6">
                  <c:v>11772</c:v>
                </c:pt>
                <c:pt idx="7">
                  <c:v>11775</c:v>
                </c:pt>
                <c:pt idx="8">
                  <c:v>11778</c:v>
                </c:pt>
                <c:pt idx="9">
                  <c:v>11780</c:v>
                </c:pt>
                <c:pt idx="10">
                  <c:v>11783</c:v>
                </c:pt>
                <c:pt idx="11">
                  <c:v>11786</c:v>
                </c:pt>
                <c:pt idx="12">
                  <c:v>11789</c:v>
                </c:pt>
                <c:pt idx="13">
                  <c:v>11792</c:v>
                </c:pt>
              </c:numCache>
            </c:numRef>
          </c:val>
          <c:extLst>
            <c:ext xmlns:c16="http://schemas.microsoft.com/office/drawing/2014/chart" uri="{C3380CC4-5D6E-409C-BE32-E72D297353CC}">
              <c16:uniqueId val="{00000000-0126-4A43-AE2D-7AE25B9AC4F0}"/>
            </c:ext>
          </c:extLst>
        </c:ser>
        <c:dLbls>
          <c:showLegendKey val="0"/>
          <c:showVal val="0"/>
          <c:showCatName val="0"/>
          <c:showSerName val="0"/>
          <c:showPercent val="0"/>
          <c:showBubbleSize val="0"/>
        </c:dLbls>
        <c:gapWidth val="150"/>
        <c:axId val="-341393248"/>
        <c:axId val="-341390928"/>
      </c:barChart>
      <c:lineChart>
        <c:grouping val="standard"/>
        <c:varyColors val="0"/>
        <c:ser>
          <c:idx val="0"/>
          <c:order val="0"/>
          <c:tx>
            <c:strRef>
              <c:f>Calculations!$A$16</c:f>
              <c:strCache>
                <c:ptCount val="1"/>
                <c:pt idx="0">
                  <c:v>Low</c:v>
                </c:pt>
              </c:strCache>
            </c:strRef>
          </c:tx>
          <c:spPr>
            <a:ln w="28575" cap="rnd">
              <a:solidFill>
                <a:schemeClr val="tx1"/>
              </a:solidFill>
              <a:prstDash val="sysDash"/>
              <a:round/>
            </a:ln>
            <a:effectLst/>
          </c:spPr>
          <c:marker>
            <c:symbol val="none"/>
          </c:marker>
          <c:cat>
            <c:numRef>
              <c:f>Calculations!$B$13:$N$13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Calculations!$B$16:$N$16</c:f>
              <c:numCache>
                <c:formatCode>General</c:formatCode>
                <c:ptCount val="13"/>
                <c:pt idx="3">
                  <c:v>11792</c:v>
                </c:pt>
                <c:pt idx="4">
                  <c:v>11810.518750102052</c:v>
                </c:pt>
                <c:pt idx="5">
                  <c:v>11829.066582981015</c:v>
                </c:pt>
                <c:pt idx="6">
                  <c:v>11847.643544309945</c:v>
                </c:pt>
                <c:pt idx="7">
                  <c:v>11866.249679833627</c:v>
                </c:pt>
                <c:pt idx="8">
                  <c:v>11884.885035368683</c:v>
                </c:pt>
                <c:pt idx="9">
                  <c:v>11903.549656803691</c:v>
                </c:pt>
                <c:pt idx="10">
                  <c:v>11922.24359009929</c:v>
                </c:pt>
                <c:pt idx="11">
                  <c:v>11940.966881288303</c:v>
                </c:pt>
                <c:pt idx="12">
                  <c:v>11959.71957647584</c:v>
                </c:pt>
              </c:numCache>
            </c:numRef>
          </c:val>
          <c:smooth val="0"/>
          <c:extLst>
            <c:ext xmlns:c16="http://schemas.microsoft.com/office/drawing/2014/chart" uri="{C3380CC4-5D6E-409C-BE32-E72D297353CC}">
              <c16:uniqueId val="{00000001-0126-4A43-AE2D-7AE25B9AC4F0}"/>
            </c:ext>
          </c:extLst>
        </c:ser>
        <c:ser>
          <c:idx val="1"/>
          <c:order val="1"/>
          <c:tx>
            <c:strRef>
              <c:f>Calculations!$A$17</c:f>
              <c:strCache>
                <c:ptCount val="1"/>
                <c:pt idx="0">
                  <c:v>Mid</c:v>
                </c:pt>
              </c:strCache>
            </c:strRef>
          </c:tx>
          <c:spPr>
            <a:ln w="28575" cap="rnd">
              <a:solidFill>
                <a:schemeClr val="tx1"/>
              </a:solidFill>
              <a:round/>
            </a:ln>
            <a:effectLst/>
          </c:spPr>
          <c:marker>
            <c:symbol val="none"/>
          </c:marker>
          <c:cat>
            <c:numRef>
              <c:f>Calculations!$B$13:$N$13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Calculations!$B$17:$N$17</c:f>
              <c:numCache>
                <c:formatCode>General</c:formatCode>
                <c:ptCount val="13"/>
                <c:pt idx="3">
                  <c:v>11792</c:v>
                </c:pt>
                <c:pt idx="4">
                  <c:v>12051.549745002092</c:v>
                </c:pt>
                <c:pt idx="5">
                  <c:v>12316.812352125171</c:v>
                </c:pt>
                <c:pt idx="6">
                  <c:v>12587.913565255491</c:v>
                </c:pt>
                <c:pt idx="7">
                  <c:v>12864.981895985686</c:v>
                </c:pt>
                <c:pt idx="8">
                  <c:v>13148.148684533822</c:v>
                </c:pt>
                <c:pt idx="9">
                  <c:v>13437.548162003324</c:v>
                </c:pt>
                <c:pt idx="10">
                  <c:v>13733.317514013275</c:v>
                </c:pt>
                <c:pt idx="11">
                  <c:v>14035.596945729263</c:v>
                </c:pt>
                <c:pt idx="12">
                  <c:v>14344.529748325616</c:v>
                </c:pt>
              </c:numCache>
            </c:numRef>
          </c:val>
          <c:smooth val="0"/>
          <c:extLst>
            <c:ext xmlns:c16="http://schemas.microsoft.com/office/drawing/2014/chart" uri="{C3380CC4-5D6E-409C-BE32-E72D297353CC}">
              <c16:uniqueId val="{00000002-0126-4A43-AE2D-7AE25B9AC4F0}"/>
            </c:ext>
          </c:extLst>
        </c:ser>
        <c:ser>
          <c:idx val="2"/>
          <c:order val="2"/>
          <c:tx>
            <c:strRef>
              <c:f>Calculations!$A$18</c:f>
              <c:strCache>
                <c:ptCount val="1"/>
                <c:pt idx="0">
                  <c:v>High</c:v>
                </c:pt>
              </c:strCache>
            </c:strRef>
          </c:tx>
          <c:spPr>
            <a:ln w="28575" cap="rnd">
              <a:solidFill>
                <a:schemeClr val="tx1"/>
              </a:solidFill>
              <a:prstDash val="sysDot"/>
              <a:round/>
            </a:ln>
            <a:effectLst/>
          </c:spPr>
          <c:marker>
            <c:symbol val="none"/>
          </c:marker>
          <c:dPt>
            <c:idx val="2"/>
            <c:marker>
              <c:symbol val="none"/>
            </c:marker>
            <c:bubble3D val="0"/>
            <c:spPr>
              <a:ln w="28575" cap="rnd">
                <a:noFill/>
                <a:prstDash val="sysDot"/>
                <a:round/>
              </a:ln>
              <a:effectLst/>
            </c:spPr>
            <c:extLst>
              <c:ext xmlns:c16="http://schemas.microsoft.com/office/drawing/2014/chart" uri="{C3380CC4-5D6E-409C-BE32-E72D297353CC}">
                <c16:uniqueId val="{00000001-63C7-450F-8EE1-CA92382AB46D}"/>
              </c:ext>
            </c:extLst>
          </c:dPt>
          <c:dPt>
            <c:idx val="3"/>
            <c:marker>
              <c:symbol val="none"/>
            </c:marker>
            <c:bubble3D val="0"/>
            <c:spPr>
              <a:ln w="28575" cap="rnd">
                <a:noFill/>
                <a:round/>
              </a:ln>
              <a:effectLst/>
            </c:spPr>
            <c:extLst>
              <c:ext xmlns:c16="http://schemas.microsoft.com/office/drawing/2014/chart" uri="{C3380CC4-5D6E-409C-BE32-E72D297353CC}">
                <c16:uniqueId val="{00000000-63C7-450F-8EE1-CA92382AB46D}"/>
              </c:ext>
            </c:extLst>
          </c:dPt>
          <c:cat>
            <c:numRef>
              <c:f>Calculations!$B$13:$N$13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Calculations!$B$18:$N$18</c:f>
              <c:numCache>
                <c:formatCode>General</c:formatCode>
                <c:ptCount val="13"/>
                <c:pt idx="3">
                  <c:v>11792</c:v>
                </c:pt>
                <c:pt idx="4">
                  <c:v>12292.580739902134</c:v>
                </c:pt>
                <c:pt idx="5">
                  <c:v>12814.411571151026</c:v>
                </c:pt>
                <c:pt idx="6">
                  <c:v>13358.394578757645</c:v>
                </c:pt>
                <c:pt idx="7">
                  <c:v>13925.470142032675</c:v>
                </c:pt>
                <c:pt idx="8">
                  <c:v>14516.618560213121</c:v>
                </c:pt>
                <c:pt idx="9">
                  <c:v>15132.861747098172</c:v>
                </c:pt>
                <c:pt idx="10">
                  <c:v>15775.264997623875</c:v>
                </c:pt>
                <c:pt idx="11">
                  <c:v>16444.938829430423</c:v>
                </c:pt>
                <c:pt idx="12">
                  <c:v>17143.040902605593</c:v>
                </c:pt>
              </c:numCache>
            </c:numRef>
          </c:val>
          <c:smooth val="0"/>
          <c:extLst>
            <c:ext xmlns:c16="http://schemas.microsoft.com/office/drawing/2014/chart" uri="{C3380CC4-5D6E-409C-BE32-E72D297353CC}">
              <c16:uniqueId val="{00000003-0126-4A43-AE2D-7AE25B9AC4F0}"/>
            </c:ext>
          </c:extLst>
        </c:ser>
        <c:dLbls>
          <c:showLegendKey val="0"/>
          <c:showVal val="0"/>
          <c:showCatName val="0"/>
          <c:showSerName val="0"/>
          <c:showPercent val="0"/>
          <c:showBubbleSize val="0"/>
        </c:dLbls>
        <c:marker val="1"/>
        <c:smooth val="0"/>
        <c:axId val="-341393248"/>
        <c:axId val="-341390928"/>
      </c:lineChart>
      <c:catAx>
        <c:axId val="-34139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390928"/>
        <c:crosses val="autoZero"/>
        <c:auto val="1"/>
        <c:lblAlgn val="ctr"/>
        <c:lblOffset val="100"/>
        <c:noMultiLvlLbl val="0"/>
      </c:catAx>
      <c:valAx>
        <c:axId val="-341390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393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NZ" sz="1800" b="0"/>
              <a:t>Percentage Changes in Forecasts</a:t>
            </a:r>
            <a:r>
              <a:rPr lang="en-NZ" sz="1800" b="0" baseline="0"/>
              <a:t> Across AMPs</a:t>
            </a:r>
            <a:endParaRPr lang="en-NZ" sz="1800" b="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7743875938198501E-2"/>
          <c:y val="6.5395237670180795E-2"/>
          <c:w val="0.94344402470361999"/>
          <c:h val="0.62056074666746197"/>
        </c:manualLayout>
      </c:layout>
      <c:barChart>
        <c:barDir val="col"/>
        <c:grouping val="clustered"/>
        <c:varyColors val="0"/>
        <c:ser>
          <c:idx val="3"/>
          <c:order val="1"/>
          <c:tx>
            <c:strRef>
              <c:f>'Opex Dashboard'!$A$105</c:f>
              <c:strCache>
                <c:ptCount val="1"/>
                <c:pt idx="0">
                  <c:v>2013 to 2014 AMP Forecasts Total Opex</c:v>
                </c:pt>
              </c:strCache>
            </c:strRef>
          </c:tx>
          <c:spPr>
            <a:solidFill>
              <a:schemeClr val="accent4">
                <a:lumMod val="75000"/>
              </a:schemeClr>
            </a:solidFill>
            <a:ln>
              <a:noFill/>
            </a:ln>
            <a:effectLst/>
          </c:spPr>
          <c:invertIfNegative val="0"/>
          <c:val>
            <c:numRef>
              <c:f>'Opex Dashboard'!$B$105:$M$105</c:f>
              <c:numCache>
                <c:formatCode>0%</c:formatCode>
                <c:ptCount val="12"/>
                <c:pt idx="0">
                  <c:v>-0.12282352668663574</c:v>
                </c:pt>
                <c:pt idx="1">
                  <c:v>-6.5534905087617779E-2</c:v>
                </c:pt>
                <c:pt idx="2">
                  <c:v>-6.6579535125248779E-2</c:v>
                </c:pt>
                <c:pt idx="3">
                  <c:v>-6.183863902085282E-2</c:v>
                </c:pt>
                <c:pt idx="4">
                  <c:v>-6.2855594315192095E-2</c:v>
                </c:pt>
                <c:pt idx="5">
                  <c:v>-5.9438197380195935E-2</c:v>
                </c:pt>
                <c:pt idx="6">
                  <c:v>-6.0570275675889684E-2</c:v>
                </c:pt>
                <c:pt idx="7">
                  <c:v>-6.055037775618613E-2</c:v>
                </c:pt>
                <c:pt idx="8">
                  <c:v>-6.0528184383966163E-2</c:v>
                </c:pt>
                <c:pt idx="9">
                  <c:v>-6.0508393540405041E-2</c:v>
                </c:pt>
              </c:numCache>
            </c:numRef>
          </c:val>
          <c:extLst>
            <c:ext xmlns:c16="http://schemas.microsoft.com/office/drawing/2014/chart" uri="{C3380CC4-5D6E-409C-BE32-E72D297353CC}">
              <c16:uniqueId val="{00000000-74A0-4BCE-A9D4-932AE9194F4E}"/>
            </c:ext>
          </c:extLst>
        </c:ser>
        <c:ser>
          <c:idx val="0"/>
          <c:order val="2"/>
          <c:tx>
            <c:strRef>
              <c:f>'Opex Dashboard'!$A$106</c:f>
              <c:strCache>
                <c:ptCount val="1"/>
                <c:pt idx="0">
                  <c:v>2014 to 2015 AMP Forecasts Total Opex</c:v>
                </c:pt>
              </c:strCache>
            </c:strRef>
          </c:tx>
          <c:spPr>
            <a:solidFill>
              <a:schemeClr val="accent1"/>
            </a:solidFill>
            <a:ln>
              <a:noFill/>
            </a:ln>
            <a:effectLst/>
          </c:spPr>
          <c:invertIfNegative val="0"/>
          <c:val>
            <c:numRef>
              <c:f>'Opex Dashboard'!$B$106:$M$106</c:f>
              <c:numCache>
                <c:formatCode>0%</c:formatCode>
                <c:ptCount val="12"/>
                <c:pt idx="0">
                  <c:v>0</c:v>
                </c:pt>
                <c:pt idx="1">
                  <c:v>-9.4885048062305577E-2</c:v>
                </c:pt>
                <c:pt idx="2">
                  <c:v>-8.5383679865285264E-2</c:v>
                </c:pt>
                <c:pt idx="3">
                  <c:v>-8.7315419959852134E-2</c:v>
                </c:pt>
                <c:pt idx="4">
                  <c:v>-8.9417768628790625E-2</c:v>
                </c:pt>
                <c:pt idx="5">
                  <c:v>-9.2707967635891134E-2</c:v>
                </c:pt>
                <c:pt idx="6">
                  <c:v>-9.2700237144388284E-2</c:v>
                </c:pt>
                <c:pt idx="7">
                  <c:v>-9.3802228681048622E-2</c:v>
                </c:pt>
                <c:pt idx="8">
                  <c:v>-9.4897350711304382E-2</c:v>
                </c:pt>
                <c:pt idx="9">
                  <c:v>-9.5993490498716944E-2</c:v>
                </c:pt>
                <c:pt idx="10">
                  <c:v>-9.7086745988862314E-2</c:v>
                </c:pt>
              </c:numCache>
            </c:numRef>
          </c:val>
          <c:extLst>
            <c:ext xmlns:c16="http://schemas.microsoft.com/office/drawing/2014/chart" uri="{C3380CC4-5D6E-409C-BE32-E72D297353CC}">
              <c16:uniqueId val="{00000000-6891-4D4D-A5C8-B807DE65ADE6}"/>
            </c:ext>
          </c:extLst>
        </c:ser>
        <c:ser>
          <c:idx val="1"/>
          <c:order val="3"/>
          <c:tx>
            <c:strRef>
              <c:f>'Opex Dashboard'!$A$107</c:f>
              <c:strCache>
                <c:ptCount val="1"/>
                <c:pt idx="0">
                  <c:v>2015 to 2016 AMP Forecasts Total Opex</c:v>
                </c:pt>
              </c:strCache>
            </c:strRef>
          </c:tx>
          <c:spPr>
            <a:solidFill>
              <a:schemeClr val="accent2"/>
            </a:solidFill>
            <a:ln>
              <a:noFill/>
            </a:ln>
            <a:effectLst/>
          </c:spPr>
          <c:invertIfNegative val="0"/>
          <c:val>
            <c:numRef>
              <c:f>'Opex Dashboard'!$C$107:$M$107</c:f>
              <c:numCache>
                <c:formatCode>0%</c:formatCode>
                <c:ptCount val="11"/>
                <c:pt idx="0">
                  <c:v>0</c:v>
                </c:pt>
                <c:pt idx="1">
                  <c:v>-0.44229626996867971</c:v>
                </c:pt>
                <c:pt idx="2">
                  <c:v>-0.37631397691137342</c:v>
                </c:pt>
                <c:pt idx="3">
                  <c:v>-0.37622142284582416</c:v>
                </c:pt>
                <c:pt idx="4">
                  <c:v>-0.37621510087224969</c:v>
                </c:pt>
                <c:pt idx="5">
                  <c:v>-0.37612258197828752</c:v>
                </c:pt>
                <c:pt idx="6">
                  <c:v>-0.37603008278806149</c:v>
                </c:pt>
                <c:pt idx="7">
                  <c:v>-0.37602379372766176</c:v>
                </c:pt>
                <c:pt idx="8">
                  <c:v>-0.37593132967196796</c:v>
                </c:pt>
                <c:pt idx="9">
                  <c:v>-0.37583888530099513</c:v>
                </c:pt>
                <c:pt idx="10">
                  <c:v>-0.37577967971974946</c:v>
                </c:pt>
              </c:numCache>
            </c:numRef>
          </c:val>
          <c:extLst>
            <c:ext xmlns:c16="http://schemas.microsoft.com/office/drawing/2014/chart" uri="{C3380CC4-5D6E-409C-BE32-E72D297353CC}">
              <c16:uniqueId val="{00000001-6891-4D4D-A5C8-B807DE65ADE6}"/>
            </c:ext>
          </c:extLst>
        </c:ser>
        <c:dLbls>
          <c:showLegendKey val="0"/>
          <c:showVal val="0"/>
          <c:showCatName val="0"/>
          <c:showSerName val="0"/>
          <c:showPercent val="0"/>
          <c:showBubbleSize val="0"/>
        </c:dLbls>
        <c:gapWidth val="150"/>
        <c:axId val="-341561232"/>
        <c:axId val="-341558912"/>
      </c:barChart>
      <c:lineChart>
        <c:grouping val="standard"/>
        <c:varyColors val="0"/>
        <c:ser>
          <c:idx val="2"/>
          <c:order val="0"/>
          <c:tx>
            <c:strRef>
              <c:f>'Capex Dashboard'!$A$69</c:f>
              <c:strCache>
                <c:ptCount val="1"/>
                <c:pt idx="0">
                  <c:v>Variance Boundary</c:v>
                </c:pt>
              </c:strCache>
            </c:strRef>
          </c:tx>
          <c:spPr>
            <a:ln w="28575" cap="rnd">
              <a:solidFill>
                <a:srgbClr val="C00000"/>
              </a:solidFill>
              <a:prstDash val="sysDot"/>
              <a:round/>
            </a:ln>
            <a:effectLst/>
          </c:spPr>
          <c:marker>
            <c:symbol val="none"/>
          </c:marker>
          <c:cat>
            <c:strRef>
              <c:f>'Asset Forecast v AMP'!$T$51:$AD$52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'Capex Dashboard'!$B$69:$L$69</c:f>
              <c:numCache>
                <c:formatCode>0%</c:formatCode>
                <c:ptCount val="11"/>
                <c:pt idx="0">
                  <c:v>0.1</c:v>
                </c:pt>
                <c:pt idx="1">
                  <c:v>0.1</c:v>
                </c:pt>
                <c:pt idx="2">
                  <c:v>0.1</c:v>
                </c:pt>
                <c:pt idx="3">
                  <c:v>0.1</c:v>
                </c:pt>
                <c:pt idx="4">
                  <c:v>0.1</c:v>
                </c:pt>
                <c:pt idx="5">
                  <c:v>0.1</c:v>
                </c:pt>
                <c:pt idx="6">
                  <c:v>0.1</c:v>
                </c:pt>
                <c:pt idx="7">
                  <c:v>0.1</c:v>
                </c:pt>
                <c:pt idx="8">
                  <c:v>0.1</c:v>
                </c:pt>
                <c:pt idx="9">
                  <c:v>0.1</c:v>
                </c:pt>
                <c:pt idx="10">
                  <c:v>0.1</c:v>
                </c:pt>
              </c:numCache>
            </c:numRef>
          </c:val>
          <c:smooth val="0"/>
          <c:extLst>
            <c:ext xmlns:c16="http://schemas.microsoft.com/office/drawing/2014/chart" uri="{C3380CC4-5D6E-409C-BE32-E72D297353CC}">
              <c16:uniqueId val="{00000002-6891-4D4D-A5C8-B807DE65ADE6}"/>
            </c:ext>
          </c:extLst>
        </c:ser>
        <c:ser>
          <c:idx val="4"/>
          <c:order val="4"/>
          <c:tx>
            <c:strRef>
              <c:f>'Capex Dashboard'!$A$69</c:f>
              <c:strCache>
                <c:ptCount val="1"/>
                <c:pt idx="0">
                  <c:v>Variance Boundary</c:v>
                </c:pt>
              </c:strCache>
            </c:strRef>
          </c:tx>
          <c:spPr>
            <a:ln w="28575" cap="rnd">
              <a:solidFill>
                <a:srgbClr val="C00000"/>
              </a:solidFill>
              <a:prstDash val="sysDot"/>
              <a:round/>
            </a:ln>
            <a:effectLst/>
          </c:spPr>
          <c:marker>
            <c:symbol val="none"/>
          </c:marker>
          <c:cat>
            <c:strRef>
              <c:f>'Asset Forecast v AMP'!$T$51:$AD$52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'Capex Dashboard'!$B$70:$L$70</c:f>
              <c:numCache>
                <c:formatCode>0%</c:formatCode>
                <c:ptCount val="11"/>
                <c:pt idx="0">
                  <c:v>-0.1</c:v>
                </c:pt>
                <c:pt idx="1">
                  <c:v>-0.1</c:v>
                </c:pt>
                <c:pt idx="2">
                  <c:v>-0.1</c:v>
                </c:pt>
                <c:pt idx="3">
                  <c:v>-0.1</c:v>
                </c:pt>
                <c:pt idx="4">
                  <c:v>-0.1</c:v>
                </c:pt>
                <c:pt idx="5">
                  <c:v>-0.1</c:v>
                </c:pt>
                <c:pt idx="6">
                  <c:v>-0.1</c:v>
                </c:pt>
                <c:pt idx="7">
                  <c:v>-0.1</c:v>
                </c:pt>
                <c:pt idx="8">
                  <c:v>-0.1</c:v>
                </c:pt>
                <c:pt idx="9">
                  <c:v>-0.1</c:v>
                </c:pt>
                <c:pt idx="10">
                  <c:v>-0.1</c:v>
                </c:pt>
              </c:numCache>
            </c:numRef>
          </c:val>
          <c:smooth val="0"/>
          <c:extLst>
            <c:ext xmlns:c16="http://schemas.microsoft.com/office/drawing/2014/chart" uri="{C3380CC4-5D6E-409C-BE32-E72D297353CC}">
              <c16:uniqueId val="{00000001-74A0-4BCE-A9D4-932AE9194F4E}"/>
            </c:ext>
          </c:extLst>
        </c:ser>
        <c:dLbls>
          <c:showLegendKey val="0"/>
          <c:showVal val="0"/>
          <c:showCatName val="0"/>
          <c:showSerName val="0"/>
          <c:showPercent val="0"/>
          <c:showBubbleSize val="0"/>
        </c:dLbls>
        <c:marker val="1"/>
        <c:smooth val="0"/>
        <c:axId val="-341561232"/>
        <c:axId val="-341558912"/>
      </c:lineChart>
      <c:catAx>
        <c:axId val="-34156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341558912"/>
        <c:crosses val="autoZero"/>
        <c:auto val="1"/>
        <c:lblAlgn val="ctr"/>
        <c:lblOffset val="100"/>
        <c:noMultiLvlLbl val="0"/>
      </c:catAx>
      <c:valAx>
        <c:axId val="-341558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41561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Opex Composition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394238190792495E-2"/>
          <c:y val="0.12540997464074399"/>
          <c:w val="0.87724835898813402"/>
          <c:h val="0.60975951970500697"/>
        </c:manualLayout>
      </c:layout>
      <c:barChart>
        <c:barDir val="col"/>
        <c:grouping val="stacked"/>
        <c:varyColors val="0"/>
        <c:ser>
          <c:idx val="0"/>
          <c:order val="0"/>
          <c:tx>
            <c:strRef>
              <c:f>'Data Input Sheet'!$A$7</c:f>
              <c:strCache>
                <c:ptCount val="1"/>
                <c:pt idx="0">
                  <c:v>Service interruptions, incidents and emergencies</c:v>
                </c:pt>
              </c:strCache>
            </c:strRef>
          </c:tx>
          <c:spPr>
            <a:solidFill>
              <a:schemeClr val="accent1"/>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Sheet'!$B$7:$N$7</c:f>
              <c:numCache>
                <c:formatCode>"$"#,##0</c:formatCode>
                <c:ptCount val="13"/>
                <c:pt idx="0">
                  <c:v>2004</c:v>
                </c:pt>
                <c:pt idx="1">
                  <c:v>2014</c:v>
                </c:pt>
                <c:pt idx="2">
                  <c:v>2016</c:v>
                </c:pt>
                <c:pt idx="3">
                  <c:v>1959</c:v>
                </c:pt>
                <c:pt idx="4">
                  <c:v>1957</c:v>
                </c:pt>
                <c:pt idx="5">
                  <c:v>1957</c:v>
                </c:pt>
                <c:pt idx="6">
                  <c:v>1957</c:v>
                </c:pt>
                <c:pt idx="7">
                  <c:v>1957</c:v>
                </c:pt>
                <c:pt idx="8">
                  <c:v>1957</c:v>
                </c:pt>
                <c:pt idx="9">
                  <c:v>1957</c:v>
                </c:pt>
                <c:pt idx="10">
                  <c:v>1957</c:v>
                </c:pt>
                <c:pt idx="11">
                  <c:v>1957</c:v>
                </c:pt>
                <c:pt idx="12">
                  <c:v>1957</c:v>
                </c:pt>
              </c:numCache>
            </c:numRef>
          </c:val>
          <c:extLst>
            <c:ext xmlns:c16="http://schemas.microsoft.com/office/drawing/2014/chart" uri="{C3380CC4-5D6E-409C-BE32-E72D297353CC}">
              <c16:uniqueId val="{00000000-EFA0-4961-8BB1-B68482A47F3E}"/>
            </c:ext>
          </c:extLst>
        </c:ser>
        <c:ser>
          <c:idx val="1"/>
          <c:order val="1"/>
          <c:tx>
            <c:strRef>
              <c:f>'Data Input Sheet'!$A$8</c:f>
              <c:strCache>
                <c:ptCount val="1"/>
                <c:pt idx="0">
                  <c:v>Routine and corrective maintenance and inspection</c:v>
                </c:pt>
              </c:strCache>
            </c:strRef>
          </c:tx>
          <c:spPr>
            <a:solidFill>
              <a:schemeClr val="accent2"/>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Sheet'!$B$8:$N$8</c:f>
              <c:numCache>
                <c:formatCode>"$"#,##0</c:formatCode>
                <c:ptCount val="13"/>
                <c:pt idx="0">
                  <c:v>2562</c:v>
                </c:pt>
                <c:pt idx="1">
                  <c:v>2574</c:v>
                </c:pt>
                <c:pt idx="2">
                  <c:v>2576</c:v>
                </c:pt>
                <c:pt idx="3">
                  <c:v>2504</c:v>
                </c:pt>
                <c:pt idx="4">
                  <c:v>2453</c:v>
                </c:pt>
                <c:pt idx="5">
                  <c:v>2456</c:v>
                </c:pt>
                <c:pt idx="6">
                  <c:v>2458</c:v>
                </c:pt>
                <c:pt idx="7">
                  <c:v>2461</c:v>
                </c:pt>
                <c:pt idx="8">
                  <c:v>2464</c:v>
                </c:pt>
                <c:pt idx="9">
                  <c:v>2466</c:v>
                </c:pt>
                <c:pt idx="10">
                  <c:v>2469</c:v>
                </c:pt>
                <c:pt idx="11">
                  <c:v>2472</c:v>
                </c:pt>
                <c:pt idx="12">
                  <c:v>2475</c:v>
                </c:pt>
              </c:numCache>
            </c:numRef>
          </c:val>
          <c:extLst>
            <c:ext xmlns:c16="http://schemas.microsoft.com/office/drawing/2014/chart" uri="{C3380CC4-5D6E-409C-BE32-E72D297353CC}">
              <c16:uniqueId val="{00000001-EFA0-4961-8BB1-B68482A47F3E}"/>
            </c:ext>
          </c:extLst>
        </c:ser>
        <c:ser>
          <c:idx val="2"/>
          <c:order val="2"/>
          <c:tx>
            <c:strRef>
              <c:f>'Data Input Sheet'!$A$9</c:f>
              <c:strCache>
                <c:ptCount val="1"/>
                <c:pt idx="0">
                  <c:v> Asset replacement and  renewal</c:v>
                </c:pt>
              </c:strCache>
            </c:strRef>
          </c:tx>
          <c:spPr>
            <a:solidFill>
              <a:schemeClr val="accent3"/>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Sheet'!$B$9:$N$9</c:f>
              <c:numCache>
                <c:formatCode>"$"#,##0</c:formatCode>
                <c:ptCount val="13"/>
                <c:pt idx="0">
                  <c:v>0</c:v>
                </c:pt>
                <c:pt idx="1">
                  <c:v>0</c:v>
                </c:pt>
                <c:pt idx="2">
                  <c:v>0</c:v>
                </c:pt>
              </c:numCache>
            </c:numRef>
          </c:val>
          <c:extLst>
            <c:ext xmlns:c16="http://schemas.microsoft.com/office/drawing/2014/chart" uri="{C3380CC4-5D6E-409C-BE32-E72D297353CC}">
              <c16:uniqueId val="{00000002-EFA0-4961-8BB1-B68482A47F3E}"/>
            </c:ext>
          </c:extLst>
        </c:ser>
        <c:ser>
          <c:idx val="3"/>
          <c:order val="4"/>
          <c:tx>
            <c:strRef>
              <c:f>'Data Input Sheet'!$A$11</c:f>
              <c:strCache>
                <c:ptCount val="1"/>
                <c:pt idx="0">
                  <c:v>System operations and network support </c:v>
                </c:pt>
              </c:strCache>
            </c:strRef>
          </c:tx>
          <c:spPr>
            <a:solidFill>
              <a:schemeClr val="accent4"/>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Sheet'!$B$11:$N$11</c:f>
              <c:numCache>
                <c:formatCode>"$"#,##0</c:formatCode>
                <c:ptCount val="13"/>
                <c:pt idx="0">
                  <c:v>1968</c:v>
                </c:pt>
                <c:pt idx="1">
                  <c:v>1978</c:v>
                </c:pt>
                <c:pt idx="2">
                  <c:v>1980</c:v>
                </c:pt>
                <c:pt idx="3">
                  <c:v>1924</c:v>
                </c:pt>
                <c:pt idx="4">
                  <c:v>3021</c:v>
                </c:pt>
                <c:pt idx="5">
                  <c:v>3021</c:v>
                </c:pt>
                <c:pt idx="6">
                  <c:v>3021</c:v>
                </c:pt>
                <c:pt idx="7">
                  <c:v>3021</c:v>
                </c:pt>
                <c:pt idx="8">
                  <c:v>3021</c:v>
                </c:pt>
                <c:pt idx="9">
                  <c:v>3021</c:v>
                </c:pt>
                <c:pt idx="10">
                  <c:v>3021</c:v>
                </c:pt>
                <c:pt idx="11">
                  <c:v>3021</c:v>
                </c:pt>
                <c:pt idx="12">
                  <c:v>3021</c:v>
                </c:pt>
              </c:numCache>
            </c:numRef>
          </c:val>
          <c:extLst>
            <c:ext xmlns:c16="http://schemas.microsoft.com/office/drawing/2014/chart" uri="{C3380CC4-5D6E-409C-BE32-E72D297353CC}">
              <c16:uniqueId val="{00000003-EFA0-4961-8BB1-B68482A47F3E}"/>
            </c:ext>
          </c:extLst>
        </c:ser>
        <c:ser>
          <c:idx val="4"/>
          <c:order val="5"/>
          <c:tx>
            <c:strRef>
              <c:f>'Data Input Sheet'!$A$12</c:f>
              <c:strCache>
                <c:ptCount val="1"/>
                <c:pt idx="0">
                  <c:v>Business  support</c:v>
                </c:pt>
              </c:strCache>
            </c:strRef>
          </c:tx>
          <c:spPr>
            <a:solidFill>
              <a:schemeClr val="accent5"/>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Sheet'!$B$12:$N$12</c:f>
              <c:numCache>
                <c:formatCode>"$"#,##0</c:formatCode>
                <c:ptCount val="13"/>
                <c:pt idx="0">
                  <c:v>4229</c:v>
                </c:pt>
                <c:pt idx="1">
                  <c:v>4250</c:v>
                </c:pt>
                <c:pt idx="2">
                  <c:v>4253</c:v>
                </c:pt>
                <c:pt idx="3">
                  <c:v>4134</c:v>
                </c:pt>
                <c:pt idx="4">
                  <c:v>4336</c:v>
                </c:pt>
                <c:pt idx="5">
                  <c:v>4336</c:v>
                </c:pt>
                <c:pt idx="6">
                  <c:v>4336</c:v>
                </c:pt>
                <c:pt idx="7">
                  <c:v>4336</c:v>
                </c:pt>
                <c:pt idx="8">
                  <c:v>4336</c:v>
                </c:pt>
                <c:pt idx="9">
                  <c:v>4336</c:v>
                </c:pt>
                <c:pt idx="10">
                  <c:v>4336</c:v>
                </c:pt>
                <c:pt idx="11">
                  <c:v>4336</c:v>
                </c:pt>
                <c:pt idx="12">
                  <c:v>4336</c:v>
                </c:pt>
              </c:numCache>
            </c:numRef>
          </c:val>
          <c:extLst>
            <c:ext xmlns:c16="http://schemas.microsoft.com/office/drawing/2014/chart" uri="{C3380CC4-5D6E-409C-BE32-E72D297353CC}">
              <c16:uniqueId val="{00000004-EFA0-4961-8BB1-B68482A47F3E}"/>
            </c:ext>
          </c:extLst>
        </c:ser>
        <c:dLbls>
          <c:showLegendKey val="0"/>
          <c:showVal val="0"/>
          <c:showCatName val="0"/>
          <c:showSerName val="0"/>
          <c:showPercent val="0"/>
          <c:showBubbleSize val="0"/>
        </c:dLbls>
        <c:gapWidth val="150"/>
        <c:overlap val="100"/>
        <c:axId val="-396184752"/>
        <c:axId val="-396182704"/>
      </c:barChart>
      <c:lineChart>
        <c:grouping val="standard"/>
        <c:varyColors val="0"/>
        <c:ser>
          <c:idx val="5"/>
          <c:order val="3"/>
          <c:tx>
            <c:strRef>
              <c:f>Base!$B$5</c:f>
              <c:strCache>
                <c:ptCount val="1"/>
                <c:pt idx="0">
                  <c:v>Total Opex boundary ($000)</c:v>
                </c:pt>
              </c:strCache>
            </c:strRef>
          </c:tx>
          <c:spPr>
            <a:ln w="19050" cap="rnd">
              <a:solidFill>
                <a:srgbClr val="C00000"/>
              </a:solidFill>
              <a:prstDash val="sysDot"/>
              <a:round/>
            </a:ln>
            <a:effectLst/>
          </c:spPr>
          <c:marker>
            <c:symbol val="none"/>
          </c:marker>
          <c:val>
            <c:numRef>
              <c:f>Base!$C$5:$O$5</c:f>
              <c:numCache>
                <c:formatCode>#,##0</c:formatCode>
                <c:ptCount val="13"/>
                <c:pt idx="0">
                  <c:v>10801.333333333334</c:v>
                </c:pt>
                <c:pt idx="1">
                  <c:v>10801.333333333334</c:v>
                </c:pt>
                <c:pt idx="2">
                  <c:v>10801.333333333334</c:v>
                </c:pt>
                <c:pt idx="3">
                  <c:v>10801.333333333334</c:v>
                </c:pt>
                <c:pt idx="4">
                  <c:v>10801.333333333334</c:v>
                </c:pt>
                <c:pt idx="5">
                  <c:v>10801.333333333334</c:v>
                </c:pt>
                <c:pt idx="6">
                  <c:v>10801.333333333334</c:v>
                </c:pt>
                <c:pt idx="7">
                  <c:v>10801.333333333334</c:v>
                </c:pt>
                <c:pt idx="8">
                  <c:v>10801.333333333334</c:v>
                </c:pt>
                <c:pt idx="9">
                  <c:v>10801.333333333334</c:v>
                </c:pt>
                <c:pt idx="10">
                  <c:v>10801.333333333334</c:v>
                </c:pt>
                <c:pt idx="11">
                  <c:v>10801.333333333334</c:v>
                </c:pt>
                <c:pt idx="12">
                  <c:v>10801.333333333334</c:v>
                </c:pt>
              </c:numCache>
            </c:numRef>
          </c:val>
          <c:smooth val="0"/>
          <c:extLst>
            <c:ext xmlns:c16="http://schemas.microsoft.com/office/drawing/2014/chart" uri="{C3380CC4-5D6E-409C-BE32-E72D297353CC}">
              <c16:uniqueId val="{00000005-EFA0-4961-8BB1-B68482A47F3E}"/>
            </c:ext>
          </c:extLst>
        </c:ser>
        <c:dLbls>
          <c:showLegendKey val="0"/>
          <c:showVal val="0"/>
          <c:showCatName val="0"/>
          <c:showSerName val="0"/>
          <c:showPercent val="0"/>
          <c:showBubbleSize val="0"/>
        </c:dLbls>
        <c:marker val="1"/>
        <c:smooth val="0"/>
        <c:axId val="-396184752"/>
        <c:axId val="-396182704"/>
      </c:lineChart>
      <c:catAx>
        <c:axId val="-39618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182704"/>
        <c:crosses val="autoZero"/>
        <c:auto val="1"/>
        <c:lblAlgn val="ctr"/>
        <c:lblOffset val="100"/>
        <c:noMultiLvlLbl val="0"/>
      </c:catAx>
      <c:valAx>
        <c:axId val="-396182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Axis ($000)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184752"/>
        <c:crosses val="autoZero"/>
        <c:crossBetween val="between"/>
      </c:valAx>
      <c:spPr>
        <a:noFill/>
        <a:ln>
          <a:noFill/>
        </a:ln>
        <a:effectLst/>
      </c:spPr>
    </c:plotArea>
    <c:legend>
      <c:legendPos val="b"/>
      <c:layout>
        <c:manualLayout>
          <c:xMode val="edge"/>
          <c:yMode val="edge"/>
          <c:x val="0"/>
          <c:y val="0.81360826938052899"/>
          <c:w val="1"/>
          <c:h val="0.166104325716681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Network Opex Composition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886843600496898E-2"/>
          <c:y val="0.105049966347095"/>
          <c:w val="0.89175572209910103"/>
          <c:h val="0.60975951970500697"/>
        </c:manualLayout>
      </c:layout>
      <c:barChart>
        <c:barDir val="col"/>
        <c:grouping val="stacked"/>
        <c:varyColors val="0"/>
        <c:ser>
          <c:idx val="0"/>
          <c:order val="0"/>
          <c:tx>
            <c:strRef>
              <c:f>'Data Input Sheet'!$A$7</c:f>
              <c:strCache>
                <c:ptCount val="1"/>
                <c:pt idx="0">
                  <c:v>Service interruptions, incidents and emergencies</c:v>
                </c:pt>
              </c:strCache>
            </c:strRef>
          </c:tx>
          <c:spPr>
            <a:solidFill>
              <a:schemeClr val="accent1"/>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Sheet'!$B$7:$N$7</c:f>
              <c:numCache>
                <c:formatCode>"$"#,##0</c:formatCode>
                <c:ptCount val="13"/>
                <c:pt idx="0">
                  <c:v>2004</c:v>
                </c:pt>
                <c:pt idx="1">
                  <c:v>2014</c:v>
                </c:pt>
                <c:pt idx="2">
                  <c:v>2016</c:v>
                </c:pt>
                <c:pt idx="3">
                  <c:v>1959</c:v>
                </c:pt>
                <c:pt idx="4">
                  <c:v>1957</c:v>
                </c:pt>
                <c:pt idx="5">
                  <c:v>1957</c:v>
                </c:pt>
                <c:pt idx="6">
                  <c:v>1957</c:v>
                </c:pt>
                <c:pt idx="7">
                  <c:v>1957</c:v>
                </c:pt>
                <c:pt idx="8">
                  <c:v>1957</c:v>
                </c:pt>
                <c:pt idx="9">
                  <c:v>1957</c:v>
                </c:pt>
                <c:pt idx="10">
                  <c:v>1957</c:v>
                </c:pt>
                <c:pt idx="11">
                  <c:v>1957</c:v>
                </c:pt>
                <c:pt idx="12">
                  <c:v>1957</c:v>
                </c:pt>
              </c:numCache>
            </c:numRef>
          </c:val>
          <c:extLst>
            <c:ext xmlns:c16="http://schemas.microsoft.com/office/drawing/2014/chart" uri="{C3380CC4-5D6E-409C-BE32-E72D297353CC}">
              <c16:uniqueId val="{00000000-9678-4AAB-988D-39A1F7A0E3BA}"/>
            </c:ext>
          </c:extLst>
        </c:ser>
        <c:ser>
          <c:idx val="1"/>
          <c:order val="1"/>
          <c:tx>
            <c:strRef>
              <c:f>'Data Input Sheet'!$A$8</c:f>
              <c:strCache>
                <c:ptCount val="1"/>
                <c:pt idx="0">
                  <c:v>Routine and corrective maintenance and inspection</c:v>
                </c:pt>
              </c:strCache>
            </c:strRef>
          </c:tx>
          <c:spPr>
            <a:solidFill>
              <a:schemeClr val="accent2"/>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Sheet'!$B$8:$N$8</c:f>
              <c:numCache>
                <c:formatCode>"$"#,##0</c:formatCode>
                <c:ptCount val="13"/>
                <c:pt idx="0">
                  <c:v>2562</c:v>
                </c:pt>
                <c:pt idx="1">
                  <c:v>2574</c:v>
                </c:pt>
                <c:pt idx="2">
                  <c:v>2576</c:v>
                </c:pt>
                <c:pt idx="3">
                  <c:v>2504</c:v>
                </c:pt>
                <c:pt idx="4">
                  <c:v>2453</c:v>
                </c:pt>
                <c:pt idx="5">
                  <c:v>2456</c:v>
                </c:pt>
                <c:pt idx="6">
                  <c:v>2458</c:v>
                </c:pt>
                <c:pt idx="7">
                  <c:v>2461</c:v>
                </c:pt>
                <c:pt idx="8">
                  <c:v>2464</c:v>
                </c:pt>
                <c:pt idx="9">
                  <c:v>2466</c:v>
                </c:pt>
                <c:pt idx="10">
                  <c:v>2469</c:v>
                </c:pt>
                <c:pt idx="11">
                  <c:v>2472</c:v>
                </c:pt>
                <c:pt idx="12">
                  <c:v>2475</c:v>
                </c:pt>
              </c:numCache>
            </c:numRef>
          </c:val>
          <c:extLst>
            <c:ext xmlns:c16="http://schemas.microsoft.com/office/drawing/2014/chart" uri="{C3380CC4-5D6E-409C-BE32-E72D297353CC}">
              <c16:uniqueId val="{00000001-9678-4AAB-988D-39A1F7A0E3BA}"/>
            </c:ext>
          </c:extLst>
        </c:ser>
        <c:ser>
          <c:idx val="2"/>
          <c:order val="2"/>
          <c:tx>
            <c:strRef>
              <c:f>'Data Input Sheet'!$A$9</c:f>
              <c:strCache>
                <c:ptCount val="1"/>
                <c:pt idx="0">
                  <c:v> Asset replacement and  renewal</c:v>
                </c:pt>
              </c:strCache>
            </c:strRef>
          </c:tx>
          <c:spPr>
            <a:solidFill>
              <a:schemeClr val="accent3"/>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Sheet'!$B$9:$N$9</c:f>
              <c:numCache>
                <c:formatCode>"$"#,##0</c:formatCode>
                <c:ptCount val="13"/>
                <c:pt idx="0">
                  <c:v>0</c:v>
                </c:pt>
                <c:pt idx="1">
                  <c:v>0</c:v>
                </c:pt>
                <c:pt idx="2">
                  <c:v>0</c:v>
                </c:pt>
              </c:numCache>
            </c:numRef>
          </c:val>
          <c:extLst>
            <c:ext xmlns:c16="http://schemas.microsoft.com/office/drawing/2014/chart" uri="{C3380CC4-5D6E-409C-BE32-E72D297353CC}">
              <c16:uniqueId val="{00000002-9678-4AAB-988D-39A1F7A0E3BA}"/>
            </c:ext>
          </c:extLst>
        </c:ser>
        <c:dLbls>
          <c:showLegendKey val="0"/>
          <c:showVal val="0"/>
          <c:showCatName val="0"/>
          <c:showSerName val="0"/>
          <c:showPercent val="0"/>
          <c:showBubbleSize val="0"/>
        </c:dLbls>
        <c:gapWidth val="150"/>
        <c:overlap val="100"/>
        <c:axId val="-14789168"/>
        <c:axId val="35248000"/>
      </c:barChart>
      <c:lineChart>
        <c:grouping val="standard"/>
        <c:varyColors val="0"/>
        <c:ser>
          <c:idx val="5"/>
          <c:order val="3"/>
          <c:tx>
            <c:strRef>
              <c:f>Ratios!$A$17</c:f>
              <c:strCache>
                <c:ptCount val="1"/>
                <c:pt idx="0">
                  <c:v>Estimated Network Opex boundary</c:v>
                </c:pt>
              </c:strCache>
            </c:strRef>
          </c:tx>
          <c:spPr>
            <a:ln w="19050" cap="rnd">
              <a:solidFill>
                <a:srgbClr val="C00000"/>
              </a:solidFill>
              <a:prstDash val="sysDot"/>
              <a:round/>
            </a:ln>
            <a:effectLst/>
          </c:spPr>
          <c:marker>
            <c:symbol val="none"/>
          </c:marker>
          <c:val>
            <c:numRef>
              <c:f>Ratios!$B$17:$N$17</c:f>
              <c:numCache>
                <c:formatCode>0</c:formatCode>
                <c:ptCount val="13"/>
                <c:pt idx="0">
                  <c:v>4581.9797010289267</c:v>
                </c:pt>
                <c:pt idx="1">
                  <c:v>4581.9797010289267</c:v>
                </c:pt>
                <c:pt idx="2">
                  <c:v>4581.9797010289267</c:v>
                </c:pt>
                <c:pt idx="3">
                  <c:v>4581.9797010289267</c:v>
                </c:pt>
                <c:pt idx="4">
                  <c:v>4581.9797010289267</c:v>
                </c:pt>
                <c:pt idx="5">
                  <c:v>4581.9797010289267</c:v>
                </c:pt>
                <c:pt idx="6">
                  <c:v>4581.9797010289267</c:v>
                </c:pt>
                <c:pt idx="7">
                  <c:v>4581.9797010289267</c:v>
                </c:pt>
                <c:pt idx="8">
                  <c:v>4581.9797010289267</c:v>
                </c:pt>
                <c:pt idx="9">
                  <c:v>4581.9797010289267</c:v>
                </c:pt>
                <c:pt idx="10">
                  <c:v>4581.9797010289267</c:v>
                </c:pt>
                <c:pt idx="11">
                  <c:v>4581.9797010289267</c:v>
                </c:pt>
                <c:pt idx="12">
                  <c:v>4581.9797010289267</c:v>
                </c:pt>
              </c:numCache>
            </c:numRef>
          </c:val>
          <c:smooth val="0"/>
          <c:extLst>
            <c:ext xmlns:c16="http://schemas.microsoft.com/office/drawing/2014/chart" uri="{C3380CC4-5D6E-409C-BE32-E72D297353CC}">
              <c16:uniqueId val="{00000003-9678-4AAB-988D-39A1F7A0E3BA}"/>
            </c:ext>
          </c:extLst>
        </c:ser>
        <c:dLbls>
          <c:showLegendKey val="0"/>
          <c:showVal val="0"/>
          <c:showCatName val="0"/>
          <c:showSerName val="0"/>
          <c:showPercent val="0"/>
          <c:showBubbleSize val="0"/>
        </c:dLbls>
        <c:marker val="1"/>
        <c:smooth val="0"/>
        <c:axId val="-14789168"/>
        <c:axId val="35248000"/>
      </c:lineChart>
      <c:catAx>
        <c:axId val="-1478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248000"/>
        <c:crosses val="autoZero"/>
        <c:auto val="1"/>
        <c:lblAlgn val="ctr"/>
        <c:lblOffset val="100"/>
        <c:noMultiLvlLbl val="0"/>
      </c:catAx>
      <c:valAx>
        <c:axId val="35248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89168"/>
        <c:crosses val="autoZero"/>
        <c:crossBetween val="between"/>
      </c:valAx>
      <c:spPr>
        <a:noFill/>
        <a:ln>
          <a:noFill/>
        </a:ln>
        <a:effectLst/>
      </c:spPr>
    </c:plotArea>
    <c:legend>
      <c:legendPos val="b"/>
      <c:layout>
        <c:manualLayout>
          <c:xMode val="edge"/>
          <c:yMode val="edge"/>
          <c:x val="0"/>
          <c:y val="0.81360826938052899"/>
          <c:w val="0.98565535030181595"/>
          <c:h val="0.166104325716681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Cost of Interruptions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Ratios!$A$63</c:f>
              <c:strCache>
                <c:ptCount val="1"/>
                <c:pt idx="0">
                  <c:v>Total Unplanned Interruptions</c:v>
                </c:pt>
              </c:strCache>
            </c:strRef>
          </c:tx>
          <c:spPr>
            <a:solidFill>
              <a:schemeClr val="tx1">
                <a:lumMod val="75000"/>
                <a:lumOff val="25000"/>
              </a:schemeClr>
            </a:solidFill>
            <a:ln>
              <a:noFill/>
            </a:ln>
            <a:effectLst/>
          </c:spPr>
          <c:invertIfNegative val="0"/>
          <c:cat>
            <c:numRef>
              <c:f>Ratios!$B$3:$N$3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Ratios!$B$63:$N$63</c:f>
              <c:numCache>
                <c:formatCode>0</c:formatCode>
                <c:ptCount val="13"/>
                <c:pt idx="0">
                  <c:v>668</c:v>
                </c:pt>
                <c:pt idx="1">
                  <c:v>546</c:v>
                </c:pt>
                <c:pt idx="2">
                  <c:v>611</c:v>
                </c:pt>
                <c:pt idx="3">
                  <c:v>354</c:v>
                </c:pt>
                <c:pt idx="4">
                  <c:v>354</c:v>
                </c:pt>
                <c:pt idx="5">
                  <c:v>354</c:v>
                </c:pt>
                <c:pt idx="6">
                  <c:v>354</c:v>
                </c:pt>
                <c:pt idx="7">
                  <c:v>354</c:v>
                </c:pt>
                <c:pt idx="8">
                  <c:v>354</c:v>
                </c:pt>
                <c:pt idx="9">
                  <c:v>354</c:v>
                </c:pt>
                <c:pt idx="10">
                  <c:v>354</c:v>
                </c:pt>
                <c:pt idx="11">
                  <c:v>354</c:v>
                </c:pt>
                <c:pt idx="12">
                  <c:v>354</c:v>
                </c:pt>
              </c:numCache>
            </c:numRef>
          </c:val>
          <c:extLst>
            <c:ext xmlns:c16="http://schemas.microsoft.com/office/drawing/2014/chart" uri="{C3380CC4-5D6E-409C-BE32-E72D297353CC}">
              <c16:uniqueId val="{00000000-DB9C-4762-A22D-B9095B3EDD25}"/>
            </c:ext>
          </c:extLst>
        </c:ser>
        <c:ser>
          <c:idx val="0"/>
          <c:order val="1"/>
          <c:tx>
            <c:strRef>
              <c:f>Ratios!$A$62</c:f>
              <c:strCache>
                <c:ptCount val="1"/>
                <c:pt idx="0">
                  <c:v>Total Planned Interruptions</c:v>
                </c:pt>
              </c:strCache>
            </c:strRef>
          </c:tx>
          <c:spPr>
            <a:solidFill>
              <a:schemeClr val="bg1">
                <a:lumMod val="50000"/>
              </a:schemeClr>
            </a:solidFill>
            <a:ln>
              <a:noFill/>
            </a:ln>
            <a:effectLst/>
          </c:spPr>
          <c:invertIfNegative val="0"/>
          <c:cat>
            <c:numRef>
              <c:f>Ratios!$B$3:$N$3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Ratios!$B$62:$N$62</c:f>
              <c:numCache>
                <c:formatCode>0</c:formatCode>
                <c:ptCount val="13"/>
                <c:pt idx="0">
                  <c:v>2622</c:v>
                </c:pt>
                <c:pt idx="1">
                  <c:v>1529</c:v>
                </c:pt>
                <c:pt idx="2">
                  <c:v>870</c:v>
                </c:pt>
                <c:pt idx="3">
                  <c:v>407</c:v>
                </c:pt>
                <c:pt idx="4">
                  <c:v>407</c:v>
                </c:pt>
                <c:pt idx="5">
                  <c:v>407</c:v>
                </c:pt>
                <c:pt idx="6">
                  <c:v>407</c:v>
                </c:pt>
                <c:pt idx="7">
                  <c:v>407</c:v>
                </c:pt>
                <c:pt idx="8">
                  <c:v>407</c:v>
                </c:pt>
                <c:pt idx="9">
                  <c:v>407</c:v>
                </c:pt>
                <c:pt idx="10">
                  <c:v>407</c:v>
                </c:pt>
                <c:pt idx="11">
                  <c:v>407</c:v>
                </c:pt>
                <c:pt idx="12">
                  <c:v>407</c:v>
                </c:pt>
              </c:numCache>
            </c:numRef>
          </c:val>
          <c:extLst>
            <c:ext xmlns:c16="http://schemas.microsoft.com/office/drawing/2014/chart" uri="{C3380CC4-5D6E-409C-BE32-E72D297353CC}">
              <c16:uniqueId val="{00000001-DB9C-4762-A22D-B9095B3EDD25}"/>
            </c:ext>
          </c:extLst>
        </c:ser>
        <c:dLbls>
          <c:showLegendKey val="0"/>
          <c:showVal val="0"/>
          <c:showCatName val="0"/>
          <c:showSerName val="0"/>
          <c:showPercent val="0"/>
          <c:showBubbleSize val="0"/>
        </c:dLbls>
        <c:gapWidth val="150"/>
        <c:overlap val="100"/>
        <c:axId val="-14735280"/>
        <c:axId val="-14733232"/>
      </c:barChart>
      <c:lineChart>
        <c:grouping val="standard"/>
        <c:varyColors val="0"/>
        <c:ser>
          <c:idx val="2"/>
          <c:order val="2"/>
          <c:tx>
            <c:strRef>
              <c:f>Ratios!$A$65</c:f>
              <c:strCache>
                <c:ptCount val="1"/>
                <c:pt idx="0">
                  <c:v> Opex ($) per Interruption</c:v>
                </c:pt>
              </c:strCache>
            </c:strRef>
          </c:tx>
          <c:spPr>
            <a:ln w="28575" cap="rnd">
              <a:solidFill>
                <a:schemeClr val="accent1"/>
              </a:solidFill>
              <a:round/>
            </a:ln>
            <a:effectLst/>
          </c:spPr>
          <c:marker>
            <c:symbol val="none"/>
          </c:marker>
          <c:val>
            <c:numRef>
              <c:f>Ratios!$B$65:$N$65</c:f>
              <c:numCache>
                <c:formatCode>"$"#,##0.00</c:formatCode>
                <c:ptCount val="13"/>
                <c:pt idx="0">
                  <c:v>609.11854103343467</c:v>
                </c:pt>
                <c:pt idx="1">
                  <c:v>970.60240963855426</c:v>
                </c:pt>
                <c:pt idx="2">
                  <c:v>1361.2424037812289</c:v>
                </c:pt>
                <c:pt idx="3">
                  <c:v>2574.2444152431008</c:v>
                </c:pt>
                <c:pt idx="4">
                  <c:v>2571.6162943495401</c:v>
                </c:pt>
                <c:pt idx="5">
                  <c:v>2571.6162943495401</c:v>
                </c:pt>
                <c:pt idx="6">
                  <c:v>2571.6162943495401</c:v>
                </c:pt>
                <c:pt idx="7">
                  <c:v>2571.6162943495401</c:v>
                </c:pt>
                <c:pt idx="8">
                  <c:v>2571.6162943495401</c:v>
                </c:pt>
                <c:pt idx="9">
                  <c:v>2571.6162943495401</c:v>
                </c:pt>
                <c:pt idx="10">
                  <c:v>2571.6162943495401</c:v>
                </c:pt>
                <c:pt idx="11">
                  <c:v>2571.6162943495401</c:v>
                </c:pt>
                <c:pt idx="12">
                  <c:v>2571.6162943495401</c:v>
                </c:pt>
              </c:numCache>
            </c:numRef>
          </c:val>
          <c:smooth val="0"/>
          <c:extLst>
            <c:ext xmlns:c16="http://schemas.microsoft.com/office/drawing/2014/chart" uri="{C3380CC4-5D6E-409C-BE32-E72D297353CC}">
              <c16:uniqueId val="{00000002-DB9C-4762-A22D-B9095B3EDD25}"/>
            </c:ext>
          </c:extLst>
        </c:ser>
        <c:ser>
          <c:idx val="3"/>
          <c:order val="3"/>
          <c:tx>
            <c:strRef>
              <c:f>Ratios!$A$66</c:f>
              <c:strCache>
                <c:ptCount val="1"/>
                <c:pt idx="0">
                  <c:v>Interruptions Opex Boundary</c:v>
                </c:pt>
              </c:strCache>
            </c:strRef>
          </c:tx>
          <c:spPr>
            <a:ln w="28575" cap="rnd">
              <a:solidFill>
                <a:srgbClr val="C00000"/>
              </a:solidFill>
              <a:prstDash val="sysDot"/>
              <a:round/>
            </a:ln>
            <a:effectLst/>
          </c:spPr>
          <c:marker>
            <c:symbol val="none"/>
          </c:marker>
          <c:val>
            <c:numRef>
              <c:f>Ratios!$B$66:$N$66</c:f>
              <c:numCache>
                <c:formatCode>"$"#,##0</c:formatCode>
                <c:ptCount val="13"/>
                <c:pt idx="0">
                  <c:v>611.33742024300773</c:v>
                </c:pt>
                <c:pt idx="1">
                  <c:v>969.30125908409423</c:v>
                </c:pt>
                <c:pt idx="2">
                  <c:v>1358.0689484128936</c:v>
                </c:pt>
                <c:pt idx="3">
                  <c:v>2642.9699245722677</c:v>
                </c:pt>
                <c:pt idx="4">
                  <c:v>2642.9699245722677</c:v>
                </c:pt>
                <c:pt idx="5">
                  <c:v>2642.9699245722677</c:v>
                </c:pt>
                <c:pt idx="6">
                  <c:v>2642.9699245722677</c:v>
                </c:pt>
                <c:pt idx="7">
                  <c:v>2642.9699245722677</c:v>
                </c:pt>
                <c:pt idx="8">
                  <c:v>2642.9699245722677</c:v>
                </c:pt>
                <c:pt idx="9">
                  <c:v>2642.9699245722677</c:v>
                </c:pt>
                <c:pt idx="10">
                  <c:v>2642.9699245722677</c:v>
                </c:pt>
                <c:pt idx="11">
                  <c:v>2642.9699245722677</c:v>
                </c:pt>
                <c:pt idx="12">
                  <c:v>2642.9699245722677</c:v>
                </c:pt>
              </c:numCache>
            </c:numRef>
          </c:val>
          <c:smooth val="0"/>
          <c:extLst>
            <c:ext xmlns:c16="http://schemas.microsoft.com/office/drawing/2014/chart" uri="{C3380CC4-5D6E-409C-BE32-E72D297353CC}">
              <c16:uniqueId val="{00000003-DB9C-4762-A22D-B9095B3EDD25}"/>
            </c:ext>
          </c:extLst>
        </c:ser>
        <c:dLbls>
          <c:showLegendKey val="0"/>
          <c:showVal val="0"/>
          <c:showCatName val="0"/>
          <c:showSerName val="0"/>
          <c:showPercent val="0"/>
          <c:showBubbleSize val="0"/>
        </c:dLbls>
        <c:marker val="1"/>
        <c:smooth val="0"/>
        <c:axId val="-14726448"/>
        <c:axId val="-14729840"/>
      </c:lineChart>
      <c:catAx>
        <c:axId val="-1473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3232"/>
        <c:crosses val="autoZero"/>
        <c:auto val="1"/>
        <c:lblAlgn val="ctr"/>
        <c:lblOffset val="100"/>
        <c:noMultiLvlLbl val="0"/>
      </c:catAx>
      <c:valAx>
        <c:axId val="-14733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Number of Interruptions</a:t>
                </a:r>
                <a:r>
                  <a:rPr lang="en-NZ" baseline="0"/>
                  <a:t> (Bars)</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5280"/>
        <c:crosses val="autoZero"/>
        <c:crossBetween val="between"/>
      </c:valAx>
      <c:valAx>
        <c:axId val="-147298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$0000s</a:t>
                </a:r>
                <a:r>
                  <a:rPr lang="en-NZ" baseline="0"/>
                  <a:t> of Opex (Line)</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26448"/>
        <c:crosses val="max"/>
        <c:crossBetween val="between"/>
      </c:valAx>
      <c:catAx>
        <c:axId val="-14726448"/>
        <c:scaling>
          <c:orientation val="minMax"/>
        </c:scaling>
        <c:delete val="1"/>
        <c:axPos val="b"/>
        <c:majorTickMark val="out"/>
        <c:minorTickMark val="none"/>
        <c:tickLblPos val="nextTo"/>
        <c:crossAx val="-14729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3175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Service Opex</a:t>
            </a:r>
            <a:r>
              <a:rPr lang="en-NZ" sz="1400" b="0" i="0" u="none" strike="noStrike" baseline="0">
                <a:effectLst/>
              </a:rPr>
              <a:t> to Output</a:t>
            </a:r>
          </a:p>
        </c:rich>
      </c:tx>
      <c:layout>
        <c:manualLayout>
          <c:xMode val="edge"/>
          <c:yMode val="edge"/>
          <c:x val="0.36860358918549802"/>
          <c:y val="2.76182942085510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242847769028898"/>
          <c:y val="0.27109616506270101"/>
          <c:w val="0.38292104111985997"/>
          <c:h val="0.63820173519976697"/>
        </c:manualLayout>
      </c:layout>
      <c:radarChart>
        <c:radarStyle val="marker"/>
        <c:varyColors val="0"/>
        <c:ser>
          <c:idx val="1"/>
          <c:order val="0"/>
          <c:tx>
            <c:strRef>
              <c:f>Calculations!$A$60</c:f>
              <c:strCache>
                <c:ptCount val="1"/>
                <c:pt idx="0">
                  <c:v>Service interruptions, incidents and emergencies Opex per ICP</c:v>
                </c:pt>
              </c:strCache>
            </c:strRef>
          </c:tx>
          <c:spPr>
            <a:ln w="15875" cap="rnd">
              <a:solidFill>
                <a:schemeClr val="accent1"/>
              </a:solidFill>
              <a:round/>
            </a:ln>
            <a:effectLst/>
          </c:spPr>
          <c:marker>
            <c:symbol val="none"/>
          </c:marker>
          <c:dPt>
            <c:idx val="0"/>
            <c:marker>
              <c:symbol val="circle"/>
              <c:size val="5"/>
              <c:spPr>
                <a:noFill/>
                <a:ln w="9525">
                  <a:noFill/>
                </a:ln>
                <a:effectLst/>
              </c:spPr>
            </c:marker>
            <c:bubble3D val="0"/>
            <c:spPr>
              <a:ln w="15875" cap="rnd">
                <a:noFill/>
                <a:round/>
              </a:ln>
              <a:effectLst/>
            </c:spPr>
            <c:extLst>
              <c:ext xmlns:c16="http://schemas.microsoft.com/office/drawing/2014/chart" uri="{C3380CC4-5D6E-409C-BE32-E72D297353CC}">
                <c16:uniqueId val="{00000001-1D8C-4655-BD95-DBF70E9BDCD5}"/>
              </c:ext>
            </c:extLst>
          </c:dPt>
          <c:cat>
            <c:numRef>
              <c:f>Calculations!$B$50:$N$50</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Calculations!$B$60:$N$60</c:f>
              <c:numCache>
                <c:formatCode>"$"#,##0.00</c:formatCode>
                <c:ptCount val="13"/>
                <c:pt idx="0">
                  <c:v>12.768234874356491</c:v>
                </c:pt>
                <c:pt idx="1">
                  <c:v>12.608145838811053</c:v>
                </c:pt>
                <c:pt idx="2">
                  <c:v>12.349687276024087</c:v>
                </c:pt>
                <c:pt idx="3">
                  <c:v>18.774438396074522</c:v>
                </c:pt>
                <c:pt idx="4">
                  <c:v>18.234334963894714</c:v>
                </c:pt>
                <c:pt idx="5">
                  <c:v>17.71521680094143</c:v>
                </c:pt>
                <c:pt idx="6">
                  <c:v>17.225596338350499</c:v>
                </c:pt>
                <c:pt idx="7">
                  <c:v>16.750404423407769</c:v>
                </c:pt>
                <c:pt idx="8">
                  <c:v>16.295297095656807</c:v>
                </c:pt>
                <c:pt idx="9">
                  <c:v>16.295297095656807</c:v>
                </c:pt>
                <c:pt idx="10">
                  <c:v>16.295297095656807</c:v>
                </c:pt>
                <c:pt idx="11">
                  <c:v>16.295297095656807</c:v>
                </c:pt>
                <c:pt idx="12">
                  <c:v>16.295297095656807</c:v>
                </c:pt>
              </c:numCache>
            </c:numRef>
          </c:val>
          <c:extLst>
            <c:ext xmlns:c16="http://schemas.microsoft.com/office/drawing/2014/chart" uri="{C3380CC4-5D6E-409C-BE32-E72D297353CC}">
              <c16:uniqueId val="{00000002-1D8C-4655-BD95-DBF70E9BDCD5}"/>
            </c:ext>
          </c:extLst>
        </c:ser>
        <c:ser>
          <c:idx val="2"/>
          <c:order val="1"/>
          <c:tx>
            <c:v>Boundary</c:v>
          </c:tx>
          <c:spPr>
            <a:ln w="25400" cap="rnd">
              <a:solidFill>
                <a:srgbClr val="C00000"/>
              </a:solidFill>
              <a:prstDash val="sysDot"/>
              <a:round/>
            </a:ln>
            <a:effectLst/>
          </c:spPr>
          <c:marker>
            <c:symbol val="none"/>
          </c:marker>
          <c:dPt>
            <c:idx val="0"/>
            <c:marker>
              <c:symbol val="circle"/>
              <c:size val="5"/>
              <c:spPr>
                <a:noFill/>
                <a:ln w="9525">
                  <a:noFill/>
                </a:ln>
                <a:effectLst/>
              </c:spPr>
            </c:marker>
            <c:bubble3D val="0"/>
            <c:spPr>
              <a:ln w="25400" cap="rnd">
                <a:noFill/>
                <a:prstDash val="sysDot"/>
                <a:round/>
              </a:ln>
              <a:effectLst/>
            </c:spPr>
            <c:extLst>
              <c:ext xmlns:c16="http://schemas.microsoft.com/office/drawing/2014/chart" uri="{C3380CC4-5D6E-409C-BE32-E72D297353CC}">
                <c16:uniqueId val="{00000004-1D8C-4655-BD95-DBF70E9BDCD5}"/>
              </c:ext>
            </c:extLst>
          </c:dPt>
          <c:val>
            <c:numRef>
              <c:f>Calculations!$B$61:$N$61</c:f>
              <c:numCache>
                <c:formatCode>"$"#,##0.00</c:formatCode>
                <c:ptCount val="13"/>
                <c:pt idx="0">
                  <c:v>12.814746626991024</c:v>
                </c:pt>
                <c:pt idx="1">
                  <c:v>12.591243865576727</c:v>
                </c:pt>
                <c:pt idx="2">
                  <c:v>12.320896532160614</c:v>
                </c:pt>
                <c:pt idx="3">
                  <c:v>19.275666186838681</c:v>
                </c:pt>
                <c:pt idx="4">
                  <c:v>18.740275915206105</c:v>
                </c:pt>
                <c:pt idx="5">
                  <c:v>18.206753983882457</c:v>
                </c:pt>
                <c:pt idx="6">
                  <c:v>17.703548214061222</c:v>
                </c:pt>
                <c:pt idx="7">
                  <c:v>17.215171335149275</c:v>
                </c:pt>
                <c:pt idx="8">
                  <c:v>16.747436322604379</c:v>
                </c:pt>
                <c:pt idx="9">
                  <c:v>16.747436322604379</c:v>
                </c:pt>
                <c:pt idx="10">
                  <c:v>16.747436322604379</c:v>
                </c:pt>
                <c:pt idx="11">
                  <c:v>16.747436322604379</c:v>
                </c:pt>
                <c:pt idx="12">
                  <c:v>16.747436322604379</c:v>
                </c:pt>
              </c:numCache>
            </c:numRef>
          </c:val>
          <c:extLst>
            <c:ext xmlns:c16="http://schemas.microsoft.com/office/drawing/2014/chart" uri="{C3380CC4-5D6E-409C-BE32-E72D297353CC}">
              <c16:uniqueId val="{00000005-1D8C-4655-BD95-DBF70E9BDCD5}"/>
            </c:ext>
          </c:extLst>
        </c:ser>
        <c:dLbls>
          <c:showLegendKey val="0"/>
          <c:showVal val="0"/>
          <c:showCatName val="0"/>
          <c:showSerName val="0"/>
          <c:showPercent val="0"/>
          <c:showBubbleSize val="0"/>
        </c:dLbls>
        <c:axId val="-14769136"/>
        <c:axId val="-14779568"/>
      </c:radarChart>
      <c:catAx>
        <c:axId val="-1476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79568"/>
        <c:crosses val="autoZero"/>
        <c:auto val="1"/>
        <c:lblAlgn val="ctr"/>
        <c:lblOffset val="100"/>
        <c:noMultiLvlLbl val="0"/>
      </c:catAx>
      <c:valAx>
        <c:axId val="-14779568"/>
        <c:scaling>
          <c:orientation val="minMax"/>
        </c:scaling>
        <c:delete val="1"/>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crossAx val="-14769136"/>
        <c:crosses val="autoZero"/>
        <c:crossBetween val="between"/>
      </c:valAx>
      <c:spPr>
        <a:noFill/>
        <a:ln>
          <a:noFill/>
        </a:ln>
        <a:effectLst/>
      </c:spPr>
    </c:plotArea>
    <c:legend>
      <c:legendPos val="t"/>
      <c:layout>
        <c:manualLayout>
          <c:xMode val="edge"/>
          <c:yMode val="edge"/>
          <c:x val="0.15601312335958001"/>
          <c:y val="0.13004629629629599"/>
          <c:w val="0.84398685775788795"/>
          <c:h val="7.81255468066491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Maintenance Opex to Output</a:t>
            </a:r>
          </a:p>
        </c:rich>
      </c:tx>
      <c:layout>
        <c:manualLayout>
          <c:xMode val="edge"/>
          <c:yMode val="edge"/>
          <c:x val="0.31819696450987101"/>
          <c:y val="2.766149023038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242847769028898"/>
          <c:y val="0.27109616506270101"/>
          <c:w val="0.38292104111985997"/>
          <c:h val="0.63820173519976697"/>
        </c:manualLayout>
      </c:layout>
      <c:radarChart>
        <c:radarStyle val="marker"/>
        <c:varyColors val="0"/>
        <c:ser>
          <c:idx val="1"/>
          <c:order val="0"/>
          <c:tx>
            <c:strRef>
              <c:f>Calculations!$A$62</c:f>
              <c:strCache>
                <c:ptCount val="1"/>
                <c:pt idx="0">
                  <c:v>Routine and corrective maintenance and inspection Opex per ICP</c:v>
                </c:pt>
              </c:strCache>
            </c:strRef>
          </c:tx>
          <c:spPr>
            <a:ln w="15875" cap="rnd">
              <a:solidFill>
                <a:schemeClr val="accent1"/>
              </a:solidFill>
              <a:round/>
            </a:ln>
            <a:effectLst/>
          </c:spPr>
          <c:marker>
            <c:symbol val="none"/>
          </c:marker>
          <c:dPt>
            <c:idx val="0"/>
            <c:marker>
              <c:symbol val="circle"/>
              <c:size val="5"/>
              <c:spPr>
                <a:noFill/>
                <a:ln w="9525">
                  <a:noFill/>
                </a:ln>
                <a:effectLst/>
              </c:spPr>
            </c:marker>
            <c:bubble3D val="0"/>
            <c:spPr>
              <a:ln w="15875" cap="rnd">
                <a:noFill/>
                <a:round/>
              </a:ln>
              <a:effectLst/>
            </c:spPr>
            <c:extLst>
              <c:ext xmlns:c16="http://schemas.microsoft.com/office/drawing/2014/chart" uri="{C3380CC4-5D6E-409C-BE32-E72D297353CC}">
                <c16:uniqueId val="{00000001-B799-4BCC-AC94-00469940D69A}"/>
              </c:ext>
            </c:extLst>
          </c:dPt>
          <c:cat>
            <c:numRef>
              <c:f>Calculations!$B$50:$N$50</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Calculations!$B$62:$N$62</c:f>
              <c:numCache>
                <c:formatCode>"$"#,##0.00</c:formatCode>
                <c:ptCount val="13"/>
                <c:pt idx="0">
                  <c:v>16.323461950150364</c:v>
                </c:pt>
                <c:pt idx="1">
                  <c:v>16.113886489125942</c:v>
                </c:pt>
                <c:pt idx="2">
                  <c:v>15.780155963808555</c:v>
                </c:pt>
                <c:pt idx="3">
                  <c:v>23.997546576707812</c:v>
                </c:pt>
                <c:pt idx="4">
                  <c:v>22.855811786629395</c:v>
                </c:pt>
                <c:pt idx="5">
                  <c:v>22.232280257083371</c:v>
                </c:pt>
                <c:pt idx="6">
                  <c:v>21.635419417304814</c:v>
                </c:pt>
                <c:pt idx="7">
                  <c:v>21.064254106288463</c:v>
                </c:pt>
                <c:pt idx="8">
                  <c:v>20.516919797495337</c:v>
                </c:pt>
                <c:pt idx="9">
                  <c:v>20.533573141486812</c:v>
                </c:pt>
                <c:pt idx="10">
                  <c:v>20.558553157474019</c:v>
                </c:pt>
                <c:pt idx="11">
                  <c:v>20.58353317346123</c:v>
                </c:pt>
                <c:pt idx="12">
                  <c:v>20.608513189448441</c:v>
                </c:pt>
              </c:numCache>
            </c:numRef>
          </c:val>
          <c:extLst>
            <c:ext xmlns:c16="http://schemas.microsoft.com/office/drawing/2014/chart" uri="{C3380CC4-5D6E-409C-BE32-E72D297353CC}">
              <c16:uniqueId val="{00000002-B799-4BCC-AC94-00469940D69A}"/>
            </c:ext>
          </c:extLst>
        </c:ser>
        <c:ser>
          <c:idx val="2"/>
          <c:order val="1"/>
          <c:tx>
            <c:v>Boundary</c:v>
          </c:tx>
          <c:spPr>
            <a:ln w="25400" cap="rnd">
              <a:solidFill>
                <a:srgbClr val="C00000"/>
              </a:solidFill>
              <a:prstDash val="sysDot"/>
              <a:round/>
            </a:ln>
            <a:effectLst/>
          </c:spPr>
          <c:marker>
            <c:symbol val="none"/>
          </c:marker>
          <c:dPt>
            <c:idx val="0"/>
            <c:marker>
              <c:symbol val="circle"/>
              <c:size val="5"/>
              <c:spPr>
                <a:noFill/>
                <a:ln w="9525">
                  <a:noFill/>
                </a:ln>
                <a:effectLst/>
              </c:spPr>
            </c:marker>
            <c:bubble3D val="0"/>
            <c:spPr>
              <a:ln w="25400" cap="rnd">
                <a:noFill/>
                <a:prstDash val="sysDot"/>
                <a:round/>
              </a:ln>
              <a:effectLst/>
            </c:spPr>
            <c:extLst>
              <c:ext xmlns:c16="http://schemas.microsoft.com/office/drawing/2014/chart" uri="{C3380CC4-5D6E-409C-BE32-E72D297353CC}">
                <c16:uniqueId val="{00000004-B799-4BCC-AC94-00469940D69A}"/>
              </c:ext>
            </c:extLst>
          </c:dPt>
          <c:val>
            <c:numRef>
              <c:f>Calculations!$B$63:$N$63</c:f>
              <c:numCache>
                <c:formatCode>"$"#,##0.00</c:formatCode>
                <c:ptCount val="13"/>
                <c:pt idx="0">
                  <c:v>16.378762860170188</c:v>
                </c:pt>
                <c:pt idx="1">
                  <c:v>16.093099878735373</c:v>
                </c:pt>
                <c:pt idx="2">
                  <c:v>15.747563990060408</c:v>
                </c:pt>
                <c:pt idx="3">
                  <c:v>24.636582730482168</c:v>
                </c:pt>
                <c:pt idx="4">
                  <c:v>23.952290597991439</c:v>
                </c:pt>
                <c:pt idx="5">
                  <c:v>23.270386425540249</c:v>
                </c:pt>
                <c:pt idx="6">
                  <c:v>22.627229895514755</c:v>
                </c:pt>
                <c:pt idx="7">
                  <c:v>22.003026443123357</c:v>
                </c:pt>
                <c:pt idx="8">
                  <c:v>21.405205738987405</c:v>
                </c:pt>
                <c:pt idx="9">
                  <c:v>21.405205738987405</c:v>
                </c:pt>
                <c:pt idx="10">
                  <c:v>21.405205738987405</c:v>
                </c:pt>
                <c:pt idx="11">
                  <c:v>21.405205738987405</c:v>
                </c:pt>
                <c:pt idx="12">
                  <c:v>21.405205738987405</c:v>
                </c:pt>
              </c:numCache>
            </c:numRef>
          </c:val>
          <c:extLst>
            <c:ext xmlns:c16="http://schemas.microsoft.com/office/drawing/2014/chart" uri="{C3380CC4-5D6E-409C-BE32-E72D297353CC}">
              <c16:uniqueId val="{00000005-B799-4BCC-AC94-00469940D69A}"/>
            </c:ext>
          </c:extLst>
        </c:ser>
        <c:dLbls>
          <c:showLegendKey val="0"/>
          <c:showVal val="0"/>
          <c:showCatName val="0"/>
          <c:showSerName val="0"/>
          <c:showPercent val="0"/>
          <c:showBubbleSize val="0"/>
        </c:dLbls>
        <c:axId val="-14839104"/>
        <c:axId val="-14836784"/>
      </c:radarChart>
      <c:catAx>
        <c:axId val="-1483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36784"/>
        <c:crosses val="autoZero"/>
        <c:auto val="1"/>
        <c:lblAlgn val="ctr"/>
        <c:lblOffset val="100"/>
        <c:noMultiLvlLbl val="0"/>
      </c:catAx>
      <c:valAx>
        <c:axId val="-14836784"/>
        <c:scaling>
          <c:orientation val="minMax"/>
        </c:scaling>
        <c:delete val="1"/>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crossAx val="-14839104"/>
        <c:crosses val="autoZero"/>
        <c:crossBetween val="between"/>
      </c:valAx>
      <c:spPr>
        <a:noFill/>
        <a:ln>
          <a:noFill/>
        </a:ln>
        <a:effectLst/>
      </c:spPr>
    </c:plotArea>
    <c:legend>
      <c:legendPos val="t"/>
      <c:layout>
        <c:manualLayout>
          <c:xMode val="edge"/>
          <c:yMode val="edge"/>
          <c:x val="0.15601312335958001"/>
          <c:y val="0.13004629629629599"/>
          <c:w val="0.84398685775788795"/>
          <c:h val="7.81255468066491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Asset</a:t>
            </a:r>
            <a:r>
              <a:rPr lang="en-NZ" baseline="0"/>
              <a:t> Replacement and Renewal</a:t>
            </a:r>
            <a:r>
              <a:rPr lang="en-NZ"/>
              <a:t> Opex </a:t>
            </a:r>
            <a:r>
              <a:rPr lang="en-NZ" sz="1400" b="0" i="0" u="none" strike="noStrike" baseline="0">
                <a:effectLst/>
              </a:rPr>
              <a:t>to Output</a:t>
            </a:r>
            <a:endParaRPr lang="en-NZ"/>
          </a:p>
        </c:rich>
      </c:tx>
      <c:layout>
        <c:manualLayout>
          <c:xMode val="edge"/>
          <c:yMode val="edge"/>
          <c:x val="0.132691771269177"/>
          <c:y val="2.766149023038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242847769028898"/>
          <c:y val="0.27109616506270101"/>
          <c:w val="0.38292104111985997"/>
          <c:h val="0.63820173519976697"/>
        </c:manualLayout>
      </c:layout>
      <c:radarChart>
        <c:radarStyle val="marker"/>
        <c:varyColors val="0"/>
        <c:ser>
          <c:idx val="1"/>
          <c:order val="0"/>
          <c:tx>
            <c:strRef>
              <c:f>Calculations!$A$64</c:f>
              <c:strCache>
                <c:ptCount val="1"/>
                <c:pt idx="0">
                  <c:v> Asset replacement and  renewal Opex per ICP</c:v>
                </c:pt>
              </c:strCache>
            </c:strRef>
          </c:tx>
          <c:spPr>
            <a:ln w="15875" cap="rnd">
              <a:solidFill>
                <a:schemeClr val="accent1"/>
              </a:solidFill>
              <a:round/>
            </a:ln>
            <a:effectLst/>
          </c:spPr>
          <c:marker>
            <c:symbol val="none"/>
          </c:marker>
          <c:dPt>
            <c:idx val="0"/>
            <c:marker>
              <c:symbol val="circle"/>
              <c:size val="5"/>
              <c:spPr>
                <a:noFill/>
                <a:ln w="9525">
                  <a:noFill/>
                </a:ln>
                <a:effectLst/>
              </c:spPr>
            </c:marker>
            <c:bubble3D val="0"/>
            <c:spPr>
              <a:ln w="15875" cap="rnd">
                <a:noFill/>
                <a:round/>
              </a:ln>
              <a:effectLst/>
            </c:spPr>
            <c:extLst>
              <c:ext xmlns:c16="http://schemas.microsoft.com/office/drawing/2014/chart" uri="{C3380CC4-5D6E-409C-BE32-E72D297353CC}">
                <c16:uniqueId val="{00000001-239B-437E-8C06-B19FC0B020C3}"/>
              </c:ext>
            </c:extLst>
          </c:dPt>
          <c:cat>
            <c:numRef>
              <c:f>Calculations!$B$50:$N$50</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Calculations!$B$64:$N$64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39B-437E-8C06-B19FC0B020C3}"/>
            </c:ext>
          </c:extLst>
        </c:ser>
        <c:ser>
          <c:idx val="2"/>
          <c:order val="1"/>
          <c:tx>
            <c:v>Boundary</c:v>
          </c:tx>
          <c:spPr>
            <a:ln w="25400" cap="rnd">
              <a:solidFill>
                <a:srgbClr val="C00000"/>
              </a:solidFill>
              <a:prstDash val="sysDot"/>
              <a:round/>
            </a:ln>
            <a:effectLst/>
          </c:spPr>
          <c:marker>
            <c:symbol val="none"/>
          </c:marker>
          <c:dPt>
            <c:idx val="0"/>
            <c:marker>
              <c:symbol val="circle"/>
              <c:size val="5"/>
              <c:spPr>
                <a:noFill/>
                <a:ln w="9525">
                  <a:noFill/>
                </a:ln>
                <a:effectLst/>
              </c:spPr>
            </c:marker>
            <c:bubble3D val="0"/>
            <c:spPr>
              <a:ln w="25400" cap="rnd">
                <a:noFill/>
                <a:prstDash val="sysDot"/>
                <a:round/>
              </a:ln>
              <a:effectLst/>
            </c:spPr>
            <c:extLst>
              <c:ext xmlns:c16="http://schemas.microsoft.com/office/drawing/2014/chart" uri="{C3380CC4-5D6E-409C-BE32-E72D297353CC}">
                <c16:uniqueId val="{00000004-239B-437E-8C06-B19FC0B020C3}"/>
              </c:ext>
            </c:extLst>
          </c:dPt>
          <c:val>
            <c:numRef>
              <c:f>Calculations!$B$65:$N$65</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239B-437E-8C06-B19FC0B020C3}"/>
            </c:ext>
          </c:extLst>
        </c:ser>
        <c:dLbls>
          <c:showLegendKey val="0"/>
          <c:showVal val="0"/>
          <c:showCatName val="0"/>
          <c:showSerName val="0"/>
          <c:showPercent val="0"/>
          <c:showBubbleSize val="0"/>
        </c:dLbls>
        <c:axId val="-14860224"/>
        <c:axId val="-14877104"/>
      </c:radarChart>
      <c:catAx>
        <c:axId val="-1486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77104"/>
        <c:crosses val="autoZero"/>
        <c:auto val="1"/>
        <c:lblAlgn val="ctr"/>
        <c:lblOffset val="100"/>
        <c:noMultiLvlLbl val="0"/>
      </c:catAx>
      <c:valAx>
        <c:axId val="-14877104"/>
        <c:scaling>
          <c:orientation val="minMax"/>
        </c:scaling>
        <c:delete val="1"/>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crossAx val="-14860224"/>
        <c:crosses val="autoZero"/>
        <c:crossBetween val="between"/>
      </c:valAx>
      <c:spPr>
        <a:noFill/>
        <a:ln>
          <a:noFill/>
        </a:ln>
        <a:effectLst/>
      </c:spPr>
    </c:plotArea>
    <c:legend>
      <c:legendPos val="t"/>
      <c:layout>
        <c:manualLayout>
          <c:xMode val="edge"/>
          <c:yMode val="edge"/>
          <c:x val="0.15601312335958001"/>
          <c:y val="0.13004629629629599"/>
          <c:w val="0.84398685775788795"/>
          <c:h val="7.81255468066491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Non-Network Opex</a:t>
            </a:r>
            <a:r>
              <a:rPr lang="en-NZ" sz="1400" b="0" i="0" u="none" strike="noStrike" baseline="0">
                <a:effectLst/>
              </a:rPr>
              <a:t> to Output</a:t>
            </a:r>
            <a:endParaRPr lang="en-NZ"/>
          </a:p>
        </c:rich>
      </c:tx>
      <c:layout>
        <c:manualLayout>
          <c:xMode val="edge"/>
          <c:yMode val="edge"/>
          <c:x val="0.322533128480891"/>
          <c:y val="4.16369857973361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242847769028898"/>
          <c:y val="0.27109616506270101"/>
          <c:w val="0.38292104111985997"/>
          <c:h val="0.63820173519976697"/>
        </c:manualLayout>
      </c:layout>
      <c:radarChart>
        <c:radarStyle val="marker"/>
        <c:varyColors val="0"/>
        <c:ser>
          <c:idx val="1"/>
          <c:order val="0"/>
          <c:tx>
            <c:strRef>
              <c:f>Calculations!$A$66</c:f>
              <c:strCache>
                <c:ptCount val="1"/>
                <c:pt idx="0">
                  <c:v>Non-Network Opex per ICP</c:v>
                </c:pt>
              </c:strCache>
            </c:strRef>
          </c:tx>
          <c:spPr>
            <a:ln w="15875" cap="rnd">
              <a:solidFill>
                <a:schemeClr val="accent1"/>
              </a:solidFill>
              <a:round/>
            </a:ln>
            <a:effectLst/>
          </c:spPr>
          <c:marker>
            <c:symbol val="none"/>
          </c:marker>
          <c:dPt>
            <c:idx val="0"/>
            <c:marker>
              <c:symbol val="circle"/>
              <c:size val="5"/>
              <c:spPr>
                <a:noFill/>
                <a:ln w="9525">
                  <a:noFill/>
                </a:ln>
                <a:effectLst/>
              </c:spPr>
            </c:marker>
            <c:bubble3D val="0"/>
            <c:spPr>
              <a:ln w="15875" cap="rnd">
                <a:noFill/>
                <a:round/>
              </a:ln>
              <a:effectLst/>
            </c:spPr>
            <c:extLst>
              <c:ext xmlns:c16="http://schemas.microsoft.com/office/drawing/2014/chart" uri="{C3380CC4-5D6E-409C-BE32-E72D297353CC}">
                <c16:uniqueId val="{00000001-7574-4BBF-BDE7-332CD736F420}"/>
              </c:ext>
            </c:extLst>
          </c:dPt>
          <c:cat>
            <c:numRef>
              <c:f>Calculations!$B$50:$N$50</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Calculations!$B$66:$N$66</c:f>
              <c:numCache>
                <c:formatCode>"$"#,##0.0000</c:formatCode>
                <c:ptCount val="13"/>
                <c:pt idx="0">
                  <c:v>39.483408940312962</c:v>
                </c:pt>
                <c:pt idx="1">
                  <c:v>38.988844232430608</c:v>
                </c:pt>
                <c:pt idx="2">
                  <c:v>38.182341662429629</c:v>
                </c:pt>
                <c:pt idx="3">
                  <c:v>58.057962125277925</c:v>
                </c:pt>
                <c:pt idx="4">
                  <c:v>68.548800372699745</c:v>
                </c:pt>
                <c:pt idx="5">
                  <c:v>66.597266226124745</c:v>
                </c:pt>
                <c:pt idx="6">
                  <c:v>64.756623536660499</c:v>
                </c:pt>
                <c:pt idx="7">
                  <c:v>62.970222454272339</c:v>
                </c:pt>
                <c:pt idx="8">
                  <c:v>61.259325872635223</c:v>
                </c:pt>
                <c:pt idx="9">
                  <c:v>61.259325872635223</c:v>
                </c:pt>
                <c:pt idx="10">
                  <c:v>61.259325872635223</c:v>
                </c:pt>
                <c:pt idx="11">
                  <c:v>61.259325872635223</c:v>
                </c:pt>
                <c:pt idx="12">
                  <c:v>61.259325872635223</c:v>
                </c:pt>
              </c:numCache>
            </c:numRef>
          </c:val>
          <c:extLst>
            <c:ext xmlns:c16="http://schemas.microsoft.com/office/drawing/2014/chart" uri="{C3380CC4-5D6E-409C-BE32-E72D297353CC}">
              <c16:uniqueId val="{00000002-7574-4BBF-BDE7-332CD736F420}"/>
            </c:ext>
          </c:extLst>
        </c:ser>
        <c:ser>
          <c:idx val="2"/>
          <c:order val="1"/>
          <c:tx>
            <c:v>Boundary</c:v>
          </c:tx>
          <c:spPr>
            <a:ln w="25400" cap="rnd">
              <a:solidFill>
                <a:srgbClr val="C00000"/>
              </a:solidFill>
              <a:prstDash val="sysDot"/>
              <a:round/>
            </a:ln>
            <a:effectLst/>
          </c:spPr>
          <c:marker>
            <c:symbol val="none"/>
          </c:marker>
          <c:dPt>
            <c:idx val="0"/>
            <c:marker>
              <c:symbol val="circle"/>
              <c:size val="5"/>
              <c:spPr>
                <a:noFill/>
                <a:ln w="9525">
                  <a:noFill/>
                </a:ln>
                <a:effectLst/>
              </c:spPr>
            </c:marker>
            <c:bubble3D val="0"/>
            <c:spPr>
              <a:ln w="25400" cap="rnd">
                <a:noFill/>
                <a:prstDash val="sysDot"/>
                <a:round/>
              </a:ln>
              <a:effectLst/>
            </c:spPr>
            <c:extLst>
              <c:ext xmlns:c16="http://schemas.microsoft.com/office/drawing/2014/chart" uri="{C3380CC4-5D6E-409C-BE32-E72D297353CC}">
                <c16:uniqueId val="{00000004-7574-4BBF-BDE7-332CD736F420}"/>
              </c:ext>
            </c:extLst>
          </c:dPt>
          <c:val>
            <c:numRef>
              <c:f>Calculations!$B$67:$N$67</c:f>
              <c:numCache>
                <c:formatCode>"$"#,##0.0000</c:formatCode>
                <c:ptCount val="13"/>
                <c:pt idx="0">
                  <c:v>39.625832307357697</c:v>
                </c:pt>
                <c:pt idx="1">
                  <c:v>38.934715799023444</c:v>
                </c:pt>
                <c:pt idx="2">
                  <c:v>38.098746239069399</c:v>
                </c:pt>
                <c:pt idx="3">
                  <c:v>59.60432446814773</c:v>
                </c:pt>
                <c:pt idx="4">
                  <c:v>57.948787629204809</c:v>
                </c:pt>
                <c:pt idx="5">
                  <c:v>56.299028082777284</c:v>
                </c:pt>
                <c:pt idx="6">
                  <c:v>54.743012343142382</c:v>
                </c:pt>
                <c:pt idx="7">
                  <c:v>53.232850584204861</c:v>
                </c:pt>
                <c:pt idx="8">
                  <c:v>51.786517721692704</c:v>
                </c:pt>
                <c:pt idx="9">
                  <c:v>51.786517721692704</c:v>
                </c:pt>
                <c:pt idx="10">
                  <c:v>51.786517721692704</c:v>
                </c:pt>
                <c:pt idx="11">
                  <c:v>51.786517721692704</c:v>
                </c:pt>
                <c:pt idx="12">
                  <c:v>51.786517721692704</c:v>
                </c:pt>
              </c:numCache>
            </c:numRef>
          </c:val>
          <c:extLst>
            <c:ext xmlns:c16="http://schemas.microsoft.com/office/drawing/2014/chart" uri="{C3380CC4-5D6E-409C-BE32-E72D297353CC}">
              <c16:uniqueId val="{00000005-7574-4BBF-BDE7-332CD736F420}"/>
            </c:ext>
          </c:extLst>
        </c:ser>
        <c:dLbls>
          <c:showLegendKey val="0"/>
          <c:showVal val="0"/>
          <c:showCatName val="0"/>
          <c:showSerName val="0"/>
          <c:showPercent val="0"/>
          <c:showBubbleSize val="0"/>
        </c:dLbls>
        <c:axId val="-14901552"/>
        <c:axId val="-14899232"/>
      </c:radarChart>
      <c:catAx>
        <c:axId val="-1490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99232"/>
        <c:crosses val="autoZero"/>
        <c:auto val="1"/>
        <c:lblAlgn val="ctr"/>
        <c:lblOffset val="100"/>
        <c:noMultiLvlLbl val="0"/>
      </c:catAx>
      <c:valAx>
        <c:axId val="-14899232"/>
        <c:scaling>
          <c:orientation val="minMax"/>
        </c:scaling>
        <c:delete val="1"/>
        <c:axPos val="l"/>
        <c:majorGridlines>
          <c:spPr>
            <a:ln w="9525" cap="flat" cmpd="sng" algn="ctr">
              <a:solidFill>
                <a:schemeClr val="tx1">
                  <a:lumMod val="15000"/>
                  <a:lumOff val="85000"/>
                </a:schemeClr>
              </a:solidFill>
              <a:round/>
            </a:ln>
            <a:effectLst/>
          </c:spPr>
        </c:majorGridlines>
        <c:numFmt formatCode="&quot;$&quot;#,##0.0000" sourceLinked="1"/>
        <c:majorTickMark val="none"/>
        <c:minorTickMark val="none"/>
        <c:tickLblPos val="nextTo"/>
        <c:crossAx val="-14901552"/>
        <c:crosses val="autoZero"/>
        <c:crossBetween val="between"/>
      </c:valAx>
      <c:spPr>
        <a:noFill/>
        <a:ln>
          <a:noFill/>
        </a:ln>
        <a:effectLst/>
      </c:spPr>
    </c:plotArea>
    <c:legend>
      <c:legendPos val="t"/>
      <c:layout>
        <c:manualLayout>
          <c:xMode val="edge"/>
          <c:yMode val="edge"/>
          <c:x val="0.15601312335958001"/>
          <c:y val="0.13004629629629599"/>
          <c:w val="0.84398685775788795"/>
          <c:h val="7.81255468066491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0" i="0" baseline="0">
                <a:effectLst/>
              </a:rPr>
              <a:t>Opex forecast accuracy</a:t>
            </a:r>
            <a:endParaRPr lang="en-US" sz="1800">
              <a:effectLst/>
            </a:endParaRPr>
          </a:p>
          <a:p>
            <a:pPr>
              <a:defRPr sz="1800"/>
            </a:pPr>
            <a:r>
              <a:rPr lang="en-US" sz="1800" b="0" i="0" baseline="0">
                <a:effectLst/>
              </a:rPr>
              <a:t>Prior year forecast vs actual</a:t>
            </a:r>
            <a:endParaRPr lang="en-US" sz="1800">
              <a:effectLst/>
            </a:endParaRPr>
          </a:p>
          <a:p>
            <a:pPr>
              <a:defRPr sz="1800"/>
            </a:pP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'Asset Forecast v AMP'!$S$85</c:f>
              <c:strCache>
                <c:ptCount val="1"/>
                <c:pt idx="0">
                  <c:v>Prior year forecast</c:v>
                </c:pt>
              </c:strCache>
            </c:strRef>
          </c:tx>
          <c:spPr>
            <a:solidFill>
              <a:schemeClr val="accent1"/>
            </a:solidFill>
            <a:ln>
              <a:noFill/>
            </a:ln>
            <a:effectLst/>
          </c:spPr>
          <c:invertIfNegative val="0"/>
          <c:cat>
            <c:numRef>
              <c:f>'Asset Forecast v AMP'!$V$84:$Y$84</c:f>
              <c:numCache>
                <c:formatCode>General</c:formatCode>
                <c:ptCount val="4"/>
                <c:pt idx="0">
                  <c:v>2013</c:v>
                </c:pt>
                <c:pt idx="1">
                  <c:v>2014</c:v>
                </c:pt>
                <c:pt idx="2">
                  <c:v>2015</c:v>
                </c:pt>
                <c:pt idx="3">
                  <c:v>2016</c:v>
                </c:pt>
              </c:numCache>
            </c:numRef>
          </c:cat>
          <c:val>
            <c:numRef>
              <c:f>'Asset Forecast v AMP'!$V$85:$Y$85</c:f>
              <c:numCache>
                <c:formatCode>General</c:formatCode>
                <c:ptCount val="4"/>
                <c:pt idx="0">
                  <c:v>18914.723883899998</c:v>
                </c:pt>
                <c:pt idx="1">
                  <c:v>21117.341781900002</c:v>
                </c:pt>
                <c:pt idx="2">
                  <c:v>20625.976799999997</c:v>
                </c:pt>
                <c:pt idx="3">
                  <c:v>18864.854999999996</c:v>
                </c:pt>
              </c:numCache>
            </c:numRef>
          </c:val>
          <c:extLst>
            <c:ext xmlns:c16="http://schemas.microsoft.com/office/drawing/2014/chart" uri="{C3380CC4-5D6E-409C-BE32-E72D297353CC}">
              <c16:uniqueId val="{00000000-7671-4693-8423-25A383FE5028}"/>
            </c:ext>
          </c:extLst>
        </c:ser>
        <c:ser>
          <c:idx val="1"/>
          <c:order val="1"/>
          <c:tx>
            <c:strRef>
              <c:f>'Asset Forecast v AMP'!$S$86</c:f>
              <c:strCache>
                <c:ptCount val="1"/>
                <c:pt idx="0">
                  <c:v>Actual expenditure</c:v>
                </c:pt>
              </c:strCache>
            </c:strRef>
          </c:tx>
          <c:spPr>
            <a:solidFill>
              <a:schemeClr val="accent2"/>
            </a:solidFill>
            <a:ln>
              <a:noFill/>
            </a:ln>
            <a:effectLst/>
          </c:spPr>
          <c:invertIfNegative val="0"/>
          <c:cat>
            <c:numRef>
              <c:f>'Asset Forecast v AMP'!$V$84:$Y$84</c:f>
              <c:numCache>
                <c:formatCode>General</c:formatCode>
                <c:ptCount val="4"/>
                <c:pt idx="0">
                  <c:v>2013</c:v>
                </c:pt>
                <c:pt idx="1">
                  <c:v>2014</c:v>
                </c:pt>
                <c:pt idx="2">
                  <c:v>2015</c:v>
                </c:pt>
                <c:pt idx="3">
                  <c:v>2016</c:v>
                </c:pt>
              </c:numCache>
            </c:numRef>
          </c:cat>
          <c:val>
            <c:numRef>
              <c:f>'Asset Forecast v AMP'!$V$86:$Y$86</c:f>
              <c:numCache>
                <c:formatCode>General</c:formatCode>
                <c:ptCount val="4"/>
                <c:pt idx="0">
                  <c:v>10763</c:v>
                </c:pt>
                <c:pt idx="1">
                  <c:v>10816</c:v>
                </c:pt>
                <c:pt idx="2">
                  <c:v>10825</c:v>
                </c:pt>
              </c:numCache>
            </c:numRef>
          </c:val>
          <c:extLst>
            <c:ext xmlns:c16="http://schemas.microsoft.com/office/drawing/2014/chart" uri="{C3380CC4-5D6E-409C-BE32-E72D297353CC}">
              <c16:uniqueId val="{00000001-7671-4693-8423-25A383FE5028}"/>
            </c:ext>
          </c:extLst>
        </c:ser>
        <c:dLbls>
          <c:showLegendKey val="0"/>
          <c:showVal val="0"/>
          <c:showCatName val="0"/>
          <c:showSerName val="0"/>
          <c:showPercent val="0"/>
          <c:showBubbleSize val="0"/>
        </c:dLbls>
        <c:gapWidth val="219"/>
        <c:overlap val="-27"/>
        <c:axId val="-341818368"/>
        <c:axId val="-341816048"/>
      </c:barChart>
      <c:catAx>
        <c:axId val="-34181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816048"/>
        <c:crosses val="autoZero"/>
        <c:auto val="1"/>
        <c:lblAlgn val="ctr"/>
        <c:lblOffset val="100"/>
        <c:noMultiLvlLbl val="0"/>
      </c:catAx>
      <c:valAx>
        <c:axId val="-341816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(000)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81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NZ" sz="1800"/>
              <a:t>Forecasts across AMPs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'Asset Forecast v AMP'!$A$46</c:f>
              <c:strCache>
                <c:ptCount val="1"/>
                <c:pt idx="0">
                  <c:v>2013 AMP</c:v>
                </c:pt>
              </c:strCache>
            </c:strRef>
          </c:tx>
          <c:spPr>
            <a:solidFill>
              <a:schemeClr val="accent1">
                <a:lumMod val="40000"/>
                <a:lumOff val="60000"/>
              </a:schemeClr>
            </a:solidFill>
            <a:ln>
              <a:noFill/>
            </a:ln>
            <a:effectLst/>
          </c:spPr>
          <c:invertIfNegative val="0"/>
          <c:cat>
            <c:numRef>
              <c:f>'Asset Forecast v AMP'!$D$45:$Q$45</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'Asset Forecast v AMP'!$D$70:$I$70</c:f>
              <c:numCache>
                <c:formatCode>General</c:formatCode>
                <c:ptCount val="6"/>
                <c:pt idx="0">
                  <c:v>18914.723883899998</c:v>
                </c:pt>
                <c:pt idx="1">
                  <c:v>21117.341781900002</c:v>
                </c:pt>
                <c:pt idx="2">
                  <c:v>22072.4957115</c:v>
                </c:pt>
                <c:pt idx="3">
                  <c:v>22097.197968300003</c:v>
                </c:pt>
                <c:pt idx="4">
                  <c:v>22034.413065599998</c:v>
                </c:pt>
                <c:pt idx="5">
                  <c:v>22111.607618100003</c:v>
                </c:pt>
              </c:numCache>
            </c:numRef>
          </c:val>
          <c:extLst>
            <c:ext xmlns:c16="http://schemas.microsoft.com/office/drawing/2014/chart" uri="{C3380CC4-5D6E-409C-BE32-E72D297353CC}">
              <c16:uniqueId val="{00000000-63BC-4AA9-812B-2238A11F0D6A}"/>
            </c:ext>
          </c:extLst>
        </c:ser>
        <c:ser>
          <c:idx val="1"/>
          <c:order val="1"/>
          <c:tx>
            <c:strRef>
              <c:f>'Asset Forecast v AMP'!$A$47</c:f>
              <c:strCache>
                <c:ptCount val="1"/>
                <c:pt idx="0">
                  <c:v>2014 AMP</c:v>
                </c:pt>
              </c:strCache>
            </c:strRef>
          </c:tx>
          <c:spPr>
            <a:solidFill>
              <a:srgbClr val="81B2DF"/>
            </a:solidFill>
            <a:ln>
              <a:noFill/>
            </a:ln>
            <a:effectLst/>
          </c:spPr>
          <c:invertIfNegative val="0"/>
          <c:cat>
            <c:numRef>
              <c:f>'Asset Forecast v AMP'!$D$45:$Q$45</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'Asset Forecast v AMP'!$D$71:$J$71</c:f>
              <c:numCache>
                <c:formatCode>General</c:formatCode>
                <c:ptCount val="7"/>
                <c:pt idx="1">
                  <c:v>18523.635389999999</c:v>
                </c:pt>
                <c:pt idx="2">
                  <c:v>20625.976799999997</c:v>
                </c:pt>
                <c:pt idx="3">
                  <c:v>20625.976799999997</c:v>
                </c:pt>
                <c:pt idx="4">
                  <c:v>20671.834949999997</c:v>
                </c:pt>
                <c:pt idx="5">
                  <c:v>20721.769379999998</c:v>
                </c:pt>
                <c:pt idx="6">
                  <c:v>20800.23777</c:v>
                </c:pt>
              </c:numCache>
            </c:numRef>
          </c:val>
          <c:extLst>
            <c:ext xmlns:c16="http://schemas.microsoft.com/office/drawing/2014/chart" uri="{C3380CC4-5D6E-409C-BE32-E72D297353CC}">
              <c16:uniqueId val="{00000001-63BC-4AA9-812B-2238A11F0D6A}"/>
            </c:ext>
          </c:extLst>
        </c:ser>
        <c:ser>
          <c:idx val="2"/>
          <c:order val="2"/>
          <c:tx>
            <c:strRef>
              <c:f>'Asset Forecast v AMP'!$A$48</c:f>
              <c:strCache>
                <c:ptCount val="1"/>
                <c:pt idx="0">
                  <c:v>2015 AMP</c:v>
                </c:pt>
              </c:strCache>
            </c:strRef>
          </c:tx>
          <c:spPr>
            <a:solidFill>
              <a:schemeClr val="accent1">
                <a:lumMod val="75000"/>
              </a:schemeClr>
            </a:solidFill>
            <a:ln>
              <a:noFill/>
            </a:ln>
            <a:effectLst/>
          </c:spPr>
          <c:invertIfNegative val="0"/>
          <c:cat>
            <c:numRef>
              <c:f>'Asset Forecast v AMP'!$D$45:$Q$45</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'Asset Forecast v AMP'!$D$72:$K$72</c:f>
              <c:numCache>
                <c:formatCode>General</c:formatCode>
                <c:ptCount val="8"/>
                <c:pt idx="2">
                  <c:v>18668.879999999997</c:v>
                </c:pt>
                <c:pt idx="3">
                  <c:v>18864.854999999996</c:v>
                </c:pt>
                <c:pt idx="4">
                  <c:v>18866.864999999998</c:v>
                </c:pt>
                <c:pt idx="5">
                  <c:v>18868.875</c:v>
                </c:pt>
                <c:pt idx="6">
                  <c:v>18871.89</c:v>
                </c:pt>
                <c:pt idx="7">
                  <c:v>18873.900000000001</c:v>
                </c:pt>
              </c:numCache>
            </c:numRef>
          </c:val>
          <c:extLst>
            <c:ext xmlns:c16="http://schemas.microsoft.com/office/drawing/2014/chart" uri="{C3380CC4-5D6E-409C-BE32-E72D297353CC}">
              <c16:uniqueId val="{00000002-63BC-4AA9-812B-2238A11F0D6A}"/>
            </c:ext>
          </c:extLst>
        </c:ser>
        <c:ser>
          <c:idx val="3"/>
          <c:order val="3"/>
          <c:tx>
            <c:strRef>
              <c:f>'Asset Forecast v AMP'!$A$49</c:f>
              <c:strCache>
                <c:ptCount val="1"/>
                <c:pt idx="0">
                  <c:v>2016 AMP</c:v>
                </c:pt>
              </c:strCache>
            </c:strRef>
          </c:tx>
          <c:spPr>
            <a:solidFill>
              <a:srgbClr val="1438AC"/>
            </a:solidFill>
            <a:ln>
              <a:noFill/>
            </a:ln>
            <a:effectLst/>
          </c:spPr>
          <c:invertIfNegative val="0"/>
          <c:cat>
            <c:numRef>
              <c:f>'Asset Forecast v AMP'!$D$45:$Q$45</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'Asset Forecast v AMP'!$D$73:$L$73</c:f>
              <c:numCache>
                <c:formatCode>General</c:formatCode>
                <c:ptCount val="9"/>
                <c:pt idx="3">
                  <c:v>10521</c:v>
                </c:pt>
                <c:pt idx="4">
                  <c:v>11767</c:v>
                </c:pt>
                <c:pt idx="5">
                  <c:v>11770</c:v>
                </c:pt>
                <c:pt idx="6">
                  <c:v>11772</c:v>
                </c:pt>
                <c:pt idx="7">
                  <c:v>11775</c:v>
                </c:pt>
                <c:pt idx="8">
                  <c:v>11778</c:v>
                </c:pt>
              </c:numCache>
            </c:numRef>
          </c:val>
          <c:extLst>
            <c:ext xmlns:c16="http://schemas.microsoft.com/office/drawing/2014/chart" uri="{C3380CC4-5D6E-409C-BE32-E72D297353CC}">
              <c16:uniqueId val="{00000003-63BC-4AA9-812B-2238A11F0D6A}"/>
            </c:ext>
          </c:extLst>
        </c:ser>
        <c:dLbls>
          <c:showLegendKey val="0"/>
          <c:showVal val="0"/>
          <c:showCatName val="0"/>
          <c:showSerName val="0"/>
          <c:showPercent val="0"/>
          <c:showBubbleSize val="0"/>
        </c:dLbls>
        <c:gapWidth val="219"/>
        <c:overlap val="-27"/>
        <c:axId val="-372469808"/>
        <c:axId val="-372467760"/>
      </c:barChart>
      <c:lineChart>
        <c:grouping val="standard"/>
        <c:varyColors val="0"/>
        <c:ser>
          <c:idx val="4"/>
          <c:order val="4"/>
          <c:tx>
            <c:v>Actual</c:v>
          </c:tx>
          <c:spPr>
            <a:ln w="28575" cap="rnd">
              <a:solidFill>
                <a:srgbClr val="008000"/>
              </a:solidFill>
              <a:round/>
            </a:ln>
            <a:effectLst/>
          </c:spPr>
          <c:marker>
            <c:symbol val="none"/>
          </c:marker>
          <c:val>
            <c:numRef>
              <c:f>'Data Input Sheet'!$B$14:$D$14</c:f>
              <c:numCache>
                <c:formatCode>"$"#,##0</c:formatCode>
                <c:ptCount val="3"/>
                <c:pt idx="0">
                  <c:v>10763</c:v>
                </c:pt>
                <c:pt idx="1">
                  <c:v>10816</c:v>
                </c:pt>
                <c:pt idx="2">
                  <c:v>10825</c:v>
                </c:pt>
              </c:numCache>
            </c:numRef>
          </c:val>
          <c:smooth val="0"/>
          <c:extLst>
            <c:ext xmlns:c16="http://schemas.microsoft.com/office/drawing/2014/chart" uri="{C3380CC4-5D6E-409C-BE32-E72D297353CC}">
              <c16:uniqueId val="{00000004-63BC-4AA9-812B-2238A11F0D6A}"/>
            </c:ext>
          </c:extLst>
        </c:ser>
        <c:dLbls>
          <c:showLegendKey val="0"/>
          <c:showVal val="0"/>
          <c:showCatName val="0"/>
          <c:showSerName val="0"/>
          <c:showPercent val="0"/>
          <c:showBubbleSize val="0"/>
        </c:dLbls>
        <c:marker val="1"/>
        <c:smooth val="0"/>
        <c:axId val="-372469808"/>
        <c:axId val="-372467760"/>
      </c:lineChart>
      <c:catAx>
        <c:axId val="-37246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467760"/>
        <c:crosses val="autoZero"/>
        <c:auto val="1"/>
        <c:lblAlgn val="ctr"/>
        <c:lblOffset val="100"/>
        <c:noMultiLvlLbl val="0"/>
      </c:catAx>
      <c:valAx>
        <c:axId val="-372467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Forecasted Total Opex</a:t>
                </a:r>
                <a:r>
                  <a:rPr lang="en-NZ" baseline="0"/>
                  <a:t> ($000)</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469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Overview</a:t>
            </a:r>
            <a:r>
              <a:rPr lang="en-NZ" baseline="0"/>
              <a:t> of Annual </a:t>
            </a:r>
            <a:r>
              <a:rPr lang="en-NZ"/>
              <a:t>Capex Composition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6"/>
          <c:order val="0"/>
          <c:tx>
            <c:strRef>
              <c:f>'Data Input Sheet'!$A$26</c:f>
              <c:strCache>
                <c:ptCount val="1"/>
                <c:pt idx="0">
                  <c:v>Expenditure on Non-Network Assets</c:v>
                </c:pt>
              </c:strCache>
            </c:strRef>
          </c:tx>
          <c:spPr>
            <a:solidFill>
              <a:srgbClr val="33CCCC"/>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Sheet'!$B$26:$N$26</c:f>
              <c:numCache>
                <c:formatCode>"$"#,##0</c:formatCode>
                <c:ptCount val="13"/>
                <c:pt idx="0">
                  <c:v>1455</c:v>
                </c:pt>
                <c:pt idx="1">
                  <c:v>959</c:v>
                </c:pt>
                <c:pt idx="2">
                  <c:v>1027</c:v>
                </c:pt>
                <c:pt idx="3">
                  <c:v>623</c:v>
                </c:pt>
                <c:pt idx="4">
                  <c:v>1234</c:v>
                </c:pt>
                <c:pt idx="5">
                  <c:v>1686</c:v>
                </c:pt>
                <c:pt idx="6">
                  <c:v>1341</c:v>
                </c:pt>
                <c:pt idx="7">
                  <c:v>1418</c:v>
                </c:pt>
                <c:pt idx="8">
                  <c:v>1694</c:v>
                </c:pt>
                <c:pt idx="9">
                  <c:v>1512</c:v>
                </c:pt>
                <c:pt idx="10">
                  <c:v>1497</c:v>
                </c:pt>
                <c:pt idx="11">
                  <c:v>1724</c:v>
                </c:pt>
                <c:pt idx="12">
                  <c:v>1537</c:v>
                </c:pt>
              </c:numCache>
            </c:numRef>
          </c:val>
          <c:extLst>
            <c:ext xmlns:c16="http://schemas.microsoft.com/office/drawing/2014/chart" uri="{C3380CC4-5D6E-409C-BE32-E72D297353CC}">
              <c16:uniqueId val="{00000006-C55B-4F56-BC9A-7964B36B7D05}"/>
            </c:ext>
          </c:extLst>
        </c:ser>
        <c:ser>
          <c:idx val="0"/>
          <c:order val="1"/>
          <c:tx>
            <c:strRef>
              <c:f>'Data Input Sheet'!$A$20</c:f>
              <c:strCache>
                <c:ptCount val="1"/>
                <c:pt idx="0">
                  <c:v>Consumer connection</c:v>
                </c:pt>
              </c:strCache>
            </c:strRef>
          </c:tx>
          <c:spPr>
            <a:solidFill>
              <a:schemeClr val="accent1"/>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Sheet'!$B$20:$N$20</c:f>
              <c:numCache>
                <c:formatCode>"$"#,##0</c:formatCode>
                <c:ptCount val="13"/>
                <c:pt idx="0">
                  <c:v>12726</c:v>
                </c:pt>
                <c:pt idx="1">
                  <c:v>18166</c:v>
                </c:pt>
                <c:pt idx="2">
                  <c:v>13525</c:v>
                </c:pt>
                <c:pt idx="3">
                  <c:v>14548</c:v>
                </c:pt>
                <c:pt idx="4">
                  <c:v>15095</c:v>
                </c:pt>
                <c:pt idx="5">
                  <c:v>12339</c:v>
                </c:pt>
                <c:pt idx="6">
                  <c:v>12447</c:v>
                </c:pt>
                <c:pt idx="7">
                  <c:v>12678</c:v>
                </c:pt>
                <c:pt idx="8">
                  <c:v>12795</c:v>
                </c:pt>
                <c:pt idx="9">
                  <c:v>14781</c:v>
                </c:pt>
                <c:pt idx="10">
                  <c:v>14832</c:v>
                </c:pt>
                <c:pt idx="11">
                  <c:v>14580</c:v>
                </c:pt>
                <c:pt idx="12">
                  <c:v>14750</c:v>
                </c:pt>
              </c:numCache>
            </c:numRef>
          </c:val>
          <c:extLst>
            <c:ext xmlns:c16="http://schemas.microsoft.com/office/drawing/2014/chart" uri="{C3380CC4-5D6E-409C-BE32-E72D297353CC}">
              <c16:uniqueId val="{00000000-C55B-4F56-BC9A-7964B36B7D05}"/>
            </c:ext>
          </c:extLst>
        </c:ser>
        <c:ser>
          <c:idx val="1"/>
          <c:order val="2"/>
          <c:tx>
            <c:strRef>
              <c:f>'Data Input Sheet'!$A$21</c:f>
              <c:strCache>
                <c:ptCount val="1"/>
                <c:pt idx="0">
                  <c:v>System growth</c:v>
                </c:pt>
              </c:strCache>
            </c:strRef>
          </c:tx>
          <c:spPr>
            <a:solidFill>
              <a:schemeClr val="accent2"/>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Sheet'!$B$21:$N$21</c:f>
              <c:numCache>
                <c:formatCode>"$"#,##0</c:formatCode>
                <c:ptCount val="13"/>
                <c:pt idx="0">
                  <c:v>215</c:v>
                </c:pt>
                <c:pt idx="1">
                  <c:v>307</c:v>
                </c:pt>
                <c:pt idx="2">
                  <c:v>229</c:v>
                </c:pt>
                <c:pt idx="3">
                  <c:v>294</c:v>
                </c:pt>
                <c:pt idx="4">
                  <c:v>994</c:v>
                </c:pt>
                <c:pt idx="5">
                  <c:v>1295</c:v>
                </c:pt>
                <c:pt idx="6">
                  <c:v>1646</c:v>
                </c:pt>
                <c:pt idx="7">
                  <c:v>799</c:v>
                </c:pt>
                <c:pt idx="8">
                  <c:v>1623</c:v>
                </c:pt>
                <c:pt idx="9">
                  <c:v>449</c:v>
                </c:pt>
                <c:pt idx="10">
                  <c:v>517</c:v>
                </c:pt>
                <c:pt idx="11">
                  <c:v>1093</c:v>
                </c:pt>
                <c:pt idx="12">
                  <c:v>1093</c:v>
                </c:pt>
              </c:numCache>
            </c:numRef>
          </c:val>
          <c:extLst>
            <c:ext xmlns:c16="http://schemas.microsoft.com/office/drawing/2014/chart" uri="{C3380CC4-5D6E-409C-BE32-E72D297353CC}">
              <c16:uniqueId val="{00000001-C55B-4F56-BC9A-7964B36B7D05}"/>
            </c:ext>
          </c:extLst>
        </c:ser>
        <c:ser>
          <c:idx val="2"/>
          <c:order val="3"/>
          <c:tx>
            <c:strRef>
              <c:f>'Data Input Sheet'!$A$22</c:f>
              <c:strCache>
                <c:ptCount val="1"/>
                <c:pt idx="0">
                  <c:v>Asset replacement and renewal</c:v>
                </c:pt>
              </c:strCache>
            </c:strRef>
          </c:tx>
          <c:spPr>
            <a:solidFill>
              <a:schemeClr val="accent3"/>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Sheet'!$B$22:$N$22</c:f>
              <c:numCache>
                <c:formatCode>"$"#,##0</c:formatCode>
                <c:ptCount val="13"/>
                <c:pt idx="0">
                  <c:v>1022</c:v>
                </c:pt>
                <c:pt idx="1">
                  <c:v>1459</c:v>
                </c:pt>
                <c:pt idx="2">
                  <c:v>1086</c:v>
                </c:pt>
                <c:pt idx="3">
                  <c:v>1397</c:v>
                </c:pt>
                <c:pt idx="4">
                  <c:v>1644</c:v>
                </c:pt>
                <c:pt idx="5">
                  <c:v>1272</c:v>
                </c:pt>
                <c:pt idx="6">
                  <c:v>1199</c:v>
                </c:pt>
                <c:pt idx="7">
                  <c:v>1688</c:v>
                </c:pt>
                <c:pt idx="8">
                  <c:v>1688</c:v>
                </c:pt>
                <c:pt idx="9">
                  <c:v>1688</c:v>
                </c:pt>
                <c:pt idx="10">
                  <c:v>1688</c:v>
                </c:pt>
                <c:pt idx="11">
                  <c:v>1688</c:v>
                </c:pt>
                <c:pt idx="12">
                  <c:v>1688</c:v>
                </c:pt>
              </c:numCache>
            </c:numRef>
          </c:val>
          <c:extLst>
            <c:ext xmlns:c16="http://schemas.microsoft.com/office/drawing/2014/chart" uri="{C3380CC4-5D6E-409C-BE32-E72D297353CC}">
              <c16:uniqueId val="{00000002-C55B-4F56-BC9A-7964B36B7D05}"/>
            </c:ext>
          </c:extLst>
        </c:ser>
        <c:ser>
          <c:idx val="3"/>
          <c:order val="4"/>
          <c:tx>
            <c:strRef>
              <c:f>'Data Input Sheet'!$A$23</c:f>
              <c:strCache>
                <c:ptCount val="1"/>
                <c:pt idx="0">
                  <c:v>Asset relocations</c:v>
                </c:pt>
              </c:strCache>
            </c:strRef>
          </c:tx>
          <c:spPr>
            <a:solidFill>
              <a:schemeClr val="accent4"/>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Sheet'!$B$23:$N$23</c:f>
              <c:numCache>
                <c:formatCode>"$"#,##0</c:formatCode>
                <c:ptCount val="13"/>
                <c:pt idx="0">
                  <c:v>490</c:v>
                </c:pt>
                <c:pt idx="1">
                  <c:v>655</c:v>
                </c:pt>
                <c:pt idx="2">
                  <c:v>383</c:v>
                </c:pt>
                <c:pt idx="3">
                  <c:v>325</c:v>
                </c:pt>
                <c:pt idx="4">
                  <c:v>126</c:v>
                </c:pt>
                <c:pt idx="5">
                  <c:v>164</c:v>
                </c:pt>
                <c:pt idx="6">
                  <c:v>126</c:v>
                </c:pt>
                <c:pt idx="7">
                  <c:v>160</c:v>
                </c:pt>
                <c:pt idx="8">
                  <c:v>114</c:v>
                </c:pt>
                <c:pt idx="9">
                  <c:v>1449</c:v>
                </c:pt>
                <c:pt idx="10">
                  <c:v>1714</c:v>
                </c:pt>
                <c:pt idx="11">
                  <c:v>1714</c:v>
                </c:pt>
                <c:pt idx="12">
                  <c:v>1714</c:v>
                </c:pt>
              </c:numCache>
            </c:numRef>
          </c:val>
          <c:extLst>
            <c:ext xmlns:c16="http://schemas.microsoft.com/office/drawing/2014/chart" uri="{C3380CC4-5D6E-409C-BE32-E72D297353CC}">
              <c16:uniqueId val="{00000003-C55B-4F56-BC9A-7964B36B7D05}"/>
            </c:ext>
          </c:extLst>
        </c:ser>
        <c:ser>
          <c:idx val="4"/>
          <c:order val="5"/>
          <c:tx>
            <c:strRef>
              <c:f>'Data Input Sheet'!$A$24</c:f>
              <c:strCache>
                <c:ptCount val="1"/>
                <c:pt idx="0">
                  <c:v>Total reliability, safety and environment</c:v>
                </c:pt>
              </c:strCache>
            </c:strRef>
          </c:tx>
          <c:spPr>
            <a:solidFill>
              <a:schemeClr val="accent5"/>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Sheet'!$B$24:$N$24</c:f>
              <c:numCache>
                <c:formatCode>"$"#,##0</c:formatCode>
                <c:ptCount val="13"/>
                <c:pt idx="0">
                  <c:v>222</c:v>
                </c:pt>
                <c:pt idx="1">
                  <c:v>317</c:v>
                </c:pt>
                <c:pt idx="2">
                  <c:v>236</c:v>
                </c:pt>
                <c:pt idx="3">
                  <c:v>304</c:v>
                </c:pt>
                <c:pt idx="4">
                  <c:v>492</c:v>
                </c:pt>
                <c:pt idx="5">
                  <c:v>583</c:v>
                </c:pt>
                <c:pt idx="6">
                  <c:v>605</c:v>
                </c:pt>
                <c:pt idx="7">
                  <c:v>518</c:v>
                </c:pt>
                <c:pt idx="8">
                  <c:v>197</c:v>
                </c:pt>
                <c:pt idx="9">
                  <c:v>137</c:v>
                </c:pt>
              </c:numCache>
            </c:numRef>
          </c:val>
          <c:extLst>
            <c:ext xmlns:c16="http://schemas.microsoft.com/office/drawing/2014/chart" uri="{C3380CC4-5D6E-409C-BE32-E72D297353CC}">
              <c16:uniqueId val="{00000004-C55B-4F56-BC9A-7964B36B7D05}"/>
            </c:ext>
          </c:extLst>
        </c:ser>
        <c:dLbls>
          <c:showLegendKey val="0"/>
          <c:showVal val="0"/>
          <c:showCatName val="0"/>
          <c:showSerName val="0"/>
          <c:showPercent val="0"/>
          <c:showBubbleSize val="0"/>
        </c:dLbls>
        <c:gapWidth val="150"/>
        <c:overlap val="100"/>
        <c:axId val="-341045840"/>
        <c:axId val="-341043520"/>
      </c:barChart>
      <c:lineChart>
        <c:grouping val="standard"/>
        <c:varyColors val="0"/>
        <c:ser>
          <c:idx val="5"/>
          <c:order val="6"/>
          <c:tx>
            <c:v>Capex Boundary</c:v>
          </c:tx>
          <c:spPr>
            <a:ln w="19050" cap="rnd">
              <a:solidFill>
                <a:srgbClr val="C00000"/>
              </a:solidFill>
              <a:prstDash val="sysDot"/>
              <a:round/>
            </a:ln>
            <a:effectLst/>
          </c:spPr>
          <c:marker>
            <c:symbol val="none"/>
          </c:marker>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Base!$C$4:$O$4</c:f>
              <c:numCache>
                <c:formatCode>#,##0</c:formatCode>
                <c:ptCount val="13"/>
                <c:pt idx="0">
                  <c:v>15279.666666666666</c:v>
                </c:pt>
                <c:pt idx="1">
                  <c:v>15279.666666666666</c:v>
                </c:pt>
                <c:pt idx="2">
                  <c:v>15279.666666666666</c:v>
                </c:pt>
                <c:pt idx="3">
                  <c:v>15279.666666666666</c:v>
                </c:pt>
                <c:pt idx="4">
                  <c:v>15279.666666666666</c:v>
                </c:pt>
                <c:pt idx="5">
                  <c:v>15279.666666666666</c:v>
                </c:pt>
                <c:pt idx="6">
                  <c:v>15279.666666666666</c:v>
                </c:pt>
                <c:pt idx="7">
                  <c:v>15279.666666666666</c:v>
                </c:pt>
                <c:pt idx="8">
                  <c:v>15279.666666666666</c:v>
                </c:pt>
                <c:pt idx="9">
                  <c:v>15279.666666666666</c:v>
                </c:pt>
                <c:pt idx="10">
                  <c:v>15279.666666666666</c:v>
                </c:pt>
                <c:pt idx="11">
                  <c:v>15279.666666666666</c:v>
                </c:pt>
                <c:pt idx="12">
                  <c:v>15279.666666666666</c:v>
                </c:pt>
              </c:numCache>
            </c:numRef>
          </c:val>
          <c:smooth val="0"/>
          <c:extLst>
            <c:ext xmlns:c16="http://schemas.microsoft.com/office/drawing/2014/chart" uri="{C3380CC4-5D6E-409C-BE32-E72D297353CC}">
              <c16:uniqueId val="{00000005-C55B-4F56-BC9A-7964B36B7D05}"/>
            </c:ext>
          </c:extLst>
        </c:ser>
        <c:dLbls>
          <c:showLegendKey val="0"/>
          <c:showVal val="0"/>
          <c:showCatName val="0"/>
          <c:showSerName val="0"/>
          <c:showPercent val="0"/>
          <c:showBubbleSize val="0"/>
        </c:dLbls>
        <c:marker val="1"/>
        <c:smooth val="0"/>
        <c:axId val="-341045840"/>
        <c:axId val="-341043520"/>
      </c:lineChart>
      <c:catAx>
        <c:axId val="-34104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043520"/>
        <c:crosses val="autoZero"/>
        <c:auto val="1"/>
        <c:lblAlgn val="ctr"/>
        <c:lblOffset val="100"/>
        <c:noMultiLvlLbl val="0"/>
      </c:catAx>
      <c:valAx>
        <c:axId val="-341043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($)00)</a:t>
                </a:r>
              </a:p>
            </c:rich>
          </c:tx>
          <c:layout>
            <c:manualLayout>
              <c:xMode val="edge"/>
              <c:yMode val="edge"/>
              <c:x val="2.59919504259827E-2"/>
              <c:y val="0.372304014379902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04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baseline="0"/>
              <a:t>Cost per Connection - Consumer Connection Capex</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38675354248202E-2"/>
          <c:y val="0.17171296296296301"/>
          <c:w val="0.59296960478957095"/>
          <c:h val="0.72088546223388805"/>
        </c:manualLayout>
      </c:layout>
      <c:barChart>
        <c:barDir val="col"/>
        <c:grouping val="stacked"/>
        <c:varyColors val="0"/>
        <c:ser>
          <c:idx val="0"/>
          <c:order val="0"/>
          <c:tx>
            <c:strRef>
              <c:f>'Data Input Sheet'!$A$35</c:f>
              <c:strCache>
                <c:ptCount val="1"/>
                <c:pt idx="0">
                  <c:v>Residential</c:v>
                </c:pt>
              </c:strCache>
            </c:strRef>
          </c:tx>
          <c:spPr>
            <a:solidFill>
              <a:schemeClr val="bg1">
                <a:lumMod val="5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Sheet'!$B$35:$N$35</c:f>
              <c:numCache>
                <c:formatCode>#,##0</c:formatCode>
                <c:ptCount val="13"/>
                <c:pt idx="0">
                  <c:v>3114</c:v>
                </c:pt>
                <c:pt idx="1">
                  <c:v>3764</c:v>
                </c:pt>
                <c:pt idx="2">
                  <c:v>3583</c:v>
                </c:pt>
                <c:pt idx="3">
                  <c:v>3068</c:v>
                </c:pt>
                <c:pt idx="4">
                  <c:v>3185</c:v>
                </c:pt>
                <c:pt idx="5">
                  <c:v>3340</c:v>
                </c:pt>
                <c:pt idx="6">
                  <c:v>3367</c:v>
                </c:pt>
                <c:pt idx="7">
                  <c:v>3452</c:v>
                </c:pt>
                <c:pt idx="8">
                  <c:v>3492</c:v>
                </c:pt>
                <c:pt idx="9">
                  <c:v>3492</c:v>
                </c:pt>
                <c:pt idx="10">
                  <c:v>3492</c:v>
                </c:pt>
                <c:pt idx="11">
                  <c:v>3492</c:v>
                </c:pt>
                <c:pt idx="12">
                  <c:v>3492</c:v>
                </c:pt>
              </c:numCache>
            </c:numRef>
          </c:val>
          <c:extLst>
            <c:ext xmlns:c16="http://schemas.microsoft.com/office/drawing/2014/chart" uri="{C3380CC4-5D6E-409C-BE32-E72D297353CC}">
              <c16:uniqueId val="{00000000-BDBF-45DE-A28C-6DB8B5F1AA36}"/>
            </c:ext>
          </c:extLst>
        </c:ser>
        <c:ser>
          <c:idx val="1"/>
          <c:order val="1"/>
          <c:tx>
            <c:strRef>
              <c:f>'Data Input Sheet'!$A$36</c:f>
              <c:strCache>
                <c:ptCount val="1"/>
                <c:pt idx="0">
                  <c:v>Commercial</c:v>
                </c:pt>
              </c:strCache>
            </c:strRef>
          </c:tx>
          <c:spPr>
            <a:solidFill>
              <a:schemeClr val="bg2"/>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Sheet'!$B$36:$N$36</c:f>
              <c:numCache>
                <c:formatCode>#,##0</c:formatCode>
                <c:ptCount val="13"/>
                <c:pt idx="0">
                  <c:v>304</c:v>
                </c:pt>
                <c:pt idx="1">
                  <c:v>282</c:v>
                </c:pt>
                <c:pt idx="2">
                  <c:v>332</c:v>
                </c:pt>
                <c:pt idx="3">
                  <c:v>174</c:v>
                </c:pt>
                <c:pt idx="4">
                  <c:v>196</c:v>
                </c:pt>
                <c:pt idx="5">
                  <c:v>205</c:v>
                </c:pt>
                <c:pt idx="6">
                  <c:v>201</c:v>
                </c:pt>
                <c:pt idx="7">
                  <c:v>200</c:v>
                </c:pt>
                <c:pt idx="8">
                  <c:v>200</c:v>
                </c:pt>
                <c:pt idx="9">
                  <c:v>200</c:v>
                </c:pt>
                <c:pt idx="10">
                  <c:v>200</c:v>
                </c:pt>
                <c:pt idx="11">
                  <c:v>200</c:v>
                </c:pt>
                <c:pt idx="12">
                  <c:v>200</c:v>
                </c:pt>
              </c:numCache>
            </c:numRef>
          </c:val>
          <c:extLst>
            <c:ext xmlns:c16="http://schemas.microsoft.com/office/drawing/2014/chart" uri="{C3380CC4-5D6E-409C-BE32-E72D297353CC}">
              <c16:uniqueId val="{00000001-BDBF-45DE-A28C-6DB8B5F1AA36}"/>
            </c:ext>
          </c:extLst>
        </c:ser>
        <c:ser>
          <c:idx val="2"/>
          <c:order val="2"/>
          <c:tx>
            <c:strRef>
              <c:f>'Data Input Sheet'!$A$37</c:f>
              <c:strCache>
                <c:ptCount val="1"/>
              </c:strCache>
            </c:strRef>
          </c:tx>
          <c:spPr>
            <a:solidFill>
              <a:schemeClr val="accent2">
                <a:lumMod val="75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Sheet'!$B$37:$N$37</c:f>
              <c:numCache>
                <c:formatCode>#,##0</c:formatCode>
                <c:ptCount val="13"/>
              </c:numCache>
            </c:numRef>
          </c:val>
          <c:extLst>
            <c:ext xmlns:c16="http://schemas.microsoft.com/office/drawing/2014/chart" uri="{C3380CC4-5D6E-409C-BE32-E72D297353CC}">
              <c16:uniqueId val="{00000002-BDBF-45DE-A28C-6DB8B5F1AA36}"/>
            </c:ext>
          </c:extLst>
        </c:ser>
        <c:dLbls>
          <c:showLegendKey val="0"/>
          <c:showVal val="0"/>
          <c:showCatName val="0"/>
          <c:showSerName val="0"/>
          <c:showPercent val="0"/>
          <c:showBubbleSize val="0"/>
        </c:dLbls>
        <c:gapWidth val="39"/>
        <c:overlap val="100"/>
        <c:axId val="-14975696"/>
        <c:axId val="-14973648"/>
      </c:barChart>
      <c:lineChart>
        <c:grouping val="standard"/>
        <c:varyColors val="0"/>
        <c:ser>
          <c:idx val="3"/>
          <c:order val="3"/>
          <c:tx>
            <c:strRef>
              <c:f>Ratios!$A$40</c:f>
              <c:strCache>
                <c:ptCount val="1"/>
                <c:pt idx="0">
                  <c:v>Consumer Connection Capex / new connection</c:v>
                </c:pt>
              </c:strCache>
            </c:strRef>
          </c:tx>
          <c:spPr>
            <a:ln w="28575" cap="rnd">
              <a:solidFill>
                <a:schemeClr val="accent1"/>
              </a:solidFill>
              <a:prstDash val="solid"/>
              <a:round/>
            </a:ln>
            <a:effectLst/>
          </c:spPr>
          <c:marker>
            <c:symbol val="none"/>
          </c:marker>
          <c:val>
            <c:numRef>
              <c:f>Ratios!$B$40:$N$40</c:f>
              <c:numCache>
                <c:formatCode>"$"#,##0.00</c:formatCode>
                <c:ptCount val="13"/>
                <c:pt idx="0">
                  <c:v>3.7232299590403746</c:v>
                </c:pt>
                <c:pt idx="1">
                  <c:v>4.4898665348492335</c:v>
                </c:pt>
                <c:pt idx="2">
                  <c:v>3.4546615581098341</c:v>
                </c:pt>
                <c:pt idx="3">
                  <c:v>4.4873534855027764</c:v>
                </c:pt>
                <c:pt idx="4">
                  <c:v>4.4646554273883465</c:v>
                </c:pt>
                <c:pt idx="5">
                  <c:v>3.4806770098730606</c:v>
                </c:pt>
                <c:pt idx="6">
                  <c:v>3.4885089686098656</c:v>
                </c:pt>
                <c:pt idx="7">
                  <c:v>3.4715224534501643</c:v>
                </c:pt>
                <c:pt idx="8">
                  <c:v>3.4656013001083426</c:v>
                </c:pt>
                <c:pt idx="9">
                  <c:v>4.003521126760563</c:v>
                </c:pt>
                <c:pt idx="10">
                  <c:v>4.0173347778981583</c:v>
                </c:pt>
                <c:pt idx="11">
                  <c:v>3.9490790899241603</c:v>
                </c:pt>
                <c:pt idx="12">
                  <c:v>3.995124593716143</c:v>
                </c:pt>
              </c:numCache>
            </c:numRef>
          </c:val>
          <c:smooth val="0"/>
          <c:extLst>
            <c:ext xmlns:c16="http://schemas.microsoft.com/office/drawing/2014/chart" uri="{C3380CC4-5D6E-409C-BE32-E72D297353CC}">
              <c16:uniqueId val="{00000003-BDBF-45DE-A28C-6DB8B5F1AA36}"/>
            </c:ext>
          </c:extLst>
        </c:ser>
        <c:ser>
          <c:idx val="4"/>
          <c:order val="4"/>
          <c:tx>
            <c:strRef>
              <c:f>Ratios!$A$41</c:f>
              <c:strCache>
                <c:ptCount val="1"/>
                <c:pt idx="0">
                  <c:v>Consumer Connection Capex / new connection - Boundary</c:v>
                </c:pt>
              </c:strCache>
            </c:strRef>
          </c:tx>
          <c:spPr>
            <a:ln w="28575" cap="rnd">
              <a:solidFill>
                <a:srgbClr val="C00000"/>
              </a:solidFill>
              <a:prstDash val="sysDot"/>
              <a:round/>
            </a:ln>
            <a:effectLst/>
          </c:spPr>
          <c:marker>
            <c:symbol val="none"/>
          </c:marker>
          <c:val>
            <c:numRef>
              <c:f>Ratios!$B$41:$N$41</c:f>
              <c:numCache>
                <c:formatCode>"$"#,##0.00</c:formatCode>
                <c:ptCount val="13"/>
                <c:pt idx="0">
                  <c:v>3.7208769739511633</c:v>
                </c:pt>
                <c:pt idx="1">
                  <c:v>3.1433409532785657</c:v>
                </c:pt>
                <c:pt idx="2">
                  <c:v>3.2485204334521267</c:v>
                </c:pt>
                <c:pt idx="3">
                  <c:v>3.9228739965962607</c:v>
                </c:pt>
                <c:pt idx="4">
                  <c:v>3.7615964202795258</c:v>
                </c:pt>
                <c:pt idx="5">
                  <c:v>3.5875761627546057</c:v>
                </c:pt>
                <c:pt idx="6">
                  <c:v>3.5644499711224991</c:v>
                </c:pt>
                <c:pt idx="7">
                  <c:v>3.4824637176793747</c:v>
                </c:pt>
                <c:pt idx="8">
                  <c:v>3.4447338832516459</c:v>
                </c:pt>
                <c:pt idx="9">
                  <c:v>3.4447338832516459</c:v>
                </c:pt>
                <c:pt idx="10">
                  <c:v>3.4447338832516459</c:v>
                </c:pt>
                <c:pt idx="11">
                  <c:v>3.4447338832516459</c:v>
                </c:pt>
                <c:pt idx="12">
                  <c:v>3.4447338832516459</c:v>
                </c:pt>
              </c:numCache>
            </c:numRef>
          </c:val>
          <c:smooth val="0"/>
          <c:extLst>
            <c:ext xmlns:c16="http://schemas.microsoft.com/office/drawing/2014/chart" uri="{C3380CC4-5D6E-409C-BE32-E72D297353CC}">
              <c16:uniqueId val="{00000004-BDBF-45DE-A28C-6DB8B5F1AA36}"/>
            </c:ext>
          </c:extLst>
        </c:ser>
        <c:dLbls>
          <c:showLegendKey val="0"/>
          <c:showVal val="0"/>
          <c:showCatName val="0"/>
          <c:showSerName val="0"/>
          <c:showPercent val="0"/>
          <c:showBubbleSize val="0"/>
        </c:dLbls>
        <c:marker val="1"/>
        <c:smooth val="0"/>
        <c:axId val="-14966864"/>
        <c:axId val="-14970256"/>
      </c:lineChart>
      <c:catAx>
        <c:axId val="-1497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3648"/>
        <c:crosses val="autoZero"/>
        <c:auto val="1"/>
        <c:lblAlgn val="ctr"/>
        <c:lblOffset val="100"/>
        <c:noMultiLvlLbl val="0"/>
      </c:catAx>
      <c:valAx>
        <c:axId val="-14973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New</a:t>
                </a:r>
                <a:r>
                  <a:rPr lang="en-NZ" baseline="0"/>
                  <a:t> ICPs</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5696"/>
        <c:crosses val="autoZero"/>
        <c:crossBetween val="between"/>
      </c:valAx>
      <c:valAx>
        <c:axId val="-149702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 per Connection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66864"/>
        <c:crosses val="max"/>
        <c:crossBetween val="between"/>
      </c:valAx>
      <c:catAx>
        <c:axId val="-14966864"/>
        <c:scaling>
          <c:orientation val="minMax"/>
        </c:scaling>
        <c:delete val="1"/>
        <c:axPos val="b"/>
        <c:majorTickMark val="out"/>
        <c:minorTickMark val="none"/>
        <c:tickLblPos val="nextTo"/>
        <c:crossAx val="-14970256"/>
        <c:crosses val="autoZero"/>
        <c:auto val="1"/>
        <c:lblAlgn val="ctr"/>
        <c:lblOffset val="100"/>
        <c:noMultiLvlLbl val="0"/>
      </c:catAx>
      <c:spPr>
        <a:noFill/>
        <a:ln>
          <a:noFill/>
        </a:ln>
        <a:effectLst/>
      </c:spPr>
    </c:plotArea>
    <c:legend>
      <c:legendPos val="r"/>
      <c:layout>
        <c:manualLayout>
          <c:xMode val="edge"/>
          <c:yMode val="edge"/>
          <c:x val="0.75578668366576596"/>
          <c:y val="0.12289114902303901"/>
          <c:w val="0.234148059921826"/>
          <c:h val="0.837967337416156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25400"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NZ" sz="1800" b="0" i="0" baseline="0">
                <a:effectLst/>
              </a:rPr>
              <a:t>Percentage Changes in Forecasts Across AMPs</a:t>
            </a:r>
            <a:endParaRPr lang="en-NZ">
              <a:effectLst/>
            </a:endParaRP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7842702790513197E-2"/>
          <c:y val="2.4250419151183599E-2"/>
          <c:w val="0.92298029635688905"/>
          <c:h val="0.68404776099783404"/>
        </c:manualLayout>
      </c:layout>
      <c:barChart>
        <c:barDir val="col"/>
        <c:grouping val="clustered"/>
        <c:varyColors val="0"/>
        <c:ser>
          <c:idx val="3"/>
          <c:order val="1"/>
          <c:tx>
            <c:strRef>
              <c:f>'Capex Dashboard'!$A$123</c:f>
              <c:strCache>
                <c:ptCount val="1"/>
                <c:pt idx="0">
                  <c:v>2013 to 2014 AMP Forecasts Total capital expenditure (excl cost of funding and capital contributions)</c:v>
                </c:pt>
              </c:strCache>
            </c:strRef>
          </c:tx>
          <c:spPr>
            <a:solidFill>
              <a:schemeClr val="accent4">
                <a:lumMod val="75000"/>
              </a:schemeClr>
            </a:solidFill>
            <a:ln>
              <a:noFill/>
            </a:ln>
            <a:effectLst/>
          </c:spPr>
          <c:invertIfNegative val="0"/>
          <c:val>
            <c:numRef>
              <c:f>'Capex Dashboard'!$B$123:$L$123</c:f>
              <c:numCache>
                <c:formatCode>0.0%</c:formatCode>
                <c:ptCount val="11"/>
                <c:pt idx="0">
                  <c:v>-1.042317801724043E-2</c:v>
                </c:pt>
                <c:pt idx="1">
                  <c:v>0.22950757206262473</c:v>
                </c:pt>
                <c:pt idx="2">
                  <c:v>0.31943521602952007</c:v>
                </c:pt>
                <c:pt idx="3">
                  <c:v>0.36259779824136251</c:v>
                </c:pt>
                <c:pt idx="4">
                  <c:v>0.40038603838613979</c:v>
                </c:pt>
                <c:pt idx="5">
                  <c:v>0.29329844202845246</c:v>
                </c:pt>
                <c:pt idx="6">
                  <c:v>0.27345888473226959</c:v>
                </c:pt>
                <c:pt idx="7">
                  <c:v>0.28247871309062667</c:v>
                </c:pt>
                <c:pt idx="8">
                  <c:v>0.3018901890189018</c:v>
                </c:pt>
                <c:pt idx="9">
                  <c:v>0.3754817946888574</c:v>
                </c:pt>
                <c:pt idx="10">
                  <c:v>0</c:v>
                </c:pt>
              </c:numCache>
            </c:numRef>
          </c:val>
          <c:extLst>
            <c:ext xmlns:c16="http://schemas.microsoft.com/office/drawing/2014/chart" uri="{C3380CC4-5D6E-409C-BE32-E72D297353CC}">
              <c16:uniqueId val="{00000000-BB1D-4704-A47B-FED2F2C2103A}"/>
            </c:ext>
          </c:extLst>
        </c:ser>
        <c:ser>
          <c:idx val="0"/>
          <c:order val="2"/>
          <c:tx>
            <c:strRef>
              <c:f>'Capex Dashboard'!$A$124</c:f>
              <c:strCache>
                <c:ptCount val="1"/>
                <c:pt idx="0">
                  <c:v>2014 to 2015 AMP Forecasts Total capital expenditure (excl cost of funding and capital contributions)</c:v>
                </c:pt>
              </c:strCache>
            </c:strRef>
          </c:tx>
          <c:spPr>
            <a:solidFill>
              <a:schemeClr val="accent1"/>
            </a:solidFill>
            <a:ln>
              <a:noFill/>
            </a:ln>
            <a:effectLst/>
          </c:spPr>
          <c:invertIfNegative val="0"/>
          <c:cat>
            <c:numRef>
              <c:f>'Capex Dashboard'!$B$82:$L$82</c:f>
              <c:numCache>
                <c:formatCode>0</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'Capex Dashboard'!$B$124:$L$124</c:f>
              <c:numCache>
                <c:formatCode>0.0%</c:formatCode>
                <c:ptCount val="11"/>
                <c:pt idx="0">
                  <c:v>0</c:v>
                </c:pt>
                <c:pt idx="1">
                  <c:v>-0.10369403612083068</c:v>
                </c:pt>
                <c:pt idx="2">
                  <c:v>0.20437600488669744</c:v>
                </c:pt>
                <c:pt idx="3">
                  <c:v>0.21042274942549136</c:v>
                </c:pt>
                <c:pt idx="4">
                  <c:v>6.4783655269204612E-2</c:v>
                </c:pt>
                <c:pt idx="5">
                  <c:v>-0.10562143849811713</c:v>
                </c:pt>
                <c:pt idx="6">
                  <c:v>1.2261895394989456E-2</c:v>
                </c:pt>
                <c:pt idx="7">
                  <c:v>3.2171794298328608E-2</c:v>
                </c:pt>
                <c:pt idx="8">
                  <c:v>5.3012253233491992E-2</c:v>
                </c:pt>
                <c:pt idx="9">
                  <c:v>5.6828263527375071E-2</c:v>
                </c:pt>
                <c:pt idx="10">
                  <c:v>0.11549128827196135</c:v>
                </c:pt>
              </c:numCache>
            </c:numRef>
          </c:val>
          <c:extLst>
            <c:ext xmlns:c16="http://schemas.microsoft.com/office/drawing/2014/chart" uri="{C3380CC4-5D6E-409C-BE32-E72D297353CC}">
              <c16:uniqueId val="{00000000-7FC3-4CFE-A48C-4FC428C9B74A}"/>
            </c:ext>
          </c:extLst>
        </c:ser>
        <c:ser>
          <c:idx val="1"/>
          <c:order val="3"/>
          <c:tx>
            <c:strRef>
              <c:f>'Capex Dashboard'!$A$125</c:f>
              <c:strCache>
                <c:ptCount val="1"/>
                <c:pt idx="0">
                  <c:v>2015 to 2016 AMP Forecasts Total capital expenditure (excl cost of funding and capital contributions)</c:v>
                </c:pt>
              </c:strCache>
            </c:strRef>
          </c:tx>
          <c:spPr>
            <a:solidFill>
              <a:schemeClr val="accent2"/>
            </a:solidFill>
            <a:ln>
              <a:noFill/>
            </a:ln>
            <a:effectLst/>
          </c:spPr>
          <c:invertIfNegative val="0"/>
          <c:cat>
            <c:numRef>
              <c:f>'Capex Dashboard'!$B$82:$L$82</c:f>
              <c:numCache>
                <c:formatCode>0</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'Capex Dashboard'!$B$125:$L$125</c:f>
              <c:numCache>
                <c:formatCode>0.0%</c:formatCode>
                <c:ptCount val="11"/>
                <c:pt idx="1">
                  <c:v>0</c:v>
                </c:pt>
                <c:pt idx="2">
                  <c:v>-0.34050212259167478</c:v>
                </c:pt>
                <c:pt idx="3">
                  <c:v>-0.2544522380296218</c:v>
                </c:pt>
                <c:pt idx="4">
                  <c:v>-0.2230656830250542</c:v>
                </c:pt>
                <c:pt idx="5">
                  <c:v>-0.1684334676570112</c:v>
                </c:pt>
                <c:pt idx="6">
                  <c:v>-0.31877625673389637</c:v>
                </c:pt>
                <c:pt idx="7">
                  <c:v>-0.28802292218884656</c:v>
                </c:pt>
                <c:pt idx="8">
                  <c:v>-0.35520532535457899</c:v>
                </c:pt>
                <c:pt idx="9">
                  <c:v>-0.27603350168557828</c:v>
                </c:pt>
                <c:pt idx="10">
                  <c:v>-0.24231081540383315</c:v>
                </c:pt>
              </c:numCache>
            </c:numRef>
          </c:val>
          <c:extLst>
            <c:ext xmlns:c16="http://schemas.microsoft.com/office/drawing/2014/chart" uri="{C3380CC4-5D6E-409C-BE32-E72D297353CC}">
              <c16:uniqueId val="{00000001-7FC3-4CFE-A48C-4FC428C9B74A}"/>
            </c:ext>
          </c:extLst>
        </c:ser>
        <c:dLbls>
          <c:showLegendKey val="0"/>
          <c:showVal val="0"/>
          <c:showCatName val="0"/>
          <c:showSerName val="0"/>
          <c:showPercent val="0"/>
          <c:showBubbleSize val="0"/>
        </c:dLbls>
        <c:gapWidth val="150"/>
        <c:axId val="-15014784"/>
        <c:axId val="-15012464"/>
      </c:barChart>
      <c:lineChart>
        <c:grouping val="standard"/>
        <c:varyColors val="0"/>
        <c:ser>
          <c:idx val="2"/>
          <c:order val="0"/>
          <c:tx>
            <c:strRef>
              <c:f>'Capex Dashboard'!$A$69</c:f>
              <c:strCache>
                <c:ptCount val="1"/>
                <c:pt idx="0">
                  <c:v>Variance Boundary</c:v>
                </c:pt>
              </c:strCache>
            </c:strRef>
          </c:tx>
          <c:spPr>
            <a:ln w="28575" cap="rnd">
              <a:solidFill>
                <a:srgbClr val="C00000"/>
              </a:solidFill>
              <a:prstDash val="sysDot"/>
              <a:round/>
            </a:ln>
            <a:effectLst/>
          </c:spPr>
          <c:marker>
            <c:symbol val="none"/>
          </c:marker>
          <c:cat>
            <c:numRef>
              <c:f>'Capex Dashboard'!$C$93:$L$93</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'Capex Dashboard'!$B$69:$L$69</c:f>
              <c:numCache>
                <c:formatCode>0%</c:formatCode>
                <c:ptCount val="11"/>
                <c:pt idx="0">
                  <c:v>0.1</c:v>
                </c:pt>
                <c:pt idx="1">
                  <c:v>0.1</c:v>
                </c:pt>
                <c:pt idx="2">
                  <c:v>0.1</c:v>
                </c:pt>
                <c:pt idx="3">
                  <c:v>0.1</c:v>
                </c:pt>
                <c:pt idx="4">
                  <c:v>0.1</c:v>
                </c:pt>
                <c:pt idx="5">
                  <c:v>0.1</c:v>
                </c:pt>
                <c:pt idx="6">
                  <c:v>0.1</c:v>
                </c:pt>
                <c:pt idx="7">
                  <c:v>0.1</c:v>
                </c:pt>
                <c:pt idx="8">
                  <c:v>0.1</c:v>
                </c:pt>
                <c:pt idx="9">
                  <c:v>0.1</c:v>
                </c:pt>
                <c:pt idx="10">
                  <c:v>0.1</c:v>
                </c:pt>
              </c:numCache>
            </c:numRef>
          </c:val>
          <c:smooth val="0"/>
          <c:extLst>
            <c:ext xmlns:c16="http://schemas.microsoft.com/office/drawing/2014/chart" uri="{C3380CC4-5D6E-409C-BE32-E72D297353CC}">
              <c16:uniqueId val="{00000002-7FC3-4CFE-A48C-4FC428C9B74A}"/>
            </c:ext>
          </c:extLst>
        </c:ser>
        <c:ser>
          <c:idx val="4"/>
          <c:order val="4"/>
          <c:tx>
            <c:v>Variance Boundary</c:v>
          </c:tx>
          <c:spPr>
            <a:ln w="28575" cap="rnd">
              <a:solidFill>
                <a:srgbClr val="C00000"/>
              </a:solidFill>
              <a:prstDash val="sysDot"/>
              <a:round/>
            </a:ln>
            <a:effectLst/>
          </c:spPr>
          <c:marker>
            <c:symbol val="none"/>
          </c:marker>
          <c:val>
            <c:numRef>
              <c:f>'Capex Dashboard'!$B$70:$L$70</c:f>
              <c:numCache>
                <c:formatCode>0%</c:formatCode>
                <c:ptCount val="11"/>
                <c:pt idx="0">
                  <c:v>-0.1</c:v>
                </c:pt>
                <c:pt idx="1">
                  <c:v>-0.1</c:v>
                </c:pt>
                <c:pt idx="2">
                  <c:v>-0.1</c:v>
                </c:pt>
                <c:pt idx="3">
                  <c:v>-0.1</c:v>
                </c:pt>
                <c:pt idx="4">
                  <c:v>-0.1</c:v>
                </c:pt>
                <c:pt idx="5">
                  <c:v>-0.1</c:v>
                </c:pt>
                <c:pt idx="6">
                  <c:v>-0.1</c:v>
                </c:pt>
                <c:pt idx="7">
                  <c:v>-0.1</c:v>
                </c:pt>
                <c:pt idx="8">
                  <c:v>-0.1</c:v>
                </c:pt>
                <c:pt idx="9">
                  <c:v>-0.1</c:v>
                </c:pt>
                <c:pt idx="10">
                  <c:v>-0.1</c:v>
                </c:pt>
              </c:numCache>
            </c:numRef>
          </c:val>
          <c:smooth val="0"/>
          <c:extLst>
            <c:ext xmlns:c16="http://schemas.microsoft.com/office/drawing/2014/chart" uri="{C3380CC4-5D6E-409C-BE32-E72D297353CC}">
              <c16:uniqueId val="{00000002-BB1D-4704-A47B-FED2F2C2103A}"/>
            </c:ext>
          </c:extLst>
        </c:ser>
        <c:dLbls>
          <c:showLegendKey val="0"/>
          <c:showVal val="0"/>
          <c:showCatName val="0"/>
          <c:showSerName val="0"/>
          <c:showPercent val="0"/>
          <c:showBubbleSize val="0"/>
        </c:dLbls>
        <c:marker val="1"/>
        <c:smooth val="0"/>
        <c:axId val="-15014784"/>
        <c:axId val="-15012464"/>
      </c:lineChart>
      <c:catAx>
        <c:axId val="-1501478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012464"/>
        <c:crosses val="autoZero"/>
        <c:auto val="1"/>
        <c:lblAlgn val="ctr"/>
        <c:lblOffset val="100"/>
        <c:noMultiLvlLbl val="0"/>
      </c:catAx>
      <c:valAx>
        <c:axId val="-150124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014784"/>
        <c:crosses val="autoZero"/>
        <c:crossBetween val="between"/>
      </c:valAx>
      <c:spPr>
        <a:noFill/>
        <a:ln>
          <a:noFill/>
        </a:ln>
        <a:effectLst/>
      </c:spPr>
    </c:plotArea>
    <c:legend>
      <c:legendPos val="b"/>
      <c:layout>
        <c:manualLayout>
          <c:xMode val="edge"/>
          <c:yMode val="edge"/>
          <c:x val="9.6045264130440195E-3"/>
          <c:y val="0.785106295105642"/>
          <c:w val="0.95066620150828396"/>
          <c:h val="0.214893638205494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Consumer Connection Pla</a:t>
            </a:r>
            <a:r>
              <a:rPr lang="en-NZ" baseline="0"/>
              <a:t>nning ($000)</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'Data Input Sheet'!$A$61</c:f>
              <c:strCache>
                <c:ptCount val="1"/>
                <c:pt idx="0">
                  <c:v>Mains Extensions/Subdivisons + Residential Connections</c:v>
                </c:pt>
              </c:strCache>
            </c:strRef>
          </c:tx>
          <c:spPr>
            <a:solidFill>
              <a:schemeClr val="accent1"/>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Sheet'!$B$61:$N$61</c:f>
              <c:numCache>
                <c:formatCode>General</c:formatCode>
                <c:ptCount val="13"/>
                <c:pt idx="0">
                  <c:v>0</c:v>
                </c:pt>
                <c:pt idx="1">
                  <c:v>15459.2919</c:v>
                </c:pt>
                <c:pt idx="2">
                  <c:v>13561.47</c:v>
                </c:pt>
                <c:pt idx="3">
                  <c:v>15044</c:v>
                </c:pt>
                <c:pt idx="4">
                  <c:v>15641</c:v>
                </c:pt>
                <c:pt idx="5">
                  <c:v>12826</c:v>
                </c:pt>
                <c:pt idx="6">
                  <c:v>12970</c:v>
                </c:pt>
                <c:pt idx="7">
                  <c:v>13238</c:v>
                </c:pt>
                <c:pt idx="8">
                  <c:v>13377</c:v>
                </c:pt>
              </c:numCache>
            </c:numRef>
          </c:val>
          <c:extLst>
            <c:ext xmlns:c16="http://schemas.microsoft.com/office/drawing/2014/chart" uri="{C3380CC4-5D6E-409C-BE32-E72D297353CC}">
              <c16:uniqueId val="{00000000-0A70-4DC6-97B7-1B5500DCC125}"/>
            </c:ext>
          </c:extLst>
        </c:ser>
        <c:ser>
          <c:idx val="1"/>
          <c:order val="1"/>
          <c:tx>
            <c:strRef>
              <c:f>'Data Input Sheet'!$A$62</c:f>
              <c:strCache>
                <c:ptCount val="1"/>
                <c:pt idx="0">
                  <c:v>Commercial Connections</c:v>
                </c:pt>
              </c:strCache>
            </c:strRef>
          </c:tx>
          <c:spPr>
            <a:solidFill>
              <a:schemeClr val="accent2"/>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Sheet'!$B$62:$N$62</c:f>
              <c:numCache>
                <c:formatCode>General</c:formatCode>
                <c:ptCount val="13"/>
                <c:pt idx="0">
                  <c:v>0</c:v>
                </c:pt>
                <c:pt idx="1">
                  <c:v>1166.8351499999999</c:v>
                </c:pt>
                <c:pt idx="2">
                  <c:v>1709.5049999999999</c:v>
                </c:pt>
                <c:pt idx="3">
                  <c:v>1468</c:v>
                </c:pt>
                <c:pt idx="4" formatCode="&quot;$&quot;#,##0">
                  <c:v>1230</c:v>
                </c:pt>
                <c:pt idx="5">
                  <c:v>1276</c:v>
                </c:pt>
                <c:pt idx="6">
                  <c:v>1252</c:v>
                </c:pt>
                <c:pt idx="7">
                  <c:v>1249</c:v>
                </c:pt>
                <c:pt idx="8">
                  <c:v>1244</c:v>
                </c:pt>
              </c:numCache>
            </c:numRef>
          </c:val>
          <c:extLst>
            <c:ext xmlns:c16="http://schemas.microsoft.com/office/drawing/2014/chart" uri="{C3380CC4-5D6E-409C-BE32-E72D297353CC}">
              <c16:uniqueId val="{00000001-0A70-4DC6-97B7-1B5500DCC125}"/>
            </c:ext>
          </c:extLst>
        </c:ser>
        <c:ser>
          <c:idx val="2"/>
          <c:order val="2"/>
          <c:tx>
            <c:strRef>
              <c:f>'Data Input Sheet'!$A$63</c:f>
              <c:strCache>
                <c:ptCount val="1"/>
                <c:pt idx="0">
                  <c:v>Customer Easements</c:v>
                </c:pt>
              </c:strCache>
            </c:strRef>
          </c:tx>
          <c:spPr>
            <a:solidFill>
              <a:schemeClr val="accent3"/>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Sheet'!$B$63:$N$63</c:f>
              <c:numCache>
                <c:formatCode>General</c:formatCode>
                <c:ptCount val="13"/>
                <c:pt idx="0">
                  <c:v>0</c:v>
                </c:pt>
                <c:pt idx="1">
                  <c:v>1.0190699999999999</c:v>
                </c:pt>
                <c:pt idx="2">
                  <c:v>6.0299999999999994</c:v>
                </c:pt>
                <c:pt idx="3">
                  <c:v>0</c:v>
                </c:pt>
                <c:pt idx="4" formatCode="&quot;$&quot;#,##0">
                  <c:v>29</c:v>
                </c:pt>
                <c:pt idx="5">
                  <c:v>29</c:v>
                </c:pt>
                <c:pt idx="6">
                  <c:v>29</c:v>
                </c:pt>
                <c:pt idx="7">
                  <c:v>29</c:v>
                </c:pt>
                <c:pt idx="8">
                  <c:v>29</c:v>
                </c:pt>
              </c:numCache>
            </c:numRef>
          </c:val>
          <c:extLst>
            <c:ext xmlns:c16="http://schemas.microsoft.com/office/drawing/2014/chart" uri="{C3380CC4-5D6E-409C-BE32-E72D297353CC}">
              <c16:uniqueId val="{00000002-0A70-4DC6-97B7-1B5500DCC125}"/>
            </c:ext>
          </c:extLst>
        </c:ser>
        <c:dLbls>
          <c:showLegendKey val="0"/>
          <c:showVal val="0"/>
          <c:showCatName val="0"/>
          <c:showSerName val="0"/>
          <c:showPercent val="0"/>
          <c:showBubbleSize val="0"/>
        </c:dLbls>
        <c:gapWidth val="219"/>
        <c:overlap val="100"/>
        <c:axId val="-15071248"/>
        <c:axId val="-15073872"/>
      </c:barChart>
      <c:lineChart>
        <c:grouping val="standard"/>
        <c:varyColors val="0"/>
        <c:ser>
          <c:idx val="3"/>
          <c:order val="3"/>
          <c:tx>
            <c:v>Consumer Connection Capex</c:v>
          </c:tx>
          <c:spPr>
            <a:ln w="12700" cap="rnd">
              <a:solidFill>
                <a:schemeClr val="accent1"/>
              </a:solidFill>
              <a:round/>
            </a:ln>
            <a:effectLst/>
          </c:spPr>
          <c:marker>
            <c:symbol val="none"/>
          </c:marker>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Sheet'!$B$20:$N$20</c:f>
              <c:numCache>
                <c:formatCode>"$"#,##0</c:formatCode>
                <c:ptCount val="13"/>
                <c:pt idx="0">
                  <c:v>12726</c:v>
                </c:pt>
                <c:pt idx="1">
                  <c:v>18166</c:v>
                </c:pt>
                <c:pt idx="2">
                  <c:v>13525</c:v>
                </c:pt>
                <c:pt idx="3">
                  <c:v>14548</c:v>
                </c:pt>
                <c:pt idx="4">
                  <c:v>15095</c:v>
                </c:pt>
                <c:pt idx="5">
                  <c:v>12339</c:v>
                </c:pt>
                <c:pt idx="6">
                  <c:v>12447</c:v>
                </c:pt>
                <c:pt idx="7">
                  <c:v>12678</c:v>
                </c:pt>
                <c:pt idx="8">
                  <c:v>12795</c:v>
                </c:pt>
                <c:pt idx="9">
                  <c:v>14781</c:v>
                </c:pt>
                <c:pt idx="10">
                  <c:v>14832</c:v>
                </c:pt>
                <c:pt idx="11">
                  <c:v>14580</c:v>
                </c:pt>
                <c:pt idx="12">
                  <c:v>14750</c:v>
                </c:pt>
              </c:numCache>
            </c:numRef>
          </c:val>
          <c:smooth val="0"/>
          <c:extLst>
            <c:ext xmlns:c16="http://schemas.microsoft.com/office/drawing/2014/chart" uri="{C3380CC4-5D6E-409C-BE32-E72D297353CC}">
              <c16:uniqueId val="{00000003-0A70-4DC6-97B7-1B5500DCC125}"/>
            </c:ext>
          </c:extLst>
        </c:ser>
        <c:ser>
          <c:idx val="4"/>
          <c:order val="4"/>
          <c:tx>
            <c:strRef>
              <c:f>Ratios!$A$53</c:f>
              <c:strCache>
                <c:ptCount val="1"/>
                <c:pt idx="0">
                  <c:v>Consumer Connection Capex Boundary</c:v>
                </c:pt>
              </c:strCache>
            </c:strRef>
          </c:tx>
          <c:spPr>
            <a:ln w="28575" cap="rnd">
              <a:solidFill>
                <a:srgbClr val="C00000"/>
              </a:solidFill>
              <a:prstDash val="sysDot"/>
              <a:round/>
            </a:ln>
            <a:effectLst/>
          </c:spPr>
          <c:marker>
            <c:symbol val="none"/>
          </c:marker>
          <c:val>
            <c:numRef>
              <c:f>Ratios!$B$53:$N$53</c:f>
              <c:numCache>
                <c:formatCode>"$"#,##0</c:formatCode>
                <c:ptCount val="13"/>
                <c:pt idx="0">
                  <c:v>12717.957496965077</c:v>
                </c:pt>
                <c:pt idx="1">
                  <c:v>12717.957496965077</c:v>
                </c:pt>
                <c:pt idx="2">
                  <c:v>12717.957496965077</c:v>
                </c:pt>
                <c:pt idx="3">
                  <c:v>12717.957496965077</c:v>
                </c:pt>
                <c:pt idx="4">
                  <c:v>12717.957496965077</c:v>
                </c:pt>
                <c:pt idx="5">
                  <c:v>12717.957496965077</c:v>
                </c:pt>
                <c:pt idx="6">
                  <c:v>12717.957496965077</c:v>
                </c:pt>
                <c:pt idx="7">
                  <c:v>12717.957496965077</c:v>
                </c:pt>
                <c:pt idx="8">
                  <c:v>12717.957496965077</c:v>
                </c:pt>
                <c:pt idx="9">
                  <c:v>12717.957496965077</c:v>
                </c:pt>
                <c:pt idx="10">
                  <c:v>12717.957496965077</c:v>
                </c:pt>
                <c:pt idx="11">
                  <c:v>12717.957496965077</c:v>
                </c:pt>
                <c:pt idx="12">
                  <c:v>12717.957496965077</c:v>
                </c:pt>
              </c:numCache>
            </c:numRef>
          </c:val>
          <c:smooth val="0"/>
          <c:extLst>
            <c:ext xmlns:c16="http://schemas.microsoft.com/office/drawing/2014/chart" uri="{C3380CC4-5D6E-409C-BE32-E72D297353CC}">
              <c16:uniqueId val="{00000001-B2BC-4283-AB3D-90492113D267}"/>
            </c:ext>
          </c:extLst>
        </c:ser>
        <c:dLbls>
          <c:showLegendKey val="0"/>
          <c:showVal val="0"/>
          <c:showCatName val="0"/>
          <c:showSerName val="0"/>
          <c:showPercent val="0"/>
          <c:showBubbleSize val="0"/>
        </c:dLbls>
        <c:marker val="1"/>
        <c:smooth val="0"/>
        <c:axId val="-15071248"/>
        <c:axId val="-15073872"/>
      </c:lineChart>
      <c:catAx>
        <c:axId val="-1507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3872"/>
        <c:crosses val="autoZero"/>
        <c:auto val="1"/>
        <c:lblAlgn val="ctr"/>
        <c:lblOffset val="100"/>
        <c:noMultiLvlLbl val="0"/>
      </c:catAx>
      <c:valAx>
        <c:axId val="-15073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1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25400"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System Growth Planning </a:t>
            </a:r>
            <a:r>
              <a:rPr lang="en-NZ" sz="1400" b="0" i="0" u="none" strike="noStrike" baseline="0">
                <a:effectLst/>
              </a:rPr>
              <a:t>($000)</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'Data Input Sheet'!$A$69</c:f>
              <c:strCache>
                <c:ptCount val="1"/>
                <c:pt idx="0">
                  <c:v>Intermediate Pressure</c:v>
                </c:pt>
              </c:strCache>
            </c:strRef>
          </c:tx>
          <c:spPr>
            <a:solidFill>
              <a:schemeClr val="accent2"/>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Sheet'!$B$69:$N$69</c:f>
              <c:numCache>
                <c:formatCode>General</c:formatCode>
                <c:ptCount val="13"/>
                <c:pt idx="0">
                  <c:v>0</c:v>
                </c:pt>
                <c:pt idx="1">
                  <c:v>795.89366999999993</c:v>
                </c:pt>
                <c:pt idx="2">
                  <c:v>1032.135</c:v>
                </c:pt>
                <c:pt idx="3">
                  <c:v>131</c:v>
                </c:pt>
                <c:pt idx="4">
                  <c:v>234</c:v>
                </c:pt>
                <c:pt idx="5">
                  <c:v>302</c:v>
                </c:pt>
                <c:pt idx="6">
                  <c:v>1095</c:v>
                </c:pt>
                <c:pt idx="7">
                  <c:v>605</c:v>
                </c:pt>
                <c:pt idx="8">
                  <c:v>302</c:v>
                </c:pt>
              </c:numCache>
            </c:numRef>
          </c:val>
          <c:extLst>
            <c:ext xmlns:c16="http://schemas.microsoft.com/office/drawing/2014/chart" uri="{C3380CC4-5D6E-409C-BE32-E72D297353CC}">
              <c16:uniqueId val="{00000000-EBE9-46CA-9699-499A58C0B0C4}"/>
            </c:ext>
          </c:extLst>
        </c:ser>
        <c:ser>
          <c:idx val="2"/>
          <c:order val="2"/>
          <c:tx>
            <c:strRef>
              <c:f>'Data Input Sheet'!$A$70</c:f>
              <c:strCache>
                <c:ptCount val="1"/>
                <c:pt idx="0">
                  <c:v>Medium pressure</c:v>
                </c:pt>
              </c:strCache>
            </c:strRef>
          </c:tx>
          <c:spPr>
            <a:solidFill>
              <a:schemeClr val="accent3"/>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Sheet'!$B$70:$N$70</c:f>
              <c:numCache>
                <c:formatCode>General</c:formatCode>
                <c:ptCount val="13"/>
                <c:pt idx="0">
                  <c:v>0</c:v>
                </c:pt>
                <c:pt idx="1">
                  <c:v>663.41456999999991</c:v>
                </c:pt>
                <c:pt idx="2">
                  <c:v>557.77499999999998</c:v>
                </c:pt>
                <c:pt idx="3">
                  <c:v>439</c:v>
                </c:pt>
                <c:pt idx="4">
                  <c:v>701</c:v>
                </c:pt>
                <c:pt idx="5">
                  <c:v>934</c:v>
                </c:pt>
                <c:pt idx="6">
                  <c:v>492</c:v>
                </c:pt>
                <c:pt idx="7">
                  <c:v>135</c:v>
                </c:pt>
                <c:pt idx="8">
                  <c:v>1262</c:v>
                </c:pt>
              </c:numCache>
            </c:numRef>
          </c:val>
          <c:extLst>
            <c:ext xmlns:c16="http://schemas.microsoft.com/office/drawing/2014/chart" uri="{C3380CC4-5D6E-409C-BE32-E72D297353CC}">
              <c16:uniqueId val="{00000001-EBE9-46CA-9699-499A58C0B0C4}"/>
            </c:ext>
          </c:extLst>
        </c:ser>
        <c:ser>
          <c:idx val="3"/>
          <c:order val="3"/>
          <c:tx>
            <c:strRef>
              <c:f>'Data Input Sheet'!$A$71</c:f>
              <c:strCache>
                <c:ptCount val="1"/>
                <c:pt idx="0">
                  <c:v>Low pressure</c:v>
                </c:pt>
              </c:strCache>
            </c:strRef>
          </c:tx>
          <c:spPr>
            <a:solidFill>
              <a:schemeClr val="accent4"/>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Sheet'!$B$71:$N$71</c:f>
              <c:numCache>
                <c:formatCode>General</c:formatCode>
                <c:ptCount val="13"/>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BE9-46CA-9699-499A58C0B0C4}"/>
            </c:ext>
          </c:extLst>
        </c:ser>
        <c:ser>
          <c:idx val="4"/>
          <c:order val="4"/>
          <c:tx>
            <c:strRef>
              <c:f>'Data Input Sheet'!$A$72</c:f>
              <c:strCache>
                <c:ptCount val="1"/>
                <c:pt idx="0">
                  <c:v>Other Network Assets</c:v>
                </c:pt>
              </c:strCache>
            </c:strRef>
          </c:tx>
          <c:spPr>
            <a:solidFill>
              <a:schemeClr val="accent5"/>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Sheet'!$B$72:$N$72</c:f>
              <c:numCache>
                <c:formatCode>General</c:formatCode>
                <c:ptCount val="13"/>
                <c:pt idx="3">
                  <c:v>0</c:v>
                </c:pt>
                <c:pt idx="4">
                  <c:v>59</c:v>
                </c:pt>
                <c:pt idx="5">
                  <c:v>59</c:v>
                </c:pt>
                <c:pt idx="6">
                  <c:v>59</c:v>
                </c:pt>
                <c:pt idx="7">
                  <c:v>59</c:v>
                </c:pt>
                <c:pt idx="8">
                  <c:v>59</c:v>
                </c:pt>
              </c:numCache>
            </c:numRef>
          </c:val>
          <c:extLst>
            <c:ext xmlns:c16="http://schemas.microsoft.com/office/drawing/2014/chart" uri="{C3380CC4-5D6E-409C-BE32-E72D297353CC}">
              <c16:uniqueId val="{00000003-EBE9-46CA-9699-499A58C0B0C4}"/>
            </c:ext>
          </c:extLst>
        </c:ser>
        <c:dLbls>
          <c:showLegendKey val="0"/>
          <c:showVal val="0"/>
          <c:showCatName val="0"/>
          <c:showSerName val="0"/>
          <c:showPercent val="0"/>
          <c:showBubbleSize val="0"/>
        </c:dLbls>
        <c:gapWidth val="150"/>
        <c:overlap val="100"/>
        <c:axId val="-15120720"/>
        <c:axId val="-15137200"/>
      </c:barChart>
      <c:lineChart>
        <c:grouping val="standard"/>
        <c:varyColors val="0"/>
        <c:ser>
          <c:idx val="0"/>
          <c:order val="0"/>
          <c:tx>
            <c:strRef>
              <c:f>'Data Input Sheet'!$A$21</c:f>
              <c:strCache>
                <c:ptCount val="1"/>
                <c:pt idx="0">
                  <c:v>System growth</c:v>
                </c:pt>
              </c:strCache>
            </c:strRef>
          </c:tx>
          <c:spPr>
            <a:ln w="12700" cap="rnd">
              <a:solidFill>
                <a:schemeClr val="accent1"/>
              </a:solidFill>
              <a:round/>
            </a:ln>
            <a:effectLst/>
          </c:spPr>
          <c:marker>
            <c:symbol val="none"/>
          </c:marker>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Sheet'!$B$21:$N$21</c:f>
              <c:numCache>
                <c:formatCode>"$"#,##0</c:formatCode>
                <c:ptCount val="13"/>
                <c:pt idx="0">
                  <c:v>215</c:v>
                </c:pt>
                <c:pt idx="1">
                  <c:v>307</c:v>
                </c:pt>
                <c:pt idx="2">
                  <c:v>229</c:v>
                </c:pt>
                <c:pt idx="3">
                  <c:v>294</c:v>
                </c:pt>
                <c:pt idx="4">
                  <c:v>994</c:v>
                </c:pt>
                <c:pt idx="5">
                  <c:v>1295</c:v>
                </c:pt>
                <c:pt idx="6">
                  <c:v>1646</c:v>
                </c:pt>
                <c:pt idx="7">
                  <c:v>799</c:v>
                </c:pt>
                <c:pt idx="8">
                  <c:v>1623</c:v>
                </c:pt>
                <c:pt idx="9">
                  <c:v>449</c:v>
                </c:pt>
                <c:pt idx="10">
                  <c:v>517</c:v>
                </c:pt>
                <c:pt idx="11">
                  <c:v>1093</c:v>
                </c:pt>
                <c:pt idx="12">
                  <c:v>1093</c:v>
                </c:pt>
              </c:numCache>
            </c:numRef>
          </c:val>
          <c:smooth val="0"/>
          <c:extLst>
            <c:ext xmlns:c16="http://schemas.microsoft.com/office/drawing/2014/chart" uri="{C3380CC4-5D6E-409C-BE32-E72D297353CC}">
              <c16:uniqueId val="{00000004-EBE9-46CA-9699-499A58C0B0C4}"/>
            </c:ext>
          </c:extLst>
        </c:ser>
        <c:ser>
          <c:idx val="5"/>
          <c:order val="5"/>
          <c:tx>
            <c:strRef>
              <c:f>Ratios!$A$54</c:f>
              <c:strCache>
                <c:ptCount val="1"/>
                <c:pt idx="0">
                  <c:v>Growth Capex Boundary</c:v>
                </c:pt>
              </c:strCache>
            </c:strRef>
          </c:tx>
          <c:spPr>
            <a:ln w="28575" cap="rnd">
              <a:solidFill>
                <a:srgbClr val="C00000"/>
              </a:solidFill>
              <a:prstDash val="sysDot"/>
              <a:round/>
            </a:ln>
            <a:effectLst/>
          </c:spPr>
          <c:marker>
            <c:symbol val="none"/>
          </c:marker>
          <c:val>
            <c:numRef>
              <c:f>Ratios!$B$54:$N$54</c:f>
              <c:numCache>
                <c:formatCode>"$"#,##0</c:formatCode>
                <c:ptCount val="13"/>
                <c:pt idx="0">
                  <c:v>225.39244610071239</c:v>
                </c:pt>
                <c:pt idx="1">
                  <c:v>225.39244610071239</c:v>
                </c:pt>
                <c:pt idx="2">
                  <c:v>225.39244610071239</c:v>
                </c:pt>
                <c:pt idx="3">
                  <c:v>225.39244610071239</c:v>
                </c:pt>
                <c:pt idx="4">
                  <c:v>225.39244610071239</c:v>
                </c:pt>
                <c:pt idx="5">
                  <c:v>225.39244610071239</c:v>
                </c:pt>
                <c:pt idx="6">
                  <c:v>225.39244610071239</c:v>
                </c:pt>
                <c:pt idx="7">
                  <c:v>225.39244610071239</c:v>
                </c:pt>
                <c:pt idx="8">
                  <c:v>225.39244610071239</c:v>
                </c:pt>
                <c:pt idx="9">
                  <c:v>225.39244610071239</c:v>
                </c:pt>
                <c:pt idx="10">
                  <c:v>225.39244610071239</c:v>
                </c:pt>
                <c:pt idx="11">
                  <c:v>225.39244610071239</c:v>
                </c:pt>
                <c:pt idx="12">
                  <c:v>225.39244610071239</c:v>
                </c:pt>
              </c:numCache>
            </c:numRef>
          </c:val>
          <c:smooth val="0"/>
          <c:extLst>
            <c:ext xmlns:c16="http://schemas.microsoft.com/office/drawing/2014/chart" uri="{C3380CC4-5D6E-409C-BE32-E72D297353CC}">
              <c16:uniqueId val="{00000000-0890-4812-A9C7-A3A0A483B0EB}"/>
            </c:ext>
          </c:extLst>
        </c:ser>
        <c:dLbls>
          <c:showLegendKey val="0"/>
          <c:showVal val="0"/>
          <c:showCatName val="0"/>
          <c:showSerName val="0"/>
          <c:showPercent val="0"/>
          <c:showBubbleSize val="0"/>
        </c:dLbls>
        <c:marker val="1"/>
        <c:smooth val="0"/>
        <c:axId val="-15120720"/>
        <c:axId val="-15137200"/>
      </c:lineChart>
      <c:catAx>
        <c:axId val="-1512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7200"/>
        <c:crosses val="autoZero"/>
        <c:auto val="1"/>
        <c:lblAlgn val="ctr"/>
        <c:lblOffset val="100"/>
        <c:noMultiLvlLbl val="0"/>
      </c:catAx>
      <c:valAx>
        <c:axId val="-15137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0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25400" cap="flat" cmpd="sng" algn="ctr">
      <a:solidFill>
        <a:schemeClr val="accent2"/>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Asset</a:t>
            </a:r>
            <a:r>
              <a:rPr lang="en-NZ" baseline="0"/>
              <a:t> Replacement and Renewal Planning </a:t>
            </a:r>
            <a:r>
              <a:rPr lang="en-NZ" sz="1400" b="0" i="0" u="none" strike="noStrike" baseline="0">
                <a:effectLst/>
              </a:rPr>
              <a:t>($000)</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'Data Input Sheet'!$A$77</c:f>
              <c:strCache>
                <c:ptCount val="1"/>
                <c:pt idx="0">
                  <c:v>Intermediate Pressure</c:v>
                </c:pt>
              </c:strCache>
            </c:strRef>
          </c:tx>
          <c:spPr>
            <a:solidFill>
              <a:schemeClr val="accent2"/>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Sheet'!$B$77:$N$77</c:f>
              <c:numCache>
                <c:formatCode>General</c:formatCode>
                <c:ptCount val="13"/>
                <c:pt idx="0">
                  <c:v>0</c:v>
                </c:pt>
                <c:pt idx="1">
                  <c:v>1049.6421</c:v>
                </c:pt>
                <c:pt idx="2">
                  <c:v>1605.9899999999998</c:v>
                </c:pt>
                <c:pt idx="3">
                  <c:v>342</c:v>
                </c:pt>
                <c:pt idx="4">
                  <c:v>401</c:v>
                </c:pt>
                <c:pt idx="5">
                  <c:v>352</c:v>
                </c:pt>
                <c:pt idx="6">
                  <c:v>352</c:v>
                </c:pt>
                <c:pt idx="7">
                  <c:v>352</c:v>
                </c:pt>
                <c:pt idx="8">
                  <c:v>352</c:v>
                </c:pt>
              </c:numCache>
            </c:numRef>
          </c:val>
          <c:extLst>
            <c:ext xmlns:c16="http://schemas.microsoft.com/office/drawing/2014/chart" uri="{C3380CC4-5D6E-409C-BE32-E72D297353CC}">
              <c16:uniqueId val="{00000000-A3BF-4C49-805A-60D816758578}"/>
            </c:ext>
          </c:extLst>
        </c:ser>
        <c:ser>
          <c:idx val="2"/>
          <c:order val="2"/>
          <c:tx>
            <c:strRef>
              <c:f>'Data Input Sheet'!$A$78</c:f>
              <c:strCache>
                <c:ptCount val="1"/>
                <c:pt idx="0">
                  <c:v>Medium pressure</c:v>
                </c:pt>
              </c:strCache>
            </c:strRef>
          </c:tx>
          <c:spPr>
            <a:solidFill>
              <a:schemeClr val="accent3"/>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Sheet'!$B$78:$N$78</c:f>
              <c:numCache>
                <c:formatCode>General</c:formatCode>
                <c:ptCount val="13"/>
                <c:pt idx="0">
                  <c:v>0</c:v>
                </c:pt>
                <c:pt idx="1">
                  <c:v>7943.6506499999996</c:v>
                </c:pt>
                <c:pt idx="2">
                  <c:v>1351.7249999999999</c:v>
                </c:pt>
                <c:pt idx="3">
                  <c:v>881</c:v>
                </c:pt>
                <c:pt idx="4">
                  <c:v>1008</c:v>
                </c:pt>
                <c:pt idx="5">
                  <c:v>685</c:v>
                </c:pt>
                <c:pt idx="6">
                  <c:v>685</c:v>
                </c:pt>
                <c:pt idx="7">
                  <c:v>1174</c:v>
                </c:pt>
                <c:pt idx="8">
                  <c:v>1174</c:v>
                </c:pt>
              </c:numCache>
            </c:numRef>
          </c:val>
          <c:extLst>
            <c:ext xmlns:c16="http://schemas.microsoft.com/office/drawing/2014/chart" uri="{C3380CC4-5D6E-409C-BE32-E72D297353CC}">
              <c16:uniqueId val="{00000001-A3BF-4C49-805A-60D816758578}"/>
            </c:ext>
          </c:extLst>
        </c:ser>
        <c:ser>
          <c:idx val="3"/>
          <c:order val="3"/>
          <c:tx>
            <c:strRef>
              <c:f>'Data Input Sheet'!$A$79</c:f>
              <c:strCache>
                <c:ptCount val="1"/>
                <c:pt idx="0">
                  <c:v>Low pressure</c:v>
                </c:pt>
              </c:strCache>
            </c:strRef>
          </c:tx>
          <c:spPr>
            <a:solidFill>
              <a:schemeClr val="accent4"/>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Sheet'!$B$79:$N$79</c:f>
              <c:numCache>
                <c:formatCode>General</c:formatCode>
                <c:ptCount val="13"/>
                <c:pt idx="0">
                  <c:v>0</c:v>
                </c:pt>
                <c:pt idx="1">
                  <c:v>0</c:v>
                </c:pt>
                <c:pt idx="2">
                  <c:v>1383.8849999999998</c:v>
                </c:pt>
              </c:numCache>
            </c:numRef>
          </c:val>
          <c:extLst>
            <c:ext xmlns:c16="http://schemas.microsoft.com/office/drawing/2014/chart" uri="{C3380CC4-5D6E-409C-BE32-E72D297353CC}">
              <c16:uniqueId val="{00000002-A3BF-4C49-805A-60D816758578}"/>
            </c:ext>
          </c:extLst>
        </c:ser>
        <c:ser>
          <c:idx val="4"/>
          <c:order val="4"/>
          <c:tx>
            <c:strRef>
              <c:f>'Data Input Sheet'!$A$80</c:f>
              <c:strCache>
                <c:ptCount val="1"/>
                <c:pt idx="0">
                  <c:v>Other Network Assets</c:v>
                </c:pt>
              </c:strCache>
            </c:strRef>
          </c:tx>
          <c:spPr>
            <a:solidFill>
              <a:schemeClr val="accent5"/>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Sheet'!$B$80:$N$80</c:f>
              <c:numCache>
                <c:formatCode>General</c:formatCode>
                <c:ptCount val="13"/>
                <c:pt idx="0">
                  <c:v>0</c:v>
                </c:pt>
                <c:pt idx="1">
                  <c:v>877.41926999999987</c:v>
                </c:pt>
                <c:pt idx="2">
                  <c:v>933.64499999999987</c:v>
                </c:pt>
                <c:pt idx="3">
                  <c:v>403</c:v>
                </c:pt>
                <c:pt idx="4">
                  <c:v>235</c:v>
                </c:pt>
                <c:pt idx="5">
                  <c:v>235</c:v>
                </c:pt>
                <c:pt idx="6">
                  <c:v>162</c:v>
                </c:pt>
                <c:pt idx="7">
                  <c:v>162</c:v>
                </c:pt>
                <c:pt idx="8">
                  <c:v>162</c:v>
                </c:pt>
              </c:numCache>
            </c:numRef>
          </c:val>
          <c:extLst>
            <c:ext xmlns:c16="http://schemas.microsoft.com/office/drawing/2014/chart" uri="{C3380CC4-5D6E-409C-BE32-E72D297353CC}">
              <c16:uniqueId val="{00000003-A3BF-4C49-805A-60D816758578}"/>
            </c:ext>
          </c:extLst>
        </c:ser>
        <c:dLbls>
          <c:showLegendKey val="0"/>
          <c:showVal val="0"/>
          <c:showCatName val="0"/>
          <c:showSerName val="0"/>
          <c:showPercent val="0"/>
          <c:showBubbleSize val="0"/>
        </c:dLbls>
        <c:gapWidth val="150"/>
        <c:overlap val="100"/>
        <c:axId val="-15206848"/>
        <c:axId val="-15204528"/>
      </c:barChart>
      <c:lineChart>
        <c:grouping val="standard"/>
        <c:varyColors val="0"/>
        <c:ser>
          <c:idx val="0"/>
          <c:order val="0"/>
          <c:tx>
            <c:strRef>
              <c:f>'Data Input Sheet'!$A$22</c:f>
              <c:strCache>
                <c:ptCount val="1"/>
                <c:pt idx="0">
                  <c:v>Asset replacement and renewal</c:v>
                </c:pt>
              </c:strCache>
            </c:strRef>
          </c:tx>
          <c:spPr>
            <a:ln w="12700" cap="rnd">
              <a:solidFill>
                <a:schemeClr val="accent1"/>
              </a:solidFill>
              <a:round/>
            </a:ln>
            <a:effectLst/>
          </c:spPr>
          <c:marker>
            <c:symbol val="none"/>
          </c:marker>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Sheet'!$B$22:$N$22</c:f>
              <c:numCache>
                <c:formatCode>"$"#,##0</c:formatCode>
                <c:ptCount val="13"/>
                <c:pt idx="0">
                  <c:v>1022</c:v>
                </c:pt>
                <c:pt idx="1">
                  <c:v>1459</c:v>
                </c:pt>
                <c:pt idx="2">
                  <c:v>1086</c:v>
                </c:pt>
                <c:pt idx="3">
                  <c:v>1397</c:v>
                </c:pt>
                <c:pt idx="4">
                  <c:v>1644</c:v>
                </c:pt>
                <c:pt idx="5">
                  <c:v>1272</c:v>
                </c:pt>
                <c:pt idx="6">
                  <c:v>1199</c:v>
                </c:pt>
                <c:pt idx="7">
                  <c:v>1688</c:v>
                </c:pt>
                <c:pt idx="8">
                  <c:v>1688</c:v>
                </c:pt>
                <c:pt idx="9">
                  <c:v>1688</c:v>
                </c:pt>
                <c:pt idx="10">
                  <c:v>1688</c:v>
                </c:pt>
                <c:pt idx="11">
                  <c:v>1688</c:v>
                </c:pt>
                <c:pt idx="12">
                  <c:v>1688</c:v>
                </c:pt>
              </c:numCache>
            </c:numRef>
          </c:val>
          <c:smooth val="0"/>
          <c:extLst>
            <c:ext xmlns:c16="http://schemas.microsoft.com/office/drawing/2014/chart" uri="{C3380CC4-5D6E-409C-BE32-E72D297353CC}">
              <c16:uniqueId val="{00000004-A3BF-4C49-805A-60D816758578}"/>
            </c:ext>
          </c:extLst>
        </c:ser>
        <c:ser>
          <c:idx val="5"/>
          <c:order val="5"/>
          <c:tx>
            <c:strRef>
              <c:f>Ratios!$A$55</c:f>
              <c:strCache>
                <c:ptCount val="1"/>
                <c:pt idx="0">
                  <c:v>Asset replacement and renewal Boundary</c:v>
                </c:pt>
              </c:strCache>
            </c:strRef>
          </c:tx>
          <c:spPr>
            <a:ln w="28575" cap="rnd">
              <a:solidFill>
                <a:srgbClr val="C00000"/>
              </a:solidFill>
              <a:prstDash val="sysDot"/>
              <a:round/>
            </a:ln>
            <a:effectLst/>
          </c:spPr>
          <c:marker>
            <c:symbol val="none"/>
          </c:marker>
          <c:val>
            <c:numRef>
              <c:f>Ratios!$B$55:$N$55</c:f>
              <c:numCache>
                <c:formatCode>"$"#,##0</c:formatCode>
                <c:ptCount val="13"/>
                <c:pt idx="0">
                  <c:v>1070.6680406162068</c:v>
                </c:pt>
                <c:pt idx="1">
                  <c:v>1070.6680406162068</c:v>
                </c:pt>
                <c:pt idx="2">
                  <c:v>1070.6680406162068</c:v>
                </c:pt>
                <c:pt idx="3">
                  <c:v>1070.6680406162068</c:v>
                </c:pt>
                <c:pt idx="4">
                  <c:v>1070.6680406162068</c:v>
                </c:pt>
                <c:pt idx="5">
                  <c:v>1070.6680406162068</c:v>
                </c:pt>
                <c:pt idx="6">
                  <c:v>1070.6680406162068</c:v>
                </c:pt>
                <c:pt idx="7">
                  <c:v>1070.6680406162068</c:v>
                </c:pt>
                <c:pt idx="8">
                  <c:v>1070.6680406162068</c:v>
                </c:pt>
                <c:pt idx="9">
                  <c:v>1070.6680406162068</c:v>
                </c:pt>
                <c:pt idx="10">
                  <c:v>1070.6680406162068</c:v>
                </c:pt>
                <c:pt idx="11">
                  <c:v>1070.6680406162068</c:v>
                </c:pt>
                <c:pt idx="12">
                  <c:v>1070.6680406162068</c:v>
                </c:pt>
              </c:numCache>
            </c:numRef>
          </c:val>
          <c:smooth val="0"/>
          <c:extLst>
            <c:ext xmlns:c16="http://schemas.microsoft.com/office/drawing/2014/chart" uri="{C3380CC4-5D6E-409C-BE32-E72D297353CC}">
              <c16:uniqueId val="{00000000-2271-4BD7-B6C0-CD872001FBB6}"/>
            </c:ext>
          </c:extLst>
        </c:ser>
        <c:dLbls>
          <c:showLegendKey val="0"/>
          <c:showVal val="0"/>
          <c:showCatName val="0"/>
          <c:showSerName val="0"/>
          <c:showPercent val="0"/>
          <c:showBubbleSize val="0"/>
        </c:dLbls>
        <c:marker val="1"/>
        <c:smooth val="0"/>
        <c:axId val="-15206848"/>
        <c:axId val="-15204528"/>
      </c:lineChart>
      <c:catAx>
        <c:axId val="-1520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04528"/>
        <c:crosses val="autoZero"/>
        <c:auto val="1"/>
        <c:lblAlgn val="ctr"/>
        <c:lblOffset val="100"/>
        <c:noMultiLvlLbl val="0"/>
      </c:catAx>
      <c:valAx>
        <c:axId val="-15204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0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25400"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Asset Relocation Planning </a:t>
            </a:r>
            <a:r>
              <a:rPr lang="en-NZ" sz="1400" b="0" i="0" u="none" strike="noStrike" baseline="0">
                <a:effectLst/>
              </a:rPr>
              <a:t>($000)</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'Data Input Sheet'!$A$88</c:f>
              <c:strCache>
                <c:ptCount val="1"/>
                <c:pt idx="0">
                  <c:v>Other</c:v>
                </c:pt>
              </c:strCache>
            </c:strRef>
          </c:tx>
          <c:spPr>
            <a:solidFill>
              <a:schemeClr val="accent2"/>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Sheet'!$B$88:$N$88</c:f>
              <c:numCache>
                <c:formatCode>General</c:formatCode>
                <c:ptCount val="13"/>
                <c:pt idx="0">
                  <c:v>0</c:v>
                </c:pt>
                <c:pt idx="1">
                  <c:v>1760.9529599999998</c:v>
                </c:pt>
                <c:pt idx="2">
                  <c:v>2101.4549999999999</c:v>
                </c:pt>
                <c:pt idx="3">
                  <c:v>2134</c:v>
                </c:pt>
                <c:pt idx="4">
                  <c:v>2264</c:v>
                </c:pt>
                <c:pt idx="5">
                  <c:v>2942</c:v>
                </c:pt>
                <c:pt idx="6">
                  <c:v>2279</c:v>
                </c:pt>
                <c:pt idx="7">
                  <c:v>2887</c:v>
                </c:pt>
                <c:pt idx="8">
                  <c:v>2042</c:v>
                </c:pt>
              </c:numCache>
            </c:numRef>
          </c:val>
          <c:extLst>
            <c:ext xmlns:c16="http://schemas.microsoft.com/office/drawing/2014/chart" uri="{C3380CC4-5D6E-409C-BE32-E72D297353CC}">
              <c16:uniqueId val="{00000000-25FD-4BE1-A292-D9D87EDA5056}"/>
            </c:ext>
          </c:extLst>
        </c:ser>
        <c:ser>
          <c:idx val="2"/>
          <c:order val="2"/>
          <c:tx>
            <c:strRef>
              <c:f>'Data Input Sheet'!$A$89</c:f>
              <c:strCache>
                <c:ptCount val="1"/>
                <c:pt idx="0">
                  <c:v>Waterview Connection</c:v>
                </c:pt>
              </c:strCache>
            </c:strRef>
          </c:tx>
          <c:spPr>
            <a:solidFill>
              <a:schemeClr val="accent3"/>
            </a:solidFill>
            <a:ln>
              <a:noFill/>
            </a:ln>
            <a:effectLst/>
          </c:spPr>
          <c:invertIfNegative val="0"/>
          <c:val>
            <c:numRef>
              <c:f>'Data Input Sheet'!$B$89:$N$89</c:f>
              <c:numCache>
                <c:formatCode>General</c:formatCode>
                <c:ptCount val="13"/>
                <c:pt idx="0">
                  <c:v>0</c:v>
                </c:pt>
                <c:pt idx="1">
                  <c:v>576.79361999999992</c:v>
                </c:pt>
                <c:pt idx="2">
                  <c:v>0</c:v>
                </c:pt>
              </c:numCache>
            </c:numRef>
          </c:val>
          <c:extLst>
            <c:ext xmlns:c16="http://schemas.microsoft.com/office/drawing/2014/chart" uri="{C3380CC4-5D6E-409C-BE32-E72D297353CC}">
              <c16:uniqueId val="{00000001-25FD-4BE1-A292-D9D87EDA5056}"/>
            </c:ext>
          </c:extLst>
        </c:ser>
        <c:dLbls>
          <c:showLegendKey val="0"/>
          <c:showVal val="0"/>
          <c:showCatName val="0"/>
          <c:showSerName val="0"/>
          <c:showPercent val="0"/>
          <c:showBubbleSize val="0"/>
        </c:dLbls>
        <c:gapWidth val="150"/>
        <c:overlap val="100"/>
        <c:axId val="-15237504"/>
        <c:axId val="-15240448"/>
      </c:barChart>
      <c:lineChart>
        <c:grouping val="standard"/>
        <c:varyColors val="0"/>
        <c:ser>
          <c:idx val="0"/>
          <c:order val="0"/>
          <c:tx>
            <c:strRef>
              <c:f>'Data Input Sheet'!$A$23</c:f>
              <c:strCache>
                <c:ptCount val="1"/>
                <c:pt idx="0">
                  <c:v>Asset relocations</c:v>
                </c:pt>
              </c:strCache>
            </c:strRef>
          </c:tx>
          <c:spPr>
            <a:ln w="12700" cap="rnd">
              <a:solidFill>
                <a:schemeClr val="accent1"/>
              </a:solidFill>
              <a:round/>
            </a:ln>
            <a:effectLst/>
          </c:spPr>
          <c:marker>
            <c:symbol val="none"/>
          </c:marker>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Sheet'!$B$23:$N$23</c:f>
              <c:numCache>
                <c:formatCode>"$"#,##0</c:formatCode>
                <c:ptCount val="13"/>
                <c:pt idx="0">
                  <c:v>490</c:v>
                </c:pt>
                <c:pt idx="1">
                  <c:v>655</c:v>
                </c:pt>
                <c:pt idx="2">
                  <c:v>383</c:v>
                </c:pt>
                <c:pt idx="3">
                  <c:v>325</c:v>
                </c:pt>
                <c:pt idx="4">
                  <c:v>126</c:v>
                </c:pt>
                <c:pt idx="5">
                  <c:v>164</c:v>
                </c:pt>
                <c:pt idx="6">
                  <c:v>126</c:v>
                </c:pt>
                <c:pt idx="7">
                  <c:v>160</c:v>
                </c:pt>
                <c:pt idx="8">
                  <c:v>114</c:v>
                </c:pt>
                <c:pt idx="9">
                  <c:v>1449</c:v>
                </c:pt>
                <c:pt idx="10">
                  <c:v>1714</c:v>
                </c:pt>
                <c:pt idx="11">
                  <c:v>1714</c:v>
                </c:pt>
                <c:pt idx="12">
                  <c:v>1714</c:v>
                </c:pt>
              </c:numCache>
            </c:numRef>
          </c:val>
          <c:smooth val="0"/>
          <c:extLst>
            <c:ext xmlns:c16="http://schemas.microsoft.com/office/drawing/2014/chart" uri="{C3380CC4-5D6E-409C-BE32-E72D297353CC}">
              <c16:uniqueId val="{00000002-25FD-4BE1-A292-D9D87EDA5056}"/>
            </c:ext>
          </c:extLst>
        </c:ser>
        <c:ser>
          <c:idx val="3"/>
          <c:order val="3"/>
          <c:tx>
            <c:strRef>
              <c:f>Ratios!$A$56</c:f>
              <c:strCache>
                <c:ptCount val="1"/>
                <c:pt idx="0">
                  <c:v>Asset relocations Boundary</c:v>
                </c:pt>
              </c:strCache>
            </c:strRef>
          </c:tx>
          <c:spPr>
            <a:ln w="28575" cap="rnd">
              <a:solidFill>
                <a:srgbClr val="C00000"/>
              </a:solidFill>
              <a:prstDash val="sysDot"/>
              <a:round/>
            </a:ln>
            <a:effectLst/>
          </c:spPr>
          <c:marker>
            <c:symbol val="none"/>
          </c:marker>
          <c:val>
            <c:numRef>
              <c:f>Ratios!$B$56:$N$56</c:f>
              <c:numCache>
                <c:formatCode>"$"#,##0</c:formatCode>
                <c:ptCount val="13"/>
                <c:pt idx="0">
                  <c:v>399.66717954509096</c:v>
                </c:pt>
                <c:pt idx="1">
                  <c:v>399.66717954509096</c:v>
                </c:pt>
                <c:pt idx="2">
                  <c:v>399.66717954509096</c:v>
                </c:pt>
                <c:pt idx="3">
                  <c:v>399.66717954509096</c:v>
                </c:pt>
                <c:pt idx="4">
                  <c:v>399.66717954509096</c:v>
                </c:pt>
                <c:pt idx="5">
                  <c:v>399.66717954509096</c:v>
                </c:pt>
                <c:pt idx="6">
                  <c:v>399.66717954509096</c:v>
                </c:pt>
                <c:pt idx="7">
                  <c:v>399.66717954509096</c:v>
                </c:pt>
                <c:pt idx="8">
                  <c:v>399.66717954509096</c:v>
                </c:pt>
                <c:pt idx="9">
                  <c:v>399.66717954509096</c:v>
                </c:pt>
                <c:pt idx="10">
                  <c:v>399.66717954509096</c:v>
                </c:pt>
                <c:pt idx="11">
                  <c:v>399.66717954509096</c:v>
                </c:pt>
                <c:pt idx="12">
                  <c:v>399.66717954509096</c:v>
                </c:pt>
              </c:numCache>
            </c:numRef>
          </c:val>
          <c:smooth val="0"/>
          <c:extLst>
            <c:ext xmlns:c16="http://schemas.microsoft.com/office/drawing/2014/chart" uri="{C3380CC4-5D6E-409C-BE32-E72D297353CC}">
              <c16:uniqueId val="{00000000-491E-461D-A4D0-2658202BECFC}"/>
            </c:ext>
          </c:extLst>
        </c:ser>
        <c:dLbls>
          <c:showLegendKey val="0"/>
          <c:showVal val="0"/>
          <c:showCatName val="0"/>
          <c:showSerName val="0"/>
          <c:showPercent val="0"/>
          <c:showBubbleSize val="0"/>
        </c:dLbls>
        <c:marker val="1"/>
        <c:smooth val="0"/>
        <c:axId val="-15237504"/>
        <c:axId val="-15240448"/>
      </c:lineChart>
      <c:catAx>
        <c:axId val="-1523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40448"/>
        <c:crosses val="autoZero"/>
        <c:auto val="1"/>
        <c:lblAlgn val="ctr"/>
        <c:lblOffset val="100"/>
        <c:noMultiLvlLbl val="0"/>
      </c:catAx>
      <c:valAx>
        <c:axId val="-15240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37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25400" cap="flat" cmpd="sng" algn="ctr">
      <a:solidFill>
        <a:schemeClr val="accent4"/>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Reliability, Safety and Environment - Planning </a:t>
            </a:r>
            <a:r>
              <a:rPr lang="en-NZ" sz="1400" b="0" i="0" u="none" strike="noStrike" baseline="0">
                <a:effectLst/>
              </a:rPr>
              <a:t>($000)</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635261137389995E-2"/>
          <c:y val="0.124096069784222"/>
          <c:w val="0.89229116528806995"/>
          <c:h val="0.646713064373313"/>
        </c:manualLayout>
      </c:layout>
      <c:barChart>
        <c:barDir val="col"/>
        <c:grouping val="stacked"/>
        <c:varyColors val="0"/>
        <c:ser>
          <c:idx val="0"/>
          <c:order val="0"/>
          <c:tx>
            <c:strRef>
              <c:f>'Data Input Sheet'!$A$102</c:f>
              <c:strCache>
                <c:ptCount val="1"/>
                <c:pt idx="0">
                  <c:v>Other</c:v>
                </c:pt>
              </c:strCache>
            </c:strRef>
          </c:tx>
          <c:spPr>
            <a:solidFill>
              <a:schemeClr val="accent1"/>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Sheet'!$B$102:$N$102</c:f>
              <c:numCache>
                <c:formatCode>General</c:formatCode>
                <c:ptCount val="13"/>
                <c:pt idx="0">
                  <c:v>0</c:v>
                </c:pt>
                <c:pt idx="1">
                  <c:v>666.47177999999997</c:v>
                </c:pt>
                <c:pt idx="2">
                  <c:v>73.364999999999995</c:v>
                </c:pt>
                <c:pt idx="4">
                  <c:v>258</c:v>
                </c:pt>
                <c:pt idx="5">
                  <c:v>379</c:v>
                </c:pt>
                <c:pt idx="6">
                  <c:v>401</c:v>
                </c:pt>
                <c:pt idx="7">
                  <c:v>518</c:v>
                </c:pt>
                <c:pt idx="8">
                  <c:v>197</c:v>
                </c:pt>
              </c:numCache>
            </c:numRef>
          </c:val>
          <c:extLst>
            <c:ext xmlns:c16="http://schemas.microsoft.com/office/drawing/2014/chart" uri="{C3380CC4-5D6E-409C-BE32-E72D297353CC}">
              <c16:uniqueId val="{00000000-787A-4D9D-98E0-8EB8A6A708AC}"/>
            </c:ext>
          </c:extLst>
        </c:ser>
        <c:ser>
          <c:idx val="1"/>
          <c:order val="1"/>
          <c:tx>
            <c:strRef>
              <c:f>'Data Input Sheet'!$A$103</c:f>
              <c:strCache>
                <c:ptCount val="1"/>
              </c:strCache>
            </c:strRef>
          </c:tx>
          <c:spPr>
            <a:solidFill>
              <a:schemeClr val="accent2"/>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Sheet'!$B$103:$N$103</c:f>
              <c:numCache>
                <c:formatCode>General</c:formatCode>
                <c:ptCount val="13"/>
              </c:numCache>
            </c:numRef>
          </c:val>
          <c:extLst>
            <c:ext xmlns:c16="http://schemas.microsoft.com/office/drawing/2014/chart" uri="{C3380CC4-5D6E-409C-BE32-E72D297353CC}">
              <c16:uniqueId val="{00000001-787A-4D9D-98E0-8EB8A6A708AC}"/>
            </c:ext>
          </c:extLst>
        </c:ser>
        <c:ser>
          <c:idx val="2"/>
          <c:order val="2"/>
          <c:tx>
            <c:strRef>
              <c:f>'Data Input Sheet'!$A$104</c:f>
              <c:strCache>
                <c:ptCount val="1"/>
              </c:strCache>
            </c:strRef>
          </c:tx>
          <c:spPr>
            <a:solidFill>
              <a:schemeClr val="accent3"/>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Sheet'!$B$104:$N$104</c:f>
              <c:numCache>
                <c:formatCode>General</c:formatCode>
                <c:ptCount val="13"/>
              </c:numCache>
            </c:numRef>
          </c:val>
          <c:extLst>
            <c:ext xmlns:c16="http://schemas.microsoft.com/office/drawing/2014/chart" uri="{C3380CC4-5D6E-409C-BE32-E72D297353CC}">
              <c16:uniqueId val="{00000002-787A-4D9D-98E0-8EB8A6A708AC}"/>
            </c:ext>
          </c:extLst>
        </c:ser>
        <c:ser>
          <c:idx val="3"/>
          <c:order val="3"/>
          <c:tx>
            <c:strRef>
              <c:f>'Data Input Sheet'!$A$105</c:f>
              <c:strCache>
                <c:ptCount val="1"/>
              </c:strCache>
            </c:strRef>
          </c:tx>
          <c:spPr>
            <a:solidFill>
              <a:schemeClr val="accent4"/>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Sheet'!$B$105:$N$105</c:f>
              <c:numCache>
                <c:formatCode>General</c:formatCode>
                <c:ptCount val="13"/>
              </c:numCache>
            </c:numRef>
          </c:val>
          <c:extLst>
            <c:ext xmlns:c16="http://schemas.microsoft.com/office/drawing/2014/chart" uri="{C3380CC4-5D6E-409C-BE32-E72D297353CC}">
              <c16:uniqueId val="{00000003-787A-4D9D-98E0-8EB8A6A708AC}"/>
            </c:ext>
          </c:extLst>
        </c:ser>
        <c:ser>
          <c:idx val="4"/>
          <c:order val="4"/>
          <c:tx>
            <c:strRef>
              <c:f>'Data Input Sheet'!$A$106</c:f>
              <c:strCache>
                <c:ptCount val="1"/>
              </c:strCache>
            </c:strRef>
          </c:tx>
          <c:spPr>
            <a:solidFill>
              <a:schemeClr val="accent5"/>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Sheet'!$B$106:$N$106</c:f>
              <c:numCache>
                <c:formatCode>General</c:formatCode>
                <c:ptCount val="13"/>
              </c:numCache>
            </c:numRef>
          </c:val>
          <c:extLst>
            <c:ext xmlns:c16="http://schemas.microsoft.com/office/drawing/2014/chart" uri="{C3380CC4-5D6E-409C-BE32-E72D297353CC}">
              <c16:uniqueId val="{00000004-787A-4D9D-98E0-8EB8A6A708AC}"/>
            </c:ext>
          </c:extLst>
        </c:ser>
        <c:ser>
          <c:idx val="5"/>
          <c:order val="5"/>
          <c:tx>
            <c:strRef>
              <c:f>'Data Input Sheet'!$A$107</c:f>
              <c:strCache>
                <c:ptCount val="1"/>
              </c:strCache>
            </c:strRef>
          </c:tx>
          <c:spPr>
            <a:solidFill>
              <a:schemeClr val="accent6"/>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Sheet'!$B$107:$N$107</c:f>
              <c:numCache>
                <c:formatCode>General</c:formatCode>
                <c:ptCount val="13"/>
              </c:numCache>
            </c:numRef>
          </c:val>
          <c:extLst>
            <c:ext xmlns:c16="http://schemas.microsoft.com/office/drawing/2014/chart" uri="{C3380CC4-5D6E-409C-BE32-E72D297353CC}">
              <c16:uniqueId val="{00000005-787A-4D9D-98E0-8EB8A6A708AC}"/>
            </c:ext>
          </c:extLst>
        </c:ser>
        <c:ser>
          <c:idx val="6"/>
          <c:order val="6"/>
          <c:tx>
            <c:strRef>
              <c:f>'Data Input Sheet'!$A$108</c:f>
              <c:strCache>
                <c:ptCount val="1"/>
              </c:strCache>
            </c:strRef>
          </c:tx>
          <c:spPr>
            <a:solidFill>
              <a:schemeClr val="accent1">
                <a:lumMod val="6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Sheet'!$B$108:$N$108</c:f>
              <c:numCache>
                <c:formatCode>General</c:formatCode>
                <c:ptCount val="13"/>
              </c:numCache>
            </c:numRef>
          </c:val>
          <c:extLst>
            <c:ext xmlns:c16="http://schemas.microsoft.com/office/drawing/2014/chart" uri="{C3380CC4-5D6E-409C-BE32-E72D297353CC}">
              <c16:uniqueId val="{00000006-787A-4D9D-98E0-8EB8A6A708AC}"/>
            </c:ext>
          </c:extLst>
        </c:ser>
        <c:ser>
          <c:idx val="7"/>
          <c:order val="7"/>
          <c:tx>
            <c:strRef>
              <c:f>'Data Input Sheet'!$A$109</c:f>
              <c:strCache>
                <c:ptCount val="1"/>
              </c:strCache>
            </c:strRef>
          </c:tx>
          <c:spPr>
            <a:solidFill>
              <a:schemeClr val="accent2">
                <a:lumMod val="6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Sheet'!$B$109:$N$109</c:f>
              <c:numCache>
                <c:formatCode>General</c:formatCode>
                <c:ptCount val="13"/>
              </c:numCache>
            </c:numRef>
          </c:val>
          <c:extLst>
            <c:ext xmlns:c16="http://schemas.microsoft.com/office/drawing/2014/chart" uri="{C3380CC4-5D6E-409C-BE32-E72D297353CC}">
              <c16:uniqueId val="{00000007-787A-4D9D-98E0-8EB8A6A708AC}"/>
            </c:ext>
          </c:extLst>
        </c:ser>
        <c:ser>
          <c:idx val="8"/>
          <c:order val="8"/>
          <c:tx>
            <c:strRef>
              <c:f>'Data Input Sheet'!$A$110</c:f>
              <c:strCache>
                <c:ptCount val="1"/>
              </c:strCache>
            </c:strRef>
          </c:tx>
          <c:spPr>
            <a:solidFill>
              <a:schemeClr val="accent3">
                <a:lumMod val="6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Sheet'!$B$110:$N$110</c:f>
              <c:numCache>
                <c:formatCode>General</c:formatCode>
                <c:ptCount val="13"/>
              </c:numCache>
            </c:numRef>
          </c:val>
          <c:extLst>
            <c:ext xmlns:c16="http://schemas.microsoft.com/office/drawing/2014/chart" uri="{C3380CC4-5D6E-409C-BE32-E72D297353CC}">
              <c16:uniqueId val="{00000008-787A-4D9D-98E0-8EB8A6A708AC}"/>
            </c:ext>
          </c:extLst>
        </c:ser>
        <c:ser>
          <c:idx val="9"/>
          <c:order val="9"/>
          <c:tx>
            <c:strRef>
              <c:f>'Data Input Sheet'!$A$111</c:f>
              <c:strCache>
                <c:ptCount val="1"/>
              </c:strCache>
            </c:strRef>
          </c:tx>
          <c:spPr>
            <a:solidFill>
              <a:schemeClr val="accent4">
                <a:lumMod val="6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Sheet'!$B$111:$N$111</c:f>
              <c:numCache>
                <c:formatCode>General</c:formatCode>
                <c:ptCount val="13"/>
              </c:numCache>
            </c:numRef>
          </c:val>
          <c:extLst>
            <c:ext xmlns:c16="http://schemas.microsoft.com/office/drawing/2014/chart" uri="{C3380CC4-5D6E-409C-BE32-E72D297353CC}">
              <c16:uniqueId val="{00000009-787A-4D9D-98E0-8EB8A6A708AC}"/>
            </c:ext>
          </c:extLst>
        </c:ser>
        <c:ser>
          <c:idx val="10"/>
          <c:order val="10"/>
          <c:tx>
            <c:strRef>
              <c:f>'Data Input Sheet'!$A$112</c:f>
              <c:strCache>
                <c:ptCount val="1"/>
              </c:strCache>
            </c:strRef>
          </c:tx>
          <c:spPr>
            <a:solidFill>
              <a:schemeClr val="accent5">
                <a:lumMod val="6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Sheet'!$B$112:$N$112</c:f>
              <c:numCache>
                <c:formatCode>General</c:formatCode>
                <c:ptCount val="13"/>
              </c:numCache>
            </c:numRef>
          </c:val>
          <c:extLst>
            <c:ext xmlns:c16="http://schemas.microsoft.com/office/drawing/2014/chart" uri="{C3380CC4-5D6E-409C-BE32-E72D297353CC}">
              <c16:uniqueId val="{0000000A-787A-4D9D-98E0-8EB8A6A708AC}"/>
            </c:ext>
          </c:extLst>
        </c:ser>
        <c:ser>
          <c:idx val="11"/>
          <c:order val="11"/>
          <c:tx>
            <c:strRef>
              <c:f>'Data Input Sheet'!$A$113</c:f>
              <c:strCache>
                <c:ptCount val="1"/>
              </c:strCache>
            </c:strRef>
          </c:tx>
          <c:spPr>
            <a:solidFill>
              <a:schemeClr val="accent6">
                <a:lumMod val="6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Sheet'!$B$113:$N$113</c:f>
              <c:numCache>
                <c:formatCode>General</c:formatCode>
                <c:ptCount val="13"/>
              </c:numCache>
            </c:numRef>
          </c:val>
          <c:extLst>
            <c:ext xmlns:c16="http://schemas.microsoft.com/office/drawing/2014/chart" uri="{C3380CC4-5D6E-409C-BE32-E72D297353CC}">
              <c16:uniqueId val="{0000000B-787A-4D9D-98E0-8EB8A6A708AC}"/>
            </c:ext>
          </c:extLst>
        </c:ser>
        <c:ser>
          <c:idx val="12"/>
          <c:order val="12"/>
          <c:tx>
            <c:strRef>
              <c:f>'Data Input Sheet'!$A$140</c:f>
              <c:strCache>
                <c:ptCount val="1"/>
                <c:pt idx="0">
                  <c:v>Other</c:v>
                </c:pt>
              </c:strCache>
            </c:strRef>
          </c:tx>
          <c:spPr>
            <a:solidFill>
              <a:schemeClr val="accent1">
                <a:lumMod val="80000"/>
                <a:lumOff val="2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Sheet'!$B$140:$N$140</c:f>
              <c:numCache>
                <c:formatCode>General</c:formatCode>
                <c:ptCount val="13"/>
                <c:pt idx="0">
                  <c:v>0</c:v>
                </c:pt>
                <c:pt idx="1">
                  <c:v>233.36702999999997</c:v>
                </c:pt>
                <c:pt idx="2">
                  <c:v>83.414999999999992</c:v>
                </c:pt>
                <c:pt idx="3">
                  <c:v>142</c:v>
                </c:pt>
                <c:pt idx="4">
                  <c:v>234</c:v>
                </c:pt>
                <c:pt idx="5">
                  <c:v>204</c:v>
                </c:pt>
                <c:pt idx="6">
                  <c:v>204</c:v>
                </c:pt>
                <c:pt idx="7">
                  <c:v>0</c:v>
                </c:pt>
                <c:pt idx="8">
                  <c:v>0</c:v>
                </c:pt>
              </c:numCache>
            </c:numRef>
          </c:val>
          <c:extLst>
            <c:ext xmlns:c16="http://schemas.microsoft.com/office/drawing/2014/chart" uri="{C3380CC4-5D6E-409C-BE32-E72D297353CC}">
              <c16:uniqueId val="{0000000C-787A-4D9D-98E0-8EB8A6A708AC}"/>
            </c:ext>
          </c:extLst>
        </c:ser>
        <c:ser>
          <c:idx val="13"/>
          <c:order val="13"/>
          <c:tx>
            <c:strRef>
              <c:f>'Data Input Sheet'!$A$141</c:f>
              <c:strCache>
                <c:ptCount val="1"/>
              </c:strCache>
            </c:strRef>
          </c:tx>
          <c:spPr>
            <a:solidFill>
              <a:schemeClr val="accent2">
                <a:lumMod val="80000"/>
                <a:lumOff val="2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Sheet'!$B$141:$N$141</c:f>
              <c:numCache>
                <c:formatCode>General</c:formatCode>
                <c:ptCount val="13"/>
              </c:numCache>
            </c:numRef>
          </c:val>
          <c:extLst>
            <c:ext xmlns:c16="http://schemas.microsoft.com/office/drawing/2014/chart" uri="{C3380CC4-5D6E-409C-BE32-E72D297353CC}">
              <c16:uniqueId val="{0000000D-787A-4D9D-98E0-8EB8A6A708AC}"/>
            </c:ext>
          </c:extLst>
        </c:ser>
        <c:ser>
          <c:idx val="14"/>
          <c:order val="14"/>
          <c:tx>
            <c:strRef>
              <c:f>'Data Input Sheet'!$A$142</c:f>
              <c:strCache>
                <c:ptCount val="1"/>
              </c:strCache>
            </c:strRef>
          </c:tx>
          <c:spPr>
            <a:solidFill>
              <a:schemeClr val="accent3">
                <a:lumMod val="80000"/>
                <a:lumOff val="2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Sheet'!$B$142:$N$142</c:f>
              <c:numCache>
                <c:formatCode>General</c:formatCode>
                <c:ptCount val="13"/>
              </c:numCache>
            </c:numRef>
          </c:val>
          <c:extLst>
            <c:ext xmlns:c16="http://schemas.microsoft.com/office/drawing/2014/chart" uri="{C3380CC4-5D6E-409C-BE32-E72D297353CC}">
              <c16:uniqueId val="{0000000E-787A-4D9D-98E0-8EB8A6A708AC}"/>
            </c:ext>
          </c:extLst>
        </c:ser>
        <c:ser>
          <c:idx val="15"/>
          <c:order val="15"/>
          <c:tx>
            <c:strRef>
              <c:f>'Data Input Sheet'!$A$143</c:f>
              <c:strCache>
                <c:ptCount val="1"/>
              </c:strCache>
            </c:strRef>
          </c:tx>
          <c:spPr>
            <a:solidFill>
              <a:schemeClr val="accent4">
                <a:lumMod val="80000"/>
                <a:lumOff val="2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Sheet'!$B$143:$N$143</c:f>
              <c:numCache>
                <c:formatCode>General</c:formatCode>
                <c:ptCount val="13"/>
              </c:numCache>
            </c:numRef>
          </c:val>
          <c:extLst>
            <c:ext xmlns:c16="http://schemas.microsoft.com/office/drawing/2014/chart" uri="{C3380CC4-5D6E-409C-BE32-E72D297353CC}">
              <c16:uniqueId val="{0000000F-787A-4D9D-98E0-8EB8A6A708AC}"/>
            </c:ext>
          </c:extLst>
        </c:ser>
        <c:ser>
          <c:idx val="16"/>
          <c:order val="16"/>
          <c:tx>
            <c:strRef>
              <c:f>'Data Input Sheet'!$A$144</c:f>
              <c:strCache>
                <c:ptCount val="1"/>
              </c:strCache>
            </c:strRef>
          </c:tx>
          <c:spPr>
            <a:solidFill>
              <a:schemeClr val="accent5">
                <a:lumMod val="80000"/>
                <a:lumOff val="2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Sheet'!$B$144:$N$144</c:f>
              <c:numCache>
                <c:formatCode>General</c:formatCode>
                <c:ptCount val="13"/>
              </c:numCache>
            </c:numRef>
          </c:val>
          <c:extLst>
            <c:ext xmlns:c16="http://schemas.microsoft.com/office/drawing/2014/chart" uri="{C3380CC4-5D6E-409C-BE32-E72D297353CC}">
              <c16:uniqueId val="{00000010-787A-4D9D-98E0-8EB8A6A708AC}"/>
            </c:ext>
          </c:extLst>
        </c:ser>
        <c:ser>
          <c:idx val="17"/>
          <c:order val="17"/>
          <c:tx>
            <c:strRef>
              <c:f>'Data Input Sheet'!$A$145</c:f>
              <c:strCache>
                <c:ptCount val="1"/>
              </c:strCache>
            </c:strRef>
          </c:tx>
          <c:spPr>
            <a:solidFill>
              <a:schemeClr val="accent6">
                <a:lumMod val="80000"/>
                <a:lumOff val="2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Sheet'!$B$145:$N$145</c:f>
              <c:numCache>
                <c:formatCode>General</c:formatCode>
                <c:ptCount val="13"/>
              </c:numCache>
            </c:numRef>
          </c:val>
          <c:extLst>
            <c:ext xmlns:c16="http://schemas.microsoft.com/office/drawing/2014/chart" uri="{C3380CC4-5D6E-409C-BE32-E72D297353CC}">
              <c16:uniqueId val="{00000011-787A-4D9D-98E0-8EB8A6A708AC}"/>
            </c:ext>
          </c:extLst>
        </c:ser>
        <c:ser>
          <c:idx val="18"/>
          <c:order val="18"/>
          <c:tx>
            <c:strRef>
              <c:f>'Data Input Sheet'!$A$146</c:f>
              <c:strCache>
                <c:ptCount val="1"/>
              </c:strCache>
            </c:strRef>
          </c:tx>
          <c:spPr>
            <a:solidFill>
              <a:schemeClr val="accent1">
                <a:lumMod val="8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Sheet'!$B$146:$N$146</c:f>
              <c:numCache>
                <c:formatCode>General</c:formatCode>
                <c:ptCount val="13"/>
              </c:numCache>
            </c:numRef>
          </c:val>
          <c:extLst>
            <c:ext xmlns:c16="http://schemas.microsoft.com/office/drawing/2014/chart" uri="{C3380CC4-5D6E-409C-BE32-E72D297353CC}">
              <c16:uniqueId val="{00000012-787A-4D9D-98E0-8EB8A6A708AC}"/>
            </c:ext>
          </c:extLst>
        </c:ser>
        <c:ser>
          <c:idx val="19"/>
          <c:order val="19"/>
          <c:tx>
            <c:strRef>
              <c:f>'Data Input Sheet'!$A$147</c:f>
              <c:strCache>
                <c:ptCount val="1"/>
              </c:strCache>
            </c:strRef>
          </c:tx>
          <c:spPr>
            <a:solidFill>
              <a:schemeClr val="accent2">
                <a:lumMod val="8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Sheet'!$B$147:$N$147</c:f>
              <c:numCache>
                <c:formatCode>General</c:formatCode>
                <c:ptCount val="13"/>
              </c:numCache>
            </c:numRef>
          </c:val>
          <c:extLst>
            <c:ext xmlns:c16="http://schemas.microsoft.com/office/drawing/2014/chart" uri="{C3380CC4-5D6E-409C-BE32-E72D297353CC}">
              <c16:uniqueId val="{00000013-787A-4D9D-98E0-8EB8A6A708AC}"/>
            </c:ext>
          </c:extLst>
        </c:ser>
        <c:dLbls>
          <c:showLegendKey val="0"/>
          <c:showVal val="0"/>
          <c:showCatName val="0"/>
          <c:showSerName val="0"/>
          <c:showPercent val="0"/>
          <c:showBubbleSize val="0"/>
        </c:dLbls>
        <c:gapWidth val="20"/>
        <c:overlap val="100"/>
        <c:axId val="-15445632"/>
        <c:axId val="-15443856"/>
      </c:barChart>
      <c:lineChart>
        <c:grouping val="standard"/>
        <c:varyColors val="0"/>
        <c:ser>
          <c:idx val="20"/>
          <c:order val="20"/>
          <c:tx>
            <c:strRef>
              <c:f>'Data Input Sheet'!$A$24</c:f>
              <c:strCache>
                <c:ptCount val="1"/>
                <c:pt idx="0">
                  <c:v>Total reliability, safety and environment</c:v>
                </c:pt>
              </c:strCache>
            </c:strRef>
          </c:tx>
          <c:spPr>
            <a:ln w="12700" cap="rnd">
              <a:solidFill>
                <a:schemeClr val="accent1"/>
              </a:solidFill>
              <a:round/>
            </a:ln>
            <a:effectLst/>
          </c:spPr>
          <c:marker>
            <c:symbol val="none"/>
          </c:marker>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Sheet'!$B$24:$N$24</c:f>
              <c:numCache>
                <c:formatCode>"$"#,##0</c:formatCode>
                <c:ptCount val="13"/>
                <c:pt idx="0">
                  <c:v>222</c:v>
                </c:pt>
                <c:pt idx="1">
                  <c:v>317</c:v>
                </c:pt>
                <c:pt idx="2">
                  <c:v>236</c:v>
                </c:pt>
                <c:pt idx="3">
                  <c:v>304</c:v>
                </c:pt>
                <c:pt idx="4">
                  <c:v>492</c:v>
                </c:pt>
                <c:pt idx="5">
                  <c:v>583</c:v>
                </c:pt>
                <c:pt idx="6">
                  <c:v>605</c:v>
                </c:pt>
                <c:pt idx="7">
                  <c:v>518</c:v>
                </c:pt>
                <c:pt idx="8">
                  <c:v>197</c:v>
                </c:pt>
                <c:pt idx="9">
                  <c:v>137</c:v>
                </c:pt>
              </c:numCache>
            </c:numRef>
          </c:val>
          <c:smooth val="0"/>
          <c:extLst>
            <c:ext xmlns:c16="http://schemas.microsoft.com/office/drawing/2014/chart" uri="{C3380CC4-5D6E-409C-BE32-E72D297353CC}">
              <c16:uniqueId val="{00000014-787A-4D9D-98E0-8EB8A6A708AC}"/>
            </c:ext>
          </c:extLst>
        </c:ser>
        <c:ser>
          <c:idx val="21"/>
          <c:order val="21"/>
          <c:tx>
            <c:strRef>
              <c:f>Ratios!$A$57</c:f>
              <c:strCache>
                <c:ptCount val="1"/>
                <c:pt idx="0">
                  <c:v>Total reliability, safety and environment Boundary</c:v>
                </c:pt>
              </c:strCache>
            </c:strRef>
          </c:tx>
          <c:spPr>
            <a:ln w="28575" cap="rnd">
              <a:solidFill>
                <a:srgbClr val="C00000"/>
              </a:solidFill>
              <a:prstDash val="sysDot"/>
              <a:round/>
            </a:ln>
            <a:effectLst/>
          </c:spPr>
          <c:marker>
            <c:symbol val="none"/>
          </c:marker>
          <c:val>
            <c:numRef>
              <c:f>Ratios!$B$57:$N$57</c:f>
              <c:numCache>
                <c:formatCode>"$"#,##0</c:formatCode>
                <c:ptCount val="13"/>
                <c:pt idx="0">
                  <c:v>232.72578884465898</c:v>
                </c:pt>
                <c:pt idx="1">
                  <c:v>232.72578884465898</c:v>
                </c:pt>
                <c:pt idx="2">
                  <c:v>232.72578884465898</c:v>
                </c:pt>
                <c:pt idx="3">
                  <c:v>232.72578884465898</c:v>
                </c:pt>
                <c:pt idx="4">
                  <c:v>232.72578884465898</c:v>
                </c:pt>
                <c:pt idx="5">
                  <c:v>232.72578884465898</c:v>
                </c:pt>
                <c:pt idx="6">
                  <c:v>232.72578884465898</c:v>
                </c:pt>
                <c:pt idx="7">
                  <c:v>232.72578884465898</c:v>
                </c:pt>
                <c:pt idx="8">
                  <c:v>232.72578884465898</c:v>
                </c:pt>
                <c:pt idx="9">
                  <c:v>232.72578884465898</c:v>
                </c:pt>
                <c:pt idx="10">
                  <c:v>232.72578884465898</c:v>
                </c:pt>
                <c:pt idx="11">
                  <c:v>232.72578884465898</c:v>
                </c:pt>
                <c:pt idx="12">
                  <c:v>232.72578884465898</c:v>
                </c:pt>
              </c:numCache>
            </c:numRef>
          </c:val>
          <c:smooth val="0"/>
          <c:extLst>
            <c:ext xmlns:c16="http://schemas.microsoft.com/office/drawing/2014/chart" uri="{C3380CC4-5D6E-409C-BE32-E72D297353CC}">
              <c16:uniqueId val="{00000000-EF62-4859-8449-15ED60069503}"/>
            </c:ext>
          </c:extLst>
        </c:ser>
        <c:dLbls>
          <c:showLegendKey val="0"/>
          <c:showVal val="0"/>
          <c:showCatName val="0"/>
          <c:showSerName val="0"/>
          <c:showPercent val="0"/>
          <c:showBubbleSize val="0"/>
        </c:dLbls>
        <c:marker val="1"/>
        <c:smooth val="0"/>
        <c:axId val="-15445632"/>
        <c:axId val="-15443856"/>
      </c:lineChart>
      <c:catAx>
        <c:axId val="-1544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43856"/>
        <c:crosses val="autoZero"/>
        <c:auto val="1"/>
        <c:lblAlgn val="ctr"/>
        <c:lblOffset val="100"/>
        <c:noMultiLvlLbl val="0"/>
      </c:catAx>
      <c:valAx>
        <c:axId val="-15443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45632"/>
        <c:crosses val="autoZero"/>
        <c:crossBetween val="between"/>
      </c:valAx>
      <c:spPr>
        <a:noFill/>
        <a:ln>
          <a:noFill/>
        </a:ln>
        <a:effectLst/>
      </c:spPr>
    </c:plotArea>
    <c:plotVisOnly val="1"/>
    <c:dispBlanksAs val="gap"/>
    <c:showDLblsOverMax val="0"/>
  </c:chart>
  <c:spPr>
    <a:noFill/>
    <a:ln w="25400"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1400" b="0" i="0" u="none" strike="noStrike" baseline="0">
                <a:effectLst/>
              </a:rPr>
              <a:t>Non-Network Asset Planning ($000)</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'Data Input Sheet'!$A$161</c:f>
              <c:strCache>
                <c:ptCount val="1"/>
                <c:pt idx="0">
                  <c:v>Other</c:v>
                </c:pt>
              </c:strCache>
            </c:strRef>
          </c:tx>
          <c:spPr>
            <a:solidFill>
              <a:schemeClr val="accent1"/>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Sheet'!$B$161:$N$161</c:f>
              <c:numCache>
                <c:formatCode>General</c:formatCode>
                <c:ptCount val="13"/>
                <c:pt idx="0">
                  <c:v>0</c:v>
                </c:pt>
                <c:pt idx="1">
                  <c:v>299.60657999999995</c:v>
                </c:pt>
                <c:pt idx="2">
                  <c:v>488.42999999999995</c:v>
                </c:pt>
                <c:pt idx="3">
                  <c:v>552</c:v>
                </c:pt>
                <c:pt idx="4">
                  <c:v>1068</c:v>
                </c:pt>
                <c:pt idx="5">
                  <c:v>1459</c:v>
                </c:pt>
                <c:pt idx="6">
                  <c:v>1160</c:v>
                </c:pt>
                <c:pt idx="7">
                  <c:v>1227</c:v>
                </c:pt>
                <c:pt idx="8">
                  <c:v>1466</c:v>
                </c:pt>
              </c:numCache>
            </c:numRef>
          </c:val>
          <c:extLst>
            <c:ext xmlns:c16="http://schemas.microsoft.com/office/drawing/2014/chart" uri="{C3380CC4-5D6E-409C-BE32-E72D297353CC}">
              <c16:uniqueId val="{00000000-952C-4EB3-AEB9-9ED552FFA73C}"/>
            </c:ext>
          </c:extLst>
        </c:ser>
        <c:ser>
          <c:idx val="1"/>
          <c:order val="1"/>
          <c:tx>
            <c:strRef>
              <c:f>'Data Input Sheet'!$A$162</c:f>
              <c:strCache>
                <c:ptCount val="1"/>
              </c:strCache>
            </c:strRef>
          </c:tx>
          <c:spPr>
            <a:solidFill>
              <a:schemeClr val="accent2"/>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Sheet'!$B$162:$N$162</c:f>
              <c:numCache>
                <c:formatCode>General</c:formatCode>
                <c:ptCount val="13"/>
              </c:numCache>
            </c:numRef>
          </c:val>
          <c:extLst>
            <c:ext xmlns:c16="http://schemas.microsoft.com/office/drawing/2014/chart" uri="{C3380CC4-5D6E-409C-BE32-E72D297353CC}">
              <c16:uniqueId val="{00000001-952C-4EB3-AEB9-9ED552FFA73C}"/>
            </c:ext>
          </c:extLst>
        </c:ser>
        <c:ser>
          <c:idx val="2"/>
          <c:order val="2"/>
          <c:tx>
            <c:strRef>
              <c:f>'Data Input Sheet'!$A$163</c:f>
              <c:strCache>
                <c:ptCount val="1"/>
              </c:strCache>
            </c:strRef>
          </c:tx>
          <c:spPr>
            <a:solidFill>
              <a:schemeClr val="accent3"/>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Sheet'!$B$163:$N$163</c:f>
              <c:numCache>
                <c:formatCode>General</c:formatCode>
                <c:ptCount val="13"/>
              </c:numCache>
            </c:numRef>
          </c:val>
          <c:extLst>
            <c:ext xmlns:c16="http://schemas.microsoft.com/office/drawing/2014/chart" uri="{C3380CC4-5D6E-409C-BE32-E72D297353CC}">
              <c16:uniqueId val="{00000002-952C-4EB3-AEB9-9ED552FFA73C}"/>
            </c:ext>
          </c:extLst>
        </c:ser>
        <c:ser>
          <c:idx val="3"/>
          <c:order val="3"/>
          <c:tx>
            <c:strRef>
              <c:f>'Data Input Sheet'!$A$164</c:f>
              <c:strCache>
                <c:ptCount val="1"/>
              </c:strCache>
            </c:strRef>
          </c:tx>
          <c:spPr>
            <a:solidFill>
              <a:schemeClr val="accent4"/>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Sheet'!$B$164:$N$164</c:f>
              <c:numCache>
                <c:formatCode>General</c:formatCode>
                <c:ptCount val="13"/>
              </c:numCache>
            </c:numRef>
          </c:val>
          <c:extLst>
            <c:ext xmlns:c16="http://schemas.microsoft.com/office/drawing/2014/chart" uri="{C3380CC4-5D6E-409C-BE32-E72D297353CC}">
              <c16:uniqueId val="{00000003-952C-4EB3-AEB9-9ED552FFA73C}"/>
            </c:ext>
          </c:extLst>
        </c:ser>
        <c:ser>
          <c:idx val="4"/>
          <c:order val="4"/>
          <c:tx>
            <c:strRef>
              <c:f>'Data Input Sheet'!$A$165</c:f>
              <c:strCache>
                <c:ptCount val="1"/>
              </c:strCache>
            </c:strRef>
          </c:tx>
          <c:spPr>
            <a:solidFill>
              <a:schemeClr val="accent5"/>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Sheet'!$B$165:$N$165</c:f>
              <c:numCache>
                <c:formatCode>General</c:formatCode>
                <c:ptCount val="13"/>
              </c:numCache>
            </c:numRef>
          </c:val>
          <c:extLst>
            <c:ext xmlns:c16="http://schemas.microsoft.com/office/drawing/2014/chart" uri="{C3380CC4-5D6E-409C-BE32-E72D297353CC}">
              <c16:uniqueId val="{00000004-952C-4EB3-AEB9-9ED552FFA73C}"/>
            </c:ext>
          </c:extLst>
        </c:ser>
        <c:ser>
          <c:idx val="5"/>
          <c:order val="5"/>
          <c:tx>
            <c:strRef>
              <c:f>'Data Input Sheet'!$A$166</c:f>
              <c:strCache>
                <c:ptCount val="1"/>
              </c:strCache>
            </c:strRef>
          </c:tx>
          <c:spPr>
            <a:solidFill>
              <a:schemeClr val="accent6"/>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Sheet'!$B$166:$N$166</c:f>
              <c:numCache>
                <c:formatCode>General</c:formatCode>
                <c:ptCount val="13"/>
              </c:numCache>
            </c:numRef>
          </c:val>
          <c:extLst>
            <c:ext xmlns:c16="http://schemas.microsoft.com/office/drawing/2014/chart" uri="{C3380CC4-5D6E-409C-BE32-E72D297353CC}">
              <c16:uniqueId val="{00000005-952C-4EB3-AEB9-9ED552FFA73C}"/>
            </c:ext>
          </c:extLst>
        </c:ser>
        <c:ser>
          <c:idx val="6"/>
          <c:order val="6"/>
          <c:tx>
            <c:strRef>
              <c:f>'Data Input Sheet'!$A$167</c:f>
              <c:strCache>
                <c:ptCount val="1"/>
              </c:strCache>
            </c:strRef>
          </c:tx>
          <c:spPr>
            <a:solidFill>
              <a:schemeClr val="accent1">
                <a:lumMod val="6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Sheet'!$B$167:$N$167</c:f>
              <c:numCache>
                <c:formatCode>General</c:formatCode>
                <c:ptCount val="13"/>
              </c:numCache>
            </c:numRef>
          </c:val>
          <c:extLst>
            <c:ext xmlns:c16="http://schemas.microsoft.com/office/drawing/2014/chart" uri="{C3380CC4-5D6E-409C-BE32-E72D297353CC}">
              <c16:uniqueId val="{00000006-952C-4EB3-AEB9-9ED552FFA73C}"/>
            </c:ext>
          </c:extLst>
        </c:ser>
        <c:ser>
          <c:idx val="7"/>
          <c:order val="7"/>
          <c:tx>
            <c:strRef>
              <c:f>'Data Input Sheet'!$A$168</c:f>
              <c:strCache>
                <c:ptCount val="1"/>
              </c:strCache>
            </c:strRef>
          </c:tx>
          <c:spPr>
            <a:solidFill>
              <a:schemeClr val="accent2">
                <a:lumMod val="6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Sheet'!$B$168:$N$168</c:f>
              <c:numCache>
                <c:formatCode>General</c:formatCode>
                <c:ptCount val="13"/>
              </c:numCache>
            </c:numRef>
          </c:val>
          <c:extLst>
            <c:ext xmlns:c16="http://schemas.microsoft.com/office/drawing/2014/chart" uri="{C3380CC4-5D6E-409C-BE32-E72D297353CC}">
              <c16:uniqueId val="{00000007-952C-4EB3-AEB9-9ED552FFA73C}"/>
            </c:ext>
          </c:extLst>
        </c:ser>
        <c:ser>
          <c:idx val="8"/>
          <c:order val="8"/>
          <c:tx>
            <c:strRef>
              <c:f>'Data Input Sheet'!$A$169</c:f>
              <c:strCache>
                <c:ptCount val="1"/>
              </c:strCache>
            </c:strRef>
          </c:tx>
          <c:spPr>
            <a:solidFill>
              <a:schemeClr val="accent3">
                <a:lumMod val="6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Sheet'!$B$169:$N$169</c:f>
              <c:numCache>
                <c:formatCode>General</c:formatCode>
                <c:ptCount val="13"/>
              </c:numCache>
            </c:numRef>
          </c:val>
          <c:extLst>
            <c:ext xmlns:c16="http://schemas.microsoft.com/office/drawing/2014/chart" uri="{C3380CC4-5D6E-409C-BE32-E72D297353CC}">
              <c16:uniqueId val="{00000008-952C-4EB3-AEB9-9ED552FFA73C}"/>
            </c:ext>
          </c:extLst>
        </c:ser>
        <c:ser>
          <c:idx val="9"/>
          <c:order val="9"/>
          <c:tx>
            <c:strRef>
              <c:f>'Data Input Sheet'!$A$170</c:f>
              <c:strCache>
                <c:ptCount val="1"/>
              </c:strCache>
            </c:strRef>
          </c:tx>
          <c:spPr>
            <a:solidFill>
              <a:schemeClr val="accent4">
                <a:lumMod val="6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Sheet'!$B$170:$N$170</c:f>
              <c:numCache>
                <c:formatCode>General</c:formatCode>
                <c:ptCount val="13"/>
              </c:numCache>
            </c:numRef>
          </c:val>
          <c:extLst>
            <c:ext xmlns:c16="http://schemas.microsoft.com/office/drawing/2014/chart" uri="{C3380CC4-5D6E-409C-BE32-E72D297353CC}">
              <c16:uniqueId val="{00000009-952C-4EB3-AEB9-9ED552FFA73C}"/>
            </c:ext>
          </c:extLst>
        </c:ser>
        <c:ser>
          <c:idx val="10"/>
          <c:order val="10"/>
          <c:tx>
            <c:strRef>
              <c:f>'Data Input Sheet'!$A$171</c:f>
              <c:strCache>
                <c:ptCount val="1"/>
              </c:strCache>
            </c:strRef>
          </c:tx>
          <c:spPr>
            <a:solidFill>
              <a:schemeClr val="accent5">
                <a:lumMod val="6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Sheet'!$B$171:$N$171</c:f>
              <c:numCache>
                <c:formatCode>General</c:formatCode>
                <c:ptCount val="13"/>
              </c:numCache>
            </c:numRef>
          </c:val>
          <c:extLst>
            <c:ext xmlns:c16="http://schemas.microsoft.com/office/drawing/2014/chart" uri="{C3380CC4-5D6E-409C-BE32-E72D297353CC}">
              <c16:uniqueId val="{0000000A-952C-4EB3-AEB9-9ED552FFA73C}"/>
            </c:ext>
          </c:extLst>
        </c:ser>
        <c:ser>
          <c:idx val="11"/>
          <c:order val="11"/>
          <c:tx>
            <c:strRef>
              <c:f>'Data Input Sheet'!$A$172</c:f>
              <c:strCache>
                <c:ptCount val="1"/>
              </c:strCache>
            </c:strRef>
          </c:tx>
          <c:spPr>
            <a:solidFill>
              <a:schemeClr val="accent6">
                <a:lumMod val="6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Sheet'!$B$172:$N$172</c:f>
              <c:numCache>
                <c:formatCode>General</c:formatCode>
                <c:ptCount val="13"/>
              </c:numCache>
            </c:numRef>
          </c:val>
          <c:extLst>
            <c:ext xmlns:c16="http://schemas.microsoft.com/office/drawing/2014/chart" uri="{C3380CC4-5D6E-409C-BE32-E72D297353CC}">
              <c16:uniqueId val="{0000000B-952C-4EB3-AEB9-9ED552FFA73C}"/>
            </c:ext>
          </c:extLst>
        </c:ser>
        <c:ser>
          <c:idx val="12"/>
          <c:order val="12"/>
          <c:tx>
            <c:strRef>
              <c:f>'Data Input Sheet'!$A$173</c:f>
              <c:strCache>
                <c:ptCount val="1"/>
              </c:strCache>
            </c:strRef>
          </c:tx>
          <c:spPr>
            <a:solidFill>
              <a:schemeClr val="accent1">
                <a:lumMod val="80000"/>
                <a:lumOff val="2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Sheet'!$B$173:$N$173</c:f>
              <c:numCache>
                <c:formatCode>General</c:formatCode>
                <c:ptCount val="13"/>
              </c:numCache>
            </c:numRef>
          </c:val>
          <c:extLst>
            <c:ext xmlns:c16="http://schemas.microsoft.com/office/drawing/2014/chart" uri="{C3380CC4-5D6E-409C-BE32-E72D297353CC}">
              <c16:uniqueId val="{0000000C-952C-4EB3-AEB9-9ED552FFA73C}"/>
            </c:ext>
          </c:extLst>
        </c:ser>
        <c:ser>
          <c:idx val="13"/>
          <c:order val="13"/>
          <c:tx>
            <c:strRef>
              <c:f>'Data Input Sheet'!$A$179</c:f>
              <c:strCache>
                <c:ptCount val="1"/>
                <c:pt idx="0">
                  <c:v>Other</c:v>
                </c:pt>
              </c:strCache>
            </c:strRef>
          </c:tx>
          <c:spPr>
            <a:solidFill>
              <a:schemeClr val="accent2">
                <a:lumMod val="80000"/>
                <a:lumOff val="2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Sheet'!$B$179:$N$179</c:f>
              <c:numCache>
                <c:formatCode>General</c:formatCode>
                <c:ptCount val="13"/>
                <c:pt idx="0">
                  <c:v>0</c:v>
                </c:pt>
                <c:pt idx="1">
                  <c:v>1025.18442</c:v>
                </c:pt>
                <c:pt idx="2">
                  <c:v>844.19999999999993</c:v>
                </c:pt>
                <c:pt idx="3">
                  <c:v>182</c:v>
                </c:pt>
                <c:pt idx="4">
                  <c:v>166</c:v>
                </c:pt>
                <c:pt idx="5">
                  <c:v>227</c:v>
                </c:pt>
                <c:pt idx="6">
                  <c:v>181</c:v>
                </c:pt>
                <c:pt idx="7">
                  <c:v>191</c:v>
                </c:pt>
                <c:pt idx="8">
                  <c:v>228</c:v>
                </c:pt>
              </c:numCache>
            </c:numRef>
          </c:val>
          <c:extLst>
            <c:ext xmlns:c16="http://schemas.microsoft.com/office/drawing/2014/chart" uri="{C3380CC4-5D6E-409C-BE32-E72D297353CC}">
              <c16:uniqueId val="{0000000D-952C-4EB3-AEB9-9ED552FFA73C}"/>
            </c:ext>
          </c:extLst>
        </c:ser>
        <c:ser>
          <c:idx val="14"/>
          <c:order val="14"/>
          <c:tx>
            <c:strRef>
              <c:f>'Data Input Sheet'!$A$180</c:f>
              <c:strCache>
                <c:ptCount val="1"/>
              </c:strCache>
            </c:strRef>
          </c:tx>
          <c:spPr>
            <a:solidFill>
              <a:schemeClr val="accent3">
                <a:lumMod val="80000"/>
                <a:lumOff val="2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Sheet'!$B$180:$N$180</c:f>
              <c:numCache>
                <c:formatCode>General</c:formatCode>
                <c:ptCount val="13"/>
              </c:numCache>
            </c:numRef>
          </c:val>
          <c:extLst>
            <c:ext xmlns:c16="http://schemas.microsoft.com/office/drawing/2014/chart" uri="{C3380CC4-5D6E-409C-BE32-E72D297353CC}">
              <c16:uniqueId val="{0000000E-952C-4EB3-AEB9-9ED552FFA73C}"/>
            </c:ext>
          </c:extLst>
        </c:ser>
        <c:ser>
          <c:idx val="15"/>
          <c:order val="15"/>
          <c:tx>
            <c:strRef>
              <c:f>'Data Input Sheet'!$A$181</c:f>
              <c:strCache>
                <c:ptCount val="1"/>
              </c:strCache>
            </c:strRef>
          </c:tx>
          <c:spPr>
            <a:solidFill>
              <a:schemeClr val="accent4">
                <a:lumMod val="80000"/>
                <a:lumOff val="2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Sheet'!$B$181:$N$181</c:f>
              <c:numCache>
                <c:formatCode>General</c:formatCode>
                <c:ptCount val="13"/>
              </c:numCache>
            </c:numRef>
          </c:val>
          <c:extLst>
            <c:ext xmlns:c16="http://schemas.microsoft.com/office/drawing/2014/chart" uri="{C3380CC4-5D6E-409C-BE32-E72D297353CC}">
              <c16:uniqueId val="{0000000F-952C-4EB3-AEB9-9ED552FFA73C}"/>
            </c:ext>
          </c:extLst>
        </c:ser>
        <c:ser>
          <c:idx val="16"/>
          <c:order val="16"/>
          <c:tx>
            <c:strRef>
              <c:f>'Data Input Sheet'!$A$182</c:f>
              <c:strCache>
                <c:ptCount val="1"/>
              </c:strCache>
            </c:strRef>
          </c:tx>
          <c:spPr>
            <a:solidFill>
              <a:schemeClr val="accent5">
                <a:lumMod val="80000"/>
                <a:lumOff val="2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Sheet'!$B$182:$N$182</c:f>
              <c:numCache>
                <c:formatCode>General</c:formatCode>
                <c:ptCount val="13"/>
              </c:numCache>
            </c:numRef>
          </c:val>
          <c:extLst>
            <c:ext xmlns:c16="http://schemas.microsoft.com/office/drawing/2014/chart" uri="{C3380CC4-5D6E-409C-BE32-E72D297353CC}">
              <c16:uniqueId val="{00000010-952C-4EB3-AEB9-9ED552FFA73C}"/>
            </c:ext>
          </c:extLst>
        </c:ser>
        <c:ser>
          <c:idx val="17"/>
          <c:order val="17"/>
          <c:tx>
            <c:strRef>
              <c:f>'Data Input Sheet'!$A$183</c:f>
              <c:strCache>
                <c:ptCount val="1"/>
              </c:strCache>
            </c:strRef>
          </c:tx>
          <c:spPr>
            <a:solidFill>
              <a:schemeClr val="accent6">
                <a:lumMod val="80000"/>
                <a:lumOff val="2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Sheet'!$B$183:$N$183</c:f>
              <c:numCache>
                <c:formatCode>General</c:formatCode>
                <c:ptCount val="13"/>
              </c:numCache>
            </c:numRef>
          </c:val>
          <c:extLst>
            <c:ext xmlns:c16="http://schemas.microsoft.com/office/drawing/2014/chart" uri="{C3380CC4-5D6E-409C-BE32-E72D297353CC}">
              <c16:uniqueId val="{00000011-952C-4EB3-AEB9-9ED552FFA73C}"/>
            </c:ext>
          </c:extLst>
        </c:ser>
        <c:ser>
          <c:idx val="18"/>
          <c:order val="18"/>
          <c:tx>
            <c:strRef>
              <c:f>'Data Input Sheet'!$A$184</c:f>
              <c:strCache>
                <c:ptCount val="1"/>
              </c:strCache>
            </c:strRef>
          </c:tx>
          <c:spPr>
            <a:solidFill>
              <a:schemeClr val="accent1">
                <a:lumMod val="8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Sheet'!$B$184:$N$184</c:f>
              <c:numCache>
                <c:formatCode>General</c:formatCode>
                <c:ptCount val="13"/>
              </c:numCache>
            </c:numRef>
          </c:val>
          <c:extLst>
            <c:ext xmlns:c16="http://schemas.microsoft.com/office/drawing/2014/chart" uri="{C3380CC4-5D6E-409C-BE32-E72D297353CC}">
              <c16:uniqueId val="{00000012-952C-4EB3-AEB9-9ED552FFA73C}"/>
            </c:ext>
          </c:extLst>
        </c:ser>
        <c:ser>
          <c:idx val="19"/>
          <c:order val="19"/>
          <c:tx>
            <c:strRef>
              <c:f>'Data Input Sheet'!$A$185</c:f>
              <c:strCache>
                <c:ptCount val="1"/>
              </c:strCache>
            </c:strRef>
          </c:tx>
          <c:spPr>
            <a:solidFill>
              <a:schemeClr val="accent2">
                <a:lumMod val="8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Sheet'!$B$185:$N$185</c:f>
              <c:numCache>
                <c:formatCode>General</c:formatCode>
                <c:ptCount val="13"/>
              </c:numCache>
            </c:numRef>
          </c:val>
          <c:extLst>
            <c:ext xmlns:c16="http://schemas.microsoft.com/office/drawing/2014/chart" uri="{C3380CC4-5D6E-409C-BE32-E72D297353CC}">
              <c16:uniqueId val="{00000013-952C-4EB3-AEB9-9ED552FFA73C}"/>
            </c:ext>
          </c:extLst>
        </c:ser>
        <c:ser>
          <c:idx val="20"/>
          <c:order val="20"/>
          <c:tx>
            <c:strRef>
              <c:f>'Data Input Sheet'!$A$186</c:f>
              <c:strCache>
                <c:ptCount val="1"/>
              </c:strCache>
            </c:strRef>
          </c:tx>
          <c:spPr>
            <a:solidFill>
              <a:schemeClr val="accent3">
                <a:lumMod val="8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Sheet'!$B$186:$N$186</c:f>
              <c:numCache>
                <c:formatCode>General</c:formatCode>
                <c:ptCount val="13"/>
              </c:numCache>
            </c:numRef>
          </c:val>
          <c:extLst>
            <c:ext xmlns:c16="http://schemas.microsoft.com/office/drawing/2014/chart" uri="{C3380CC4-5D6E-409C-BE32-E72D297353CC}">
              <c16:uniqueId val="{00000014-952C-4EB3-AEB9-9ED552FFA73C}"/>
            </c:ext>
          </c:extLst>
        </c:ser>
        <c:ser>
          <c:idx val="21"/>
          <c:order val="21"/>
          <c:tx>
            <c:strRef>
              <c:f>'Data Input Sheet'!$A$187</c:f>
              <c:strCache>
                <c:ptCount val="1"/>
              </c:strCache>
            </c:strRef>
          </c:tx>
          <c:spPr>
            <a:solidFill>
              <a:schemeClr val="accent4">
                <a:lumMod val="8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Sheet'!$B$187:$N$187</c:f>
              <c:numCache>
                <c:formatCode>General</c:formatCode>
                <c:ptCount val="13"/>
              </c:numCache>
            </c:numRef>
          </c:val>
          <c:extLst>
            <c:ext xmlns:c16="http://schemas.microsoft.com/office/drawing/2014/chart" uri="{C3380CC4-5D6E-409C-BE32-E72D297353CC}">
              <c16:uniqueId val="{00000015-952C-4EB3-AEB9-9ED552FFA73C}"/>
            </c:ext>
          </c:extLst>
        </c:ser>
        <c:ser>
          <c:idx val="22"/>
          <c:order val="22"/>
          <c:tx>
            <c:strRef>
              <c:f>'Data Input Sheet'!$A$188</c:f>
              <c:strCache>
                <c:ptCount val="1"/>
              </c:strCache>
            </c:strRef>
          </c:tx>
          <c:spPr>
            <a:solidFill>
              <a:schemeClr val="accent5">
                <a:lumMod val="8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Sheet'!$B$188:$N$188</c:f>
              <c:numCache>
                <c:formatCode>General</c:formatCode>
                <c:ptCount val="13"/>
              </c:numCache>
            </c:numRef>
          </c:val>
          <c:extLst>
            <c:ext xmlns:c16="http://schemas.microsoft.com/office/drawing/2014/chart" uri="{C3380CC4-5D6E-409C-BE32-E72D297353CC}">
              <c16:uniqueId val="{00000016-952C-4EB3-AEB9-9ED552FFA73C}"/>
            </c:ext>
          </c:extLst>
        </c:ser>
        <c:ser>
          <c:idx val="23"/>
          <c:order val="23"/>
          <c:tx>
            <c:strRef>
              <c:f>'Data Input Sheet'!$A$189</c:f>
              <c:strCache>
                <c:ptCount val="1"/>
              </c:strCache>
            </c:strRef>
          </c:tx>
          <c:spPr>
            <a:solidFill>
              <a:schemeClr val="accent6">
                <a:lumMod val="8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Sheet'!$B$189:$N$189</c:f>
              <c:numCache>
                <c:formatCode>General</c:formatCode>
                <c:ptCount val="13"/>
              </c:numCache>
            </c:numRef>
          </c:val>
          <c:extLst>
            <c:ext xmlns:c16="http://schemas.microsoft.com/office/drawing/2014/chart" uri="{C3380CC4-5D6E-409C-BE32-E72D297353CC}">
              <c16:uniqueId val="{00000017-952C-4EB3-AEB9-9ED552FFA73C}"/>
            </c:ext>
          </c:extLst>
        </c:ser>
        <c:ser>
          <c:idx val="24"/>
          <c:order val="24"/>
          <c:tx>
            <c:strRef>
              <c:f>'Data Input Sheet'!$A$190</c:f>
              <c:strCache>
                <c:ptCount val="1"/>
              </c:strCache>
            </c:strRef>
          </c:tx>
          <c:spPr>
            <a:solidFill>
              <a:schemeClr val="accent1">
                <a:lumMod val="60000"/>
                <a:lumOff val="4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Sheet'!$B$190:$N$190</c:f>
              <c:numCache>
                <c:formatCode>General</c:formatCode>
                <c:ptCount val="13"/>
              </c:numCache>
            </c:numRef>
          </c:val>
          <c:extLst>
            <c:ext xmlns:c16="http://schemas.microsoft.com/office/drawing/2014/chart" uri="{C3380CC4-5D6E-409C-BE32-E72D297353CC}">
              <c16:uniqueId val="{00000018-952C-4EB3-AEB9-9ED552FFA73C}"/>
            </c:ext>
          </c:extLst>
        </c:ser>
        <c:ser>
          <c:idx val="25"/>
          <c:order val="25"/>
          <c:tx>
            <c:strRef>
              <c:f>'Data Input Sheet'!$A$191</c:f>
              <c:strCache>
                <c:ptCount val="1"/>
              </c:strCache>
            </c:strRef>
          </c:tx>
          <c:spPr>
            <a:solidFill>
              <a:schemeClr val="accent2">
                <a:lumMod val="60000"/>
                <a:lumOff val="4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Sheet'!$B$191:$N$191</c:f>
              <c:numCache>
                <c:formatCode>General</c:formatCode>
                <c:ptCount val="13"/>
              </c:numCache>
            </c:numRef>
          </c:val>
          <c:extLst>
            <c:ext xmlns:c16="http://schemas.microsoft.com/office/drawing/2014/chart" uri="{C3380CC4-5D6E-409C-BE32-E72D297353CC}">
              <c16:uniqueId val="{00000019-952C-4EB3-AEB9-9ED552FFA73C}"/>
            </c:ext>
          </c:extLst>
        </c:ser>
        <c:ser>
          <c:idx val="26"/>
          <c:order val="26"/>
          <c:tx>
            <c:strRef>
              <c:f>'Data Input Sheet'!$A$192</c:f>
              <c:strCache>
                <c:ptCount val="1"/>
              </c:strCache>
            </c:strRef>
          </c:tx>
          <c:spPr>
            <a:solidFill>
              <a:schemeClr val="accent3">
                <a:lumMod val="60000"/>
                <a:lumOff val="4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Sheet'!$B$192:$N$192</c:f>
              <c:numCache>
                <c:formatCode>General</c:formatCode>
                <c:ptCount val="13"/>
              </c:numCache>
            </c:numRef>
          </c:val>
          <c:extLst>
            <c:ext xmlns:c16="http://schemas.microsoft.com/office/drawing/2014/chart" uri="{C3380CC4-5D6E-409C-BE32-E72D297353CC}">
              <c16:uniqueId val="{0000001A-952C-4EB3-AEB9-9ED552FFA73C}"/>
            </c:ext>
          </c:extLst>
        </c:ser>
        <c:ser>
          <c:idx val="27"/>
          <c:order val="27"/>
          <c:tx>
            <c:strRef>
              <c:f>'Data Input Sheet'!$A$193</c:f>
              <c:strCache>
                <c:ptCount val="1"/>
              </c:strCache>
            </c:strRef>
          </c:tx>
          <c:spPr>
            <a:solidFill>
              <a:schemeClr val="accent4">
                <a:lumMod val="60000"/>
                <a:lumOff val="40000"/>
              </a:schemeClr>
            </a:solidFill>
            <a:ln>
              <a:noFill/>
            </a:ln>
            <a:effectLst/>
          </c:spPr>
          <c:invertIfNegative val="0"/>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Sheet'!$B$193:$N$193</c:f>
              <c:numCache>
                <c:formatCode>General</c:formatCode>
                <c:ptCount val="13"/>
              </c:numCache>
            </c:numRef>
          </c:val>
          <c:extLst>
            <c:ext xmlns:c16="http://schemas.microsoft.com/office/drawing/2014/chart" uri="{C3380CC4-5D6E-409C-BE32-E72D297353CC}">
              <c16:uniqueId val="{0000001B-952C-4EB3-AEB9-9ED552FFA73C}"/>
            </c:ext>
          </c:extLst>
        </c:ser>
        <c:dLbls>
          <c:showLegendKey val="0"/>
          <c:showVal val="0"/>
          <c:showCatName val="0"/>
          <c:showSerName val="0"/>
          <c:showPercent val="0"/>
          <c:showBubbleSize val="0"/>
        </c:dLbls>
        <c:gapWidth val="150"/>
        <c:overlap val="100"/>
        <c:axId val="-372486128"/>
        <c:axId val="-372484352"/>
      </c:barChart>
      <c:lineChart>
        <c:grouping val="standard"/>
        <c:varyColors val="0"/>
        <c:ser>
          <c:idx val="28"/>
          <c:order val="28"/>
          <c:tx>
            <c:strRef>
              <c:f>'Data Input Sheet'!$A$26</c:f>
              <c:strCache>
                <c:ptCount val="1"/>
                <c:pt idx="0">
                  <c:v>Expenditure on Non-Network Assets</c:v>
                </c:pt>
              </c:strCache>
            </c:strRef>
          </c:tx>
          <c:spPr>
            <a:ln w="12700" cap="rnd">
              <a:solidFill>
                <a:schemeClr val="accent1"/>
              </a:solidFill>
              <a:round/>
            </a:ln>
            <a:effectLst/>
          </c:spPr>
          <c:marker>
            <c:symbol val="none"/>
          </c:marker>
          <c:cat>
            <c:numRef>
              <c:f>'Data Input Sheet'!$B$5:$N$5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'Data Input Sheet'!$B$26:$N$26</c:f>
              <c:numCache>
                <c:formatCode>"$"#,##0</c:formatCode>
                <c:ptCount val="13"/>
                <c:pt idx="0">
                  <c:v>1455</c:v>
                </c:pt>
                <c:pt idx="1">
                  <c:v>959</c:v>
                </c:pt>
                <c:pt idx="2">
                  <c:v>1027</c:v>
                </c:pt>
                <c:pt idx="3">
                  <c:v>623</c:v>
                </c:pt>
                <c:pt idx="4">
                  <c:v>1234</c:v>
                </c:pt>
                <c:pt idx="5">
                  <c:v>1686</c:v>
                </c:pt>
                <c:pt idx="6">
                  <c:v>1341</c:v>
                </c:pt>
                <c:pt idx="7">
                  <c:v>1418</c:v>
                </c:pt>
                <c:pt idx="8">
                  <c:v>1694</c:v>
                </c:pt>
                <c:pt idx="9">
                  <c:v>1512</c:v>
                </c:pt>
                <c:pt idx="10">
                  <c:v>1497</c:v>
                </c:pt>
                <c:pt idx="11">
                  <c:v>1724</c:v>
                </c:pt>
                <c:pt idx="12">
                  <c:v>1537</c:v>
                </c:pt>
              </c:numCache>
            </c:numRef>
          </c:val>
          <c:smooth val="0"/>
          <c:extLst>
            <c:ext xmlns:c16="http://schemas.microsoft.com/office/drawing/2014/chart" uri="{C3380CC4-5D6E-409C-BE32-E72D297353CC}">
              <c16:uniqueId val="{0000001C-952C-4EB3-AEB9-9ED552FFA73C}"/>
            </c:ext>
          </c:extLst>
        </c:ser>
        <c:ser>
          <c:idx val="29"/>
          <c:order val="29"/>
          <c:tx>
            <c:strRef>
              <c:f>Ratios!$A$58</c:f>
              <c:strCache>
                <c:ptCount val="1"/>
                <c:pt idx="0">
                  <c:v>Expenditure on Non-Network Assets Boundary</c:v>
                </c:pt>
              </c:strCache>
            </c:strRef>
          </c:tx>
          <c:spPr>
            <a:ln w="28575" cap="rnd">
              <a:solidFill>
                <a:srgbClr val="C00000"/>
              </a:solidFill>
              <a:prstDash val="sysDot"/>
              <a:round/>
            </a:ln>
            <a:effectLst/>
          </c:spPr>
          <c:marker>
            <c:symbol val="none"/>
          </c:marker>
          <c:val>
            <c:numRef>
              <c:f>Ratios!$B$58:$N$58</c:f>
              <c:numCache>
                <c:formatCode>"$"#,##0</c:formatCode>
                <c:ptCount val="13"/>
                <c:pt idx="0">
                  <c:v>633.25571459492005</c:v>
                </c:pt>
                <c:pt idx="1">
                  <c:v>633.25571459492005</c:v>
                </c:pt>
                <c:pt idx="2">
                  <c:v>633.25571459492005</c:v>
                </c:pt>
                <c:pt idx="3">
                  <c:v>633.25571459492005</c:v>
                </c:pt>
                <c:pt idx="4">
                  <c:v>633.25571459492005</c:v>
                </c:pt>
                <c:pt idx="5">
                  <c:v>633.25571459492005</c:v>
                </c:pt>
                <c:pt idx="6">
                  <c:v>633.25571459492005</c:v>
                </c:pt>
                <c:pt idx="7">
                  <c:v>633.25571459492005</c:v>
                </c:pt>
                <c:pt idx="8">
                  <c:v>633.25571459492005</c:v>
                </c:pt>
                <c:pt idx="9">
                  <c:v>633.25571459492005</c:v>
                </c:pt>
                <c:pt idx="10">
                  <c:v>633.25571459492005</c:v>
                </c:pt>
                <c:pt idx="11">
                  <c:v>633.25571459492005</c:v>
                </c:pt>
                <c:pt idx="12">
                  <c:v>633.25571459492005</c:v>
                </c:pt>
              </c:numCache>
            </c:numRef>
          </c:val>
          <c:smooth val="0"/>
          <c:extLst>
            <c:ext xmlns:c16="http://schemas.microsoft.com/office/drawing/2014/chart" uri="{C3380CC4-5D6E-409C-BE32-E72D297353CC}">
              <c16:uniqueId val="{00000000-F8A4-47ED-A100-CAC24DF13D6F}"/>
            </c:ext>
          </c:extLst>
        </c:ser>
        <c:dLbls>
          <c:showLegendKey val="0"/>
          <c:showVal val="0"/>
          <c:showCatName val="0"/>
          <c:showSerName val="0"/>
          <c:showPercent val="0"/>
          <c:showBubbleSize val="0"/>
        </c:dLbls>
        <c:marker val="1"/>
        <c:smooth val="0"/>
        <c:axId val="-372486128"/>
        <c:axId val="-372484352"/>
      </c:lineChart>
      <c:catAx>
        <c:axId val="-37248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484352"/>
        <c:crosses val="autoZero"/>
        <c:auto val="1"/>
        <c:lblAlgn val="ctr"/>
        <c:lblOffset val="100"/>
        <c:noMultiLvlLbl val="0"/>
      </c:catAx>
      <c:valAx>
        <c:axId val="-372484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486128"/>
        <c:crosses val="autoZero"/>
        <c:crossBetween val="between"/>
      </c:valAx>
      <c:spPr>
        <a:noFill/>
        <a:ln>
          <a:noFill/>
        </a:ln>
        <a:effectLst/>
      </c:spPr>
    </c:plotArea>
    <c:plotVisOnly val="1"/>
    <c:dispBlanksAs val="gap"/>
    <c:showDLblsOverMax val="0"/>
  </c:chart>
  <c:spPr>
    <a:noFill/>
    <a:ln w="25400" cap="flat" cmpd="sng" algn="ctr">
      <a:solidFill>
        <a:srgbClr val="33CCCC"/>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Capex</a:t>
            </a:r>
            <a:r>
              <a:rPr lang="en-US" sz="1800" baseline="0"/>
              <a:t> forecast accuracy</a:t>
            </a:r>
          </a:p>
          <a:p>
            <a:pPr>
              <a:defRPr sz="1800"/>
            </a:pPr>
            <a:r>
              <a:rPr lang="en-US" sz="1800" baseline="0"/>
              <a:t>Prior year forecast vs actual</a:t>
            </a:r>
            <a:endParaRPr lang="en-US"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'Asset Forecast v AMP'!$S$47</c:f>
              <c:strCache>
                <c:ptCount val="1"/>
                <c:pt idx="0">
                  <c:v>Prior year forecast</c:v>
                </c:pt>
              </c:strCache>
            </c:strRef>
          </c:tx>
          <c:spPr>
            <a:solidFill>
              <a:schemeClr val="accent1"/>
            </a:solidFill>
            <a:ln>
              <a:noFill/>
            </a:ln>
            <a:effectLst/>
          </c:spPr>
          <c:invertIfNegative val="0"/>
          <c:cat>
            <c:numRef>
              <c:f>'Asset Forecast v AMP'!$V$46:$Y$46</c:f>
              <c:numCache>
                <c:formatCode>General</c:formatCode>
                <c:ptCount val="4"/>
                <c:pt idx="0">
                  <c:v>2013</c:v>
                </c:pt>
                <c:pt idx="1">
                  <c:v>2014</c:v>
                </c:pt>
                <c:pt idx="2">
                  <c:v>2015</c:v>
                </c:pt>
                <c:pt idx="3">
                  <c:v>2016</c:v>
                </c:pt>
              </c:numCache>
            </c:numRef>
          </c:cat>
          <c:val>
            <c:numRef>
              <c:f>'Asset Forecast v AMP'!$V$47:$Y$47</c:f>
              <c:numCache>
                <c:formatCode>General</c:formatCode>
                <c:ptCount val="4"/>
                <c:pt idx="0">
                  <c:v>24966.776799899999</c:v>
                </c:pt>
                <c:pt idx="1">
                  <c:v>33176.160143100002</c:v>
                </c:pt>
                <c:pt idx="2">
                  <c:v>32882.331689999992</c:v>
                </c:pt>
                <c:pt idx="3">
                  <c:v>32536.874999999996</c:v>
                </c:pt>
              </c:numCache>
            </c:numRef>
          </c:val>
          <c:extLst>
            <c:ext xmlns:c16="http://schemas.microsoft.com/office/drawing/2014/chart" uri="{C3380CC4-5D6E-409C-BE32-E72D297353CC}">
              <c16:uniqueId val="{00000000-9B18-47A6-97E4-3E793D5F42F1}"/>
            </c:ext>
          </c:extLst>
        </c:ser>
        <c:ser>
          <c:idx val="1"/>
          <c:order val="1"/>
          <c:tx>
            <c:strRef>
              <c:f>'Asset Forecast v AMP'!$S$48</c:f>
              <c:strCache>
                <c:ptCount val="1"/>
                <c:pt idx="0">
                  <c:v>Actual expenditure</c:v>
                </c:pt>
              </c:strCache>
            </c:strRef>
          </c:tx>
          <c:spPr>
            <a:solidFill>
              <a:schemeClr val="accent2"/>
            </a:solidFill>
            <a:ln>
              <a:noFill/>
            </a:ln>
            <a:effectLst/>
          </c:spPr>
          <c:invertIfNegative val="0"/>
          <c:cat>
            <c:numRef>
              <c:f>'Asset Forecast v AMP'!$V$46:$Y$46</c:f>
              <c:numCache>
                <c:formatCode>General</c:formatCode>
                <c:ptCount val="4"/>
                <c:pt idx="0">
                  <c:v>2013</c:v>
                </c:pt>
                <c:pt idx="1">
                  <c:v>2014</c:v>
                </c:pt>
                <c:pt idx="2">
                  <c:v>2015</c:v>
                </c:pt>
                <c:pt idx="3">
                  <c:v>2016</c:v>
                </c:pt>
              </c:numCache>
            </c:numRef>
          </c:cat>
          <c:val>
            <c:numRef>
              <c:f>'Asset Forecast v AMP'!$V$48:$Y$48</c:f>
              <c:numCache>
                <c:formatCode>General</c:formatCode>
                <c:ptCount val="4"/>
                <c:pt idx="0">
                  <c:v>13694</c:v>
                </c:pt>
                <c:pt idx="1">
                  <c:v>18806</c:v>
                </c:pt>
                <c:pt idx="2">
                  <c:v>13339</c:v>
                </c:pt>
              </c:numCache>
            </c:numRef>
          </c:val>
          <c:extLst>
            <c:ext xmlns:c16="http://schemas.microsoft.com/office/drawing/2014/chart" uri="{C3380CC4-5D6E-409C-BE32-E72D297353CC}">
              <c16:uniqueId val="{00000001-9B18-47A6-97E4-3E793D5F42F1}"/>
            </c:ext>
          </c:extLst>
        </c:ser>
        <c:dLbls>
          <c:showLegendKey val="0"/>
          <c:showVal val="0"/>
          <c:showCatName val="0"/>
          <c:showSerName val="0"/>
          <c:showPercent val="0"/>
          <c:showBubbleSize val="0"/>
        </c:dLbls>
        <c:gapWidth val="219"/>
        <c:overlap val="-27"/>
        <c:axId val="-373254304"/>
        <c:axId val="-373256992"/>
      </c:barChart>
      <c:catAx>
        <c:axId val="-37325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56992"/>
        <c:crosses val="autoZero"/>
        <c:auto val="1"/>
        <c:lblAlgn val="ctr"/>
        <c:lblOffset val="100"/>
        <c:noMultiLvlLbl val="0"/>
      </c:catAx>
      <c:valAx>
        <c:axId val="-3732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5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NZ" sz="1800"/>
              <a:t>Forecasts across AMPs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'Asset Forecast v AMP'!$A$46</c:f>
              <c:strCache>
                <c:ptCount val="1"/>
                <c:pt idx="0">
                  <c:v>2013 AMP</c:v>
                </c:pt>
              </c:strCache>
            </c:strRef>
          </c:tx>
          <c:spPr>
            <a:solidFill>
              <a:srgbClr val="F9D5BD"/>
            </a:solidFill>
            <a:ln>
              <a:noFill/>
            </a:ln>
            <a:effectLst/>
          </c:spPr>
          <c:invertIfNegative val="0"/>
          <c:cat>
            <c:numRef>
              <c:f>'Asset Forecast v AMP'!$D$6:$L$6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'Asset Forecast v AMP'!$D$35:$I$35</c:f>
              <c:numCache>
                <c:formatCode>General</c:formatCode>
                <c:ptCount val="6"/>
                <c:pt idx="0">
                  <c:v>24966.776799899999</c:v>
                </c:pt>
                <c:pt idx="1">
                  <c:v>33176.160143100002</c:v>
                </c:pt>
                <c:pt idx="2">
                  <c:v>26744.310028799999</c:v>
                </c:pt>
                <c:pt idx="3">
                  <c:v>20475.083105100002</c:v>
                </c:pt>
                <c:pt idx="4">
                  <c:v>19133.956413</c:v>
                </c:pt>
                <c:pt idx="5">
                  <c:v>18911.636101799999</c:v>
                </c:pt>
              </c:numCache>
            </c:numRef>
          </c:val>
          <c:extLst>
            <c:ext xmlns:c16="http://schemas.microsoft.com/office/drawing/2014/chart" uri="{C3380CC4-5D6E-409C-BE32-E72D297353CC}">
              <c16:uniqueId val="{00000000-BB3E-46D4-86BA-E8804722917C}"/>
            </c:ext>
          </c:extLst>
        </c:ser>
        <c:ser>
          <c:idx val="1"/>
          <c:order val="1"/>
          <c:tx>
            <c:strRef>
              <c:f>'Asset Forecast v AMP'!$A$47</c:f>
              <c:strCache>
                <c:ptCount val="1"/>
                <c:pt idx="0">
                  <c:v>2014 AMP</c:v>
                </c:pt>
              </c:strCache>
            </c:strRef>
          </c:tx>
          <c:spPr>
            <a:solidFill>
              <a:schemeClr val="accent2">
                <a:lumMod val="60000"/>
                <a:lumOff val="40000"/>
              </a:schemeClr>
            </a:solidFill>
            <a:ln>
              <a:noFill/>
            </a:ln>
            <a:effectLst/>
          </c:spPr>
          <c:invertIfNegative val="0"/>
          <c:cat>
            <c:numRef>
              <c:f>'Asset Forecast v AMP'!$D$6:$L$6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'Asset Forecast v AMP'!$D$36:$J$36</c:f>
              <c:numCache>
                <c:formatCode>General</c:formatCode>
                <c:ptCount val="7"/>
                <c:pt idx="1">
                  <c:v>32830.359119999994</c:v>
                </c:pt>
                <c:pt idx="2">
                  <c:v>32882.331689999992</c:v>
                </c:pt>
                <c:pt idx="3">
                  <c:v>27015.545699999999</c:v>
                </c:pt>
                <c:pt idx="4">
                  <c:v>26071.886879999998</c:v>
                </c:pt>
                <c:pt idx="5">
                  <c:v>26483.59116</c:v>
                </c:pt>
                <c:pt idx="6">
                  <c:v>28667.458169999998</c:v>
                </c:pt>
              </c:numCache>
            </c:numRef>
          </c:val>
          <c:extLst>
            <c:ext xmlns:c16="http://schemas.microsoft.com/office/drawing/2014/chart" uri="{C3380CC4-5D6E-409C-BE32-E72D297353CC}">
              <c16:uniqueId val="{00000001-BB3E-46D4-86BA-E8804722917C}"/>
            </c:ext>
          </c:extLst>
        </c:ser>
        <c:ser>
          <c:idx val="2"/>
          <c:order val="2"/>
          <c:tx>
            <c:strRef>
              <c:f>'Asset Forecast v AMP'!$A$48</c:f>
              <c:strCache>
                <c:ptCount val="1"/>
                <c:pt idx="0">
                  <c:v>2015 AMP</c:v>
                </c:pt>
              </c:strCache>
            </c:strRef>
          </c:tx>
          <c:spPr>
            <a:solidFill>
              <a:schemeClr val="accent2">
                <a:lumMod val="75000"/>
              </a:schemeClr>
            </a:solidFill>
            <a:ln>
              <a:noFill/>
            </a:ln>
            <a:effectLst/>
          </c:spPr>
          <c:invertIfNegative val="0"/>
          <c:cat>
            <c:numRef>
              <c:f>'Asset Forecast v AMP'!$D$6:$L$6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'Asset Forecast v AMP'!$D$37:$K$37</c:f>
              <c:numCache>
                <c:formatCode>General</c:formatCode>
                <c:ptCount val="8"/>
                <c:pt idx="2" formatCode="#,##0">
                  <c:v>29472.629999999997</c:v>
                </c:pt>
                <c:pt idx="3">
                  <c:v>32536.874999999996</c:v>
                </c:pt>
                <c:pt idx="4">
                  <c:v>31558.004999999994</c:v>
                </c:pt>
                <c:pt idx="5">
                  <c:v>28199.294999999995</c:v>
                </c:pt>
                <c:pt idx="6">
                  <c:v>25639.559999999998</c:v>
                </c:pt>
                <c:pt idx="7">
                  <c:v>32039.399999999998</c:v>
                </c:pt>
              </c:numCache>
            </c:numRef>
          </c:val>
          <c:extLst>
            <c:ext xmlns:c16="http://schemas.microsoft.com/office/drawing/2014/chart" uri="{C3380CC4-5D6E-409C-BE32-E72D297353CC}">
              <c16:uniqueId val="{00000002-BB3E-46D4-86BA-E8804722917C}"/>
            </c:ext>
          </c:extLst>
        </c:ser>
        <c:ser>
          <c:idx val="3"/>
          <c:order val="3"/>
          <c:tx>
            <c:strRef>
              <c:f>'Asset Forecast v AMP'!$A$49</c:f>
              <c:strCache>
                <c:ptCount val="1"/>
                <c:pt idx="0">
                  <c:v>2016 AMP</c:v>
                </c:pt>
              </c:strCache>
            </c:strRef>
          </c:tx>
          <c:spPr>
            <a:solidFill>
              <a:schemeClr val="accent2">
                <a:lumMod val="50000"/>
              </a:schemeClr>
            </a:solidFill>
            <a:ln>
              <a:noFill/>
            </a:ln>
            <a:effectLst/>
          </c:spPr>
          <c:invertIfNegative val="0"/>
          <c:cat>
            <c:numRef>
              <c:f>'Asset Forecast v AMP'!$D$6:$L$6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'Asset Forecast v AMP'!$D$38:$L$38</c:f>
              <c:numCache>
                <c:formatCode>General</c:formatCode>
                <c:ptCount val="9"/>
                <c:pt idx="3">
                  <c:v>21458</c:v>
                </c:pt>
                <c:pt idx="4">
                  <c:v>23528</c:v>
                </c:pt>
                <c:pt idx="5">
                  <c:v>21909</c:v>
                </c:pt>
                <c:pt idx="6">
                  <c:v>21321</c:v>
                </c:pt>
                <c:pt idx="7">
                  <c:v>21826</c:v>
                </c:pt>
                <c:pt idx="8">
                  <c:v>21894</c:v>
                </c:pt>
              </c:numCache>
            </c:numRef>
          </c:val>
          <c:extLst>
            <c:ext xmlns:c16="http://schemas.microsoft.com/office/drawing/2014/chart" uri="{C3380CC4-5D6E-409C-BE32-E72D297353CC}">
              <c16:uniqueId val="{00000003-BB3E-46D4-86BA-E8804722917C}"/>
            </c:ext>
          </c:extLst>
        </c:ser>
        <c:dLbls>
          <c:showLegendKey val="0"/>
          <c:showVal val="0"/>
          <c:showCatName val="0"/>
          <c:showSerName val="0"/>
          <c:showPercent val="0"/>
          <c:showBubbleSize val="0"/>
        </c:dLbls>
        <c:gapWidth val="219"/>
        <c:overlap val="-27"/>
        <c:axId val="-373225760"/>
        <c:axId val="-395462080"/>
      </c:barChart>
      <c:lineChart>
        <c:grouping val="standard"/>
        <c:varyColors val="0"/>
        <c:ser>
          <c:idx val="4"/>
          <c:order val="4"/>
          <c:tx>
            <c:v>Actual</c:v>
          </c:tx>
          <c:spPr>
            <a:ln w="28575" cap="rnd">
              <a:solidFill>
                <a:srgbClr val="008000"/>
              </a:solidFill>
              <a:round/>
            </a:ln>
            <a:effectLst/>
          </c:spPr>
          <c:marker>
            <c:symbol val="none"/>
          </c:marker>
          <c:val>
            <c:numRef>
              <c:f>'Data Input Sheet'!$B$29:$D$29</c:f>
              <c:numCache>
                <c:formatCode>"$"#,##0</c:formatCode>
                <c:ptCount val="3"/>
                <c:pt idx="0">
                  <c:v>13694</c:v>
                </c:pt>
                <c:pt idx="1">
                  <c:v>18806</c:v>
                </c:pt>
                <c:pt idx="2">
                  <c:v>13339</c:v>
                </c:pt>
              </c:numCache>
            </c:numRef>
          </c:val>
          <c:smooth val="0"/>
          <c:extLst>
            <c:ext xmlns:c16="http://schemas.microsoft.com/office/drawing/2014/chart" uri="{C3380CC4-5D6E-409C-BE32-E72D297353CC}">
              <c16:uniqueId val="{00000004-BB3E-46D4-86BA-E8804722917C}"/>
            </c:ext>
          </c:extLst>
        </c:ser>
        <c:dLbls>
          <c:showLegendKey val="0"/>
          <c:showVal val="0"/>
          <c:showCatName val="0"/>
          <c:showSerName val="0"/>
          <c:showPercent val="0"/>
          <c:showBubbleSize val="0"/>
        </c:dLbls>
        <c:marker val="1"/>
        <c:smooth val="0"/>
        <c:axId val="-373225760"/>
        <c:axId val="-395462080"/>
      </c:lineChart>
      <c:catAx>
        <c:axId val="-37322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462080"/>
        <c:crosses val="autoZero"/>
        <c:auto val="1"/>
        <c:lblAlgn val="ctr"/>
        <c:lblOffset val="100"/>
        <c:noMultiLvlLbl val="0"/>
      </c:catAx>
      <c:valAx>
        <c:axId val="-39546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Forecasted Total Capex</a:t>
                </a:r>
                <a:r>
                  <a:rPr lang="en-NZ" baseline="0"/>
                  <a:t> ($000)</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225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58" dropStyle="combo" dx="25" fmlaLink="$B$4" fmlaRange="Scenarios!$B$30:$B$32" noThreeD="1" sel="3" val="0"/>
</file>

<file path=xl/ctrlProps/ctrlProp2.xml><?xml version="1.0" encoding="utf-8"?>
<formControlPr xmlns="http://schemas.microsoft.com/office/spreadsheetml/2009/9/main" objectType="Drop" dropStyle="combo" dx="33" fmlaLink="Calculations!$A$35" fmlaRange="Scenarios!$B$43:$B$44" noThreeD="1" sel="2" val="0"/>
</file>

<file path=xl/ctrlProps/ctrlProp3.xml><?xml version="1.0" encoding="utf-8"?>
<formControlPr xmlns="http://schemas.microsoft.com/office/spreadsheetml/2009/9/main" objectType="Drop" dropStyle="combo" dx="33" fmlaLink="Calculations!$A$35" fmlaRange="Scenarios!$B$43:$B$44" noThreeD="1" sel="2" val="0"/>
</file>

<file path=xl/ctrlProps/ctrlProp4.xml><?xml version="1.0" encoding="utf-8"?>
<formControlPr xmlns="http://schemas.microsoft.com/office/spreadsheetml/2009/9/main" objectType="Drop" dropStyle="combo" dx="33" fmlaLink="Calculations!$A$35" fmlaRange="Scenarios!$B$43:$B$44" noThreeD="1" sel="2" val="0"/>
</file>

<file path=xl/ctrlProps/ctrlProp5.xml><?xml version="1.0" encoding="utf-8"?>
<formControlPr xmlns="http://schemas.microsoft.com/office/spreadsheetml/2009/9/main" objectType="Drop" dropStyle="combo" dx="16" fmlaLink="$A$104" fmlaRange="$A$76:$A$82" noThreeD="1" sel="7" val="0"/>
</file>

<file path=xl/ctrlProps/ctrlProp6.xml><?xml version="1.0" encoding="utf-8"?>
<formControlPr xmlns="http://schemas.microsoft.com/office/spreadsheetml/2009/9/main" objectType="Drop" dropStyle="combo" dx="16" fmlaLink="$A$122" fmlaRange="$A$94:$A$101" noThreeD="1" sel="8" val="0"/>
</file>

<file path=xl/ctrlProps/ctrlProp7.xml><?xml version="1.0" encoding="utf-8"?>
<formControlPr xmlns="http://schemas.microsoft.com/office/spreadsheetml/2009/9/main" objectType="Drop" dropStyle="combo" dx="33" fmlaLink="Calculations!$A$35" fmlaRange="Scenarios!$B$43:$B$44" noThreeD="1" sel="2" val="0"/>
</file>

<file path=xl/ctrlProps/ctrlProp8.xml><?xml version="1.0" encoding="utf-8"?>
<formControlPr xmlns="http://schemas.microsoft.com/office/spreadsheetml/2009/9/main" objectType="Drop" dropLines="75" dropStyle="combo" dx="25" fmlaLink="$R$4" fmlaRange="Scenarios!$A$2:$A$8" noThreeD="1" sel="4" val="0"/>
</file>

<file path=xl/ctrlProps/ctrlProp9.xml><?xml version="1.0" encoding="utf-8"?>
<formControlPr xmlns="http://schemas.microsoft.com/office/spreadsheetml/2009/9/main" objectType="Drop" dropLines="75" dropStyle="combo" dx="25" fmlaLink="$R$3" fmlaRange="Scenarios!$A$16:$A$20" noThreeD="1" sel="3" val="0"/>
</file>

<file path=xl/ctrlProps/ctrlProp10.xml><?xml version="1.0" encoding="utf-8"?>
<formControlPr xmlns="http://schemas.microsoft.com/office/spreadsheetml/2009/9/main" objectType="Drop" dropLines="75" dropStyle="combo" dx="25" fmlaLink="$C$6" fmlaRange="'Capex Dashboard'!$A$28:$A$41" noThreeD="1" sel="14" val="0"/>
</file>

<file path=xl/ctrlProps/ctrlProp11.xml><?xml version="1.0" encoding="utf-8"?>
<formControlPr xmlns="http://schemas.microsoft.com/office/spreadsheetml/2009/9/main" objectType="Drop" dropLines="100" dropStyle="combo" dx="25" fmlaLink="$Q$3" fmlaRange="Scenarios!$A$30:$A$130" noThreeD="1" sel="10" val="4"/>
</file>

<file path=xl/ctrlProps/ctrlProp12.xml><?xml version="1.0" encoding="utf-8"?>
<formControlPr xmlns="http://schemas.microsoft.com/office/spreadsheetml/2009/9/main" objectType="Drop" dropLines="100" dropStyle="combo" dx="25" fmlaLink="$D$79" fmlaRange="Scenarios!$A$30:$A$130" noThreeD="1" sel="100" val="27"/>
</file>

<file path=xl/ctrlProps/ctrlProp13.xml><?xml version="1.0" encoding="utf-8"?>
<formControlPr xmlns="http://schemas.microsoft.com/office/spreadsheetml/2009/9/main" objectType="Drop" dropLines="100" dropStyle="combo" dx="25" fmlaLink="$D$80" fmlaRange="Scenarios!$A$30:$A$130" noThreeD="1" sel="80" val="26"/>
</file>

<file path=xl/ctrlProps/ctrlProp14.xml><?xml version="1.0" encoding="utf-8"?>
<formControlPr xmlns="http://schemas.microsoft.com/office/spreadsheetml/2009/9/main" objectType="Drop" dropLines="100" dropStyle="combo" dx="25" fmlaLink="$D$81" fmlaRange="Scenarios!$A$30:$A$130" noThreeD="1" sel="101" val="24"/>
</file>

<file path=xl/ctrlProps/ctrlProp15.xml><?xml version="1.0" encoding="utf-8"?>
<formControlPr xmlns="http://schemas.microsoft.com/office/spreadsheetml/2009/9/main" objectType="Drop" dropLines="100" dropStyle="combo" dx="25" fmlaLink="$D$82" fmlaRange="Scenarios!$A$30:$A$130" noThreeD="1" sel="101" val="23"/>
</file>

<file path=xl/ctrlProps/ctrlProp16.xml><?xml version="1.0" encoding="utf-8"?>
<formControlPr xmlns="http://schemas.microsoft.com/office/spreadsheetml/2009/9/main" objectType="Drop" dropLines="100" dropStyle="combo" dx="25" fmlaLink="$D$83" fmlaRange="Scenarios!$A$30:$A$130" noThreeD="1" sel="50" val="21"/>
</file>

<file path=xl/ctrlProps/ctrlProp17.xml><?xml version="1.0" encoding="utf-8"?>
<formControlPr xmlns="http://schemas.microsoft.com/office/spreadsheetml/2009/9/main" objectType="Drop" dropLines="100" dropStyle="combo" dx="25" fmlaLink="$Q$4" fmlaRange="Scenarios!$A$30:$A$130" noThreeD="1" sel="5" val="4"/>
</file>

<file path=xl/ctrlProps/ctrlProp18.xml><?xml version="1.0" encoding="utf-8"?>
<formControlPr xmlns="http://schemas.microsoft.com/office/spreadsheetml/2009/9/main" objectType="Drop" dropLines="61" dropStyle="combo" dx="25" fmlaLink="$C$7" fmlaRange="'Capex Dashboard'!$A$28:$A$41" noThreeD="1" sel="14"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165847</xdr:colOff>
      <xdr:row>2</xdr:row>
      <xdr:rowOff>0</xdr:rowOff>
    </xdr:from>
    <xdr:to>
      <xdr:col>6</xdr:col>
      <xdr:colOff>838947</xdr:colOff>
      <xdr:row>19</xdr:row>
      <xdr:rowOff>67236</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75827</xdr:colOff>
      <xdr:row>2</xdr:row>
      <xdr:rowOff>7842</xdr:rowOff>
    </xdr:from>
    <xdr:to>
      <xdr:col>14</xdr:col>
      <xdr:colOff>224117</xdr:colOff>
      <xdr:row>19</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623455</xdr:colOff>
      <xdr:row>25</xdr:row>
      <xdr:rowOff>68593</xdr:rowOff>
    </xdr:from>
    <xdr:to>
      <xdr:col>5</xdr:col>
      <xdr:colOff>727364</xdr:colOff>
      <xdr:row>43</xdr:row>
      <xdr:rowOff>23091</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100965</xdr:colOff>
      <xdr:row>25</xdr:row>
      <xdr:rowOff>87419</xdr:rowOff>
    </xdr:from>
    <xdr:to>
      <xdr:col>13</xdr:col>
      <xdr:colOff>835725</xdr:colOff>
      <xdr:row>41</xdr:row>
      <xdr:rowOff>132481</xdr:rowOff>
    </xdr:to>
    <xdr:graphicFrame macro="">
      <xdr:nvGraphicFramePr>
        <xdr:cNvPr id="38" name="Chart 37">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333121</xdr:colOff>
      <xdr:row>62</xdr:row>
      <xdr:rowOff>72663</xdr:rowOff>
    </xdr:from>
    <xdr:to>
      <xdr:col>13</xdr:col>
      <xdr:colOff>280758</xdr:colOff>
      <xdr:row>80</xdr:row>
      <xdr:rowOff>80817</xdr:rowOff>
    </xdr:to>
    <xdr:graphicFrame macro="">
      <xdr:nvGraphicFramePr>
        <xdr:cNvPr id="73" name="Chart 72">
          <a:extLst>
            <a:ext uri="{FF2B5EF4-FFF2-40B4-BE49-F238E27FC236}">
              <a16:creationId xmlns:a16="http://schemas.microsoft.com/office/drawing/2014/main" id="{00000000-0008-0000-03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190500</xdr:colOff>
          <xdr:row>24</xdr:row>
          <xdr:rowOff>190500</xdr:rowOff>
        </xdr:from>
        <xdr:to>
          <xdr:col>9</xdr:col>
          <xdr:colOff>190500</xdr:colOff>
          <xdr:row>26</xdr:row>
          <xdr:rowOff>114300</xdr:rowOff>
        </xdr:to>
        <xdr:sp macro="" textlink="">
          <xdr:nvSpPr>
            <xdr:cNvPr id="11296" name="Drop Down 32"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112486</xdr:colOff>
      <xdr:row>63</xdr:row>
      <xdr:rowOff>192067</xdr:rowOff>
    </xdr:from>
    <xdr:to>
      <xdr:col>6</xdr:col>
      <xdr:colOff>48987</xdr:colOff>
      <xdr:row>79</xdr:row>
      <xdr:rowOff>185717</xdr:rowOff>
    </xdr:to>
    <xdr:graphicFrame macro="">
      <xdr:nvGraphicFramePr>
        <xdr:cNvPr id="55" name="Chart 54">
          <a:extLst>
            <a:ext uri="{FF2B5EF4-FFF2-40B4-BE49-F238E27FC236}">
              <a16:creationId xmlns:a16="http://schemas.microsoft.com/office/drawing/2014/main" id="{00000000-0008-0000-03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189770</xdr:colOff>
      <xdr:row>43</xdr:row>
      <xdr:rowOff>138677</xdr:rowOff>
    </xdr:from>
    <xdr:to>
      <xdr:col>6</xdr:col>
      <xdr:colOff>622535</xdr:colOff>
      <xdr:row>63</xdr:row>
      <xdr:rowOff>157429</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88900</xdr:colOff>
          <xdr:row>1</xdr:row>
          <xdr:rowOff>184150</xdr:rowOff>
        </xdr:from>
        <xdr:to>
          <xdr:col>9</xdr:col>
          <xdr:colOff>95250</xdr:colOff>
          <xdr:row>3</xdr:row>
          <xdr:rowOff>107950</xdr:rowOff>
        </xdr:to>
        <xdr:sp macro="" textlink="">
          <xdr:nvSpPr>
            <xdr:cNvPr id="11297" name="Drop Down 33"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23</xdr:row>
          <xdr:rowOff>12700</xdr:rowOff>
        </xdr:from>
        <xdr:to>
          <xdr:col>9</xdr:col>
          <xdr:colOff>209550</xdr:colOff>
          <xdr:row>24</xdr:row>
          <xdr:rowOff>133350</xdr:rowOff>
        </xdr:to>
        <xdr:sp macro="" textlink="">
          <xdr:nvSpPr>
            <xdr:cNvPr id="11298" name="Drop Down 34"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527050</xdr:colOff>
          <xdr:row>59</xdr:row>
          <xdr:rowOff>133350</xdr:rowOff>
        </xdr:from>
        <xdr:to>
          <xdr:col>9</xdr:col>
          <xdr:colOff>539750</xdr:colOff>
          <xdr:row>61</xdr:row>
          <xdr:rowOff>57150</xdr:rowOff>
        </xdr:to>
        <xdr:sp macro="" textlink="">
          <xdr:nvSpPr>
            <xdr:cNvPr id="11299" name="Drop Down 35"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0.7753</cdr:x>
      <cdr:y>0.21528</cdr:y>
    </cdr:from>
    <cdr:to>
      <cdr:x>1</cdr:x>
      <cdr:y>0.50463</cdr:y>
    </cdr:to>
    <cdr:sp macro="" textlink="">
      <cdr:nvSpPr>
        <cdr:cNvPr id="2" name="TextBox 1">
          <a:extLst xmlns:a="http://schemas.openxmlformats.org/drawingml/2006/main">
            <a:ext uri="{FF2B5EF4-FFF2-40B4-BE49-F238E27FC236}">
              <a16:creationId xmlns:a16="http://schemas.microsoft.com/office/drawing/2014/main" id="{0AE492E8-CD6D-470C-AE61-3339E04B011A}"/>
            </a:ext>
          </a:extLst>
        </cdr:cNvPr>
        <cdr:cNvSpPr txBox="1"/>
      </cdr:nvSpPr>
      <cdr:spPr>
        <a:xfrm xmlns:a="http://schemas.openxmlformats.org/drawingml/2006/main">
          <a:off x="3544682" y="590550"/>
          <a:ext cx="1027318" cy="793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1000" b="0">
              <a:solidFill>
                <a:schemeClr val="bg1">
                  <a:lumMod val="50000"/>
                </a:schemeClr>
              </a:solidFill>
            </a:rPr>
            <a:t>Amounts increase radially</a:t>
          </a:r>
          <a:r>
            <a:rPr lang="en-NZ" sz="1000" b="0" baseline="0">
              <a:solidFill>
                <a:schemeClr val="bg1">
                  <a:lumMod val="50000"/>
                </a:schemeClr>
              </a:solidFill>
            </a:rPr>
            <a:t> on the same scale</a:t>
          </a:r>
          <a:endParaRPr lang="en-NZ" sz="1000" b="0">
            <a:solidFill>
              <a:schemeClr val="bg1">
                <a:lumMod val="50000"/>
              </a:schemeClr>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691528</xdr:colOff>
      <xdr:row>116</xdr:row>
      <xdr:rowOff>46614</xdr:rowOff>
    </xdr:from>
    <xdr:to>
      <xdr:col>18</xdr:col>
      <xdr:colOff>604272</xdr:colOff>
      <xdr:row>138</xdr:row>
      <xdr:rowOff>181481</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535517</xdr:colOff>
      <xdr:row>2</xdr:row>
      <xdr:rowOff>95250</xdr:rowOff>
    </xdr:from>
    <xdr:to>
      <xdr:col>6</xdr:col>
      <xdr:colOff>527050</xdr:colOff>
      <xdr:row>21</xdr:row>
      <xdr:rowOff>97720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37</xdr:row>
      <xdr:rowOff>41337</xdr:rowOff>
    </xdr:from>
    <xdr:to>
      <xdr:col>6</xdr:col>
      <xdr:colOff>464214</xdr:colOff>
      <xdr:row>51</xdr:row>
      <xdr:rowOff>190500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13447</xdr:colOff>
      <xdr:row>3</xdr:row>
      <xdr:rowOff>29636</xdr:rowOff>
    </xdr:from>
    <xdr:to>
      <xdr:col>17</xdr:col>
      <xdr:colOff>197598</xdr:colOff>
      <xdr:row>21</xdr:row>
      <xdr:rowOff>64915</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557892</xdr:colOff>
      <xdr:row>34</xdr:row>
      <xdr:rowOff>123371</xdr:rowOff>
    </xdr:from>
    <xdr:to>
      <xdr:col>12</xdr:col>
      <xdr:colOff>259442</xdr:colOff>
      <xdr:row>49</xdr:row>
      <xdr:rowOff>85271</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666750</xdr:colOff>
      <xdr:row>22</xdr:row>
      <xdr:rowOff>107245</xdr:rowOff>
    </xdr:from>
    <xdr:to>
      <xdr:col>12</xdr:col>
      <xdr:colOff>63500</xdr:colOff>
      <xdr:row>34</xdr:row>
      <xdr:rowOff>18345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482600</xdr:colOff>
      <xdr:row>22</xdr:row>
      <xdr:rowOff>75495</xdr:rowOff>
    </xdr:from>
    <xdr:to>
      <xdr:col>18</xdr:col>
      <xdr:colOff>412750</xdr:colOff>
      <xdr:row>33</xdr:row>
      <xdr:rowOff>183445</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685800</xdr:colOff>
          <xdr:row>114</xdr:row>
          <xdr:rowOff>165100</xdr:rowOff>
        </xdr:from>
        <xdr:to>
          <xdr:col>8</xdr:col>
          <xdr:colOff>546100</xdr:colOff>
          <xdr:row>116</xdr:row>
          <xdr:rowOff>88900</xdr:rowOff>
        </xdr:to>
        <xdr:sp macro="" textlink="">
          <xdr:nvSpPr>
            <xdr:cNvPr id="27649" name="Drop Down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555171</xdr:colOff>
      <xdr:row>34</xdr:row>
      <xdr:rowOff>58057</xdr:rowOff>
    </xdr:from>
    <xdr:to>
      <xdr:col>18</xdr:col>
      <xdr:colOff>618671</xdr:colOff>
      <xdr:row>49</xdr:row>
      <xdr:rowOff>19957</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206375</xdr:colOff>
      <xdr:row>116</xdr:row>
      <xdr:rowOff>43921</xdr:rowOff>
    </xdr:from>
    <xdr:to>
      <xdr:col>4</xdr:col>
      <xdr:colOff>275166</xdr:colOff>
      <xdr:row>135</xdr:row>
      <xdr:rowOff>31750</xdr:rowOff>
    </xdr:to>
    <xdr:graphicFrame macro="">
      <xdr:nvGraphicFramePr>
        <xdr:cNvPr id="8" name="Chart 3">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114020</xdr:colOff>
      <xdr:row>84</xdr:row>
      <xdr:rowOff>128315</xdr:rowOff>
    </xdr:from>
    <xdr:to>
      <xdr:col>7</xdr:col>
      <xdr:colOff>138226</xdr:colOff>
      <xdr:row>111</xdr:row>
      <xdr:rowOff>119507</xdr:rowOff>
    </xdr:to>
    <xdr:graphicFrame macro="">
      <xdr:nvGraphicFramePr>
        <xdr:cNvPr id="13" name="Chart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0.7753</cdr:x>
      <cdr:y>0.21528</cdr:y>
    </cdr:from>
    <cdr:to>
      <cdr:x>1</cdr:x>
      <cdr:y>0.50463</cdr:y>
    </cdr:to>
    <cdr:sp macro="" textlink="">
      <cdr:nvSpPr>
        <cdr:cNvPr id="2" name="TextBox 1">
          <a:extLst xmlns:a="http://schemas.openxmlformats.org/drawingml/2006/main">
            <a:ext uri="{FF2B5EF4-FFF2-40B4-BE49-F238E27FC236}">
              <a16:creationId xmlns:a16="http://schemas.microsoft.com/office/drawing/2014/main" id="{EB20CA7D-854C-4DB6-AE2E-7C031B889DB6}"/>
            </a:ext>
          </a:extLst>
        </cdr:cNvPr>
        <cdr:cNvSpPr txBox="1"/>
      </cdr:nvSpPr>
      <cdr:spPr>
        <a:xfrm xmlns:a="http://schemas.openxmlformats.org/drawingml/2006/main">
          <a:off x="3544682" y="590550"/>
          <a:ext cx="1027318" cy="793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1000" b="0">
              <a:solidFill>
                <a:schemeClr val="bg1">
                  <a:lumMod val="50000"/>
                </a:schemeClr>
              </a:solidFill>
            </a:rPr>
            <a:t>Amounts increase radially</a:t>
          </a:r>
          <a:r>
            <a:rPr lang="en-NZ" sz="1000" b="0" baseline="0">
              <a:solidFill>
                <a:schemeClr val="bg1">
                  <a:lumMod val="50000"/>
                </a:schemeClr>
              </a:solidFill>
            </a:rPr>
            <a:t> on the same scale</a:t>
          </a:r>
          <a:endParaRPr lang="en-NZ" sz="1000" b="0">
            <a:solidFill>
              <a:schemeClr val="bg1">
                <a:lumMod val="50000"/>
              </a:schemeClr>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0.7753</cdr:x>
      <cdr:y>0.21528</cdr:y>
    </cdr:from>
    <cdr:to>
      <cdr:x>1</cdr:x>
      <cdr:y>0.50463</cdr:y>
    </cdr:to>
    <cdr:sp macro="" textlink="">
      <cdr:nvSpPr>
        <cdr:cNvPr id="2" name="TextBox 1">
          <a:extLst xmlns:a="http://schemas.openxmlformats.org/drawingml/2006/main">
            <a:ext uri="{FF2B5EF4-FFF2-40B4-BE49-F238E27FC236}">
              <a16:creationId xmlns:a16="http://schemas.microsoft.com/office/drawing/2014/main" id="{5842A6D0-F0E7-47A4-972E-BB69DE6D56A8}"/>
            </a:ext>
          </a:extLst>
        </cdr:cNvPr>
        <cdr:cNvSpPr txBox="1"/>
      </cdr:nvSpPr>
      <cdr:spPr>
        <a:xfrm xmlns:a="http://schemas.openxmlformats.org/drawingml/2006/main">
          <a:off x="3544682" y="590550"/>
          <a:ext cx="1027318" cy="793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1000" b="0">
              <a:solidFill>
                <a:schemeClr val="bg1">
                  <a:lumMod val="50000"/>
                </a:schemeClr>
              </a:solidFill>
            </a:rPr>
            <a:t>Amounts increase radially</a:t>
          </a:r>
          <a:r>
            <a:rPr lang="en-NZ" sz="1000" b="0" baseline="0">
              <a:solidFill>
                <a:schemeClr val="bg1">
                  <a:lumMod val="50000"/>
                </a:schemeClr>
              </a:solidFill>
            </a:rPr>
            <a:t> on the same scale</a:t>
          </a:r>
          <a:endParaRPr lang="en-NZ" sz="1000" b="0">
            <a:solidFill>
              <a:schemeClr val="bg1">
                <a:lumMod val="50000"/>
              </a:schemeClr>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0.7753</cdr:x>
      <cdr:y>0.21528</cdr:y>
    </cdr:from>
    <cdr:to>
      <cdr:x>1</cdr:x>
      <cdr:y>0.50463</cdr:y>
    </cdr:to>
    <cdr:sp macro="" textlink="">
      <cdr:nvSpPr>
        <cdr:cNvPr id="2" name="TextBox 1">
          <a:extLst xmlns:a="http://schemas.openxmlformats.org/drawingml/2006/main">
            <a:ext uri="{FF2B5EF4-FFF2-40B4-BE49-F238E27FC236}">
              <a16:creationId xmlns:a16="http://schemas.microsoft.com/office/drawing/2014/main" id="{0ECFBCFF-D00F-46D7-BC5B-1C99B0579D4C}"/>
            </a:ext>
          </a:extLst>
        </cdr:cNvPr>
        <cdr:cNvSpPr txBox="1"/>
      </cdr:nvSpPr>
      <cdr:spPr>
        <a:xfrm xmlns:a="http://schemas.openxmlformats.org/drawingml/2006/main">
          <a:off x="3544682" y="590550"/>
          <a:ext cx="1027318" cy="793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1000" b="0">
              <a:solidFill>
                <a:schemeClr val="bg1">
                  <a:lumMod val="50000"/>
                </a:schemeClr>
              </a:solidFill>
            </a:rPr>
            <a:t>Amounts increase radially</a:t>
          </a:r>
          <a:r>
            <a:rPr lang="en-NZ" sz="1000" b="0" baseline="0">
              <a:solidFill>
                <a:schemeClr val="bg1">
                  <a:lumMod val="50000"/>
                </a:schemeClr>
              </a:solidFill>
            </a:rPr>
            <a:t> on the same scale</a:t>
          </a:r>
          <a:endParaRPr lang="en-NZ" sz="1000" b="0">
            <a:solidFill>
              <a:schemeClr val="bg1">
                <a:lumMod val="50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0.7753</cdr:x>
      <cdr:y>0.21528</cdr:y>
    </cdr:from>
    <cdr:to>
      <cdr:x>1</cdr:x>
      <cdr:y>0.50463</cdr:y>
    </cdr:to>
    <cdr:sp macro="" textlink="">
      <cdr:nvSpPr>
        <cdr:cNvPr id="2" name="TextBox 1">
          <a:extLst xmlns:a="http://schemas.openxmlformats.org/drawingml/2006/main">
            <a:ext uri="{FF2B5EF4-FFF2-40B4-BE49-F238E27FC236}">
              <a16:creationId xmlns:a16="http://schemas.microsoft.com/office/drawing/2014/main" id="{420A3911-7F2E-4C63-875C-0D798D700FA2}"/>
            </a:ext>
          </a:extLst>
        </cdr:cNvPr>
        <cdr:cNvSpPr txBox="1"/>
      </cdr:nvSpPr>
      <cdr:spPr>
        <a:xfrm xmlns:a="http://schemas.openxmlformats.org/drawingml/2006/main">
          <a:off x="3544682" y="590550"/>
          <a:ext cx="1027318" cy="793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1000" b="0">
              <a:solidFill>
                <a:schemeClr val="bg1">
                  <a:lumMod val="50000"/>
                </a:schemeClr>
              </a:solidFill>
            </a:rPr>
            <a:t>Amounts increase radially</a:t>
          </a:r>
          <a:r>
            <a:rPr lang="en-NZ" sz="1000" b="0" baseline="0">
              <a:solidFill>
                <a:schemeClr val="bg1">
                  <a:lumMod val="50000"/>
                </a:schemeClr>
              </a:solidFill>
            </a:rPr>
            <a:t> on the same scale</a:t>
          </a:r>
          <a:endParaRPr lang="en-NZ" sz="1000" b="0">
            <a:solidFill>
              <a:schemeClr val="bg1">
                <a:lumMod val="50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364067</xdr:colOff>
      <xdr:row>1</xdr:row>
      <xdr:rowOff>114300</xdr:rowOff>
    </xdr:from>
    <xdr:to>
      <xdr:col>8</xdr:col>
      <xdr:colOff>180872</xdr:colOff>
      <xdr:row>18</xdr:row>
      <xdr:rowOff>138578</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386311</xdr:colOff>
      <xdr:row>1</xdr:row>
      <xdr:rowOff>176967</xdr:rowOff>
    </xdr:from>
    <xdr:to>
      <xdr:col>24</xdr:col>
      <xdr:colOff>512233</xdr:colOff>
      <xdr:row>18</xdr:row>
      <xdr:rowOff>45277</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609600</xdr:colOff>
          <xdr:row>130</xdr:row>
          <xdr:rowOff>50800</xdr:rowOff>
        </xdr:from>
        <xdr:to>
          <xdr:col>11</xdr:col>
          <xdr:colOff>381000</xdr:colOff>
          <xdr:row>131</xdr:row>
          <xdr:rowOff>165100</xdr:rowOff>
        </xdr:to>
        <xdr:sp macro="" textlink="">
          <xdr:nvSpPr>
            <xdr:cNvPr id="28673" name="Drop Down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677517</xdr:colOff>
      <xdr:row>134</xdr:row>
      <xdr:rowOff>35975</xdr:rowOff>
    </xdr:from>
    <xdr:to>
      <xdr:col>21</xdr:col>
      <xdr:colOff>396005</xdr:colOff>
      <xdr:row>154</xdr:row>
      <xdr:rowOff>176528</xdr:rowOff>
    </xdr:to>
    <xdr:graphicFrame macro="">
      <xdr:nvGraphicFramePr>
        <xdr:cNvPr id="14" name="Chart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298753</xdr:colOff>
      <xdr:row>29</xdr:row>
      <xdr:rowOff>108857</xdr:rowOff>
    </xdr:from>
    <xdr:to>
      <xdr:col>17</xdr:col>
      <xdr:colOff>364370</xdr:colOff>
      <xdr:row>42</xdr:row>
      <xdr:rowOff>162983</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537634</xdr:colOff>
      <xdr:row>19</xdr:row>
      <xdr:rowOff>0</xdr:rowOff>
    </xdr:from>
    <xdr:to>
      <xdr:col>24</xdr:col>
      <xdr:colOff>493183</xdr:colOff>
      <xdr:row>28</xdr:row>
      <xdr:rowOff>175683</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298753</xdr:colOff>
      <xdr:row>19</xdr:row>
      <xdr:rowOff>22428</xdr:rowOff>
    </xdr:from>
    <xdr:to>
      <xdr:col>17</xdr:col>
      <xdr:colOff>364370</xdr:colOff>
      <xdr:row>29</xdr:row>
      <xdr:rowOff>18801</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531284</xdr:colOff>
      <xdr:row>29</xdr:row>
      <xdr:rowOff>48683</xdr:rowOff>
    </xdr:from>
    <xdr:to>
      <xdr:col>24</xdr:col>
      <xdr:colOff>480483</xdr:colOff>
      <xdr:row>43</xdr:row>
      <xdr:rowOff>35983</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518584</xdr:colOff>
      <xdr:row>43</xdr:row>
      <xdr:rowOff>150282</xdr:rowOff>
    </xdr:from>
    <xdr:to>
      <xdr:col>24</xdr:col>
      <xdr:colOff>467783</xdr:colOff>
      <xdr:row>52</xdr:row>
      <xdr:rowOff>163285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556684</xdr:colOff>
      <xdr:row>53</xdr:row>
      <xdr:rowOff>18143</xdr:rowOff>
    </xdr:from>
    <xdr:to>
      <xdr:col>24</xdr:col>
      <xdr:colOff>505883</xdr:colOff>
      <xdr:row>66</xdr:row>
      <xdr:rowOff>127000</xdr:rowOff>
    </xdr:to>
    <xdr:graphicFrame macro="">
      <xdr:nvGraphicFramePr>
        <xdr:cNvPr id="27" name="Chart 26">
          <a:extLst>
            <a:ext uri="{FF2B5EF4-FFF2-40B4-BE49-F238E27FC236}">
              <a16:creationId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541016</xdr:colOff>
      <xdr:row>130</xdr:row>
      <xdr:rowOff>146335</xdr:rowOff>
    </xdr:from>
    <xdr:to>
      <xdr:col>7</xdr:col>
      <xdr:colOff>753060</xdr:colOff>
      <xdr:row>154</xdr:row>
      <xdr:rowOff>165651</xdr:rowOff>
    </xdr:to>
    <xdr:graphicFrame macro="">
      <xdr:nvGraphicFramePr>
        <xdr:cNvPr id="4" name="Chart 2">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139397</xdr:rowOff>
    </xdr:from>
    <xdr:to>
      <xdr:col>8</xdr:col>
      <xdr:colOff>633693</xdr:colOff>
      <xdr:row>128</xdr:row>
      <xdr:rowOff>138044</xdr:rowOff>
    </xdr:to>
    <xdr:graphicFrame macro="">
      <xdr:nvGraphicFramePr>
        <xdr:cNvPr id="13" name="Chart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44450</xdr:colOff>
          <xdr:row>22</xdr:row>
          <xdr:rowOff>12700</xdr:rowOff>
        </xdr:from>
        <xdr:to>
          <xdr:col>0</xdr:col>
          <xdr:colOff>1765300</xdr:colOff>
          <xdr:row>23</xdr:row>
          <xdr:rowOff>133350</xdr:rowOff>
        </xdr:to>
        <xdr:sp macro="" textlink="">
          <xdr:nvSpPr>
            <xdr:cNvPr id="28674" name="Drop Down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4</xdr:row>
          <xdr:rowOff>12700</xdr:rowOff>
        </xdr:from>
        <xdr:to>
          <xdr:col>19</xdr:col>
          <xdr:colOff>546100</xdr:colOff>
          <xdr:row>6</xdr:row>
          <xdr:rowOff>0</xdr:rowOff>
        </xdr:to>
        <xdr:sp macro="" textlink="">
          <xdr:nvSpPr>
            <xdr:cNvPr id="19461" name="Drop Down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12700</xdr:rowOff>
        </xdr:from>
        <xdr:to>
          <xdr:col>19</xdr:col>
          <xdr:colOff>546100</xdr:colOff>
          <xdr:row>4</xdr:row>
          <xdr:rowOff>0</xdr:rowOff>
        </xdr:to>
        <xdr:sp macro="" textlink="">
          <xdr:nvSpPr>
            <xdr:cNvPr id="19462" name="Drop Down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12700</xdr:rowOff>
        </xdr:from>
        <xdr:to>
          <xdr:col>3</xdr:col>
          <xdr:colOff>88900</xdr:colOff>
          <xdr:row>6</xdr:row>
          <xdr:rowOff>38100</xdr:rowOff>
        </xdr:to>
        <xdr:sp macro="" textlink="">
          <xdr:nvSpPr>
            <xdr:cNvPr id="19463" name="Drop Down 7" hidden="1">
              <a:extLst>
                <a:ext uri="{63B3BB69-23CF-44E3-9099-C40C66FF867C}">
                  <a14:compatExt spid="_x0000_s19463"/>
                </a:ext>
                <a:ext uri="{FF2B5EF4-FFF2-40B4-BE49-F238E27FC236}">
                  <a16:creationId xmlns:a16="http://schemas.microsoft.com/office/drawing/2014/main" id="{00000000-0008-0000-0600-00000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4686300</xdr:colOff>
          <xdr:row>7</xdr:row>
          <xdr:rowOff>38100</xdr:rowOff>
        </xdr:from>
        <xdr:to>
          <xdr:col>3</xdr:col>
          <xdr:colOff>88900</xdr:colOff>
          <xdr:row>8</xdr:row>
          <xdr:rowOff>38100</xdr:rowOff>
        </xdr:to>
        <xdr:sp macro="" textlink="">
          <xdr:nvSpPr>
            <xdr:cNvPr id="19464" name="Drop Down 8" hidden="1">
              <a:extLst>
                <a:ext uri="{63B3BB69-23CF-44E3-9099-C40C66FF867C}">
                  <a14:compatExt spid="_x0000_s19464"/>
                </a:ext>
                <a:ext uri="{FF2B5EF4-FFF2-40B4-BE49-F238E27FC236}">
                  <a16:creationId xmlns:a16="http://schemas.microsoft.com/office/drawing/2014/main" id="{00000000-0008-0000-0600-00000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38100</xdr:rowOff>
        </xdr:from>
        <xdr:to>
          <xdr:col>3</xdr:col>
          <xdr:colOff>1562100</xdr:colOff>
          <xdr:row>79</xdr:row>
          <xdr:rowOff>38100</xdr:rowOff>
        </xdr:to>
        <xdr:sp macro="" textlink="">
          <xdr:nvSpPr>
            <xdr:cNvPr id="19465" name="Drop Down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38100</xdr:rowOff>
        </xdr:from>
        <xdr:to>
          <xdr:col>4</xdr:col>
          <xdr:colOff>0</xdr:colOff>
          <xdr:row>80</xdr:row>
          <xdr:rowOff>38100</xdr:rowOff>
        </xdr:to>
        <xdr:sp macro="" textlink="">
          <xdr:nvSpPr>
            <xdr:cNvPr id="19469" name="Drop Down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38100</xdr:rowOff>
        </xdr:from>
        <xdr:to>
          <xdr:col>4</xdr:col>
          <xdr:colOff>0</xdr:colOff>
          <xdr:row>81</xdr:row>
          <xdr:rowOff>38100</xdr:rowOff>
        </xdr:to>
        <xdr:sp macro="" textlink="">
          <xdr:nvSpPr>
            <xdr:cNvPr id="19470" name="Drop Down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38100</xdr:rowOff>
        </xdr:from>
        <xdr:to>
          <xdr:col>4</xdr:col>
          <xdr:colOff>0</xdr:colOff>
          <xdr:row>82</xdr:row>
          <xdr:rowOff>38100</xdr:rowOff>
        </xdr:to>
        <xdr:sp macro="" textlink="">
          <xdr:nvSpPr>
            <xdr:cNvPr id="19471" name="Drop Down 15" hidden="1">
              <a:extLst>
                <a:ext uri="{63B3BB69-23CF-44E3-9099-C40C66FF867C}">
                  <a14:compatExt spid="_x0000_s19471"/>
                </a:ext>
                <a:ext uri="{FF2B5EF4-FFF2-40B4-BE49-F238E27FC236}">
                  <a16:creationId xmlns:a16="http://schemas.microsoft.com/office/drawing/2014/main" id="{00000000-0008-0000-0600-00000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38100</xdr:rowOff>
        </xdr:from>
        <xdr:to>
          <xdr:col>4</xdr:col>
          <xdr:colOff>0</xdr:colOff>
          <xdr:row>83</xdr:row>
          <xdr:rowOff>38100</xdr:rowOff>
        </xdr:to>
        <xdr:sp macro="" textlink="">
          <xdr:nvSpPr>
            <xdr:cNvPr id="19472" name="Drop Down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38100</xdr:rowOff>
        </xdr:from>
        <xdr:to>
          <xdr:col>3</xdr:col>
          <xdr:colOff>88900</xdr:colOff>
          <xdr:row>9</xdr:row>
          <xdr:rowOff>38100</xdr:rowOff>
        </xdr:to>
        <xdr:sp macro="" textlink="">
          <xdr:nvSpPr>
            <xdr:cNvPr id="19473" name="Drop Down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12700</xdr:rowOff>
        </xdr:from>
        <xdr:to>
          <xdr:col>3</xdr:col>
          <xdr:colOff>114300</xdr:colOff>
          <xdr:row>7</xdr:row>
          <xdr:rowOff>38100</xdr:rowOff>
        </xdr:to>
        <xdr:sp macro="" textlink="">
          <xdr:nvSpPr>
            <xdr:cNvPr id="19474" name="Drop Down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7.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9.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tint="-0.249977111117893"/>
    <pageSetUpPr fitToPage="1"/>
  </sheetPr>
  <dimension ref="A2:AF198"/>
  <sheetViews>
    <sheetView zoomScale="70" zoomScaleNormal="70" zoomScalePageLayoutView="85" workbookViewId="0">
      <selection activeCell="F16" sqref="F16"/>
    </sheetView>
  </sheetViews>
  <sheetFormatPr defaultColWidth="11" defaultRowHeight="15.5"/>
  <cols>
    <col min="1" max="1" width="61.5" bestFit="1" customWidth="1"/>
    <col min="2" max="3" width="11.5" bestFit="1" customWidth="1"/>
    <col min="4" max="4" width="10.9140625" bestFit="1" customWidth="1"/>
    <col min="5" max="5" width="13" bestFit="1" customWidth="1"/>
    <col min="6" max="7" width="12" customWidth="1"/>
    <col min="8" max="8" width="12" bestFit="1" customWidth="1"/>
    <col min="9" max="9" width="13" bestFit="1" customWidth="1"/>
    <col min="10" max="10" width="12" bestFit="1" customWidth="1"/>
    <col min="11" max="13" width="13" bestFit="1" customWidth="1"/>
    <col min="14" max="15" width="16" customWidth="1"/>
  </cols>
  <sheetData>
    <row r="2" spans="1:20">
      <c r="B2" s="48"/>
      <c r="C2" s="307" t="s">
        <v>123</v>
      </c>
      <c r="D2" s="307"/>
      <c r="E2" s="59"/>
      <c r="F2" s="307" t="s">
        <v>122</v>
      </c>
      <c r="G2" s="307"/>
      <c r="H2" s="250"/>
      <c r="I2" t="s">
        <v>121</v>
      </c>
    </row>
    <row r="3" spans="1:20">
      <c r="A3" s="6" t="s">
        <v>355</v>
      </c>
      <c r="B3" t="s">
        <v>407</v>
      </c>
      <c r="C3" t="s">
        <v>408</v>
      </c>
      <c r="D3" t="s">
        <v>409</v>
      </c>
      <c r="E3" t="s">
        <v>429</v>
      </c>
      <c r="F3" t="s">
        <v>412</v>
      </c>
    </row>
    <row r="4" spans="1:20" ht="18.5">
      <c r="A4" s="1" t="s">
        <v>0</v>
      </c>
      <c r="B4" s="305" t="s">
        <v>354</v>
      </c>
      <c r="C4" s="305"/>
      <c r="D4" s="305"/>
      <c r="E4" s="306" t="s">
        <v>1</v>
      </c>
      <c r="F4" s="306"/>
      <c r="G4" s="306"/>
      <c r="H4" s="306"/>
      <c r="I4" s="306"/>
      <c r="J4" s="306"/>
      <c r="K4" s="306"/>
      <c r="L4" s="306"/>
      <c r="M4" s="306"/>
      <c r="N4" s="306"/>
    </row>
    <row r="5" spans="1:20">
      <c r="B5" s="2">
        <v>2013</v>
      </c>
      <c r="C5" s="2">
        <v>2014</v>
      </c>
      <c r="D5" s="2">
        <v>2015</v>
      </c>
      <c r="E5" s="2">
        <v>2016</v>
      </c>
      <c r="F5" s="2">
        <v>2017</v>
      </c>
      <c r="G5" s="2">
        <v>2018</v>
      </c>
      <c r="H5" s="2">
        <v>2019</v>
      </c>
      <c r="I5" s="2">
        <v>2020</v>
      </c>
      <c r="J5" s="2">
        <v>2021</v>
      </c>
      <c r="K5" s="2">
        <v>2022</v>
      </c>
      <c r="L5" s="2">
        <v>2023</v>
      </c>
      <c r="M5" s="2">
        <v>2024</v>
      </c>
      <c r="N5" s="2">
        <v>2025</v>
      </c>
      <c r="O5" s="2">
        <v>2026</v>
      </c>
    </row>
    <row r="6" spans="1:20">
      <c r="A6" s="3" t="s">
        <v>336</v>
      </c>
      <c r="B6" s="4"/>
      <c r="C6" s="4"/>
      <c r="D6" s="4"/>
      <c r="E6" s="4"/>
      <c r="F6" s="4"/>
      <c r="G6" s="4"/>
      <c r="H6" s="4"/>
      <c r="I6" s="4"/>
      <c r="J6" s="4"/>
      <c r="K6" s="4"/>
      <c r="L6" s="4"/>
    </row>
    <row r="7" spans="1:20">
      <c r="A7" s="5" t="s">
        <v>2</v>
      </c>
      <c r="B7" s="40">
        <v>2004</v>
      </c>
      <c r="C7" s="40">
        <v>2014</v>
      </c>
      <c r="D7" s="40">
        <v>2016</v>
      </c>
      <c r="E7" s="242">
        <f>IF(E17="A",1959,1807)</f>
        <v>1959</v>
      </c>
      <c r="F7" s="242">
        <v>1957</v>
      </c>
      <c r="G7" s="242">
        <v>1957</v>
      </c>
      <c r="H7" s="242">
        <v>1957</v>
      </c>
      <c r="I7" s="242">
        <v>1957</v>
      </c>
      <c r="J7" s="242">
        <v>1957</v>
      </c>
      <c r="K7" s="242">
        <v>1957</v>
      </c>
      <c r="L7" s="242">
        <v>1957</v>
      </c>
      <c r="M7" s="242">
        <v>1957</v>
      </c>
      <c r="N7" s="242">
        <v>1957</v>
      </c>
      <c r="O7" s="242">
        <v>1957</v>
      </c>
      <c r="P7" s="70"/>
      <c r="Q7" s="70"/>
    </row>
    <row r="8" spans="1:20">
      <c r="A8" s="5" t="s">
        <v>3</v>
      </c>
      <c r="B8" s="40">
        <v>2562</v>
      </c>
      <c r="C8" s="40">
        <v>2574</v>
      </c>
      <c r="D8" s="40">
        <v>2576</v>
      </c>
      <c r="E8" s="242">
        <f>IF(E17="A",2504,2446)</f>
        <v>2504</v>
      </c>
      <c r="F8" s="242">
        <v>2453</v>
      </c>
      <c r="G8" s="242">
        <v>2456</v>
      </c>
      <c r="H8" s="242">
        <v>2458</v>
      </c>
      <c r="I8" s="242">
        <v>2461</v>
      </c>
      <c r="J8" s="242">
        <v>2464</v>
      </c>
      <c r="K8" s="242">
        <v>2466</v>
      </c>
      <c r="L8" s="242">
        <v>2469</v>
      </c>
      <c r="M8" s="242">
        <v>2472</v>
      </c>
      <c r="N8" s="242">
        <v>2475</v>
      </c>
      <c r="O8" s="242">
        <v>2478</v>
      </c>
      <c r="P8" s="70"/>
      <c r="Q8" s="70"/>
      <c r="R8" s="70"/>
      <c r="S8" s="70"/>
      <c r="T8" s="70"/>
    </row>
    <row r="9" spans="1:20" ht="16" thickBot="1">
      <c r="A9" s="5" t="s">
        <v>4</v>
      </c>
      <c r="B9" s="40">
        <v>0</v>
      </c>
      <c r="C9" s="40">
        <v>0</v>
      </c>
      <c r="D9" s="40">
        <v>0</v>
      </c>
      <c r="E9" s="242"/>
      <c r="F9" s="242"/>
      <c r="G9" s="242"/>
      <c r="H9" s="242"/>
      <c r="I9" s="242"/>
      <c r="J9" s="242"/>
      <c r="K9" s="242"/>
      <c r="L9" s="242"/>
      <c r="M9" s="242"/>
      <c r="N9" s="242"/>
      <c r="O9" s="242"/>
      <c r="Q9" s="70"/>
      <c r="R9" s="70"/>
      <c r="S9" s="70"/>
      <c r="T9" s="70"/>
    </row>
    <row r="10" spans="1:20" ht="16" thickBot="1">
      <c r="A10" s="94" t="s">
        <v>5</v>
      </c>
      <c r="B10" s="95">
        <f>SUM(B7:B9)</f>
        <v>4566</v>
      </c>
      <c r="C10" s="95">
        <f t="shared" ref="C10:N10" si="0">SUM(C7:C9)</f>
        <v>4588</v>
      </c>
      <c r="D10" s="95">
        <f t="shared" si="0"/>
        <v>4592</v>
      </c>
      <c r="E10" s="88">
        <f t="shared" si="0"/>
        <v>4463</v>
      </c>
      <c r="F10" s="88">
        <f t="shared" si="0"/>
        <v>4410</v>
      </c>
      <c r="G10" s="88">
        <f t="shared" si="0"/>
        <v>4413</v>
      </c>
      <c r="H10" s="88">
        <f t="shared" si="0"/>
        <v>4415</v>
      </c>
      <c r="I10" s="88">
        <f t="shared" si="0"/>
        <v>4418</v>
      </c>
      <c r="J10" s="88">
        <f t="shared" si="0"/>
        <v>4421</v>
      </c>
      <c r="K10" s="88">
        <f t="shared" si="0"/>
        <v>4423</v>
      </c>
      <c r="L10" s="88">
        <f t="shared" si="0"/>
        <v>4426</v>
      </c>
      <c r="M10" s="88">
        <f t="shared" si="0"/>
        <v>4429</v>
      </c>
      <c r="N10" s="89">
        <f t="shared" si="0"/>
        <v>4432</v>
      </c>
      <c r="O10" s="89">
        <f t="shared" ref="O10" si="1">SUM(O7:O9)</f>
        <v>4435</v>
      </c>
      <c r="Q10" s="70"/>
      <c r="R10" s="70"/>
      <c r="S10" s="70"/>
      <c r="T10" s="70"/>
    </row>
    <row r="11" spans="1:20">
      <c r="A11" s="6" t="s">
        <v>6</v>
      </c>
      <c r="B11" s="40">
        <v>1968</v>
      </c>
      <c r="C11" s="40">
        <v>1978</v>
      </c>
      <c r="D11" s="40">
        <v>1980</v>
      </c>
      <c r="E11" s="242">
        <f>IF(E17="A",1924,1974)</f>
        <v>1924</v>
      </c>
      <c r="F11" s="242">
        <v>3021</v>
      </c>
      <c r="G11" s="242">
        <v>3021</v>
      </c>
      <c r="H11" s="242">
        <v>3021</v>
      </c>
      <c r="I11" s="242">
        <v>3021</v>
      </c>
      <c r="J11" s="242">
        <v>3021</v>
      </c>
      <c r="K11" s="242">
        <v>3021</v>
      </c>
      <c r="L11" s="242">
        <v>3021</v>
      </c>
      <c r="M11" s="242">
        <v>3021</v>
      </c>
      <c r="N11" s="242">
        <v>3021</v>
      </c>
      <c r="O11" s="242">
        <v>3021</v>
      </c>
      <c r="P11" s="70"/>
      <c r="Q11" s="70"/>
      <c r="R11" s="70"/>
      <c r="S11" s="70"/>
      <c r="T11" s="70"/>
    </row>
    <row r="12" spans="1:20" ht="16" thickBot="1">
      <c r="A12" s="6" t="s">
        <v>7</v>
      </c>
      <c r="B12" s="40">
        <v>4229</v>
      </c>
      <c r="C12" s="40">
        <v>4250</v>
      </c>
      <c r="D12" s="40">
        <v>4253</v>
      </c>
      <c r="E12" s="242">
        <f>IF(E17="A",4134,3755)</f>
        <v>4134</v>
      </c>
      <c r="F12" s="242">
        <v>4336</v>
      </c>
      <c r="G12" s="242">
        <v>4336</v>
      </c>
      <c r="H12" s="242">
        <v>4336</v>
      </c>
      <c r="I12" s="242">
        <v>4336</v>
      </c>
      <c r="J12" s="242">
        <v>4336</v>
      </c>
      <c r="K12" s="242">
        <v>4336</v>
      </c>
      <c r="L12" s="242">
        <v>4336</v>
      </c>
      <c r="M12" s="242">
        <v>4336</v>
      </c>
      <c r="N12" s="242">
        <v>4336</v>
      </c>
      <c r="O12" s="242">
        <v>4336</v>
      </c>
      <c r="P12" s="70"/>
      <c r="Q12" s="70"/>
      <c r="R12" s="70"/>
      <c r="S12" s="70"/>
      <c r="T12" s="70"/>
    </row>
    <row r="13" spans="1:20">
      <c r="A13" s="96" t="s">
        <v>8</v>
      </c>
      <c r="B13" s="97">
        <f>B11+B12</f>
        <v>6197</v>
      </c>
      <c r="C13" s="97">
        <f t="shared" ref="C13:N13" si="2">C11+C12</f>
        <v>6228</v>
      </c>
      <c r="D13" s="97">
        <f t="shared" si="2"/>
        <v>6233</v>
      </c>
      <c r="E13" s="98">
        <f t="shared" si="2"/>
        <v>6058</v>
      </c>
      <c r="F13" s="98">
        <f t="shared" si="2"/>
        <v>7357</v>
      </c>
      <c r="G13" s="98">
        <f t="shared" si="2"/>
        <v>7357</v>
      </c>
      <c r="H13" s="98">
        <f>H11+H12</f>
        <v>7357</v>
      </c>
      <c r="I13" s="98">
        <f t="shared" si="2"/>
        <v>7357</v>
      </c>
      <c r="J13" s="98">
        <f t="shared" si="2"/>
        <v>7357</v>
      </c>
      <c r="K13" s="98">
        <f t="shared" si="2"/>
        <v>7357</v>
      </c>
      <c r="L13" s="98">
        <f t="shared" si="2"/>
        <v>7357</v>
      </c>
      <c r="M13" s="98">
        <f t="shared" si="2"/>
        <v>7357</v>
      </c>
      <c r="N13" s="99">
        <f t="shared" si="2"/>
        <v>7357</v>
      </c>
      <c r="O13" s="99">
        <f t="shared" ref="O13" si="3">O11+O12</f>
        <v>7357</v>
      </c>
      <c r="Q13" s="70"/>
      <c r="R13" s="70"/>
      <c r="S13" s="70"/>
      <c r="T13" s="70"/>
    </row>
    <row r="14" spans="1:20" ht="16" thickBot="1">
      <c r="A14" s="100" t="s">
        <v>9</v>
      </c>
      <c r="B14" s="101">
        <f>B10+B13</f>
        <v>10763</v>
      </c>
      <c r="C14" s="101">
        <f t="shared" ref="C14:N14" si="4">C10+C13</f>
        <v>10816</v>
      </c>
      <c r="D14" s="101">
        <f t="shared" si="4"/>
        <v>10825</v>
      </c>
      <c r="E14" s="101">
        <f t="shared" si="4"/>
        <v>10521</v>
      </c>
      <c r="F14" s="101">
        <f t="shared" si="4"/>
        <v>11767</v>
      </c>
      <c r="G14" s="101">
        <f t="shared" si="4"/>
        <v>11770</v>
      </c>
      <c r="H14" s="101">
        <f t="shared" si="4"/>
        <v>11772</v>
      </c>
      <c r="I14" s="101">
        <f t="shared" si="4"/>
        <v>11775</v>
      </c>
      <c r="J14" s="101">
        <f t="shared" si="4"/>
        <v>11778</v>
      </c>
      <c r="K14" s="101">
        <f t="shared" si="4"/>
        <v>11780</v>
      </c>
      <c r="L14" s="101">
        <f t="shared" si="4"/>
        <v>11783</v>
      </c>
      <c r="M14" s="101">
        <f t="shared" si="4"/>
        <v>11786</v>
      </c>
      <c r="N14" s="102">
        <f t="shared" si="4"/>
        <v>11789</v>
      </c>
      <c r="O14" s="102">
        <f t="shared" ref="O14" si="5">O10+O13</f>
        <v>11792</v>
      </c>
      <c r="Q14" s="70"/>
      <c r="R14" s="70"/>
      <c r="S14" s="70"/>
      <c r="T14" s="70"/>
    </row>
    <row r="15" spans="1:20">
      <c r="B15" s="127"/>
      <c r="C15" s="127"/>
      <c r="D15" s="127"/>
      <c r="H15" s="127"/>
      <c r="I15" s="127"/>
      <c r="J15" s="127"/>
      <c r="K15" s="127"/>
      <c r="L15" s="127"/>
      <c r="M15" s="127"/>
      <c r="N15" s="127"/>
      <c r="O15" s="127"/>
      <c r="Q15" s="70"/>
      <c r="R15" s="70"/>
      <c r="S15" s="70"/>
      <c r="T15" s="70"/>
    </row>
    <row r="16" spans="1:20" ht="16" thickBot="1">
      <c r="B16" s="127"/>
      <c r="C16" s="127"/>
      <c r="D16" s="127"/>
      <c r="E16" s="127"/>
      <c r="F16" s="127"/>
      <c r="G16" s="127"/>
      <c r="H16" s="127"/>
      <c r="I16" s="127"/>
      <c r="J16" s="127"/>
      <c r="K16" s="127"/>
      <c r="L16" s="127"/>
      <c r="M16" s="127"/>
      <c r="N16" s="127"/>
      <c r="O16" s="127"/>
      <c r="Q16" s="70"/>
      <c r="R16" s="70"/>
      <c r="S16" s="70"/>
      <c r="T16" s="70"/>
    </row>
    <row r="17" spans="1:32" ht="16" thickBot="1">
      <c r="B17" s="127"/>
      <c r="C17" s="127"/>
      <c r="D17" s="303" t="s">
        <v>427</v>
      </c>
      <c r="E17" s="304" t="s">
        <v>428</v>
      </c>
      <c r="F17" s="127"/>
      <c r="G17" s="127"/>
      <c r="H17" s="127"/>
      <c r="I17" s="127"/>
      <c r="J17" s="127"/>
      <c r="K17" s="127"/>
      <c r="L17" s="127"/>
      <c r="M17" s="127"/>
      <c r="N17" s="127"/>
      <c r="O17" s="127"/>
      <c r="Q17" s="70"/>
      <c r="R17" s="70"/>
      <c r="S17" s="70"/>
      <c r="T17" s="70"/>
    </row>
    <row r="18" spans="1:32">
      <c r="B18" s="211"/>
      <c r="C18" s="211"/>
      <c r="D18" s="211"/>
      <c r="E18" s="127"/>
      <c r="F18" s="127"/>
      <c r="G18" s="127"/>
      <c r="H18" s="211"/>
      <c r="I18" s="211"/>
      <c r="J18" s="211"/>
      <c r="K18" s="211"/>
      <c r="L18" s="211"/>
      <c r="M18" s="211"/>
      <c r="N18" s="211"/>
      <c r="O18" s="211"/>
      <c r="Q18" s="70"/>
      <c r="R18" s="70"/>
      <c r="S18" s="70"/>
      <c r="T18" s="70"/>
    </row>
    <row r="19" spans="1:32">
      <c r="A19" s="3" t="s">
        <v>351</v>
      </c>
      <c r="B19" s="127"/>
      <c r="C19" s="127"/>
      <c r="D19" s="127"/>
      <c r="E19" s="127"/>
      <c r="F19" s="127"/>
      <c r="G19" s="127"/>
      <c r="H19" s="127"/>
      <c r="I19" s="127"/>
      <c r="J19" s="127"/>
      <c r="K19" s="127"/>
      <c r="L19" s="127"/>
      <c r="M19" s="127"/>
      <c r="N19" s="127"/>
      <c r="O19" s="127"/>
      <c r="Q19" s="70"/>
      <c r="R19" s="70"/>
      <c r="S19" s="70"/>
      <c r="T19" s="70"/>
    </row>
    <row r="20" spans="1:32">
      <c r="A20" t="s">
        <v>10</v>
      </c>
      <c r="B20" s="40">
        <v>12726</v>
      </c>
      <c r="C20" s="40">
        <v>18166</v>
      </c>
      <c r="D20" s="40">
        <v>13525</v>
      </c>
      <c r="E20" s="242">
        <f>IF(E17="A",17399,16512)-2851</f>
        <v>14548</v>
      </c>
      <c r="F20" s="242">
        <f>16900-1805</f>
        <v>15095</v>
      </c>
      <c r="G20" s="242">
        <f>14131-1792</f>
        <v>12339</v>
      </c>
      <c r="H20" s="242">
        <f>14251-1804</f>
        <v>12447</v>
      </c>
      <c r="I20" s="242">
        <f>14516-1838</f>
        <v>12678</v>
      </c>
      <c r="J20" s="242">
        <f>14650-1855</f>
        <v>12795</v>
      </c>
      <c r="K20" s="242">
        <v>14781</v>
      </c>
      <c r="L20" s="242">
        <v>14832</v>
      </c>
      <c r="M20" s="242">
        <v>14580</v>
      </c>
      <c r="N20" s="242">
        <v>14750</v>
      </c>
      <c r="O20" s="242">
        <v>14931</v>
      </c>
      <c r="P20" s="70"/>
      <c r="Q20" s="70"/>
      <c r="R20" s="70"/>
      <c r="S20" s="70"/>
      <c r="T20" s="70"/>
    </row>
    <row r="21" spans="1:32">
      <c r="A21" s="9" t="s">
        <v>11</v>
      </c>
      <c r="B21" s="40">
        <v>215</v>
      </c>
      <c r="C21" s="40">
        <v>307</v>
      </c>
      <c r="D21" s="41">
        <v>229</v>
      </c>
      <c r="E21" s="243">
        <f>IF(E17="A",294,570)</f>
        <v>294</v>
      </c>
      <c r="F21" s="243">
        <v>994</v>
      </c>
      <c r="G21" s="243">
        <v>1295</v>
      </c>
      <c r="H21" s="243">
        <v>1646</v>
      </c>
      <c r="I21" s="243">
        <v>799</v>
      </c>
      <c r="J21" s="243">
        <v>1623</v>
      </c>
      <c r="K21" s="243">
        <v>449</v>
      </c>
      <c r="L21" s="243">
        <v>517</v>
      </c>
      <c r="M21" s="243">
        <v>1093</v>
      </c>
      <c r="N21" s="243">
        <v>1093</v>
      </c>
      <c r="O21" s="243">
        <v>449</v>
      </c>
      <c r="P21" s="70"/>
      <c r="Q21" s="70"/>
    </row>
    <row r="22" spans="1:32">
      <c r="A22" s="9" t="s">
        <v>12</v>
      </c>
      <c r="B22" s="40">
        <v>1022</v>
      </c>
      <c r="C22" s="40">
        <v>1459</v>
      </c>
      <c r="D22" s="41">
        <v>1086</v>
      </c>
      <c r="E22" s="243">
        <f>IF(E17="A",1397,1626)</f>
        <v>1397</v>
      </c>
      <c r="F22" s="243">
        <v>1644</v>
      </c>
      <c r="G22" s="243">
        <v>1272</v>
      </c>
      <c r="H22" s="243">
        <v>1199</v>
      </c>
      <c r="I22" s="243">
        <v>1688</v>
      </c>
      <c r="J22" s="243">
        <v>1688</v>
      </c>
      <c r="K22" s="243">
        <v>1688</v>
      </c>
      <c r="L22" s="243">
        <v>1688</v>
      </c>
      <c r="M22" s="243">
        <v>1688</v>
      </c>
      <c r="N22" s="243">
        <v>1688</v>
      </c>
      <c r="O22" s="243">
        <v>1688</v>
      </c>
      <c r="P22" s="70"/>
      <c r="Q22" s="70"/>
    </row>
    <row r="23" spans="1:32">
      <c r="A23" s="9" t="s">
        <v>13</v>
      </c>
      <c r="B23" s="40">
        <f>1670-1180</f>
        <v>490</v>
      </c>
      <c r="C23" s="40">
        <f>2384-1729</f>
        <v>655</v>
      </c>
      <c r="D23" s="41">
        <f>1775-1392</f>
        <v>383</v>
      </c>
      <c r="E23" s="243">
        <f>IF(E17="A",2283,2134)-1958</f>
        <v>325</v>
      </c>
      <c r="F23" s="243">
        <f>2264-2138</f>
        <v>126</v>
      </c>
      <c r="G23" s="243">
        <f>2942-2778</f>
        <v>164</v>
      </c>
      <c r="H23" s="243">
        <f>2279-2153</f>
        <v>126</v>
      </c>
      <c r="I23" s="243">
        <f>2887-2727</f>
        <v>160</v>
      </c>
      <c r="J23" s="243">
        <f>2042-1928</f>
        <v>114</v>
      </c>
      <c r="K23" s="243">
        <v>1449</v>
      </c>
      <c r="L23" s="243">
        <v>1714</v>
      </c>
      <c r="M23" s="243">
        <v>1714</v>
      </c>
      <c r="N23" s="243">
        <v>1714</v>
      </c>
      <c r="O23" s="243">
        <v>1714</v>
      </c>
      <c r="P23" s="70"/>
      <c r="Q23" s="70"/>
    </row>
    <row r="24" spans="1:32" ht="16" thickBot="1">
      <c r="A24" s="9" t="s">
        <v>14</v>
      </c>
      <c r="B24" s="40">
        <v>222</v>
      </c>
      <c r="C24" s="40">
        <v>317</v>
      </c>
      <c r="D24" s="41">
        <v>236</v>
      </c>
      <c r="E24" s="243">
        <f>IF(E17="A",304,218)</f>
        <v>304</v>
      </c>
      <c r="F24" s="243">
        <v>492</v>
      </c>
      <c r="G24" s="243">
        <v>583</v>
      </c>
      <c r="H24" s="243">
        <v>605</v>
      </c>
      <c r="I24" s="243">
        <v>518</v>
      </c>
      <c r="J24" s="243">
        <v>197</v>
      </c>
      <c r="K24" s="243">
        <v>137</v>
      </c>
      <c r="L24" s="243"/>
      <c r="M24" s="243"/>
      <c r="N24" s="243"/>
      <c r="O24" s="243"/>
      <c r="P24" s="70"/>
      <c r="Q24" s="70"/>
    </row>
    <row r="25" spans="1:32" ht="16" thickBot="1">
      <c r="A25" s="194" t="s">
        <v>15</v>
      </c>
      <c r="B25" s="95">
        <f>SUM(B20:B24)</f>
        <v>14675</v>
      </c>
      <c r="C25" s="95">
        <f t="shared" ref="C25:N25" si="6">SUM(C20:C24)</f>
        <v>20904</v>
      </c>
      <c r="D25" s="95">
        <f t="shared" si="6"/>
        <v>15459</v>
      </c>
      <c r="E25" s="88">
        <f t="shared" si="6"/>
        <v>16868</v>
      </c>
      <c r="F25" s="88">
        <f t="shared" si="6"/>
        <v>18351</v>
      </c>
      <c r="G25" s="88">
        <f t="shared" si="6"/>
        <v>15653</v>
      </c>
      <c r="H25" s="88">
        <f t="shared" si="6"/>
        <v>16023</v>
      </c>
      <c r="I25" s="88">
        <f t="shared" si="6"/>
        <v>15843</v>
      </c>
      <c r="J25" s="88">
        <f t="shared" si="6"/>
        <v>16417</v>
      </c>
      <c r="K25" s="88">
        <f>SUM(K20:K24)</f>
        <v>18504</v>
      </c>
      <c r="L25" s="88">
        <f t="shared" si="6"/>
        <v>18751</v>
      </c>
      <c r="M25" s="88">
        <f t="shared" si="6"/>
        <v>19075</v>
      </c>
      <c r="N25" s="88">
        <f t="shared" si="6"/>
        <v>19245</v>
      </c>
      <c r="O25" s="88">
        <f t="shared" ref="O25" si="7">SUM(O20:O24)</f>
        <v>18782</v>
      </c>
    </row>
    <row r="26" spans="1:32" ht="16" thickBot="1">
      <c r="A26" s="192" t="s">
        <v>304</v>
      </c>
      <c r="B26" s="193">
        <v>1455</v>
      </c>
      <c r="C26" s="193">
        <v>959</v>
      </c>
      <c r="D26" s="193">
        <v>1027</v>
      </c>
      <c r="E26" s="244">
        <f>IF(E17="A",623,734)</f>
        <v>623</v>
      </c>
      <c r="F26" s="244">
        <v>1234</v>
      </c>
      <c r="G26" s="244">
        <v>1686</v>
      </c>
      <c r="H26" s="244">
        <v>1341</v>
      </c>
      <c r="I26" s="244">
        <v>1418</v>
      </c>
      <c r="J26" s="244">
        <v>1694</v>
      </c>
      <c r="K26" s="244">
        <v>1512</v>
      </c>
      <c r="L26" s="244">
        <v>1497</v>
      </c>
      <c r="M26" s="244">
        <v>1724</v>
      </c>
      <c r="N26" s="244">
        <v>1537</v>
      </c>
      <c r="O26" s="244">
        <v>1438</v>
      </c>
      <c r="P26" s="70"/>
      <c r="Q26" s="70"/>
    </row>
    <row r="27" spans="1:32">
      <c r="A27" s="9" t="s">
        <v>16</v>
      </c>
      <c r="B27" s="41">
        <v>2436</v>
      </c>
      <c r="C27" s="41">
        <v>3057</v>
      </c>
      <c r="D27" s="41">
        <v>3147</v>
      </c>
      <c r="E27" s="55">
        <f>1958+2851</f>
        <v>4809</v>
      </c>
      <c r="F27" s="55">
        <f>1805+2138</f>
        <v>3943</v>
      </c>
      <c r="G27" s="55">
        <f>1792+2778</f>
        <v>4570</v>
      </c>
      <c r="H27" s="55">
        <f>1804+2153</f>
        <v>3957</v>
      </c>
      <c r="I27" s="55">
        <f>1838+2727</f>
        <v>4565</v>
      </c>
      <c r="J27" s="55">
        <f>1855+1928</f>
        <v>3783</v>
      </c>
      <c r="K27" s="288">
        <v>3616</v>
      </c>
      <c r="L27" s="288">
        <v>3991</v>
      </c>
      <c r="M27" s="288">
        <v>4035</v>
      </c>
      <c r="N27" s="288">
        <v>4148</v>
      </c>
      <c r="O27" s="288">
        <v>4270</v>
      </c>
      <c r="P27" s="70"/>
      <c r="Q27" s="70"/>
    </row>
    <row r="28" spans="1:32">
      <c r="A28" s="11" t="s">
        <v>326</v>
      </c>
      <c r="B28" s="7">
        <f>SUM(B25:B26)</f>
        <v>16130</v>
      </c>
      <c r="C28" s="7">
        <f t="shared" ref="C28" si="8">SUM(C25:C26)</f>
        <v>21863</v>
      </c>
      <c r="D28" s="300">
        <f>SUM(D25:D26)</f>
        <v>16486</v>
      </c>
      <c r="E28" s="7">
        <f>SUM(E25:E27)</f>
        <v>22300</v>
      </c>
      <c r="F28" s="7">
        <f t="shared" ref="F28:I28" si="9">SUM(F25:F27)</f>
        <v>23528</v>
      </c>
      <c r="G28" s="7">
        <f t="shared" si="9"/>
        <v>21909</v>
      </c>
      <c r="H28" s="7">
        <f t="shared" si="9"/>
        <v>21321</v>
      </c>
      <c r="I28" s="7">
        <f t="shared" si="9"/>
        <v>21826</v>
      </c>
      <c r="J28" s="7">
        <f>SUM(J25:J27)</f>
        <v>21894</v>
      </c>
      <c r="K28" s="7">
        <f>SUM(K25:K26)</f>
        <v>20016</v>
      </c>
      <c r="L28" s="7">
        <f t="shared" ref="L28:O28" si="10">SUM(L25:L26)</f>
        <v>20248</v>
      </c>
      <c r="M28" s="7">
        <f t="shared" si="10"/>
        <v>20799</v>
      </c>
      <c r="N28" s="7">
        <f t="shared" si="10"/>
        <v>20782</v>
      </c>
      <c r="O28" s="7">
        <f t="shared" si="10"/>
        <v>20220</v>
      </c>
    </row>
    <row r="29" spans="1:32">
      <c r="A29" s="11" t="s">
        <v>17</v>
      </c>
      <c r="B29" s="205">
        <f>B28-B27</f>
        <v>13694</v>
      </c>
      <c r="C29" s="205">
        <f t="shared" ref="C29:I29" si="11">C28-C27</f>
        <v>18806</v>
      </c>
      <c r="D29" s="205">
        <f t="shared" si="11"/>
        <v>13339</v>
      </c>
      <c r="E29" s="205">
        <f>E28-E27</f>
        <v>17491</v>
      </c>
      <c r="F29" s="205">
        <f t="shared" si="11"/>
        <v>19585</v>
      </c>
      <c r="G29" s="205">
        <f t="shared" si="11"/>
        <v>17339</v>
      </c>
      <c r="H29" s="205">
        <f t="shared" si="11"/>
        <v>17364</v>
      </c>
      <c r="I29" s="205">
        <f t="shared" si="11"/>
        <v>17261</v>
      </c>
      <c r="J29" s="205">
        <f>J28-J27</f>
        <v>18111</v>
      </c>
      <c r="K29" s="205">
        <f>K28-K27</f>
        <v>16400</v>
      </c>
      <c r="L29" s="205">
        <f t="shared" ref="L29:O29" si="12">L28-L27</f>
        <v>16257</v>
      </c>
      <c r="M29" s="205">
        <f t="shared" si="12"/>
        <v>16764</v>
      </c>
      <c r="N29" s="205">
        <f t="shared" si="12"/>
        <v>16634</v>
      </c>
      <c r="O29" s="205">
        <f t="shared" si="12"/>
        <v>15950</v>
      </c>
      <c r="R29" s="205"/>
      <c r="S29" s="205"/>
      <c r="T29" s="205"/>
      <c r="U29" s="205"/>
      <c r="V29" s="205"/>
      <c r="W29" s="205"/>
      <c r="X29" s="205"/>
      <c r="Y29" s="205"/>
      <c r="Z29" s="205"/>
      <c r="AA29" s="205"/>
      <c r="AB29" s="205"/>
      <c r="AC29" s="205"/>
      <c r="AD29" s="205"/>
      <c r="AE29" s="205"/>
      <c r="AF29" s="205"/>
    </row>
    <row r="30" spans="1:32">
      <c r="A30" s="5"/>
      <c r="B30" s="4"/>
      <c r="C30" s="4"/>
      <c r="D30" s="4"/>
      <c r="E30" s="4"/>
      <c r="F30" s="4"/>
      <c r="G30" s="4"/>
      <c r="H30" s="4"/>
      <c r="I30" s="4"/>
      <c r="J30" s="4"/>
      <c r="K30" s="4"/>
      <c r="L30" s="4"/>
      <c r="V30" s="10"/>
      <c r="Z30" s="18"/>
      <c r="AA30" s="18"/>
      <c r="AB30" s="18"/>
      <c r="AC30" s="18"/>
      <c r="AD30" s="18"/>
      <c r="AE30" s="18"/>
      <c r="AF30" s="18"/>
    </row>
    <row r="31" spans="1:32" ht="16" thickBot="1">
      <c r="A31" s="8" t="s">
        <v>18</v>
      </c>
      <c r="B31" s="103">
        <v>156952</v>
      </c>
      <c r="C31" s="103">
        <v>159738</v>
      </c>
      <c r="D31" s="103">
        <v>163243</v>
      </c>
      <c r="E31" s="245">
        <v>104344</v>
      </c>
      <c r="F31" s="245">
        <v>107325</v>
      </c>
      <c r="G31" s="245">
        <v>110470</v>
      </c>
      <c r="H31" s="245">
        <v>113610</v>
      </c>
      <c r="I31" s="245">
        <v>116833</v>
      </c>
      <c r="J31" s="246">
        <v>120096</v>
      </c>
      <c r="K31" s="251">
        <f>J31</f>
        <v>120096</v>
      </c>
      <c r="L31" s="251">
        <f t="shared" ref="L31:O31" si="13">K31</f>
        <v>120096</v>
      </c>
      <c r="M31" s="251">
        <f t="shared" si="13"/>
        <v>120096</v>
      </c>
      <c r="N31" s="251">
        <f t="shared" si="13"/>
        <v>120096</v>
      </c>
      <c r="O31" s="251">
        <f t="shared" si="13"/>
        <v>120096</v>
      </c>
      <c r="V31" s="10"/>
      <c r="Z31" s="18"/>
      <c r="AA31" s="18"/>
      <c r="AB31" s="18"/>
      <c r="AC31" s="18"/>
      <c r="AD31" s="18"/>
      <c r="AE31" s="18"/>
      <c r="AF31" s="18"/>
    </row>
    <row r="32" spans="1:32">
      <c r="A32" s="104" t="s">
        <v>19</v>
      </c>
      <c r="B32" s="105"/>
      <c r="C32" s="105">
        <f>C31-B31</f>
        <v>2786</v>
      </c>
      <c r="D32" s="105">
        <f t="shared" ref="D32:O32" si="14">D31-C31</f>
        <v>3505</v>
      </c>
      <c r="E32" s="105">
        <f t="shared" si="14"/>
        <v>-58899</v>
      </c>
      <c r="F32" s="105">
        <f t="shared" si="14"/>
        <v>2981</v>
      </c>
      <c r="G32" s="105">
        <f t="shared" si="14"/>
        <v>3145</v>
      </c>
      <c r="H32" s="105">
        <f t="shared" si="14"/>
        <v>3140</v>
      </c>
      <c r="I32" s="105">
        <f t="shared" si="14"/>
        <v>3223</v>
      </c>
      <c r="J32" s="105">
        <f t="shared" si="14"/>
        <v>3263</v>
      </c>
      <c r="K32" s="105">
        <f t="shared" si="14"/>
        <v>0</v>
      </c>
      <c r="L32" s="105">
        <f t="shared" si="14"/>
        <v>0</v>
      </c>
      <c r="M32" s="105">
        <f t="shared" si="14"/>
        <v>0</v>
      </c>
      <c r="N32" s="105">
        <f t="shared" si="14"/>
        <v>0</v>
      </c>
      <c r="O32" s="105">
        <f t="shared" si="14"/>
        <v>0</v>
      </c>
      <c r="V32" s="10"/>
    </row>
    <row r="34" spans="1:32">
      <c r="A34" s="3" t="s">
        <v>21</v>
      </c>
      <c r="E34" s="9"/>
      <c r="F34" s="9"/>
      <c r="G34" s="9"/>
      <c r="H34" s="9"/>
      <c r="I34" s="9"/>
      <c r="J34" s="82"/>
      <c r="K34" s="82"/>
      <c r="L34" s="82"/>
      <c r="M34" s="82"/>
      <c r="N34" s="82"/>
      <c r="O34" s="82"/>
      <c r="V34" s="10"/>
    </row>
    <row r="35" spans="1:32">
      <c r="A35" t="s">
        <v>382</v>
      </c>
      <c r="B35" s="42">
        <v>3114</v>
      </c>
      <c r="C35" s="42">
        <v>3764</v>
      </c>
      <c r="D35" s="42">
        <v>3583</v>
      </c>
      <c r="E35" s="247">
        <v>3068</v>
      </c>
      <c r="F35" s="247">
        <v>3185</v>
      </c>
      <c r="G35" s="247">
        <v>3340</v>
      </c>
      <c r="H35" s="247">
        <v>3367</v>
      </c>
      <c r="I35" s="247">
        <v>3452</v>
      </c>
      <c r="J35" s="248">
        <v>3492</v>
      </c>
      <c r="K35" s="251">
        <f>J35</f>
        <v>3492</v>
      </c>
      <c r="L35" s="251">
        <f t="shared" ref="L35:O35" si="15">K35</f>
        <v>3492</v>
      </c>
      <c r="M35" s="251">
        <f t="shared" si="15"/>
        <v>3492</v>
      </c>
      <c r="N35" s="251">
        <f t="shared" si="15"/>
        <v>3492</v>
      </c>
      <c r="O35" s="251">
        <f t="shared" si="15"/>
        <v>3492</v>
      </c>
      <c r="Z35" s="18"/>
      <c r="AA35" s="18"/>
      <c r="AB35" s="18"/>
      <c r="AC35" s="18"/>
      <c r="AD35" s="18"/>
      <c r="AE35" s="18"/>
      <c r="AF35" s="18"/>
    </row>
    <row r="36" spans="1:32">
      <c r="A36" t="s">
        <v>225</v>
      </c>
      <c r="B36" s="42">
        <v>304</v>
      </c>
      <c r="C36" s="42">
        <v>282</v>
      </c>
      <c r="D36" s="42">
        <v>332</v>
      </c>
      <c r="E36" s="247">
        <v>174</v>
      </c>
      <c r="F36" s="247">
        <v>196</v>
      </c>
      <c r="G36" s="247">
        <v>205</v>
      </c>
      <c r="H36" s="247">
        <v>201</v>
      </c>
      <c r="I36" s="247">
        <v>200</v>
      </c>
      <c r="J36" s="248">
        <v>200</v>
      </c>
      <c r="K36" s="251">
        <f>J36</f>
        <v>200</v>
      </c>
      <c r="L36" s="251">
        <f t="shared" ref="L36:O36" si="16">K36</f>
        <v>200</v>
      </c>
      <c r="M36" s="251">
        <f t="shared" si="16"/>
        <v>200</v>
      </c>
      <c r="N36" s="251">
        <f t="shared" si="16"/>
        <v>200</v>
      </c>
      <c r="O36" s="251">
        <f t="shared" si="16"/>
        <v>200</v>
      </c>
      <c r="U36" s="10"/>
    </row>
    <row r="37" spans="1:32" ht="16" thickBot="1">
      <c r="B37" s="42"/>
      <c r="C37" s="42"/>
      <c r="D37" s="42"/>
      <c r="E37" s="83"/>
      <c r="F37" s="83"/>
      <c r="G37" s="83"/>
      <c r="H37" s="83"/>
      <c r="I37" s="83"/>
      <c r="J37" s="84"/>
      <c r="K37" s="84"/>
      <c r="L37" s="84"/>
      <c r="M37" s="84"/>
      <c r="N37" s="84"/>
      <c r="O37" s="84"/>
      <c r="U37" s="10"/>
    </row>
    <row r="38" spans="1:32" ht="16" thickBot="1">
      <c r="A38" s="106" t="s">
        <v>20</v>
      </c>
      <c r="B38" s="90"/>
      <c r="C38" s="90">
        <f>(B31+SUM(C35:C37))-C31</f>
        <v>1260</v>
      </c>
      <c r="D38" s="90">
        <f t="shared" ref="D38:O38" si="17">(C31+SUM(D35:D37))-D31</f>
        <v>410</v>
      </c>
      <c r="E38" s="90">
        <f t="shared" si="17"/>
        <v>62141</v>
      </c>
      <c r="F38" s="90">
        <f t="shared" si="17"/>
        <v>400</v>
      </c>
      <c r="G38" s="90">
        <f t="shared" si="17"/>
        <v>400</v>
      </c>
      <c r="H38" s="90">
        <f t="shared" si="17"/>
        <v>428</v>
      </c>
      <c r="I38" s="90">
        <f t="shared" si="17"/>
        <v>429</v>
      </c>
      <c r="J38" s="90">
        <f t="shared" si="17"/>
        <v>429</v>
      </c>
      <c r="K38" s="90">
        <f t="shared" si="17"/>
        <v>3692</v>
      </c>
      <c r="L38" s="90">
        <f t="shared" si="17"/>
        <v>3692</v>
      </c>
      <c r="M38" s="90">
        <f t="shared" si="17"/>
        <v>3692</v>
      </c>
      <c r="N38" s="108">
        <f t="shared" si="17"/>
        <v>3692</v>
      </c>
      <c r="O38" s="108">
        <f t="shared" si="17"/>
        <v>3692</v>
      </c>
      <c r="U38" s="10"/>
    </row>
    <row r="39" spans="1:32" ht="16" thickBot="1">
      <c r="A39" s="106" t="s">
        <v>339</v>
      </c>
      <c r="B39" s="90">
        <f>SUM(B35:B37)</f>
        <v>3418</v>
      </c>
      <c r="C39" s="90">
        <f>SUM(C35:C37)</f>
        <v>4046</v>
      </c>
      <c r="D39" s="90">
        <f t="shared" ref="D39:N39" si="18">SUM(D35:D37)</f>
        <v>3915</v>
      </c>
      <c r="E39" s="90">
        <f t="shared" si="18"/>
        <v>3242</v>
      </c>
      <c r="F39" s="90">
        <f t="shared" si="18"/>
        <v>3381</v>
      </c>
      <c r="G39" s="90">
        <f t="shared" si="18"/>
        <v>3545</v>
      </c>
      <c r="H39" s="90">
        <f t="shared" si="18"/>
        <v>3568</v>
      </c>
      <c r="I39" s="90">
        <f t="shared" si="18"/>
        <v>3652</v>
      </c>
      <c r="J39" s="90">
        <f t="shared" si="18"/>
        <v>3692</v>
      </c>
      <c r="K39" s="90">
        <f t="shared" si="18"/>
        <v>3692</v>
      </c>
      <c r="L39" s="90">
        <f t="shared" si="18"/>
        <v>3692</v>
      </c>
      <c r="M39" s="90">
        <f t="shared" si="18"/>
        <v>3692</v>
      </c>
      <c r="N39" s="107">
        <f t="shared" si="18"/>
        <v>3692</v>
      </c>
      <c r="O39" s="107">
        <f t="shared" ref="O39" si="19">SUM(O35:O37)</f>
        <v>3692</v>
      </c>
      <c r="U39" s="10"/>
    </row>
    <row r="40" spans="1:32">
      <c r="A40" s="56"/>
      <c r="B40" s="57"/>
      <c r="C40" s="57"/>
      <c r="D40" s="57"/>
      <c r="E40" s="57"/>
      <c r="F40" s="57"/>
      <c r="G40" s="57"/>
      <c r="H40" s="57"/>
      <c r="I40" s="57"/>
      <c r="J40" s="57"/>
      <c r="K40" s="57"/>
      <c r="L40" s="57"/>
      <c r="M40" s="57"/>
      <c r="N40" s="57"/>
      <c r="O40" s="57"/>
      <c r="U40" s="10"/>
    </row>
    <row r="41" spans="1:32">
      <c r="A41" s="3" t="s">
        <v>23</v>
      </c>
      <c r="B41" s="42">
        <v>21589120</v>
      </c>
      <c r="C41" s="42">
        <v>21934671</v>
      </c>
      <c r="D41" s="42">
        <v>22788368</v>
      </c>
      <c r="E41" s="247">
        <v>13954111</v>
      </c>
      <c r="F41" s="247">
        <v>13792297</v>
      </c>
      <c r="G41" s="247">
        <v>13907274</v>
      </c>
      <c r="H41" s="248">
        <v>14117459</v>
      </c>
      <c r="I41" s="248">
        <v>14225679</v>
      </c>
      <c r="J41" s="248">
        <v>14327232</v>
      </c>
      <c r="K41" s="251">
        <f>J41</f>
        <v>14327232</v>
      </c>
      <c r="L41" s="251">
        <f t="shared" ref="L41:O41" si="20">K41</f>
        <v>14327232</v>
      </c>
      <c r="M41" s="251">
        <f t="shared" si="20"/>
        <v>14327232</v>
      </c>
      <c r="N41" s="251">
        <f t="shared" si="20"/>
        <v>14327232</v>
      </c>
      <c r="O41" s="251">
        <f t="shared" si="20"/>
        <v>14327232</v>
      </c>
      <c r="U41" s="10"/>
    </row>
    <row r="42" spans="1:32">
      <c r="A42" s="3" t="s">
        <v>24</v>
      </c>
      <c r="B42" s="42">
        <v>85671</v>
      </c>
      <c r="C42" s="42">
        <v>85392</v>
      </c>
      <c r="D42" s="42">
        <v>89763</v>
      </c>
      <c r="E42" s="247">
        <v>60433</v>
      </c>
      <c r="F42" s="247">
        <v>61306</v>
      </c>
      <c r="G42" s="247">
        <v>62191</v>
      </c>
      <c r="H42" s="247">
        <v>63089</v>
      </c>
      <c r="I42" s="247">
        <v>64000</v>
      </c>
      <c r="J42" s="248">
        <v>64924</v>
      </c>
      <c r="K42" s="251">
        <f>J42</f>
        <v>64924</v>
      </c>
      <c r="L42" s="251">
        <f t="shared" ref="L42:O43" si="21">K42</f>
        <v>64924</v>
      </c>
      <c r="M42" s="251">
        <f t="shared" si="21"/>
        <v>64924</v>
      </c>
      <c r="N42" s="251">
        <f t="shared" si="21"/>
        <v>64924</v>
      </c>
      <c r="O42" s="251">
        <f t="shared" si="21"/>
        <v>64924</v>
      </c>
      <c r="U42" s="10"/>
    </row>
    <row r="43" spans="1:32" ht="16" thickBot="1">
      <c r="A43" s="3" t="s">
        <v>25</v>
      </c>
      <c r="B43" s="42">
        <v>2172561</v>
      </c>
      <c r="C43" s="42">
        <v>2150228</v>
      </c>
      <c r="D43" s="42">
        <v>2331826</v>
      </c>
      <c r="E43" s="247">
        <v>1484162</v>
      </c>
      <c r="F43" s="247">
        <v>1496307</v>
      </c>
      <c r="G43" s="247">
        <v>1508552</v>
      </c>
      <c r="H43" s="247">
        <v>1520898</v>
      </c>
      <c r="I43" s="247">
        <v>1533344</v>
      </c>
      <c r="J43" s="248">
        <v>1545892</v>
      </c>
      <c r="K43" s="251">
        <f>J43</f>
        <v>1545892</v>
      </c>
      <c r="L43" s="251">
        <f t="shared" si="21"/>
        <v>1545892</v>
      </c>
      <c r="M43" s="251">
        <f t="shared" si="21"/>
        <v>1545892</v>
      </c>
      <c r="N43" s="251">
        <f t="shared" si="21"/>
        <v>1545892</v>
      </c>
      <c r="O43" s="251">
        <f t="shared" si="21"/>
        <v>1545892</v>
      </c>
      <c r="U43" s="10"/>
    </row>
    <row r="44" spans="1:32" ht="16" thickBot="1">
      <c r="A44" s="109" t="s">
        <v>26</v>
      </c>
      <c r="B44" s="240">
        <f>B41/12</f>
        <v>1799093.3333333333</v>
      </c>
      <c r="C44" s="240">
        <f t="shared" ref="C44:N44" si="22">C41/12</f>
        <v>1827889.25</v>
      </c>
      <c r="D44" s="240">
        <f t="shared" si="22"/>
        <v>1899030.6666666667</v>
      </c>
      <c r="E44" s="241">
        <f t="shared" si="22"/>
        <v>1162842.5833333333</v>
      </c>
      <c r="F44" s="241">
        <f t="shared" si="22"/>
        <v>1149358.0833333333</v>
      </c>
      <c r="G44" s="241">
        <f t="shared" si="22"/>
        <v>1158939.5</v>
      </c>
      <c r="H44" s="241">
        <f t="shared" si="22"/>
        <v>1176454.9166666667</v>
      </c>
      <c r="I44" s="241">
        <f t="shared" si="22"/>
        <v>1185473.25</v>
      </c>
      <c r="J44" s="241">
        <f t="shared" si="22"/>
        <v>1193936</v>
      </c>
      <c r="K44" s="241">
        <f t="shared" si="22"/>
        <v>1193936</v>
      </c>
      <c r="L44" s="241">
        <f t="shared" si="22"/>
        <v>1193936</v>
      </c>
      <c r="M44" s="241">
        <f t="shared" si="22"/>
        <v>1193936</v>
      </c>
      <c r="N44" s="107">
        <f t="shared" si="22"/>
        <v>1193936</v>
      </c>
      <c r="O44" s="107">
        <f t="shared" ref="O44" si="23">O41/12</f>
        <v>1193936</v>
      </c>
      <c r="U44" s="10"/>
    </row>
    <row r="45" spans="1:32">
      <c r="A45" s="12" t="s">
        <v>383</v>
      </c>
      <c r="B45" s="14"/>
      <c r="C45" s="14"/>
      <c r="D45" s="14"/>
      <c r="E45" s="196"/>
      <c r="F45" s="196"/>
      <c r="G45" s="196"/>
      <c r="H45" s="196"/>
      <c r="I45" s="196"/>
      <c r="J45" s="196"/>
      <c r="K45" s="196"/>
      <c r="L45" s="196"/>
      <c r="M45" s="196"/>
      <c r="N45" s="196"/>
      <c r="O45" s="196"/>
    </row>
    <row r="46" spans="1:32">
      <c r="A46" s="15" t="s">
        <v>27</v>
      </c>
      <c r="B46" s="42">
        <v>842</v>
      </c>
      <c r="C46" s="42">
        <v>829</v>
      </c>
      <c r="D46" s="42">
        <v>812</v>
      </c>
      <c r="E46" s="253">
        <f>D46</f>
        <v>812</v>
      </c>
      <c r="F46" s="253">
        <f t="shared" ref="F46:O46" si="24">E46</f>
        <v>812</v>
      </c>
      <c r="G46" s="253">
        <f t="shared" si="24"/>
        <v>812</v>
      </c>
      <c r="H46" s="253">
        <f t="shared" si="24"/>
        <v>812</v>
      </c>
      <c r="I46" s="253">
        <f t="shared" si="24"/>
        <v>812</v>
      </c>
      <c r="J46" s="253">
        <f t="shared" si="24"/>
        <v>812</v>
      </c>
      <c r="K46" s="253">
        <f t="shared" si="24"/>
        <v>812</v>
      </c>
      <c r="L46" s="253">
        <f t="shared" si="24"/>
        <v>812</v>
      </c>
      <c r="M46" s="253">
        <f t="shared" si="24"/>
        <v>812</v>
      </c>
      <c r="N46" s="253">
        <f t="shared" si="24"/>
        <v>812</v>
      </c>
      <c r="O46" s="253">
        <f t="shared" si="24"/>
        <v>812</v>
      </c>
      <c r="Q46" s="10"/>
      <c r="U46" s="10"/>
    </row>
    <row r="47" spans="1:32">
      <c r="A47" s="15" t="s">
        <v>28</v>
      </c>
      <c r="B47" s="42">
        <v>9611</v>
      </c>
      <c r="C47" s="42">
        <v>9787</v>
      </c>
      <c r="D47" s="42">
        <v>9952</v>
      </c>
      <c r="E47" s="253">
        <f t="shared" ref="E47:O48" si="25">D47</f>
        <v>9952</v>
      </c>
      <c r="F47" s="253">
        <f t="shared" si="25"/>
        <v>9952</v>
      </c>
      <c r="G47" s="253">
        <f t="shared" si="25"/>
        <v>9952</v>
      </c>
      <c r="H47" s="253">
        <f t="shared" si="25"/>
        <v>9952</v>
      </c>
      <c r="I47" s="253">
        <f t="shared" si="25"/>
        <v>9952</v>
      </c>
      <c r="J47" s="253">
        <f t="shared" si="25"/>
        <v>9952</v>
      </c>
      <c r="K47" s="253">
        <f t="shared" si="25"/>
        <v>9952</v>
      </c>
      <c r="L47" s="253">
        <f t="shared" si="25"/>
        <v>9952</v>
      </c>
      <c r="M47" s="253">
        <f t="shared" si="25"/>
        <v>9952</v>
      </c>
      <c r="N47" s="253">
        <f t="shared" si="25"/>
        <v>9952</v>
      </c>
      <c r="O47" s="253">
        <f t="shared" si="25"/>
        <v>9952</v>
      </c>
      <c r="Q47" s="10"/>
      <c r="U47" s="10"/>
    </row>
    <row r="48" spans="1:32" ht="16" thickBot="1">
      <c r="A48" s="15" t="s">
        <v>29</v>
      </c>
      <c r="B48" s="42">
        <v>25</v>
      </c>
      <c r="C48" s="42">
        <v>7</v>
      </c>
      <c r="D48" s="42">
        <v>6</v>
      </c>
      <c r="E48" s="253">
        <f t="shared" si="25"/>
        <v>6</v>
      </c>
      <c r="F48" s="253">
        <f t="shared" si="25"/>
        <v>6</v>
      </c>
      <c r="G48" s="253">
        <f t="shared" si="25"/>
        <v>6</v>
      </c>
      <c r="H48" s="253">
        <f t="shared" si="25"/>
        <v>6</v>
      </c>
      <c r="I48" s="253">
        <f t="shared" si="25"/>
        <v>6</v>
      </c>
      <c r="J48" s="253">
        <f t="shared" si="25"/>
        <v>6</v>
      </c>
      <c r="K48" s="253">
        <f t="shared" si="25"/>
        <v>6</v>
      </c>
      <c r="L48" s="253">
        <f t="shared" si="25"/>
        <v>6</v>
      </c>
      <c r="M48" s="253">
        <f t="shared" si="25"/>
        <v>6</v>
      </c>
      <c r="N48" s="253">
        <f t="shared" si="25"/>
        <v>6</v>
      </c>
      <c r="O48" s="253">
        <f t="shared" si="25"/>
        <v>6</v>
      </c>
      <c r="Q48" s="10"/>
      <c r="U48" s="10"/>
    </row>
    <row r="49" spans="1:21" ht="16" thickBot="1">
      <c r="A49" s="109" t="s">
        <v>30</v>
      </c>
      <c r="B49" s="209">
        <f>SUM(B46:B48)</f>
        <v>10478</v>
      </c>
      <c r="C49" s="209">
        <f t="shared" ref="C49:M49" si="26">SUM(C46:C48)</f>
        <v>10623</v>
      </c>
      <c r="D49" s="209">
        <f t="shared" si="26"/>
        <v>10770</v>
      </c>
      <c r="E49" s="209">
        <f t="shared" si="26"/>
        <v>10770</v>
      </c>
      <c r="F49" s="209">
        <f t="shared" si="26"/>
        <v>10770</v>
      </c>
      <c r="G49" s="209">
        <f t="shared" si="26"/>
        <v>10770</v>
      </c>
      <c r="H49" s="209">
        <f t="shared" si="26"/>
        <v>10770</v>
      </c>
      <c r="I49" s="209">
        <f t="shared" si="26"/>
        <v>10770</v>
      </c>
      <c r="J49" s="209">
        <f t="shared" si="26"/>
        <v>10770</v>
      </c>
      <c r="K49" s="209">
        <f t="shared" si="26"/>
        <v>10770</v>
      </c>
      <c r="L49" s="209">
        <f t="shared" si="26"/>
        <v>10770</v>
      </c>
      <c r="M49" s="209">
        <f t="shared" si="26"/>
        <v>10770</v>
      </c>
      <c r="N49" s="210">
        <f>SUM(N46:N48)</f>
        <v>10770</v>
      </c>
      <c r="O49" s="210">
        <f>SUM(O46:O48)</f>
        <v>10770</v>
      </c>
      <c r="P49" s="10"/>
      <c r="Q49" s="10"/>
      <c r="U49" s="10"/>
    </row>
    <row r="50" spans="1:21">
      <c r="A50" s="3" t="s">
        <v>31</v>
      </c>
      <c r="B50" s="58">
        <v>0.82809999999999995</v>
      </c>
      <c r="C50" s="58">
        <v>0.85009999999999997</v>
      </c>
      <c r="D50" s="58">
        <v>0.81440000000000001</v>
      </c>
      <c r="E50" s="287">
        <v>0.78349999999999997</v>
      </c>
      <c r="F50" s="287">
        <v>0.7681</v>
      </c>
      <c r="G50" s="287">
        <v>0.76819999999999999</v>
      </c>
      <c r="H50" s="287">
        <v>0.77349999999999997</v>
      </c>
      <c r="I50" s="287">
        <v>0.77310000000000001</v>
      </c>
      <c r="J50" s="287">
        <v>0.77229999999999999</v>
      </c>
      <c r="K50" s="195"/>
      <c r="L50" s="195"/>
      <c r="M50" s="195"/>
      <c r="N50" s="195"/>
      <c r="O50" s="195"/>
      <c r="P50" s="10"/>
      <c r="Q50" s="10"/>
      <c r="U50" s="10"/>
    </row>
    <row r="51" spans="1:21">
      <c r="A51" s="3"/>
      <c r="B51" s="16"/>
      <c r="C51" s="16"/>
      <c r="D51" s="16"/>
      <c r="E51" s="85"/>
      <c r="F51" s="85"/>
      <c r="G51" s="85"/>
      <c r="H51" s="85"/>
      <c r="I51" s="85"/>
      <c r="J51" s="86"/>
      <c r="K51" s="86"/>
      <c r="L51" s="86"/>
      <c r="M51" s="86"/>
      <c r="N51" s="86"/>
      <c r="O51" s="86"/>
      <c r="P51" s="10"/>
      <c r="Q51" s="10"/>
      <c r="U51" s="10"/>
    </row>
    <row r="52" spans="1:21">
      <c r="A52" s="8" t="s">
        <v>224</v>
      </c>
      <c r="B52" s="43">
        <v>0</v>
      </c>
      <c r="C52" s="43">
        <v>0</v>
      </c>
      <c r="D52" s="43">
        <v>0</v>
      </c>
      <c r="E52" s="87"/>
      <c r="F52" s="87"/>
      <c r="G52" s="87"/>
      <c r="H52" s="87"/>
      <c r="I52" s="87"/>
      <c r="J52" s="87"/>
      <c r="K52" s="87"/>
      <c r="L52" s="87"/>
      <c r="M52" s="87"/>
      <c r="N52" s="87"/>
      <c r="O52" s="87"/>
      <c r="P52" s="10"/>
      <c r="Q52" s="10"/>
      <c r="U52" s="10"/>
    </row>
    <row r="53" spans="1:21">
      <c r="A53" s="8" t="s">
        <v>32</v>
      </c>
      <c r="B53" s="43">
        <v>2622</v>
      </c>
      <c r="C53" s="43">
        <v>1529</v>
      </c>
      <c r="D53" s="43">
        <v>870</v>
      </c>
      <c r="E53" s="252">
        <v>407</v>
      </c>
      <c r="F53" s="252">
        <v>407</v>
      </c>
      <c r="G53" s="252">
        <v>407</v>
      </c>
      <c r="H53" s="252">
        <v>407</v>
      </c>
      <c r="I53" s="252">
        <v>407</v>
      </c>
      <c r="J53" s="252">
        <v>407</v>
      </c>
      <c r="K53" s="252">
        <v>407</v>
      </c>
      <c r="L53" s="252">
        <v>407</v>
      </c>
      <c r="M53" s="252">
        <v>407</v>
      </c>
      <c r="N53" s="252">
        <v>407</v>
      </c>
      <c r="O53" s="252">
        <v>407</v>
      </c>
      <c r="P53" s="10"/>
      <c r="Q53" s="10"/>
      <c r="U53" s="10"/>
    </row>
    <row r="54" spans="1:21">
      <c r="A54" s="8" t="s">
        <v>33</v>
      </c>
      <c r="B54" s="43">
        <v>245</v>
      </c>
      <c r="C54" s="43">
        <v>111</v>
      </c>
      <c r="D54" s="43">
        <v>161</v>
      </c>
      <c r="E54" s="252">
        <v>84</v>
      </c>
      <c r="F54" s="252">
        <v>84</v>
      </c>
      <c r="G54" s="252">
        <v>84</v>
      </c>
      <c r="H54" s="252">
        <v>84</v>
      </c>
      <c r="I54" s="252">
        <v>84</v>
      </c>
      <c r="J54" s="252">
        <v>84</v>
      </c>
      <c r="K54" s="252">
        <v>84</v>
      </c>
      <c r="L54" s="252">
        <v>84</v>
      </c>
      <c r="M54" s="252">
        <v>84</v>
      </c>
      <c r="N54" s="252">
        <v>84</v>
      </c>
      <c r="O54" s="252">
        <v>84</v>
      </c>
      <c r="P54" s="10"/>
      <c r="Q54" s="10"/>
      <c r="U54" s="10"/>
    </row>
    <row r="55" spans="1:21">
      <c r="A55" s="8" t="s">
        <v>34</v>
      </c>
      <c r="B55" s="43">
        <v>0</v>
      </c>
      <c r="C55" s="43">
        <v>0</v>
      </c>
      <c r="D55" s="43">
        <v>0</v>
      </c>
      <c r="E55" s="87"/>
      <c r="F55" s="87"/>
      <c r="G55" s="87"/>
      <c r="H55" s="87"/>
      <c r="I55" s="87"/>
      <c r="J55" s="87"/>
      <c r="K55" s="87"/>
      <c r="L55" s="87"/>
      <c r="M55" s="87"/>
      <c r="N55" s="87"/>
      <c r="O55" s="87"/>
      <c r="P55" s="10"/>
      <c r="Q55" s="10"/>
      <c r="U55" s="10"/>
    </row>
    <row r="56" spans="1:21" ht="16" thickBot="1">
      <c r="A56" s="8" t="s">
        <v>35</v>
      </c>
      <c r="B56" s="43">
        <v>423</v>
      </c>
      <c r="C56" s="43">
        <v>435</v>
      </c>
      <c r="D56" s="43">
        <v>450</v>
      </c>
      <c r="E56" s="252">
        <v>270</v>
      </c>
      <c r="F56" s="252">
        <v>270</v>
      </c>
      <c r="G56" s="252">
        <v>270</v>
      </c>
      <c r="H56" s="252">
        <v>270</v>
      </c>
      <c r="I56" s="252">
        <v>270</v>
      </c>
      <c r="J56" s="252">
        <v>270</v>
      </c>
      <c r="K56" s="252">
        <v>270</v>
      </c>
      <c r="L56" s="252">
        <v>270</v>
      </c>
      <c r="M56" s="252">
        <v>270</v>
      </c>
      <c r="N56" s="252">
        <v>270</v>
      </c>
      <c r="O56" s="252">
        <v>270</v>
      </c>
      <c r="P56" s="10"/>
      <c r="Q56" s="10"/>
      <c r="U56" s="10"/>
    </row>
    <row r="57" spans="1:21" ht="16" thickBot="1">
      <c r="A57" s="106" t="s">
        <v>36</v>
      </c>
      <c r="B57" s="91">
        <f>SUM(B52:B56)</f>
        <v>3290</v>
      </c>
      <c r="C57" s="91">
        <f t="shared" ref="C57:N57" si="27">SUM(C52:C56)</f>
        <v>2075</v>
      </c>
      <c r="D57" s="91">
        <f t="shared" si="27"/>
        <v>1481</v>
      </c>
      <c r="E57" s="91">
        <f t="shared" si="27"/>
        <v>761</v>
      </c>
      <c r="F57" s="91">
        <f t="shared" si="27"/>
        <v>761</v>
      </c>
      <c r="G57" s="91">
        <f t="shared" si="27"/>
        <v>761</v>
      </c>
      <c r="H57" s="91">
        <f t="shared" si="27"/>
        <v>761</v>
      </c>
      <c r="I57" s="91">
        <f t="shared" si="27"/>
        <v>761</v>
      </c>
      <c r="J57" s="91">
        <f t="shared" si="27"/>
        <v>761</v>
      </c>
      <c r="K57" s="91">
        <f t="shared" si="27"/>
        <v>761</v>
      </c>
      <c r="L57" s="91">
        <f t="shared" si="27"/>
        <v>761</v>
      </c>
      <c r="M57" s="91">
        <f t="shared" si="27"/>
        <v>761</v>
      </c>
      <c r="N57" s="92">
        <f t="shared" si="27"/>
        <v>761</v>
      </c>
      <c r="O57" s="92">
        <f t="shared" ref="O57" si="28">SUM(O52:O56)</f>
        <v>761</v>
      </c>
      <c r="P57" s="10"/>
      <c r="Q57" s="10"/>
      <c r="U57" s="10"/>
    </row>
    <row r="58" spans="1:21">
      <c r="A58" s="3"/>
      <c r="B58" s="93"/>
      <c r="C58" s="93"/>
      <c r="D58" s="93"/>
      <c r="E58" s="93"/>
      <c r="F58" s="93"/>
      <c r="G58" s="93"/>
      <c r="H58" s="93"/>
      <c r="I58" s="93"/>
      <c r="J58" s="93"/>
      <c r="K58" s="93"/>
      <c r="L58" s="93"/>
      <c r="M58" s="93"/>
      <c r="N58" s="93"/>
      <c r="O58" s="93"/>
      <c r="P58" s="10"/>
      <c r="Q58" s="10"/>
      <c r="U58" s="10"/>
    </row>
    <row r="59" spans="1:21" ht="16" thickBot="1">
      <c r="A59" s="3"/>
      <c r="B59" s="93"/>
      <c r="C59" s="93"/>
      <c r="D59" s="93"/>
      <c r="E59" s="93"/>
      <c r="F59" s="93"/>
      <c r="G59" s="93"/>
      <c r="H59" s="93"/>
      <c r="I59" s="93"/>
      <c r="J59" s="93"/>
      <c r="K59" s="93"/>
      <c r="L59" s="93"/>
      <c r="M59" s="93"/>
      <c r="N59" s="93"/>
      <c r="O59" s="93"/>
      <c r="P59" s="10"/>
      <c r="Q59" s="10"/>
      <c r="U59" s="10"/>
    </row>
    <row r="60" spans="1:21" ht="16" thickBot="1">
      <c r="A60" s="190" t="s">
        <v>291</v>
      </c>
      <c r="B60" s="93"/>
      <c r="C60" s="93"/>
      <c r="D60" s="93"/>
      <c r="E60" s="93"/>
      <c r="F60" s="93"/>
      <c r="G60" s="93"/>
      <c r="H60" s="93"/>
      <c r="I60" s="93"/>
      <c r="J60" s="93"/>
      <c r="K60" s="93"/>
      <c r="L60" s="93"/>
      <c r="M60" s="93"/>
      <c r="N60" s="93"/>
      <c r="O60" s="93"/>
      <c r="P60" s="10"/>
      <c r="Q60" s="10"/>
      <c r="U60" s="10"/>
    </row>
    <row r="61" spans="1:21">
      <c r="A61" s="3" t="s">
        <v>379</v>
      </c>
      <c r="B61" s="43">
        <v>0</v>
      </c>
      <c r="C61" s="43">
        <v>15459.2919</v>
      </c>
      <c r="D61" s="43">
        <v>13561.47</v>
      </c>
      <c r="E61" s="261">
        <f>6526+8518</f>
        <v>15044</v>
      </c>
      <c r="F61" s="264">
        <f>7116+8525</f>
        <v>15641</v>
      </c>
      <c r="G61" s="261">
        <f>3955+8871</f>
        <v>12826</v>
      </c>
      <c r="H61" s="261">
        <f>4024+8946</f>
        <v>12970</v>
      </c>
      <c r="I61" s="261">
        <f>4060+9178</f>
        <v>13238</v>
      </c>
      <c r="J61" s="261">
        <f>4087+9290</f>
        <v>13377</v>
      </c>
      <c r="K61" s="93"/>
      <c r="L61" s="93"/>
      <c r="M61" s="93"/>
      <c r="N61" s="93"/>
      <c r="O61" s="93"/>
      <c r="P61" s="70"/>
      <c r="Q61" s="70"/>
      <c r="R61" s="70"/>
      <c r="U61" s="10"/>
    </row>
    <row r="62" spans="1:21">
      <c r="A62" s="3" t="s">
        <v>380</v>
      </c>
      <c r="B62" s="43">
        <v>0</v>
      </c>
      <c r="C62" s="43">
        <v>1166.8351499999999</v>
      </c>
      <c r="D62" s="43">
        <v>1709.5049999999999</v>
      </c>
      <c r="E62" s="261">
        <v>1468</v>
      </c>
      <c r="F62" s="262">
        <v>1230</v>
      </c>
      <c r="G62" s="261">
        <v>1276</v>
      </c>
      <c r="H62" s="261">
        <v>1252</v>
      </c>
      <c r="I62" s="261">
        <v>1249</v>
      </c>
      <c r="J62" s="261">
        <v>1244</v>
      </c>
      <c r="K62" s="93"/>
      <c r="L62" s="93"/>
      <c r="M62" s="93"/>
      <c r="N62" s="93"/>
      <c r="O62" s="93"/>
      <c r="P62" s="70"/>
      <c r="Q62" s="70"/>
      <c r="R62" s="70"/>
      <c r="U62" s="10"/>
    </row>
    <row r="63" spans="1:21">
      <c r="A63" s="3" t="s">
        <v>381</v>
      </c>
      <c r="B63" s="43">
        <v>0</v>
      </c>
      <c r="C63" s="43">
        <v>1.0190699999999999</v>
      </c>
      <c r="D63" s="43">
        <v>6.0299999999999994</v>
      </c>
      <c r="E63" s="261">
        <v>0</v>
      </c>
      <c r="F63" s="262">
        <v>29</v>
      </c>
      <c r="G63" s="261">
        <v>29</v>
      </c>
      <c r="H63" s="261">
        <v>29</v>
      </c>
      <c r="I63" s="261">
        <v>29</v>
      </c>
      <c r="J63" s="261">
        <v>29</v>
      </c>
      <c r="K63" s="93"/>
      <c r="L63" s="93"/>
      <c r="M63" s="93"/>
      <c r="N63" s="93"/>
      <c r="O63" s="93"/>
      <c r="P63" s="70"/>
      <c r="Q63" s="70"/>
      <c r="R63" s="70"/>
      <c r="U63" s="10"/>
    </row>
    <row r="64" spans="1:21" ht="16" thickBot="1">
      <c r="A64" s="3"/>
      <c r="B64" s="93"/>
      <c r="C64" s="93"/>
      <c r="D64" s="93"/>
      <c r="E64" s="93"/>
      <c r="F64" s="93"/>
      <c r="G64" s="93"/>
      <c r="H64" s="93"/>
      <c r="I64" s="93"/>
      <c r="J64" s="93"/>
      <c r="K64" s="93"/>
      <c r="L64" s="93"/>
      <c r="M64" s="93"/>
      <c r="N64" s="93"/>
      <c r="O64" s="93"/>
      <c r="P64" s="10"/>
      <c r="Q64" s="10"/>
      <c r="U64" s="10"/>
    </row>
    <row r="65" spans="1:21" ht="16" thickBot="1">
      <c r="A65" s="106" t="s">
        <v>299</v>
      </c>
      <c r="B65" s="91">
        <v>12726</v>
      </c>
      <c r="C65" s="91">
        <v>18166</v>
      </c>
      <c r="D65" s="91">
        <v>13525</v>
      </c>
      <c r="E65" s="91">
        <f>IF(E17="A",17399,16512)</f>
        <v>17399</v>
      </c>
      <c r="F65" s="91">
        <f t="shared" ref="F65:J65" si="29">SUM(F61:F63)</f>
        <v>16900</v>
      </c>
      <c r="G65" s="91">
        <f t="shared" si="29"/>
        <v>14131</v>
      </c>
      <c r="H65" s="91">
        <f t="shared" si="29"/>
        <v>14251</v>
      </c>
      <c r="I65" s="91">
        <f t="shared" si="29"/>
        <v>14516</v>
      </c>
      <c r="J65" s="91">
        <f t="shared" si="29"/>
        <v>14650</v>
      </c>
      <c r="K65" s="91"/>
      <c r="L65" s="91"/>
      <c r="M65" s="91"/>
      <c r="N65" s="92"/>
      <c r="O65" s="92"/>
      <c r="P65" s="10"/>
      <c r="Q65" s="10"/>
      <c r="U65" s="10"/>
    </row>
    <row r="66" spans="1:21">
      <c r="A66" s="3"/>
      <c r="B66" s="93">
        <v>0</v>
      </c>
      <c r="C66" s="93">
        <v>16627.146119999998</v>
      </c>
      <c r="D66" s="93">
        <v>15277.004999999999</v>
      </c>
      <c r="E66" s="93">
        <v>16512</v>
      </c>
      <c r="F66" s="93"/>
      <c r="G66" s="93"/>
      <c r="H66" s="93"/>
      <c r="I66" s="93"/>
      <c r="J66" s="93"/>
      <c r="K66" s="93"/>
      <c r="L66" s="93"/>
      <c r="M66" s="93"/>
      <c r="N66" s="93"/>
      <c r="O66" s="93"/>
      <c r="P66" s="10"/>
      <c r="Q66" s="10"/>
      <c r="U66" s="10"/>
    </row>
    <row r="67" spans="1:21" ht="16" thickBot="1">
      <c r="A67" s="3"/>
      <c r="B67" s="93"/>
      <c r="C67" s="93"/>
      <c r="D67" s="93"/>
      <c r="E67" s="93"/>
      <c r="F67" s="93"/>
      <c r="G67" s="93"/>
      <c r="H67" s="93"/>
      <c r="I67" s="93"/>
      <c r="J67" s="93"/>
      <c r="K67" s="93"/>
      <c r="L67" s="93"/>
      <c r="M67" s="93"/>
      <c r="N67" s="93"/>
      <c r="O67" s="93"/>
      <c r="P67" s="10"/>
      <c r="Q67" s="10"/>
      <c r="U67" s="10"/>
    </row>
    <row r="68" spans="1:21" ht="16" thickBot="1">
      <c r="A68" s="190" t="s">
        <v>288</v>
      </c>
      <c r="B68" s="93"/>
      <c r="C68" s="93"/>
      <c r="D68" s="93"/>
      <c r="E68" s="93"/>
      <c r="F68" s="93"/>
      <c r="G68" s="93"/>
      <c r="H68" s="93"/>
      <c r="I68" s="93"/>
      <c r="J68" s="93"/>
      <c r="K68" s="93"/>
      <c r="L68" s="93"/>
      <c r="M68" s="93"/>
      <c r="N68" s="93"/>
      <c r="O68" s="93"/>
      <c r="P68" s="10"/>
      <c r="Q68" s="10"/>
      <c r="U68" s="10"/>
    </row>
    <row r="69" spans="1:21">
      <c r="A69" s="3" t="s">
        <v>73</v>
      </c>
      <c r="B69" s="43">
        <v>0</v>
      </c>
      <c r="C69" s="43">
        <v>795.89366999999993</v>
      </c>
      <c r="D69" s="43">
        <v>1032.135</v>
      </c>
      <c r="E69" s="261">
        <v>131</v>
      </c>
      <c r="F69" s="261">
        <v>234</v>
      </c>
      <c r="G69" s="261">
        <v>302</v>
      </c>
      <c r="H69" s="261">
        <v>1095</v>
      </c>
      <c r="I69" s="261">
        <v>605</v>
      </c>
      <c r="J69" s="261">
        <v>302</v>
      </c>
      <c r="K69" s="93"/>
      <c r="L69" s="93"/>
      <c r="M69" s="93"/>
      <c r="N69" s="93"/>
      <c r="O69" s="93"/>
      <c r="P69" s="70"/>
      <c r="Q69" s="70"/>
      <c r="R69" s="70"/>
      <c r="U69" s="10"/>
    </row>
    <row r="70" spans="1:21">
      <c r="A70" s="3" t="s">
        <v>289</v>
      </c>
      <c r="B70" s="43">
        <v>0</v>
      </c>
      <c r="C70" s="43">
        <v>663.41456999999991</v>
      </c>
      <c r="D70" s="43">
        <v>557.77499999999998</v>
      </c>
      <c r="E70" s="261">
        <v>439</v>
      </c>
      <c r="F70" s="261">
        <v>701</v>
      </c>
      <c r="G70" s="261">
        <v>934</v>
      </c>
      <c r="H70" s="261">
        <v>492</v>
      </c>
      <c r="I70" s="261">
        <v>135</v>
      </c>
      <c r="J70" s="261">
        <v>1262</v>
      </c>
      <c r="K70" s="93"/>
      <c r="L70" s="93"/>
      <c r="M70" s="93"/>
      <c r="N70" s="93"/>
      <c r="O70" s="93"/>
      <c r="P70" s="70"/>
      <c r="Q70" s="70"/>
      <c r="R70" s="70"/>
      <c r="U70" s="10"/>
    </row>
    <row r="71" spans="1:21">
      <c r="A71" s="3" t="s">
        <v>290</v>
      </c>
      <c r="B71" s="43">
        <v>0</v>
      </c>
      <c r="C71" s="43">
        <v>0</v>
      </c>
      <c r="D71" s="43">
        <v>0</v>
      </c>
      <c r="E71" s="261">
        <v>0</v>
      </c>
      <c r="F71" s="261">
        <v>0</v>
      </c>
      <c r="G71" s="261">
        <v>0</v>
      </c>
      <c r="H71" s="261">
        <v>0</v>
      </c>
      <c r="I71" s="261">
        <v>0</v>
      </c>
      <c r="J71" s="261">
        <v>0</v>
      </c>
      <c r="K71" s="93"/>
      <c r="L71" s="93"/>
      <c r="M71" s="93"/>
      <c r="N71" s="93"/>
      <c r="O71" s="93"/>
      <c r="P71" s="70"/>
      <c r="Q71" s="70"/>
      <c r="R71" s="70"/>
      <c r="U71" s="10"/>
    </row>
    <row r="72" spans="1:21">
      <c r="A72" s="3" t="s">
        <v>234</v>
      </c>
      <c r="B72" s="43"/>
      <c r="C72" s="43"/>
      <c r="D72" s="43"/>
      <c r="E72" s="261">
        <v>0</v>
      </c>
      <c r="F72" s="261">
        <v>59</v>
      </c>
      <c r="G72" s="261">
        <v>59</v>
      </c>
      <c r="H72" s="261">
        <v>59</v>
      </c>
      <c r="I72" s="261">
        <v>59</v>
      </c>
      <c r="J72" s="261">
        <v>59</v>
      </c>
      <c r="K72" s="93"/>
      <c r="L72" s="93"/>
      <c r="M72" s="93"/>
      <c r="N72" s="93"/>
      <c r="O72" s="93"/>
      <c r="P72" s="70"/>
      <c r="Q72" s="70"/>
      <c r="U72" s="10"/>
    </row>
    <row r="73" spans="1:21" ht="16" thickBot="1">
      <c r="A73" s="3"/>
      <c r="B73" s="93"/>
      <c r="C73" s="93"/>
      <c r="D73" s="93"/>
      <c r="E73" s="93"/>
      <c r="F73" s="93"/>
      <c r="G73" s="93"/>
      <c r="H73" s="93"/>
      <c r="I73" s="93"/>
      <c r="J73" s="93"/>
      <c r="K73" s="93"/>
      <c r="L73" s="93"/>
      <c r="M73" s="93"/>
      <c r="N73" s="93"/>
      <c r="O73" s="93"/>
      <c r="P73" s="10"/>
      <c r="Q73" s="10"/>
      <c r="U73" s="10"/>
    </row>
    <row r="74" spans="1:21" ht="16" thickBot="1">
      <c r="A74" s="106" t="s">
        <v>300</v>
      </c>
      <c r="B74" s="91">
        <v>215</v>
      </c>
      <c r="C74" s="91">
        <v>307</v>
      </c>
      <c r="D74" s="91">
        <v>299</v>
      </c>
      <c r="E74" s="91">
        <f>IF(E17="A",294,570)</f>
        <v>294</v>
      </c>
      <c r="F74" s="91">
        <f t="shared" ref="F74:I74" si="30">SUM(F69:F72)</f>
        <v>994</v>
      </c>
      <c r="G74" s="91">
        <f t="shared" si="30"/>
        <v>1295</v>
      </c>
      <c r="H74" s="91">
        <f t="shared" si="30"/>
        <v>1646</v>
      </c>
      <c r="I74" s="91">
        <f t="shared" si="30"/>
        <v>799</v>
      </c>
      <c r="J74" s="91">
        <f>SUM(J69:J72)</f>
        <v>1623</v>
      </c>
      <c r="K74" s="91"/>
      <c r="L74" s="91"/>
      <c r="M74" s="91"/>
      <c r="N74" s="92"/>
      <c r="O74" s="92"/>
      <c r="P74" s="10"/>
      <c r="Q74" s="10"/>
      <c r="U74" s="10"/>
    </row>
    <row r="75" spans="1:21" ht="16" thickBot="1">
      <c r="A75" s="3"/>
      <c r="B75" s="93">
        <v>0</v>
      </c>
      <c r="C75" s="93">
        <v>1459.3082399999998</v>
      </c>
      <c r="D75" s="93">
        <v>1589.9099999999999</v>
      </c>
      <c r="E75" s="93">
        <v>570</v>
      </c>
      <c r="F75" s="93"/>
      <c r="G75" s="93"/>
      <c r="H75" s="93"/>
      <c r="I75" s="93"/>
      <c r="J75" s="93"/>
      <c r="K75" s="93"/>
      <c r="L75" s="93"/>
      <c r="M75" s="93"/>
      <c r="N75" s="93"/>
      <c r="O75" s="93"/>
      <c r="P75" s="10"/>
      <c r="Q75" s="10"/>
      <c r="U75" s="10"/>
    </row>
    <row r="76" spans="1:21" ht="16" thickBot="1">
      <c r="A76" s="190" t="s">
        <v>293</v>
      </c>
      <c r="B76" s="93"/>
      <c r="C76" s="93"/>
      <c r="D76" s="93"/>
      <c r="E76" s="93"/>
      <c r="F76" s="93"/>
      <c r="G76" s="93"/>
      <c r="H76" s="93"/>
      <c r="I76" s="93"/>
      <c r="J76" s="93"/>
      <c r="K76" s="93"/>
      <c r="L76" s="93"/>
      <c r="M76" s="93"/>
      <c r="N76" s="93"/>
      <c r="O76" s="93"/>
      <c r="P76" s="10"/>
      <c r="Q76" s="10"/>
      <c r="U76" s="10"/>
    </row>
    <row r="77" spans="1:21">
      <c r="A77" s="3" t="s">
        <v>73</v>
      </c>
      <c r="B77" s="43">
        <v>0</v>
      </c>
      <c r="C77" s="43">
        <v>1049.6421</v>
      </c>
      <c r="D77" s="43">
        <v>1605.9899999999998</v>
      </c>
      <c r="E77" s="261">
        <v>342</v>
      </c>
      <c r="F77" s="261">
        <v>401</v>
      </c>
      <c r="G77" s="261">
        <v>352</v>
      </c>
      <c r="H77" s="261">
        <v>352</v>
      </c>
      <c r="I77" s="261">
        <v>352</v>
      </c>
      <c r="J77" s="261">
        <v>352</v>
      </c>
      <c r="K77" s="93"/>
      <c r="L77" s="93"/>
      <c r="M77" s="93"/>
      <c r="N77" s="93"/>
      <c r="O77" s="93"/>
      <c r="P77" s="70"/>
      <c r="Q77" s="70"/>
      <c r="R77" s="70"/>
      <c r="U77" s="10"/>
    </row>
    <row r="78" spans="1:21">
      <c r="A78" s="3" t="s">
        <v>289</v>
      </c>
      <c r="B78" s="43">
        <v>0</v>
      </c>
      <c r="C78" s="43">
        <v>7943.6506499999996</v>
      </c>
      <c r="D78" s="43">
        <v>1351.7249999999999</v>
      </c>
      <c r="E78" s="261">
        <v>881</v>
      </c>
      <c r="F78" s="261">
        <v>1008</v>
      </c>
      <c r="G78" s="261">
        <v>685</v>
      </c>
      <c r="H78" s="261">
        <v>685</v>
      </c>
      <c r="I78" s="261">
        <v>1174</v>
      </c>
      <c r="J78" s="261">
        <v>1174</v>
      </c>
      <c r="K78" s="93"/>
      <c r="L78" s="93"/>
      <c r="M78" s="93"/>
      <c r="N78" s="93"/>
      <c r="O78" s="93"/>
      <c r="P78" s="70"/>
      <c r="Q78" s="70"/>
      <c r="R78" s="70"/>
      <c r="U78" s="10"/>
    </row>
    <row r="79" spans="1:21">
      <c r="A79" s="3" t="s">
        <v>290</v>
      </c>
      <c r="B79" s="43">
        <v>0</v>
      </c>
      <c r="C79" s="43">
        <v>0</v>
      </c>
      <c r="D79" s="43">
        <v>1383.8849999999998</v>
      </c>
      <c r="E79" s="261"/>
      <c r="F79" s="261"/>
      <c r="G79" s="261"/>
      <c r="H79" s="261"/>
      <c r="I79" s="261"/>
      <c r="J79" s="261"/>
      <c r="K79" s="93"/>
      <c r="L79" s="93"/>
      <c r="M79" s="93"/>
      <c r="N79" s="93"/>
      <c r="O79" s="93"/>
      <c r="P79" s="70"/>
      <c r="Q79" s="70"/>
      <c r="R79" s="70"/>
      <c r="U79" s="10"/>
    </row>
    <row r="80" spans="1:21">
      <c r="A80" s="3" t="s">
        <v>234</v>
      </c>
      <c r="B80" s="43">
        <v>0</v>
      </c>
      <c r="C80" s="43">
        <v>877.41926999999987</v>
      </c>
      <c r="D80" s="43">
        <v>933.64499999999987</v>
      </c>
      <c r="E80" s="261">
        <v>403</v>
      </c>
      <c r="F80" s="261">
        <v>235</v>
      </c>
      <c r="G80" s="261">
        <v>235</v>
      </c>
      <c r="H80" s="261">
        <v>162</v>
      </c>
      <c r="I80" s="261">
        <v>162</v>
      </c>
      <c r="J80" s="261">
        <v>162</v>
      </c>
      <c r="K80" s="93"/>
      <c r="L80" s="93"/>
      <c r="M80" s="93"/>
      <c r="N80" s="93"/>
      <c r="O80" s="93"/>
      <c r="P80" s="70"/>
      <c r="Q80" s="70"/>
      <c r="R80" s="70"/>
      <c r="U80" s="10"/>
    </row>
    <row r="81" spans="1:21" ht="16" thickBot="1">
      <c r="A81" s="3"/>
      <c r="B81" s="93"/>
      <c r="C81" s="93"/>
      <c r="D81" s="93"/>
      <c r="E81" s="93"/>
      <c r="F81" s="93"/>
      <c r="G81" s="93"/>
      <c r="H81" s="93"/>
      <c r="I81" s="93"/>
      <c r="J81" s="93"/>
      <c r="K81" s="93"/>
      <c r="L81" s="93"/>
      <c r="M81" s="93"/>
      <c r="N81" s="93"/>
      <c r="O81" s="93"/>
      <c r="P81" s="10"/>
      <c r="Q81" s="10"/>
      <c r="U81" s="10"/>
    </row>
    <row r="82" spans="1:21" ht="16" thickBot="1">
      <c r="A82" s="106" t="s">
        <v>301</v>
      </c>
      <c r="B82" s="91">
        <v>1022</v>
      </c>
      <c r="C82" s="91">
        <v>1459</v>
      </c>
      <c r="D82" s="91">
        <v>1086</v>
      </c>
      <c r="E82" s="91">
        <f>IF(E17="A",1397,1626)</f>
        <v>1397</v>
      </c>
      <c r="F82" s="91">
        <f t="shared" ref="F82:I82" si="31">SUM(F77:F80)</f>
        <v>1644</v>
      </c>
      <c r="G82" s="91">
        <f t="shared" si="31"/>
        <v>1272</v>
      </c>
      <c r="H82" s="91">
        <f t="shared" si="31"/>
        <v>1199</v>
      </c>
      <c r="I82" s="91">
        <f t="shared" si="31"/>
        <v>1688</v>
      </c>
      <c r="J82" s="91">
        <f>SUM(J77:J80)</f>
        <v>1688</v>
      </c>
      <c r="K82" s="91"/>
      <c r="L82" s="91"/>
      <c r="M82" s="91"/>
      <c r="N82" s="92"/>
      <c r="O82" s="92"/>
      <c r="P82" s="10"/>
      <c r="Q82" s="10"/>
      <c r="U82" s="10"/>
    </row>
    <row r="83" spans="1:21">
      <c r="A83" s="3"/>
      <c r="B83" s="93">
        <v>0</v>
      </c>
      <c r="C83" s="93">
        <v>9870.7120200000008</v>
      </c>
      <c r="D83" s="93">
        <v>5275.244999999999</v>
      </c>
      <c r="E83" s="93">
        <v>1626</v>
      </c>
      <c r="F83" s="93"/>
      <c r="G83" s="93"/>
      <c r="H83" s="93"/>
      <c r="I83" s="93"/>
      <c r="J83" s="93"/>
      <c r="K83" s="93"/>
      <c r="L83" s="93"/>
      <c r="M83" s="93"/>
      <c r="N83" s="93"/>
      <c r="O83" s="93"/>
      <c r="P83" s="10"/>
      <c r="Q83" s="10"/>
      <c r="U83" s="10"/>
    </row>
    <row r="84" spans="1:21" ht="19" thickBot="1">
      <c r="A84" s="1"/>
      <c r="B84" s="93"/>
      <c r="C84" s="93"/>
      <c r="D84" s="93"/>
      <c r="E84" s="93"/>
      <c r="F84" s="93"/>
      <c r="G84" s="93"/>
      <c r="H84" s="93"/>
      <c r="I84" s="93"/>
      <c r="J84" s="93"/>
      <c r="K84" s="93"/>
      <c r="L84" s="93"/>
      <c r="M84" s="93"/>
      <c r="N84" s="93"/>
      <c r="O84" s="93"/>
      <c r="P84" s="10"/>
      <c r="Q84" s="10"/>
      <c r="U84" s="10"/>
    </row>
    <row r="85" spans="1:21" ht="16" thickBot="1">
      <c r="A85" s="190" t="s">
        <v>292</v>
      </c>
      <c r="B85" s="93"/>
      <c r="C85" s="93"/>
      <c r="D85" s="93"/>
      <c r="E85" s="93"/>
      <c r="F85" s="93"/>
      <c r="G85" s="93"/>
      <c r="H85" s="93"/>
      <c r="I85" s="93"/>
      <c r="J85" s="93"/>
      <c r="K85" s="93"/>
      <c r="L85" s="93"/>
      <c r="M85" s="93"/>
      <c r="N85" s="93"/>
      <c r="O85" s="93"/>
      <c r="P85" s="10"/>
      <c r="Q85" s="10"/>
      <c r="U85" s="10"/>
    </row>
    <row r="86" spans="1:21" ht="16" thickBot="1"/>
    <row r="87" spans="1:21" ht="16" thickBot="1">
      <c r="A87" s="106" t="s">
        <v>281</v>
      </c>
      <c r="B87" s="91">
        <f>B5</f>
        <v>2013</v>
      </c>
      <c r="C87" s="91">
        <f t="shared" ref="C87:N87" si="32">C5</f>
        <v>2014</v>
      </c>
      <c r="D87" s="91">
        <f t="shared" si="32"/>
        <v>2015</v>
      </c>
      <c r="E87" s="91">
        <f t="shared" si="32"/>
        <v>2016</v>
      </c>
      <c r="F87" s="91">
        <f t="shared" si="32"/>
        <v>2017</v>
      </c>
      <c r="G87" s="91">
        <f t="shared" si="32"/>
        <v>2018</v>
      </c>
      <c r="H87" s="91">
        <f t="shared" si="32"/>
        <v>2019</v>
      </c>
      <c r="I87" s="91">
        <f t="shared" si="32"/>
        <v>2020</v>
      </c>
      <c r="J87" s="91">
        <f t="shared" si="32"/>
        <v>2021</v>
      </c>
      <c r="K87" s="91">
        <f t="shared" si="32"/>
        <v>2022</v>
      </c>
      <c r="L87" s="91">
        <f t="shared" si="32"/>
        <v>2023</v>
      </c>
      <c r="M87" s="91">
        <f t="shared" si="32"/>
        <v>2024</v>
      </c>
      <c r="N87" s="91">
        <f t="shared" si="32"/>
        <v>2025</v>
      </c>
      <c r="O87" s="92"/>
      <c r="P87" s="10"/>
      <c r="Q87" s="10"/>
      <c r="U87" s="10"/>
    </row>
    <row r="88" spans="1:21">
      <c r="A88" s="71" t="s">
        <v>29</v>
      </c>
      <c r="B88" s="43">
        <v>0</v>
      </c>
      <c r="C88" s="43">
        <v>1760.9529599999998</v>
      </c>
      <c r="D88" s="43">
        <v>2101.4549999999999</v>
      </c>
      <c r="E88" s="261">
        <v>2134</v>
      </c>
      <c r="F88" s="261">
        <v>2264</v>
      </c>
      <c r="G88" s="261">
        <v>2942</v>
      </c>
      <c r="H88" s="261">
        <v>2279</v>
      </c>
      <c r="I88" s="261">
        <v>2887</v>
      </c>
      <c r="J88" s="261">
        <v>2042</v>
      </c>
      <c r="P88" s="70"/>
      <c r="Q88" s="70"/>
      <c r="R88" s="70"/>
    </row>
    <row r="89" spans="1:21">
      <c r="A89" s="71" t="s">
        <v>384</v>
      </c>
      <c r="B89" s="43">
        <v>0</v>
      </c>
      <c r="C89" s="43">
        <v>576.79361999999992</v>
      </c>
      <c r="D89" s="43">
        <v>0</v>
      </c>
      <c r="P89" s="70"/>
      <c r="Q89" s="70"/>
      <c r="R89" s="70"/>
    </row>
    <row r="90" spans="1:21">
      <c r="A90" s="8"/>
      <c r="B90" s="43"/>
      <c r="C90" s="43"/>
      <c r="D90" s="43"/>
    </row>
    <row r="91" spans="1:21">
      <c r="A91" s="8"/>
      <c r="B91" s="43"/>
      <c r="C91" s="43"/>
      <c r="D91" s="43"/>
    </row>
    <row r="92" spans="1:21">
      <c r="A92" s="8"/>
      <c r="B92" s="43"/>
      <c r="C92" s="43"/>
      <c r="D92" s="43"/>
    </row>
    <row r="93" spans="1:21">
      <c r="A93" s="8"/>
      <c r="B93" s="43"/>
      <c r="C93" s="43"/>
      <c r="D93" s="43"/>
    </row>
    <row r="94" spans="1:21">
      <c r="A94" s="8"/>
      <c r="B94" s="43"/>
      <c r="C94" s="43"/>
      <c r="D94" s="43"/>
    </row>
    <row r="95" spans="1:21">
      <c r="A95" s="8"/>
      <c r="B95" s="43"/>
      <c r="C95" s="43"/>
      <c r="D95" s="43"/>
    </row>
    <row r="96" spans="1:21" ht="16" thickBot="1">
      <c r="A96" s="8"/>
      <c r="B96" s="43"/>
      <c r="C96" s="43"/>
      <c r="D96" s="43"/>
    </row>
    <row r="97" spans="1:21" ht="16" thickBot="1">
      <c r="A97" s="106" t="s">
        <v>411</v>
      </c>
      <c r="B97" s="91">
        <v>1670</v>
      </c>
      <c r="C97" s="91">
        <v>2384</v>
      </c>
      <c r="D97" s="91">
        <v>1775</v>
      </c>
      <c r="E97" s="91">
        <f>IF(E17="A",2283,2134)</f>
        <v>2283</v>
      </c>
      <c r="F97" s="91">
        <f t="shared" ref="F97:N97" si="33">SUM(F88:F96)</f>
        <v>2264</v>
      </c>
      <c r="G97" s="91">
        <f t="shared" si="33"/>
        <v>2942</v>
      </c>
      <c r="H97" s="91">
        <f t="shared" si="33"/>
        <v>2279</v>
      </c>
      <c r="I97" s="91">
        <f t="shared" si="33"/>
        <v>2887</v>
      </c>
      <c r="J97" s="91">
        <f>SUM(J88:J96)</f>
        <v>2042</v>
      </c>
      <c r="K97" s="91">
        <f t="shared" si="33"/>
        <v>0</v>
      </c>
      <c r="L97" s="91">
        <f t="shared" si="33"/>
        <v>0</v>
      </c>
      <c r="M97" s="91">
        <f t="shared" si="33"/>
        <v>0</v>
      </c>
      <c r="N97" s="92">
        <f t="shared" si="33"/>
        <v>0</v>
      </c>
      <c r="O97" s="92">
        <f t="shared" ref="O97" si="34">SUM(O88:O96)</f>
        <v>0</v>
      </c>
      <c r="P97" s="10"/>
      <c r="Q97" s="10"/>
      <c r="U97" s="10"/>
    </row>
    <row r="98" spans="1:21" ht="16" thickBot="1">
      <c r="B98">
        <v>0</v>
      </c>
      <c r="C98">
        <v>2337.74658</v>
      </c>
      <c r="D98">
        <v>2101.4549999999999</v>
      </c>
      <c r="E98">
        <v>2134</v>
      </c>
    </row>
    <row r="99" spans="1:21" ht="16" thickBot="1">
      <c r="A99" s="190" t="s">
        <v>294</v>
      </c>
    </row>
    <row r="100" spans="1:21" ht="16" thickBot="1">
      <c r="A100" s="3"/>
    </row>
    <row r="101" spans="1:21" ht="16" thickBot="1">
      <c r="A101" s="106" t="s">
        <v>281</v>
      </c>
      <c r="B101" s="91">
        <f>B87</f>
        <v>2013</v>
      </c>
      <c r="C101" s="91">
        <f t="shared" ref="C101:N101" si="35">C87</f>
        <v>2014</v>
      </c>
      <c r="D101" s="91">
        <f t="shared" si="35"/>
        <v>2015</v>
      </c>
      <c r="E101" s="91">
        <f t="shared" si="35"/>
        <v>2016</v>
      </c>
      <c r="F101" s="91">
        <f t="shared" si="35"/>
        <v>2017</v>
      </c>
      <c r="G101" s="91">
        <f t="shared" si="35"/>
        <v>2018</v>
      </c>
      <c r="H101" s="91">
        <f t="shared" si="35"/>
        <v>2019</v>
      </c>
      <c r="I101" s="91">
        <f t="shared" si="35"/>
        <v>2020</v>
      </c>
      <c r="J101" s="91">
        <f t="shared" si="35"/>
        <v>2021</v>
      </c>
      <c r="K101" s="91">
        <f t="shared" si="35"/>
        <v>2022</v>
      </c>
      <c r="L101" s="91">
        <f t="shared" si="35"/>
        <v>2023</v>
      </c>
      <c r="M101" s="91">
        <f t="shared" si="35"/>
        <v>2024</v>
      </c>
      <c r="N101" s="92">
        <f t="shared" si="35"/>
        <v>2025</v>
      </c>
      <c r="O101" s="92">
        <f t="shared" ref="O101" si="36">O87</f>
        <v>0</v>
      </c>
      <c r="P101" s="10"/>
      <c r="Q101" s="10"/>
      <c r="U101" s="10"/>
    </row>
    <row r="102" spans="1:21">
      <c r="A102" s="12" t="s">
        <v>29</v>
      </c>
      <c r="B102" s="43">
        <v>0</v>
      </c>
      <c r="C102" s="43">
        <v>666.47177999999997</v>
      </c>
      <c r="D102" s="43">
        <v>73.364999999999995</v>
      </c>
      <c r="E102" s="249"/>
      <c r="F102" s="249">
        <v>258</v>
      </c>
      <c r="G102" s="249">
        <v>379</v>
      </c>
      <c r="H102" s="249">
        <v>401</v>
      </c>
      <c r="I102" s="249">
        <v>518</v>
      </c>
      <c r="J102" s="249">
        <v>197</v>
      </c>
      <c r="P102" s="70"/>
      <c r="Q102" s="70"/>
      <c r="R102" s="70"/>
    </row>
    <row r="103" spans="1:21">
      <c r="A103" s="71"/>
      <c r="B103" s="43"/>
      <c r="C103" s="43"/>
      <c r="D103" s="43"/>
      <c r="E103" s="249"/>
      <c r="F103" s="249"/>
      <c r="G103" s="249"/>
      <c r="H103" s="249"/>
      <c r="I103" s="249"/>
      <c r="J103" s="249"/>
    </row>
    <row r="104" spans="1:21">
      <c r="A104" s="71"/>
      <c r="B104" s="43"/>
      <c r="C104" s="43"/>
      <c r="D104" s="43"/>
    </row>
    <row r="105" spans="1:21">
      <c r="A105" s="71"/>
      <c r="B105" s="43"/>
      <c r="C105" s="43"/>
      <c r="D105" s="43"/>
    </row>
    <row r="106" spans="1:21">
      <c r="A106" s="71"/>
      <c r="B106" s="43"/>
      <c r="C106" s="43"/>
      <c r="D106" s="43"/>
    </row>
    <row r="107" spans="1:21">
      <c r="A107" s="71"/>
      <c r="B107" s="43"/>
      <c r="C107" s="43"/>
      <c r="D107" s="43"/>
    </row>
    <row r="108" spans="1:21">
      <c r="A108" s="71"/>
      <c r="B108" s="43"/>
      <c r="C108" s="43"/>
      <c r="D108" s="43"/>
    </row>
    <row r="109" spans="1:21">
      <c r="A109" s="71"/>
      <c r="B109" s="43"/>
      <c r="C109" s="43"/>
      <c r="D109" s="43"/>
    </row>
    <row r="110" spans="1:21">
      <c r="A110" s="71"/>
      <c r="B110" s="43"/>
      <c r="C110" s="43"/>
      <c r="D110" s="43"/>
    </row>
    <row r="111" spans="1:21">
      <c r="A111" s="71"/>
      <c r="B111" s="43"/>
      <c r="C111" s="43"/>
      <c r="D111" s="43"/>
    </row>
    <row r="112" spans="1:21">
      <c r="A112" s="71"/>
      <c r="B112" s="43"/>
      <c r="C112" s="43"/>
      <c r="D112" s="43"/>
    </row>
    <row r="113" spans="1:21">
      <c r="A113" s="71"/>
      <c r="B113" s="43"/>
      <c r="C113" s="43"/>
      <c r="D113" s="43"/>
    </row>
    <row r="114" spans="1:21">
      <c r="B114" s="43"/>
      <c r="C114" s="43"/>
      <c r="D114" s="43"/>
    </row>
    <row r="115" spans="1:21">
      <c r="B115" s="43"/>
      <c r="C115" s="43"/>
      <c r="D115" s="43"/>
    </row>
    <row r="116" spans="1:21">
      <c r="B116" s="43"/>
      <c r="C116" s="43"/>
      <c r="D116" s="43"/>
    </row>
    <row r="117" spans="1:21" ht="16" thickBot="1">
      <c r="B117" s="43"/>
      <c r="C117" s="43"/>
      <c r="D117" s="43"/>
    </row>
    <row r="118" spans="1:21" ht="16" thickBot="1">
      <c r="A118" s="106" t="s">
        <v>302</v>
      </c>
      <c r="B118" s="91">
        <f>SUM(B102:B117)</f>
        <v>0</v>
      </c>
      <c r="C118" s="91">
        <f t="shared" ref="C118:N118" si="37">SUM(C102:C117)</f>
        <v>666.47177999999997</v>
      </c>
      <c r="D118" s="91">
        <f t="shared" si="37"/>
        <v>73.364999999999995</v>
      </c>
      <c r="E118" s="91">
        <f t="shared" si="37"/>
        <v>0</v>
      </c>
      <c r="F118" s="91">
        <f t="shared" si="37"/>
        <v>258</v>
      </c>
      <c r="G118" s="91">
        <f t="shared" si="37"/>
        <v>379</v>
      </c>
      <c r="H118" s="91">
        <f t="shared" si="37"/>
        <v>401</v>
      </c>
      <c r="I118" s="91">
        <f t="shared" si="37"/>
        <v>518</v>
      </c>
      <c r="J118" s="91">
        <f t="shared" si="37"/>
        <v>197</v>
      </c>
      <c r="K118" s="91">
        <f t="shared" si="37"/>
        <v>0</v>
      </c>
      <c r="L118" s="91">
        <f t="shared" si="37"/>
        <v>0</v>
      </c>
      <c r="M118" s="91">
        <f t="shared" si="37"/>
        <v>0</v>
      </c>
      <c r="N118" s="92">
        <f t="shared" si="37"/>
        <v>0</v>
      </c>
      <c r="O118" s="92">
        <f t="shared" ref="O118" si="38">SUM(O102:O117)</f>
        <v>0</v>
      </c>
      <c r="P118" s="10"/>
      <c r="Q118" s="10"/>
      <c r="U118" s="10"/>
    </row>
    <row r="119" spans="1:21" ht="16" thickBot="1">
      <c r="B119">
        <v>0</v>
      </c>
      <c r="C119">
        <v>666.47177999999997</v>
      </c>
      <c r="D119">
        <v>73.364999999999995</v>
      </c>
      <c r="E119">
        <v>0</v>
      </c>
    </row>
    <row r="120" spans="1:21" ht="16" thickBot="1">
      <c r="A120" s="191" t="s">
        <v>295</v>
      </c>
    </row>
    <row r="121" spans="1:21" ht="16" thickBot="1">
      <c r="A121" s="3"/>
    </row>
    <row r="122" spans="1:21" ht="16" thickBot="1">
      <c r="A122" s="106" t="s">
        <v>281</v>
      </c>
      <c r="B122" s="91">
        <f t="shared" ref="B122:N122" si="39">B101</f>
        <v>2013</v>
      </c>
      <c r="C122" s="91">
        <f t="shared" si="39"/>
        <v>2014</v>
      </c>
      <c r="D122" s="91">
        <f t="shared" si="39"/>
        <v>2015</v>
      </c>
      <c r="E122" s="91">
        <f t="shared" si="39"/>
        <v>2016</v>
      </c>
      <c r="F122" s="91">
        <f t="shared" si="39"/>
        <v>2017</v>
      </c>
      <c r="G122" s="91">
        <f t="shared" si="39"/>
        <v>2018</v>
      </c>
      <c r="H122" s="91">
        <f t="shared" si="39"/>
        <v>2019</v>
      </c>
      <c r="I122" s="91">
        <f t="shared" si="39"/>
        <v>2020</v>
      </c>
      <c r="J122" s="91">
        <f t="shared" si="39"/>
        <v>2021</v>
      </c>
      <c r="K122" s="91">
        <f t="shared" si="39"/>
        <v>2022</v>
      </c>
      <c r="L122" s="91">
        <f t="shared" si="39"/>
        <v>2023</v>
      </c>
      <c r="M122" s="91">
        <f t="shared" si="39"/>
        <v>2024</v>
      </c>
      <c r="N122" s="92">
        <f t="shared" si="39"/>
        <v>2025</v>
      </c>
      <c r="O122" s="92">
        <f t="shared" ref="O122" si="40">O101</f>
        <v>0</v>
      </c>
      <c r="P122" s="10"/>
      <c r="Q122" s="10"/>
      <c r="U122" s="10"/>
    </row>
    <row r="123" spans="1:21">
      <c r="A123" t="s">
        <v>352</v>
      </c>
      <c r="B123" s="43">
        <v>0</v>
      </c>
      <c r="C123" s="43">
        <v>0</v>
      </c>
      <c r="D123" s="43">
        <v>0</v>
      </c>
      <c r="E123" s="249">
        <v>76</v>
      </c>
      <c r="F123" s="249"/>
      <c r="G123" s="249"/>
      <c r="H123" s="249"/>
      <c r="I123" s="249"/>
      <c r="J123" s="249"/>
    </row>
    <row r="124" spans="1:21">
      <c r="B124" s="43"/>
      <c r="C124" s="43"/>
      <c r="D124" s="43"/>
    </row>
    <row r="125" spans="1:21">
      <c r="B125" s="43"/>
      <c r="C125" s="43"/>
      <c r="D125" s="43"/>
    </row>
    <row r="126" spans="1:21">
      <c r="B126" s="43"/>
      <c r="C126" s="43"/>
      <c r="D126" s="43"/>
    </row>
    <row r="127" spans="1:21">
      <c r="B127" s="43"/>
      <c r="C127" s="43"/>
      <c r="D127" s="43"/>
    </row>
    <row r="128" spans="1:21">
      <c r="B128" s="43"/>
      <c r="C128" s="43"/>
      <c r="D128" s="43"/>
    </row>
    <row r="129" spans="1:21">
      <c r="B129" s="43"/>
      <c r="C129" s="43"/>
      <c r="D129" s="43"/>
    </row>
    <row r="130" spans="1:21">
      <c r="B130" s="43"/>
      <c r="C130" s="43"/>
      <c r="D130" s="43"/>
    </row>
    <row r="131" spans="1:21">
      <c r="B131" s="43"/>
      <c r="C131" s="43"/>
      <c r="D131" s="43"/>
    </row>
    <row r="132" spans="1:21">
      <c r="B132" s="43"/>
      <c r="C132" s="43"/>
      <c r="D132" s="43"/>
    </row>
    <row r="133" spans="1:21">
      <c r="B133" s="43"/>
      <c r="C133" s="43"/>
      <c r="D133" s="43"/>
    </row>
    <row r="134" spans="1:21" ht="16" thickBot="1">
      <c r="B134" s="43"/>
      <c r="C134" s="43"/>
      <c r="D134" s="43"/>
    </row>
    <row r="135" spans="1:21" ht="16" thickBot="1">
      <c r="A135" s="106" t="s">
        <v>287</v>
      </c>
      <c r="B135" s="91">
        <f>SUM(B123:B134)</f>
        <v>0</v>
      </c>
      <c r="C135" s="91">
        <f t="shared" ref="C135:N135" si="41">SUM(C123:C134)</f>
        <v>0</v>
      </c>
      <c r="D135" s="91">
        <f t="shared" si="41"/>
        <v>0</v>
      </c>
      <c r="E135" s="91">
        <f t="shared" si="41"/>
        <v>76</v>
      </c>
      <c r="F135" s="91">
        <f t="shared" si="41"/>
        <v>0</v>
      </c>
      <c r="G135" s="91">
        <f t="shared" si="41"/>
        <v>0</v>
      </c>
      <c r="H135" s="91">
        <f t="shared" si="41"/>
        <v>0</v>
      </c>
      <c r="I135" s="91">
        <f t="shared" si="41"/>
        <v>0</v>
      </c>
      <c r="J135" s="91">
        <f t="shared" si="41"/>
        <v>0</v>
      </c>
      <c r="K135" s="91">
        <f t="shared" si="41"/>
        <v>0</v>
      </c>
      <c r="L135" s="91">
        <f t="shared" si="41"/>
        <v>0</v>
      </c>
      <c r="M135" s="91">
        <f t="shared" si="41"/>
        <v>0</v>
      </c>
      <c r="N135" s="92">
        <f t="shared" si="41"/>
        <v>0</v>
      </c>
      <c r="O135" s="92">
        <f t="shared" ref="O135" si="42">SUM(O123:O134)</f>
        <v>0</v>
      </c>
      <c r="P135" s="10"/>
      <c r="Q135" s="10"/>
      <c r="U135" s="10"/>
    </row>
    <row r="136" spans="1:21" ht="16" thickBot="1"/>
    <row r="137" spans="1:21" ht="16" thickBot="1">
      <c r="A137" s="190" t="s">
        <v>296</v>
      </c>
    </row>
    <row r="138" spans="1:21" ht="16" thickBot="1">
      <c r="A138" s="3"/>
    </row>
    <row r="139" spans="1:21" ht="16" thickBot="1">
      <c r="A139" s="106" t="s">
        <v>281</v>
      </c>
      <c r="B139" s="91">
        <f t="shared" ref="B139:N139" si="43">B122</f>
        <v>2013</v>
      </c>
      <c r="C139" s="91">
        <f t="shared" si="43"/>
        <v>2014</v>
      </c>
      <c r="D139" s="91">
        <f t="shared" si="43"/>
        <v>2015</v>
      </c>
      <c r="E139" s="91">
        <f t="shared" si="43"/>
        <v>2016</v>
      </c>
      <c r="F139" s="91">
        <f t="shared" si="43"/>
        <v>2017</v>
      </c>
      <c r="G139" s="91">
        <f t="shared" si="43"/>
        <v>2018</v>
      </c>
      <c r="H139" s="91">
        <f t="shared" si="43"/>
        <v>2019</v>
      </c>
      <c r="I139" s="91">
        <f t="shared" si="43"/>
        <v>2020</v>
      </c>
      <c r="J139" s="91">
        <f t="shared" si="43"/>
        <v>2021</v>
      </c>
      <c r="K139" s="91">
        <f t="shared" si="43"/>
        <v>2022</v>
      </c>
      <c r="L139" s="91">
        <f t="shared" si="43"/>
        <v>2023</v>
      </c>
      <c r="M139" s="91">
        <f t="shared" si="43"/>
        <v>2024</v>
      </c>
      <c r="N139" s="92">
        <f t="shared" si="43"/>
        <v>2025</v>
      </c>
      <c r="O139" s="92">
        <f t="shared" ref="O139" si="44">O122</f>
        <v>0</v>
      </c>
      <c r="P139" s="10"/>
      <c r="Q139" s="10"/>
      <c r="U139" s="10"/>
    </row>
    <row r="140" spans="1:21">
      <c r="A140" s="12" t="s">
        <v>29</v>
      </c>
      <c r="B140" s="43">
        <v>0</v>
      </c>
      <c r="C140" s="43">
        <v>233.36702999999997</v>
      </c>
      <c r="D140" s="43">
        <v>83.414999999999992</v>
      </c>
      <c r="E140" s="249">
        <v>142</v>
      </c>
      <c r="F140" s="249">
        <v>234</v>
      </c>
      <c r="G140" s="249">
        <v>204</v>
      </c>
      <c r="H140" s="249">
        <v>204</v>
      </c>
      <c r="I140" s="249">
        <v>0</v>
      </c>
      <c r="J140" s="249">
        <v>0</v>
      </c>
      <c r="P140" s="70"/>
      <c r="Q140" s="70"/>
      <c r="R140" s="70"/>
    </row>
    <row r="141" spans="1:21">
      <c r="B141" s="43"/>
      <c r="C141" s="43"/>
      <c r="D141" s="43"/>
      <c r="E141" s="249"/>
      <c r="F141" s="249"/>
      <c r="G141" s="249"/>
      <c r="H141" s="249"/>
      <c r="I141" s="249"/>
      <c r="J141" s="249"/>
    </row>
    <row r="142" spans="1:21">
      <c r="B142" s="43"/>
      <c r="C142" s="43"/>
      <c r="D142" s="43"/>
      <c r="E142" s="249"/>
      <c r="F142" s="249"/>
      <c r="G142" s="249"/>
      <c r="H142" s="249"/>
      <c r="I142" s="249"/>
      <c r="J142" s="249"/>
    </row>
    <row r="143" spans="1:21">
      <c r="B143" s="43"/>
      <c r="C143" s="43"/>
      <c r="D143" s="43"/>
    </row>
    <row r="144" spans="1:21">
      <c r="B144" s="43"/>
      <c r="C144" s="43"/>
      <c r="D144" s="43"/>
    </row>
    <row r="145" spans="1:21">
      <c r="B145" s="43"/>
      <c r="C145" s="43"/>
      <c r="D145" s="43"/>
    </row>
    <row r="146" spans="1:21">
      <c r="B146" s="43"/>
      <c r="C146" s="43"/>
      <c r="D146" s="43"/>
    </row>
    <row r="147" spans="1:21">
      <c r="B147" s="43"/>
      <c r="C147" s="43"/>
      <c r="D147" s="43"/>
    </row>
    <row r="148" spans="1:21">
      <c r="B148" s="43"/>
      <c r="C148" s="43"/>
      <c r="D148" s="43"/>
    </row>
    <row r="149" spans="1:21">
      <c r="B149" s="43"/>
      <c r="C149" s="43"/>
      <c r="D149" s="43"/>
    </row>
    <row r="150" spans="1:21">
      <c r="B150" s="43"/>
      <c r="C150" s="43"/>
      <c r="D150" s="43"/>
    </row>
    <row r="151" spans="1:21">
      <c r="B151" s="43"/>
      <c r="C151" s="43"/>
      <c r="D151" s="43"/>
    </row>
    <row r="152" spans="1:21" ht="16" thickBot="1">
      <c r="B152" s="43"/>
      <c r="C152" s="43"/>
      <c r="D152" s="43"/>
    </row>
    <row r="153" spans="1:21" ht="16" thickBot="1">
      <c r="A153" s="106" t="s">
        <v>286</v>
      </c>
      <c r="B153" s="91">
        <f>SUM(B140:B152)</f>
        <v>0</v>
      </c>
      <c r="C153" s="91">
        <f t="shared" ref="C153:N153" si="45">SUM(C140:C152)</f>
        <v>233.36702999999997</v>
      </c>
      <c r="D153" s="91">
        <f t="shared" si="45"/>
        <v>83.414999999999992</v>
      </c>
      <c r="E153" s="91">
        <f t="shared" si="45"/>
        <v>142</v>
      </c>
      <c r="F153" s="91">
        <f t="shared" si="45"/>
        <v>234</v>
      </c>
      <c r="G153" s="91">
        <f t="shared" si="45"/>
        <v>204</v>
      </c>
      <c r="H153" s="91">
        <f t="shared" si="45"/>
        <v>204</v>
      </c>
      <c r="I153" s="91">
        <f t="shared" si="45"/>
        <v>0</v>
      </c>
      <c r="J153" s="91">
        <f t="shared" si="45"/>
        <v>0</v>
      </c>
      <c r="K153" s="91">
        <f t="shared" si="45"/>
        <v>0</v>
      </c>
      <c r="L153" s="91">
        <f t="shared" si="45"/>
        <v>0</v>
      </c>
      <c r="M153" s="91">
        <f t="shared" si="45"/>
        <v>0</v>
      </c>
      <c r="N153" s="92">
        <f t="shared" si="45"/>
        <v>0</v>
      </c>
      <c r="O153" s="92">
        <f t="shared" ref="O153" si="46">SUM(O140:O152)</f>
        <v>0</v>
      </c>
      <c r="P153" s="10"/>
      <c r="Q153" s="10"/>
      <c r="U153" s="10"/>
    </row>
    <row r="154" spans="1:21" ht="16" thickBot="1">
      <c r="A154" s="4"/>
      <c r="B154" s="93">
        <v>0</v>
      </c>
      <c r="C154" s="93">
        <v>233.36702999999997</v>
      </c>
      <c r="D154" s="93">
        <v>83.414999999999992</v>
      </c>
      <c r="E154" s="93">
        <v>142</v>
      </c>
      <c r="F154" s="93"/>
      <c r="G154" s="93"/>
      <c r="H154" s="93"/>
      <c r="I154" s="93"/>
      <c r="J154" s="93"/>
      <c r="K154" s="93"/>
      <c r="L154" s="93"/>
      <c r="M154" s="93"/>
      <c r="N154" s="93"/>
      <c r="O154" s="93"/>
      <c r="P154" s="10"/>
      <c r="Q154" s="10"/>
      <c r="U154" s="10"/>
    </row>
    <row r="155" spans="1:21" ht="16" thickBot="1">
      <c r="A155" s="106" t="s">
        <v>303</v>
      </c>
      <c r="B155" s="91">
        <v>222</v>
      </c>
      <c r="C155" s="91">
        <v>317</v>
      </c>
      <c r="D155" s="91">
        <v>236</v>
      </c>
      <c r="E155" s="91">
        <f>IF(E17="A",304,218)</f>
        <v>304</v>
      </c>
      <c r="F155" s="91">
        <f t="shared" ref="F155:M155" si="47">F135+F118+F153</f>
        <v>492</v>
      </c>
      <c r="G155" s="91">
        <f t="shared" si="47"/>
        <v>583</v>
      </c>
      <c r="H155" s="91">
        <f t="shared" si="47"/>
        <v>605</v>
      </c>
      <c r="I155" s="91">
        <f t="shared" si="47"/>
        <v>518</v>
      </c>
      <c r="J155" s="91">
        <f t="shared" si="47"/>
        <v>197</v>
      </c>
      <c r="K155" s="91">
        <f t="shared" si="47"/>
        <v>0</v>
      </c>
      <c r="L155" s="91">
        <f t="shared" si="47"/>
        <v>0</v>
      </c>
      <c r="M155" s="91">
        <f t="shared" si="47"/>
        <v>0</v>
      </c>
      <c r="N155" s="91">
        <f>N135+N118</f>
        <v>0</v>
      </c>
      <c r="O155" s="91">
        <f>O135+O118</f>
        <v>0</v>
      </c>
      <c r="P155" s="10"/>
      <c r="Q155" s="10"/>
      <c r="U155" s="10"/>
    </row>
    <row r="156" spans="1:21" ht="16" thickBot="1">
      <c r="B156">
        <v>0</v>
      </c>
      <c r="C156">
        <v>899.83880999999997</v>
      </c>
      <c r="D156">
        <v>156.77999999999997</v>
      </c>
      <c r="E156">
        <v>218</v>
      </c>
    </row>
    <row r="157" spans="1:21" ht="16" thickBot="1">
      <c r="A157" s="190" t="s">
        <v>297</v>
      </c>
    </row>
    <row r="159" spans="1:21" ht="16" thickBot="1">
      <c r="A159" s="3" t="s">
        <v>282</v>
      </c>
    </row>
    <row r="160" spans="1:21" ht="16" thickBot="1">
      <c r="A160" s="106" t="s">
        <v>281</v>
      </c>
      <c r="B160" s="91">
        <f>B139</f>
        <v>2013</v>
      </c>
      <c r="C160" s="91">
        <f t="shared" ref="C160:N160" si="48">C139</f>
        <v>2014</v>
      </c>
      <c r="D160" s="91">
        <f t="shared" si="48"/>
        <v>2015</v>
      </c>
      <c r="E160" s="91">
        <f t="shared" si="48"/>
        <v>2016</v>
      </c>
      <c r="F160" s="91">
        <f t="shared" si="48"/>
        <v>2017</v>
      </c>
      <c r="G160" s="91">
        <f t="shared" si="48"/>
        <v>2018</v>
      </c>
      <c r="H160" s="91">
        <f t="shared" si="48"/>
        <v>2019</v>
      </c>
      <c r="I160" s="91">
        <f t="shared" si="48"/>
        <v>2020</v>
      </c>
      <c r="J160" s="91">
        <f t="shared" si="48"/>
        <v>2021</v>
      </c>
      <c r="K160" s="91">
        <f t="shared" si="48"/>
        <v>2022</v>
      </c>
      <c r="L160" s="91">
        <f t="shared" si="48"/>
        <v>2023</v>
      </c>
      <c r="M160" s="91">
        <f t="shared" si="48"/>
        <v>2024</v>
      </c>
      <c r="N160" s="92">
        <f t="shared" si="48"/>
        <v>2025</v>
      </c>
      <c r="O160" s="92">
        <f t="shared" ref="O160" si="49">O139</f>
        <v>0</v>
      </c>
      <c r="P160" s="10"/>
      <c r="Q160" s="10"/>
      <c r="U160" s="10"/>
    </row>
    <row r="161" spans="1:21">
      <c r="A161" s="71" t="s">
        <v>29</v>
      </c>
      <c r="B161" s="43">
        <v>0</v>
      </c>
      <c r="C161" s="43">
        <v>299.60657999999995</v>
      </c>
      <c r="D161" s="43">
        <v>488.42999999999995</v>
      </c>
      <c r="E161" s="249">
        <v>552</v>
      </c>
      <c r="F161" s="249">
        <v>1068</v>
      </c>
      <c r="G161" s="249">
        <v>1459</v>
      </c>
      <c r="H161" s="249">
        <v>1160</v>
      </c>
      <c r="I161" s="249">
        <v>1227</v>
      </c>
      <c r="J161" s="249">
        <v>1466</v>
      </c>
      <c r="P161" s="70"/>
      <c r="Q161" s="70"/>
      <c r="R161" s="70"/>
    </row>
    <row r="162" spans="1:21">
      <c r="B162" s="43"/>
      <c r="C162" s="43"/>
      <c r="D162" s="43"/>
      <c r="E162" s="249"/>
      <c r="F162" s="249"/>
      <c r="G162" s="249"/>
      <c r="H162" s="249"/>
      <c r="I162" s="249"/>
      <c r="J162" s="249"/>
    </row>
    <row r="163" spans="1:21">
      <c r="B163" s="43"/>
      <c r="C163" s="43"/>
      <c r="D163" s="43"/>
      <c r="E163" s="249"/>
      <c r="F163" s="249"/>
      <c r="G163" s="249"/>
      <c r="H163" s="249"/>
      <c r="I163" s="249"/>
      <c r="J163" s="249"/>
    </row>
    <row r="164" spans="1:21">
      <c r="B164" s="43"/>
      <c r="C164" s="43"/>
      <c r="D164" s="43"/>
      <c r="E164" s="249"/>
      <c r="F164" s="249"/>
      <c r="G164" s="249"/>
      <c r="H164" s="249"/>
      <c r="I164" s="249"/>
      <c r="J164" s="249"/>
    </row>
    <row r="165" spans="1:21">
      <c r="B165" s="43"/>
      <c r="C165" s="43"/>
      <c r="D165" s="43"/>
      <c r="E165" s="249"/>
      <c r="F165" s="249"/>
      <c r="G165" s="249"/>
      <c r="H165" s="249"/>
      <c r="I165" s="249"/>
      <c r="J165" s="249"/>
    </row>
    <row r="166" spans="1:21">
      <c r="B166" s="43"/>
      <c r="C166" s="43"/>
      <c r="D166" s="43"/>
    </row>
    <row r="167" spans="1:21">
      <c r="B167" s="43"/>
      <c r="C167" s="43"/>
      <c r="D167" s="43"/>
    </row>
    <row r="168" spans="1:21">
      <c r="B168" s="43"/>
      <c r="C168" s="43"/>
      <c r="D168" s="43"/>
    </row>
    <row r="169" spans="1:21">
      <c r="B169" s="43"/>
      <c r="C169" s="43"/>
      <c r="D169" s="43"/>
    </row>
    <row r="170" spans="1:21">
      <c r="B170" s="43"/>
      <c r="C170" s="43"/>
      <c r="D170" s="43"/>
    </row>
    <row r="171" spans="1:21">
      <c r="B171" s="43"/>
      <c r="C171" s="43"/>
      <c r="D171" s="43"/>
    </row>
    <row r="172" spans="1:21">
      <c r="B172" s="43"/>
      <c r="C172" s="43"/>
      <c r="D172" s="43"/>
    </row>
    <row r="173" spans="1:21">
      <c r="B173" s="43"/>
      <c r="C173" s="43"/>
      <c r="D173" s="43"/>
    </row>
    <row r="174" spans="1:21" ht="16" thickBot="1">
      <c r="B174" s="43"/>
      <c r="C174" s="43"/>
      <c r="D174" s="43"/>
    </row>
    <row r="175" spans="1:21" ht="16" thickBot="1">
      <c r="A175" s="106" t="s">
        <v>283</v>
      </c>
      <c r="B175" s="91">
        <f>SUM(B161:B174)</f>
        <v>0</v>
      </c>
      <c r="C175" s="91">
        <f t="shared" ref="C175:N175" si="50">SUM(C161:C174)</f>
        <v>299.60657999999995</v>
      </c>
      <c r="D175" s="91">
        <f t="shared" si="50"/>
        <v>488.42999999999995</v>
      </c>
      <c r="E175" s="91">
        <f t="shared" si="50"/>
        <v>552</v>
      </c>
      <c r="F175" s="91">
        <f t="shared" si="50"/>
        <v>1068</v>
      </c>
      <c r="G175" s="91">
        <f t="shared" si="50"/>
        <v>1459</v>
      </c>
      <c r="H175" s="91">
        <f t="shared" si="50"/>
        <v>1160</v>
      </c>
      <c r="I175" s="91">
        <f t="shared" si="50"/>
        <v>1227</v>
      </c>
      <c r="J175" s="91">
        <f t="shared" si="50"/>
        <v>1466</v>
      </c>
      <c r="K175" s="91">
        <f t="shared" si="50"/>
        <v>0</v>
      </c>
      <c r="L175" s="91">
        <f t="shared" si="50"/>
        <v>0</v>
      </c>
      <c r="M175" s="91">
        <f t="shared" si="50"/>
        <v>0</v>
      </c>
      <c r="N175" s="92">
        <f t="shared" si="50"/>
        <v>0</v>
      </c>
      <c r="O175" s="92">
        <f t="shared" ref="O175" si="51">SUM(O161:O174)</f>
        <v>0</v>
      </c>
      <c r="P175" s="10"/>
      <c r="Q175" s="10"/>
      <c r="U175" s="10"/>
    </row>
    <row r="177" spans="1:21" ht="16" thickBot="1">
      <c r="A177" s="3" t="s">
        <v>284</v>
      </c>
    </row>
    <row r="178" spans="1:21" ht="16" thickBot="1">
      <c r="A178" s="106" t="s">
        <v>281</v>
      </c>
      <c r="B178" s="91">
        <f>B160</f>
        <v>2013</v>
      </c>
      <c r="C178" s="91">
        <f t="shared" ref="C178:N178" si="52">C160</f>
        <v>2014</v>
      </c>
      <c r="D178" s="91">
        <f t="shared" si="52"/>
        <v>2015</v>
      </c>
      <c r="E178" s="91">
        <f t="shared" si="52"/>
        <v>2016</v>
      </c>
      <c r="F178" s="91">
        <f t="shared" si="52"/>
        <v>2017</v>
      </c>
      <c r="G178" s="91">
        <f t="shared" si="52"/>
        <v>2018</v>
      </c>
      <c r="H178" s="91">
        <f t="shared" si="52"/>
        <v>2019</v>
      </c>
      <c r="I178" s="91">
        <f t="shared" si="52"/>
        <v>2020</v>
      </c>
      <c r="J178" s="91">
        <f t="shared" si="52"/>
        <v>2021</v>
      </c>
      <c r="K178" s="91">
        <f t="shared" si="52"/>
        <v>2022</v>
      </c>
      <c r="L178" s="91">
        <f t="shared" si="52"/>
        <v>2023</v>
      </c>
      <c r="M178" s="91">
        <f t="shared" si="52"/>
        <v>2024</v>
      </c>
      <c r="N178" s="92">
        <f t="shared" si="52"/>
        <v>2025</v>
      </c>
      <c r="O178" s="92">
        <f t="shared" ref="O178" si="53">O160</f>
        <v>0</v>
      </c>
      <c r="P178" s="10"/>
      <c r="Q178" s="10"/>
      <c r="U178" s="10"/>
    </row>
    <row r="179" spans="1:21">
      <c r="A179" s="12" t="s">
        <v>29</v>
      </c>
      <c r="B179" s="43">
        <v>0</v>
      </c>
      <c r="C179" s="43">
        <v>1025.18442</v>
      </c>
      <c r="D179" s="43">
        <v>844.19999999999993</v>
      </c>
      <c r="E179" s="249">
        <v>182</v>
      </c>
      <c r="F179" s="249">
        <v>166</v>
      </c>
      <c r="G179" s="249">
        <v>227</v>
      </c>
      <c r="H179" s="249">
        <v>181</v>
      </c>
      <c r="I179" s="249">
        <v>191</v>
      </c>
      <c r="J179" s="249">
        <v>228</v>
      </c>
      <c r="P179" s="70"/>
      <c r="Q179" s="70"/>
      <c r="R179" s="70"/>
    </row>
    <row r="180" spans="1:21">
      <c r="A180" s="71"/>
      <c r="B180" s="43"/>
      <c r="C180" s="43"/>
      <c r="D180" s="43"/>
    </row>
    <row r="181" spans="1:21">
      <c r="B181" s="43"/>
      <c r="C181" s="43"/>
      <c r="D181" s="43"/>
    </row>
    <row r="182" spans="1:21">
      <c r="B182" s="43"/>
      <c r="C182" s="43"/>
      <c r="D182" s="43"/>
    </row>
    <row r="183" spans="1:21">
      <c r="B183" s="43"/>
      <c r="C183" s="43"/>
      <c r="D183" s="43"/>
    </row>
    <row r="184" spans="1:21">
      <c r="B184" s="43"/>
      <c r="C184" s="43"/>
      <c r="D184" s="43"/>
    </row>
    <row r="185" spans="1:21">
      <c r="B185" s="43"/>
      <c r="C185" s="43"/>
      <c r="D185" s="43"/>
    </row>
    <row r="186" spans="1:21">
      <c r="B186" s="43"/>
      <c r="C186" s="43"/>
      <c r="D186" s="43"/>
    </row>
    <row r="187" spans="1:21">
      <c r="B187" s="43"/>
      <c r="C187" s="43"/>
      <c r="D187" s="43"/>
    </row>
    <row r="188" spans="1:21">
      <c r="B188" s="43"/>
      <c r="C188" s="43"/>
      <c r="D188" s="43"/>
    </row>
    <row r="189" spans="1:21">
      <c r="B189" s="43"/>
      <c r="C189" s="43"/>
      <c r="D189" s="43"/>
    </row>
    <row r="190" spans="1:21">
      <c r="B190" s="43"/>
      <c r="C190" s="43"/>
      <c r="D190" s="43"/>
    </row>
    <row r="191" spans="1:21">
      <c r="B191" s="43"/>
      <c r="C191" s="43"/>
      <c r="D191" s="43"/>
    </row>
    <row r="192" spans="1:21">
      <c r="B192" s="43"/>
      <c r="C192" s="43"/>
      <c r="D192" s="43"/>
    </row>
    <row r="193" spans="1:21">
      <c r="B193" s="43"/>
      <c r="C193" s="43"/>
      <c r="D193" s="43"/>
    </row>
    <row r="194" spans="1:21" ht="16" thickBot="1">
      <c r="B194" s="43"/>
      <c r="C194" s="43"/>
      <c r="D194" s="43"/>
    </row>
    <row r="195" spans="1:21" ht="16" thickBot="1">
      <c r="A195" s="106" t="s">
        <v>285</v>
      </c>
      <c r="B195" s="91">
        <f>SUM(B179:B194)</f>
        <v>0</v>
      </c>
      <c r="C195" s="91">
        <f t="shared" ref="C195:N195" si="54">SUM(C179:C194)</f>
        <v>1025.18442</v>
      </c>
      <c r="D195" s="91">
        <f t="shared" si="54"/>
        <v>844.19999999999993</v>
      </c>
      <c r="E195" s="91">
        <f t="shared" si="54"/>
        <v>182</v>
      </c>
      <c r="F195" s="91">
        <f t="shared" si="54"/>
        <v>166</v>
      </c>
      <c r="G195" s="91">
        <f t="shared" si="54"/>
        <v>227</v>
      </c>
      <c r="H195" s="91">
        <f t="shared" si="54"/>
        <v>181</v>
      </c>
      <c r="I195" s="91">
        <f t="shared" si="54"/>
        <v>191</v>
      </c>
      <c r="J195" s="91">
        <f t="shared" si="54"/>
        <v>228</v>
      </c>
      <c r="K195" s="91">
        <f t="shared" si="54"/>
        <v>0</v>
      </c>
      <c r="L195" s="91">
        <f t="shared" si="54"/>
        <v>0</v>
      </c>
      <c r="M195" s="91">
        <f t="shared" si="54"/>
        <v>0</v>
      </c>
      <c r="N195" s="92">
        <f t="shared" si="54"/>
        <v>0</v>
      </c>
      <c r="O195" s="92">
        <f t="shared" ref="O195" si="55">SUM(O179:O194)</f>
        <v>0</v>
      </c>
      <c r="P195" s="10"/>
      <c r="Q195" s="10"/>
      <c r="U195" s="10"/>
    </row>
    <row r="196" spans="1:21" ht="16" thickBot="1"/>
    <row r="197" spans="1:21" ht="16" thickBot="1">
      <c r="A197" s="106" t="s">
        <v>298</v>
      </c>
      <c r="B197" s="91">
        <v>1455</v>
      </c>
      <c r="C197" s="91">
        <v>959</v>
      </c>
      <c r="D197" s="91">
        <v>1027</v>
      </c>
      <c r="E197" s="91">
        <f>IF(E17="A",623,734)</f>
        <v>623</v>
      </c>
      <c r="F197" s="91">
        <f t="shared" ref="F197:M197" si="56">F195+F175</f>
        <v>1234</v>
      </c>
      <c r="G197" s="91">
        <f t="shared" si="56"/>
        <v>1686</v>
      </c>
      <c r="H197" s="91">
        <f t="shared" si="56"/>
        <v>1341</v>
      </c>
      <c r="I197" s="91">
        <f t="shared" si="56"/>
        <v>1418</v>
      </c>
      <c r="J197" s="91">
        <f t="shared" si="56"/>
        <v>1694</v>
      </c>
      <c r="K197" s="91">
        <f t="shared" si="56"/>
        <v>0</v>
      </c>
      <c r="L197" s="91">
        <f t="shared" si="56"/>
        <v>0</v>
      </c>
      <c r="M197" s="91">
        <f t="shared" si="56"/>
        <v>0</v>
      </c>
      <c r="N197" s="92">
        <f>N195+N175</f>
        <v>0</v>
      </c>
      <c r="O197" s="92">
        <f>O195+O175</f>
        <v>0</v>
      </c>
      <c r="P197" s="10"/>
      <c r="Q197" s="10"/>
      <c r="U197" s="10"/>
    </row>
    <row r="198" spans="1:21">
      <c r="B198">
        <v>0</v>
      </c>
      <c r="C198">
        <v>1324.7909999999999</v>
      </c>
      <c r="D198">
        <v>1332.6299999999999</v>
      </c>
      <c r="E198">
        <v>734</v>
      </c>
    </row>
  </sheetData>
  <mergeCells count="4">
    <mergeCell ref="B4:D4"/>
    <mergeCell ref="E4:N4"/>
    <mergeCell ref="C2:D2"/>
    <mergeCell ref="F2:G2"/>
  </mergeCells>
  <phoneticPr fontId="9" type="noConversion"/>
  <dataValidations count="1">
    <dataValidation type="list" allowBlank="1" showInputMessage="1" showErrorMessage="1" sqref="E17">
      <formula1>"A,F"</formula1>
    </dataValidation>
  </dataValidations>
  <pageMargins left="0.7" right="0.7" top="0.75" bottom="0.75" header="0.3" footer="0.3"/>
  <pageSetup paperSize="8" scale="74" orientation="landscape" copies="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tint="-0.249977111117893"/>
  </sheetPr>
  <dimension ref="A1:BB94"/>
  <sheetViews>
    <sheetView zoomScale="70" zoomScaleNormal="70" zoomScalePageLayoutView="80" workbookViewId="0">
      <selection activeCell="H33" sqref="A33:XFD61"/>
    </sheetView>
  </sheetViews>
  <sheetFormatPr defaultColWidth="11" defaultRowHeight="15.5"/>
  <cols>
    <col min="1" max="1" width="25.5" style="21" customWidth="1"/>
    <col min="2" max="2" width="23.5" customWidth="1"/>
    <col min="3" max="3" width="22" customWidth="1"/>
    <col min="11" max="11" width="15.5" customWidth="1"/>
  </cols>
  <sheetData>
    <row r="1" spans="1:54" ht="20">
      <c r="A1" s="28" t="s">
        <v>112</v>
      </c>
    </row>
    <row r="2" spans="1:54" hidden="1">
      <c r="D2" t="s">
        <v>163</v>
      </c>
      <c r="E2">
        <v>2016</v>
      </c>
    </row>
    <row r="3" spans="1:54" ht="20" hidden="1">
      <c r="A3" s="28"/>
      <c r="E3">
        <f>ABS(1965-$E$2)</f>
        <v>51</v>
      </c>
      <c r="F3">
        <f>ABS(1972-$E$2)</f>
        <v>44</v>
      </c>
      <c r="G3">
        <f>ABS(1977-$E$2)</f>
        <v>39</v>
      </c>
      <c r="H3">
        <f>ABS(1982-$E$2)</f>
        <v>34</v>
      </c>
      <c r="I3">
        <f>ABS(1987-$E$2)</f>
        <v>29</v>
      </c>
      <c r="J3">
        <f>ABS(1992-$E$2)</f>
        <v>24</v>
      </c>
      <c r="K3">
        <f>ABS(1997-$E$2)</f>
        <v>19</v>
      </c>
      <c r="L3">
        <f>ABS(L4-$E$2)</f>
        <v>16</v>
      </c>
      <c r="M3">
        <f t="shared" ref="M3:AA3" si="0">ABS(M4-$E$2)</f>
        <v>15</v>
      </c>
      <c r="N3">
        <f t="shared" si="0"/>
        <v>14</v>
      </c>
      <c r="O3">
        <f t="shared" si="0"/>
        <v>13</v>
      </c>
      <c r="P3">
        <f t="shared" si="0"/>
        <v>12</v>
      </c>
      <c r="Q3">
        <f t="shared" si="0"/>
        <v>11</v>
      </c>
      <c r="R3">
        <f t="shared" si="0"/>
        <v>10</v>
      </c>
      <c r="S3">
        <f t="shared" si="0"/>
        <v>9</v>
      </c>
      <c r="T3">
        <f t="shared" si="0"/>
        <v>8</v>
      </c>
      <c r="U3">
        <f t="shared" si="0"/>
        <v>7</v>
      </c>
      <c r="V3">
        <f t="shared" si="0"/>
        <v>6</v>
      </c>
      <c r="W3">
        <f t="shared" si="0"/>
        <v>5</v>
      </c>
      <c r="X3">
        <f t="shared" si="0"/>
        <v>4</v>
      </c>
      <c r="Y3">
        <f t="shared" si="0"/>
        <v>3</v>
      </c>
      <c r="Z3">
        <f t="shared" si="0"/>
        <v>2</v>
      </c>
      <c r="AA3">
        <f t="shared" si="0"/>
        <v>1</v>
      </c>
      <c r="AN3" s="28" t="s">
        <v>113</v>
      </c>
    </row>
    <row r="4" spans="1:54" s="29" customFormat="1" ht="108.5">
      <c r="A4" s="121" t="s">
        <v>172</v>
      </c>
      <c r="B4" s="120" t="s">
        <v>173</v>
      </c>
      <c r="C4" s="120" t="s">
        <v>174</v>
      </c>
      <c r="D4" s="120" t="s">
        <v>71</v>
      </c>
      <c r="E4" s="114" t="s">
        <v>72</v>
      </c>
      <c r="F4" s="114" t="s">
        <v>117</v>
      </c>
      <c r="G4" s="114" t="s">
        <v>116</v>
      </c>
      <c r="H4" s="114" t="s">
        <v>115</v>
      </c>
      <c r="I4" s="114" t="s">
        <v>114</v>
      </c>
      <c r="J4" s="114" t="s">
        <v>118</v>
      </c>
      <c r="K4" s="114" t="s">
        <v>119</v>
      </c>
      <c r="L4" s="114">
        <v>2000</v>
      </c>
      <c r="M4" s="114">
        <v>2001</v>
      </c>
      <c r="N4" s="114">
        <v>2002</v>
      </c>
      <c r="O4" s="114">
        <v>2003</v>
      </c>
      <c r="P4" s="114">
        <v>2004</v>
      </c>
      <c r="Q4" s="114">
        <v>2005</v>
      </c>
      <c r="R4" s="114">
        <v>2006</v>
      </c>
      <c r="S4" s="114">
        <v>2007</v>
      </c>
      <c r="T4" s="114">
        <v>2008</v>
      </c>
      <c r="U4" s="114">
        <v>2009</v>
      </c>
      <c r="V4" s="114">
        <v>2010</v>
      </c>
      <c r="W4" s="114">
        <v>2011</v>
      </c>
      <c r="X4" s="114">
        <v>2012</v>
      </c>
      <c r="Y4" s="114">
        <v>2013</v>
      </c>
      <c r="Z4" s="114">
        <v>2014</v>
      </c>
      <c r="AA4" s="114">
        <v>2015</v>
      </c>
      <c r="AB4" s="114"/>
      <c r="AC4" s="115">
        <v>2016</v>
      </c>
      <c r="AD4" s="115">
        <v>2017</v>
      </c>
      <c r="AE4" s="115">
        <v>2018</v>
      </c>
      <c r="AF4" s="115">
        <v>2019</v>
      </c>
      <c r="AG4" s="115">
        <v>2020</v>
      </c>
      <c r="AH4" s="115">
        <v>2021</v>
      </c>
      <c r="AI4" s="115">
        <v>2022</v>
      </c>
      <c r="AJ4" s="115">
        <v>2023</v>
      </c>
      <c r="AK4" s="115">
        <v>2024</v>
      </c>
      <c r="AL4" s="115">
        <v>2025</v>
      </c>
      <c r="AN4" s="120" t="str">
        <f>A4</f>
        <v>Asset Category 1</v>
      </c>
      <c r="AO4" s="120" t="str">
        <f>B4</f>
        <v>Asset Category 2</v>
      </c>
      <c r="AP4" s="120" t="str">
        <f>C4</f>
        <v>Asset Category 3</v>
      </c>
      <c r="AQ4" s="120" t="str">
        <f>D4</f>
        <v>Units</v>
      </c>
      <c r="AR4" s="120" t="s">
        <v>139</v>
      </c>
      <c r="AS4" s="120" t="s">
        <v>140</v>
      </c>
      <c r="AT4" s="120" t="s">
        <v>141</v>
      </c>
      <c r="AU4" s="120" t="s">
        <v>142</v>
      </c>
      <c r="AV4" s="120" t="s">
        <v>143</v>
      </c>
      <c r="AW4" s="120" t="s">
        <v>144</v>
      </c>
      <c r="AX4" s="120" t="s">
        <v>145</v>
      </c>
      <c r="AZ4" s="120"/>
      <c r="BA4" s="120"/>
      <c r="BB4" s="120"/>
    </row>
    <row r="5" spans="1:54">
      <c r="A5" s="110" t="s">
        <v>73</v>
      </c>
      <c r="B5" s="111" t="s">
        <v>74</v>
      </c>
      <c r="C5" s="112" t="s">
        <v>75</v>
      </c>
      <c r="D5" s="116" t="s">
        <v>76</v>
      </c>
      <c r="E5" s="117"/>
      <c r="F5" s="117"/>
      <c r="G5" s="117"/>
      <c r="H5" s="117"/>
      <c r="I5" s="117"/>
      <c r="J5" s="117"/>
      <c r="K5" s="117"/>
      <c r="L5" s="117"/>
      <c r="M5" s="117"/>
      <c r="N5" s="117"/>
      <c r="O5" s="117"/>
      <c r="P5" s="117"/>
      <c r="Q5" s="117"/>
      <c r="R5" s="117"/>
      <c r="S5" s="117"/>
      <c r="T5" s="117"/>
      <c r="U5" s="117"/>
      <c r="V5" s="117"/>
      <c r="W5" s="117"/>
      <c r="X5" s="117"/>
      <c r="Y5" s="117"/>
      <c r="Z5" s="117"/>
      <c r="AA5" s="117">
        <v>0</v>
      </c>
      <c r="AB5" s="117"/>
      <c r="AC5" s="117"/>
      <c r="AD5" s="117"/>
      <c r="AE5" s="117"/>
      <c r="AF5" s="117"/>
      <c r="AG5" s="117"/>
      <c r="AH5" s="117"/>
      <c r="AI5" s="117"/>
      <c r="AJ5" s="117"/>
      <c r="AK5" s="117"/>
      <c r="AL5" s="117"/>
      <c r="AM5">
        <f>SUM(E5:AA5)</f>
        <v>0</v>
      </c>
      <c r="AN5" s="21" t="s">
        <v>73</v>
      </c>
      <c r="AO5" t="s">
        <v>125</v>
      </c>
      <c r="AP5" t="s">
        <v>75</v>
      </c>
      <c r="AQ5" t="s">
        <v>76</v>
      </c>
      <c r="AR5" s="118"/>
      <c r="AS5" s="118"/>
      <c r="AT5" s="118"/>
      <c r="AU5" s="118"/>
      <c r="AV5" s="118"/>
      <c r="AW5" s="118"/>
      <c r="AX5" s="119"/>
      <c r="AZ5" s="6"/>
      <c r="BA5" s="166"/>
    </row>
    <row r="6" spans="1:54">
      <c r="A6" s="110" t="s">
        <v>73</v>
      </c>
      <c r="B6" s="111" t="s">
        <v>74</v>
      </c>
      <c r="C6" s="112" t="s">
        <v>77</v>
      </c>
      <c r="D6" s="116" t="s">
        <v>76</v>
      </c>
      <c r="E6" s="117">
        <v>47</v>
      </c>
      <c r="F6" s="117">
        <v>14</v>
      </c>
      <c r="G6" s="117">
        <v>4</v>
      </c>
      <c r="H6" s="117">
        <v>16</v>
      </c>
      <c r="I6" s="117">
        <v>52</v>
      </c>
      <c r="J6" s="117">
        <v>13</v>
      </c>
      <c r="K6" s="117">
        <v>35</v>
      </c>
      <c r="L6" s="117">
        <v>25</v>
      </c>
      <c r="M6" s="117">
        <v>0</v>
      </c>
      <c r="N6" s="117">
        <v>1</v>
      </c>
      <c r="O6" s="117">
        <v>0</v>
      </c>
      <c r="P6" s="117"/>
      <c r="Q6" s="117">
        <v>0</v>
      </c>
      <c r="R6" s="117">
        <v>1</v>
      </c>
      <c r="S6" s="117">
        <v>1</v>
      </c>
      <c r="T6" s="117">
        <v>0</v>
      </c>
      <c r="U6" s="117">
        <v>0</v>
      </c>
      <c r="V6" s="117">
        <v>0</v>
      </c>
      <c r="W6" s="117">
        <v>0</v>
      </c>
      <c r="X6" s="117">
        <v>1</v>
      </c>
      <c r="Y6" s="117">
        <v>0</v>
      </c>
      <c r="Z6" s="117">
        <v>1</v>
      </c>
      <c r="AA6" s="117">
        <v>8</v>
      </c>
      <c r="AB6" s="117"/>
      <c r="AC6" s="117"/>
      <c r="AD6" s="117"/>
      <c r="AE6" s="117"/>
      <c r="AF6" s="117"/>
      <c r="AG6" s="117"/>
      <c r="AH6" s="117"/>
      <c r="AI6" s="117"/>
      <c r="AJ6" s="117"/>
      <c r="AK6" s="117"/>
      <c r="AL6" s="117"/>
      <c r="AM6">
        <f t="shared" ref="AM6:AM31" si="1">SUM(E6:AA6)</f>
        <v>219</v>
      </c>
      <c r="AN6" s="21" t="s">
        <v>73</v>
      </c>
      <c r="AO6" t="s">
        <v>125</v>
      </c>
      <c r="AP6" t="s">
        <v>77</v>
      </c>
      <c r="AQ6" t="s">
        <v>76</v>
      </c>
      <c r="AR6" s="118"/>
      <c r="AS6" s="118"/>
      <c r="AT6" s="118"/>
      <c r="AU6" s="118">
        <v>1</v>
      </c>
      <c r="AV6" s="118"/>
      <c r="AW6" s="117">
        <v>3</v>
      </c>
      <c r="AX6" s="119"/>
      <c r="AZ6" s="6"/>
      <c r="BA6" s="166"/>
    </row>
    <row r="7" spans="1:54">
      <c r="A7" s="110" t="s">
        <v>73</v>
      </c>
      <c r="B7" s="111" t="s">
        <v>74</v>
      </c>
      <c r="C7" s="112" t="s">
        <v>78</v>
      </c>
      <c r="D7" s="116" t="s">
        <v>76</v>
      </c>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f t="shared" si="1"/>
        <v>0</v>
      </c>
      <c r="AN7" s="21" t="s">
        <v>73</v>
      </c>
      <c r="AO7" t="s">
        <v>125</v>
      </c>
      <c r="AP7" t="s">
        <v>78</v>
      </c>
      <c r="AQ7" t="s">
        <v>76</v>
      </c>
      <c r="AR7" s="118"/>
      <c r="AS7" s="118"/>
      <c r="AT7" s="118"/>
      <c r="AU7" s="118"/>
      <c r="AV7" s="118"/>
      <c r="AW7" s="118"/>
      <c r="AX7" s="119"/>
      <c r="AZ7" s="6"/>
      <c r="BA7" s="166"/>
    </row>
    <row r="8" spans="1:54">
      <c r="A8" s="110" t="s">
        <v>73</v>
      </c>
      <c r="B8" s="111" t="s">
        <v>79</v>
      </c>
      <c r="C8" s="112" t="s">
        <v>80</v>
      </c>
      <c r="D8" s="116" t="s">
        <v>76</v>
      </c>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f t="shared" si="1"/>
        <v>0</v>
      </c>
      <c r="AN8" s="21" t="s">
        <v>73</v>
      </c>
      <c r="AO8" t="s">
        <v>126</v>
      </c>
      <c r="AP8" t="s">
        <v>80</v>
      </c>
      <c r="AQ8" t="s">
        <v>76</v>
      </c>
      <c r="AR8" s="118"/>
      <c r="AS8" s="118"/>
      <c r="AT8" s="118"/>
      <c r="AU8" s="118"/>
      <c r="AV8" s="118"/>
      <c r="AW8" s="118"/>
      <c r="AX8" s="119"/>
      <c r="AZ8" s="6"/>
      <c r="BA8" s="166"/>
    </row>
    <row r="9" spans="1:54">
      <c r="A9" s="110" t="s">
        <v>73</v>
      </c>
      <c r="B9" s="111" t="s">
        <v>79</v>
      </c>
      <c r="C9" s="112" t="s">
        <v>81</v>
      </c>
      <c r="D9" s="116" t="s">
        <v>76</v>
      </c>
      <c r="E9" s="117">
        <v>0</v>
      </c>
      <c r="F9" s="117">
        <v>0</v>
      </c>
      <c r="G9" s="117">
        <v>0</v>
      </c>
      <c r="H9" s="117">
        <v>0</v>
      </c>
      <c r="I9" s="117">
        <v>2</v>
      </c>
      <c r="J9" s="117">
        <v>2</v>
      </c>
      <c r="K9" s="117">
        <v>2</v>
      </c>
      <c r="L9" s="117">
        <v>0</v>
      </c>
      <c r="M9" s="117">
        <v>0</v>
      </c>
      <c r="N9" s="117">
        <v>0</v>
      </c>
      <c r="O9" s="117">
        <v>0</v>
      </c>
      <c r="P9" s="117">
        <v>0</v>
      </c>
      <c r="Q9" s="117">
        <v>0</v>
      </c>
      <c r="R9" s="117">
        <v>0</v>
      </c>
      <c r="S9" s="117">
        <v>0</v>
      </c>
      <c r="T9" s="117">
        <v>0</v>
      </c>
      <c r="U9" s="117">
        <v>0</v>
      </c>
      <c r="V9" s="117">
        <v>0</v>
      </c>
      <c r="W9" s="117">
        <v>0</v>
      </c>
      <c r="X9" s="117">
        <v>0</v>
      </c>
      <c r="Y9" s="117">
        <v>0</v>
      </c>
      <c r="Z9" s="117">
        <v>0</v>
      </c>
      <c r="AA9" s="117">
        <v>0</v>
      </c>
      <c r="AB9" s="117"/>
      <c r="AC9" s="117"/>
      <c r="AD9" s="117"/>
      <c r="AE9" s="117"/>
      <c r="AF9" s="117"/>
      <c r="AG9" s="117"/>
      <c r="AH9" s="117"/>
      <c r="AI9" s="117"/>
      <c r="AJ9" s="117"/>
      <c r="AK9" s="117"/>
      <c r="AL9" s="117"/>
      <c r="AM9">
        <f t="shared" si="1"/>
        <v>6</v>
      </c>
      <c r="AN9" s="21" t="s">
        <v>73</v>
      </c>
      <c r="AO9" t="s">
        <v>126</v>
      </c>
      <c r="AP9" t="s">
        <v>131</v>
      </c>
      <c r="AQ9" t="s">
        <v>76</v>
      </c>
      <c r="AR9" s="118"/>
      <c r="AS9" s="118"/>
      <c r="AT9" s="118"/>
      <c r="AU9" s="118">
        <v>1</v>
      </c>
      <c r="AV9" s="118"/>
      <c r="AW9" s="117">
        <v>3</v>
      </c>
      <c r="AX9" s="119"/>
      <c r="AZ9" s="6"/>
      <c r="BA9" s="166"/>
    </row>
    <row r="10" spans="1:54">
      <c r="A10" s="110" t="s">
        <v>73</v>
      </c>
      <c r="B10" s="111" t="s">
        <v>79</v>
      </c>
      <c r="C10" s="112" t="s">
        <v>82</v>
      </c>
      <c r="D10" s="116" t="s">
        <v>76</v>
      </c>
      <c r="E10" s="117"/>
      <c r="F10" s="117"/>
      <c r="G10" s="117"/>
      <c r="H10" s="117"/>
      <c r="I10" s="117"/>
      <c r="J10" s="117"/>
      <c r="K10" s="117"/>
      <c r="L10" s="117"/>
      <c r="M10" s="117"/>
      <c r="N10" s="117"/>
      <c r="O10" s="117"/>
      <c r="P10" s="117"/>
      <c r="Q10" s="117"/>
      <c r="R10" s="117"/>
      <c r="S10" s="117"/>
      <c r="T10" s="117"/>
      <c r="U10" s="117"/>
      <c r="V10" s="117"/>
      <c r="W10" s="117"/>
      <c r="X10" s="117"/>
      <c r="Y10" s="117"/>
      <c r="Z10" s="117"/>
      <c r="AA10" s="117">
        <v>0</v>
      </c>
      <c r="AB10" s="117"/>
      <c r="AC10" s="117"/>
      <c r="AD10" s="117"/>
      <c r="AE10" s="117"/>
      <c r="AF10" s="117"/>
      <c r="AG10" s="117"/>
      <c r="AH10" s="117"/>
      <c r="AI10" s="117"/>
      <c r="AJ10" s="117"/>
      <c r="AK10" s="117"/>
      <c r="AL10" s="117"/>
      <c r="AM10">
        <f t="shared" si="1"/>
        <v>0</v>
      </c>
      <c r="AN10" s="21" t="s">
        <v>73</v>
      </c>
      <c r="AO10" t="s">
        <v>126</v>
      </c>
      <c r="AP10" t="s">
        <v>82</v>
      </c>
      <c r="AQ10" t="s">
        <v>76</v>
      </c>
      <c r="AR10" s="118"/>
      <c r="AS10" s="118"/>
      <c r="AT10" s="118"/>
      <c r="AU10" s="118"/>
      <c r="AV10" s="118"/>
      <c r="AW10" s="118"/>
      <c r="AX10" s="119"/>
      <c r="AZ10" s="6"/>
      <c r="BA10" s="166"/>
    </row>
    <row r="11" spans="1:54" ht="31">
      <c r="A11" s="110" t="s">
        <v>73</v>
      </c>
      <c r="B11" s="111" t="s">
        <v>83</v>
      </c>
      <c r="C11" s="112" t="s">
        <v>84</v>
      </c>
      <c r="D11" s="116" t="s">
        <v>85</v>
      </c>
      <c r="E11" s="117">
        <v>6</v>
      </c>
      <c r="F11" s="117">
        <v>1</v>
      </c>
      <c r="G11" s="117">
        <v>7</v>
      </c>
      <c r="H11" s="117">
        <v>7</v>
      </c>
      <c r="I11" s="117">
        <v>2</v>
      </c>
      <c r="J11" s="117">
        <v>3</v>
      </c>
      <c r="K11" s="117">
        <v>52</v>
      </c>
      <c r="L11" s="117">
        <v>1</v>
      </c>
      <c r="M11" s="117">
        <v>2</v>
      </c>
      <c r="N11" s="117">
        <v>1</v>
      </c>
      <c r="O11" s="117"/>
      <c r="P11" s="117"/>
      <c r="Q11" s="117">
        <v>1</v>
      </c>
      <c r="R11" s="117"/>
      <c r="S11" s="117"/>
      <c r="T11" s="117">
        <v>1</v>
      </c>
      <c r="U11" s="117"/>
      <c r="V11" s="117"/>
      <c r="W11" s="117">
        <v>1</v>
      </c>
      <c r="X11" s="117">
        <v>2</v>
      </c>
      <c r="Y11" s="117"/>
      <c r="Z11" s="117">
        <v>2</v>
      </c>
      <c r="AA11" s="117">
        <v>4</v>
      </c>
      <c r="AB11" s="117"/>
      <c r="AC11" s="117"/>
      <c r="AD11" s="117"/>
      <c r="AE11" s="117"/>
      <c r="AF11" s="117"/>
      <c r="AG11" s="117"/>
      <c r="AH11" s="117"/>
      <c r="AI11" s="117"/>
      <c r="AJ11" s="117"/>
      <c r="AK11" s="117"/>
      <c r="AL11" s="117"/>
      <c r="AM11">
        <f t="shared" si="1"/>
        <v>93</v>
      </c>
      <c r="AN11" s="21" t="s">
        <v>73</v>
      </c>
      <c r="AO11" t="s">
        <v>83</v>
      </c>
      <c r="AP11" t="s">
        <v>84</v>
      </c>
      <c r="AQ11" t="s">
        <v>85</v>
      </c>
      <c r="AR11" s="118"/>
      <c r="AS11" s="118"/>
      <c r="AT11" s="118">
        <v>0.20730000000000001</v>
      </c>
      <c r="AU11" s="118">
        <v>0.79269999999999996</v>
      </c>
      <c r="AV11" s="118"/>
      <c r="AW11" s="117">
        <v>4</v>
      </c>
      <c r="AX11" s="269">
        <v>7.3200000000000001E-2</v>
      </c>
      <c r="AZ11" s="6"/>
      <c r="BA11" s="166"/>
    </row>
    <row r="12" spans="1:54">
      <c r="A12" s="110" t="s">
        <v>73</v>
      </c>
      <c r="B12" s="111" t="s">
        <v>86</v>
      </c>
      <c r="C12" s="112" t="s">
        <v>87</v>
      </c>
      <c r="D12" s="116" t="s">
        <v>85</v>
      </c>
      <c r="E12" s="117">
        <v>56</v>
      </c>
      <c r="F12" s="117">
        <v>38</v>
      </c>
      <c r="G12" s="117">
        <v>18</v>
      </c>
      <c r="H12" s="117">
        <v>61</v>
      </c>
      <c r="I12" s="117">
        <v>181</v>
      </c>
      <c r="J12" s="117">
        <v>104</v>
      </c>
      <c r="K12" s="117">
        <v>67</v>
      </c>
      <c r="L12" s="117">
        <v>16</v>
      </c>
      <c r="M12" s="117">
        <v>8</v>
      </c>
      <c r="N12" s="117">
        <v>4</v>
      </c>
      <c r="O12" s="117">
        <v>5</v>
      </c>
      <c r="P12" s="117">
        <v>3</v>
      </c>
      <c r="Q12" s="117">
        <v>6</v>
      </c>
      <c r="R12" s="117">
        <v>6</v>
      </c>
      <c r="S12" s="117">
        <v>4</v>
      </c>
      <c r="T12" s="117">
        <v>7</v>
      </c>
      <c r="U12" s="117">
        <v>4</v>
      </c>
      <c r="V12" s="117">
        <v>10</v>
      </c>
      <c r="W12" s="117">
        <v>6</v>
      </c>
      <c r="X12" s="117">
        <v>9</v>
      </c>
      <c r="Y12" s="117">
        <v>8</v>
      </c>
      <c r="Z12" s="117">
        <v>27</v>
      </c>
      <c r="AA12" s="117">
        <v>24</v>
      </c>
      <c r="AB12" s="117"/>
      <c r="AC12" s="117"/>
      <c r="AD12" s="117"/>
      <c r="AE12" s="117"/>
      <c r="AF12" s="117"/>
      <c r="AG12" s="117"/>
      <c r="AH12" s="117"/>
      <c r="AI12" s="117"/>
      <c r="AJ12" s="117"/>
      <c r="AK12" s="117"/>
      <c r="AL12" s="117"/>
      <c r="AM12">
        <f t="shared" si="1"/>
        <v>672</v>
      </c>
      <c r="AN12" s="21" t="s">
        <v>73</v>
      </c>
      <c r="AO12" t="s">
        <v>127</v>
      </c>
      <c r="AP12" t="s">
        <v>87</v>
      </c>
      <c r="AQ12" t="s">
        <v>85</v>
      </c>
      <c r="AR12" s="118"/>
      <c r="AS12" s="118">
        <v>5.67E-2</v>
      </c>
      <c r="AT12" s="118">
        <v>0.7631</v>
      </c>
      <c r="AU12" s="118">
        <v>7.2300000000000003E-2</v>
      </c>
      <c r="AV12" s="118">
        <v>0.10780000000000001</v>
      </c>
      <c r="AW12" s="117">
        <v>3</v>
      </c>
      <c r="AX12" s="270"/>
    </row>
    <row r="13" spans="1:54">
      <c r="A13" s="110" t="s">
        <v>73</v>
      </c>
      <c r="B13" s="111" t="s">
        <v>88</v>
      </c>
      <c r="C13" s="112" t="s">
        <v>89</v>
      </c>
      <c r="D13" s="116" t="s">
        <v>85</v>
      </c>
      <c r="E13" s="117">
        <v>3</v>
      </c>
      <c r="F13" s="117"/>
      <c r="G13" s="117"/>
      <c r="H13" s="117">
        <v>1</v>
      </c>
      <c r="I13" s="117">
        <v>7</v>
      </c>
      <c r="J13" s="117"/>
      <c r="K13" s="117">
        <v>3</v>
      </c>
      <c r="L13" s="117">
        <v>1</v>
      </c>
      <c r="M13" s="117"/>
      <c r="N13" s="117"/>
      <c r="O13" s="117"/>
      <c r="P13" s="117"/>
      <c r="Q13" s="117"/>
      <c r="R13" s="117"/>
      <c r="S13" s="117">
        <v>1</v>
      </c>
      <c r="T13" s="117"/>
      <c r="U13" s="117"/>
      <c r="V13" s="117">
        <v>1</v>
      </c>
      <c r="W13" s="117"/>
      <c r="X13" s="117">
        <v>1</v>
      </c>
      <c r="Y13" s="117"/>
      <c r="Z13" s="117"/>
      <c r="AA13" s="117"/>
      <c r="AB13" s="117"/>
      <c r="AC13" s="117"/>
      <c r="AD13" s="117"/>
      <c r="AE13" s="117"/>
      <c r="AF13" s="117"/>
      <c r="AG13" s="117"/>
      <c r="AH13" s="117"/>
      <c r="AI13" s="117"/>
      <c r="AJ13" s="117"/>
      <c r="AK13" s="117"/>
      <c r="AL13" s="117"/>
      <c r="AM13">
        <f t="shared" si="1"/>
        <v>18</v>
      </c>
      <c r="AN13" s="21" t="s">
        <v>73</v>
      </c>
      <c r="AO13" t="s">
        <v>128</v>
      </c>
      <c r="AP13" t="s">
        <v>89</v>
      </c>
      <c r="AQ13" t="s">
        <v>85</v>
      </c>
      <c r="AR13" s="118"/>
      <c r="AS13" s="118">
        <v>5.8799999999999998E-2</v>
      </c>
      <c r="AT13" s="118">
        <v>0.76470000000000005</v>
      </c>
      <c r="AU13" s="118">
        <v>0.17649999999999999</v>
      </c>
      <c r="AV13" s="118"/>
      <c r="AW13" s="117">
        <v>3</v>
      </c>
      <c r="AX13" s="270">
        <v>3.7000000000000005E-2</v>
      </c>
    </row>
    <row r="14" spans="1:54">
      <c r="A14" s="113" t="s">
        <v>90</v>
      </c>
      <c r="B14" s="111" t="s">
        <v>74</v>
      </c>
      <c r="C14" s="112" t="s">
        <v>91</v>
      </c>
      <c r="D14" s="116" t="s">
        <v>76</v>
      </c>
      <c r="E14" s="117">
        <v>14</v>
      </c>
      <c r="F14" s="117">
        <v>3</v>
      </c>
      <c r="G14" s="117">
        <v>17</v>
      </c>
      <c r="H14" s="117">
        <v>60</v>
      </c>
      <c r="I14" s="117">
        <v>176</v>
      </c>
      <c r="J14" s="117">
        <v>509</v>
      </c>
      <c r="K14" s="117">
        <v>1392</v>
      </c>
      <c r="L14" s="117">
        <v>148</v>
      </c>
      <c r="M14" s="117">
        <v>87</v>
      </c>
      <c r="N14" s="117">
        <v>56</v>
      </c>
      <c r="O14" s="117">
        <v>119</v>
      </c>
      <c r="P14" s="117">
        <v>83</v>
      </c>
      <c r="Q14" s="117">
        <v>94</v>
      </c>
      <c r="R14" s="117">
        <v>118</v>
      </c>
      <c r="S14" s="117">
        <v>91</v>
      </c>
      <c r="T14" s="117">
        <v>57</v>
      </c>
      <c r="U14" s="117">
        <v>36</v>
      </c>
      <c r="V14" s="117">
        <v>40</v>
      </c>
      <c r="W14" s="117">
        <v>55</v>
      </c>
      <c r="X14" s="117">
        <v>51</v>
      </c>
      <c r="Y14" s="117">
        <v>69</v>
      </c>
      <c r="Z14" s="117">
        <v>80</v>
      </c>
      <c r="AA14" s="117">
        <v>49</v>
      </c>
      <c r="AB14" s="117"/>
      <c r="AC14" s="117"/>
      <c r="AD14" s="117"/>
      <c r="AE14" s="117"/>
      <c r="AF14" s="117"/>
      <c r="AG14" s="117"/>
      <c r="AH14" s="117"/>
      <c r="AI14" s="117"/>
      <c r="AJ14" s="117"/>
      <c r="AK14" s="117"/>
      <c r="AL14" s="117"/>
      <c r="AM14">
        <f t="shared" si="1"/>
        <v>3404</v>
      </c>
      <c r="AN14" s="21" t="s">
        <v>90</v>
      </c>
      <c r="AO14" t="s">
        <v>125</v>
      </c>
      <c r="AP14" t="s">
        <v>91</v>
      </c>
      <c r="AQ14" t="s">
        <v>76</v>
      </c>
      <c r="AR14" s="118"/>
      <c r="AS14" s="118">
        <v>4.5999999999999999E-3</v>
      </c>
      <c r="AT14" s="118"/>
      <c r="AU14" s="118">
        <v>0.99539999999999995</v>
      </c>
      <c r="AV14" s="118"/>
      <c r="AW14" s="117">
        <v>3</v>
      </c>
      <c r="AX14" s="270">
        <v>1.9E-3</v>
      </c>
    </row>
    <row r="15" spans="1:54">
      <c r="A15" s="113" t="s">
        <v>90</v>
      </c>
      <c r="B15" s="111" t="s">
        <v>74</v>
      </c>
      <c r="C15" s="112" t="s">
        <v>92</v>
      </c>
      <c r="D15" s="116" t="s">
        <v>76</v>
      </c>
      <c r="E15" s="117">
        <v>11</v>
      </c>
      <c r="F15" s="117">
        <v>24</v>
      </c>
      <c r="G15" s="117">
        <v>14</v>
      </c>
      <c r="H15" s="117">
        <v>76</v>
      </c>
      <c r="I15" s="117">
        <v>75</v>
      </c>
      <c r="J15" s="117">
        <v>5</v>
      </c>
      <c r="K15" s="117">
        <v>5</v>
      </c>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f t="shared" si="1"/>
        <v>210</v>
      </c>
      <c r="AN15" s="21" t="s">
        <v>90</v>
      </c>
      <c r="AO15" t="s">
        <v>125</v>
      </c>
      <c r="AP15" t="s">
        <v>92</v>
      </c>
      <c r="AQ15" t="s">
        <v>76</v>
      </c>
      <c r="AR15" s="118"/>
      <c r="AS15" s="118"/>
      <c r="AT15" s="118"/>
      <c r="AU15" s="118">
        <v>1</v>
      </c>
      <c r="AV15" s="118"/>
      <c r="AW15" s="117">
        <v>3</v>
      </c>
      <c r="AX15" s="270"/>
    </row>
    <row r="16" spans="1:54">
      <c r="A16" s="113" t="s">
        <v>90</v>
      </c>
      <c r="B16" s="111" t="s">
        <v>74</v>
      </c>
      <c r="C16" s="112" t="s">
        <v>93</v>
      </c>
      <c r="D16" s="116" t="s">
        <v>76</v>
      </c>
      <c r="E16" s="117">
        <v>1</v>
      </c>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f t="shared" si="1"/>
        <v>1</v>
      </c>
      <c r="AN16" s="21" t="s">
        <v>90</v>
      </c>
      <c r="AO16" t="s">
        <v>125</v>
      </c>
      <c r="AP16" t="s">
        <v>93</v>
      </c>
      <c r="AQ16" t="s">
        <v>76</v>
      </c>
      <c r="AR16" s="118"/>
      <c r="AS16" s="118">
        <v>1</v>
      </c>
      <c r="AT16" s="118"/>
      <c r="AU16" s="118"/>
      <c r="AV16" s="118"/>
      <c r="AW16" s="117">
        <v>3</v>
      </c>
      <c r="AX16" s="270">
        <v>1</v>
      </c>
    </row>
    <row r="17" spans="1:50">
      <c r="A17" s="113" t="s">
        <v>90</v>
      </c>
      <c r="B17" s="111" t="s">
        <v>79</v>
      </c>
      <c r="C17" s="112" t="s">
        <v>94</v>
      </c>
      <c r="D17" s="116" t="s">
        <v>76</v>
      </c>
      <c r="E17" s="117">
        <v>4</v>
      </c>
      <c r="F17" s="117">
        <v>1</v>
      </c>
      <c r="G17" s="117">
        <v>2</v>
      </c>
      <c r="H17" s="117">
        <v>6</v>
      </c>
      <c r="I17" s="117">
        <v>61</v>
      </c>
      <c r="J17" s="117">
        <v>326</v>
      </c>
      <c r="K17" s="117">
        <v>858</v>
      </c>
      <c r="L17" s="117">
        <v>85</v>
      </c>
      <c r="M17" s="117">
        <v>52</v>
      </c>
      <c r="N17" s="117">
        <v>55</v>
      </c>
      <c r="O17" s="117">
        <v>75</v>
      </c>
      <c r="P17" s="117">
        <v>90</v>
      </c>
      <c r="Q17" s="117">
        <v>75</v>
      </c>
      <c r="R17" s="117">
        <v>76</v>
      </c>
      <c r="S17" s="117">
        <v>71</v>
      </c>
      <c r="T17" s="117">
        <v>58</v>
      </c>
      <c r="U17" s="117">
        <v>35</v>
      </c>
      <c r="V17" s="117">
        <v>42</v>
      </c>
      <c r="W17" s="117">
        <v>61</v>
      </c>
      <c r="X17" s="117">
        <v>51</v>
      </c>
      <c r="Y17" s="117">
        <v>50</v>
      </c>
      <c r="Z17" s="117">
        <v>49</v>
      </c>
      <c r="AA17" s="117">
        <v>36</v>
      </c>
      <c r="AB17" s="117"/>
      <c r="AC17" s="117"/>
      <c r="AD17" s="117"/>
      <c r="AE17" s="117"/>
      <c r="AF17" s="117"/>
      <c r="AG17" s="117"/>
      <c r="AH17" s="117"/>
      <c r="AI17" s="117"/>
      <c r="AJ17" s="117"/>
      <c r="AK17" s="117"/>
      <c r="AL17" s="117"/>
      <c r="AM17">
        <f t="shared" si="1"/>
        <v>2219</v>
      </c>
      <c r="AN17" s="21" t="s">
        <v>90</v>
      </c>
      <c r="AO17" t="s">
        <v>126</v>
      </c>
      <c r="AP17" t="s">
        <v>132</v>
      </c>
      <c r="AQ17" t="s">
        <v>76</v>
      </c>
      <c r="AR17" s="118"/>
      <c r="AS17" s="118">
        <v>3.5999999999999999E-3</v>
      </c>
      <c r="AT17" s="118">
        <v>0.99639999999999995</v>
      </c>
      <c r="AU17" s="118"/>
      <c r="AV17" s="118"/>
      <c r="AW17" s="117">
        <v>3</v>
      </c>
      <c r="AX17" s="270">
        <v>1.5E-3</v>
      </c>
    </row>
    <row r="18" spans="1:50">
      <c r="A18" s="113" t="s">
        <v>90</v>
      </c>
      <c r="B18" s="111" t="s">
        <v>79</v>
      </c>
      <c r="C18" s="112" t="s">
        <v>95</v>
      </c>
      <c r="D18" s="116" t="s">
        <v>76</v>
      </c>
      <c r="E18" s="117">
        <v>2</v>
      </c>
      <c r="F18" s="117">
        <v>1</v>
      </c>
      <c r="G18" s="117">
        <v>2</v>
      </c>
      <c r="H18" s="117">
        <v>7</v>
      </c>
      <c r="I18" s="117">
        <v>7</v>
      </c>
      <c r="J18" s="117">
        <v>4</v>
      </c>
      <c r="K18" s="117">
        <v>4</v>
      </c>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f t="shared" si="1"/>
        <v>27</v>
      </c>
      <c r="AN18" s="21" t="s">
        <v>90</v>
      </c>
      <c r="AO18" t="s">
        <v>126</v>
      </c>
      <c r="AP18" t="s">
        <v>95</v>
      </c>
      <c r="AQ18" t="s">
        <v>76</v>
      </c>
      <c r="AR18" s="118"/>
      <c r="AS18" s="118"/>
      <c r="AT18" s="118">
        <v>1</v>
      </c>
      <c r="AU18" s="118"/>
      <c r="AV18" s="118"/>
      <c r="AW18" s="117">
        <v>3</v>
      </c>
      <c r="AX18" s="270"/>
    </row>
    <row r="19" spans="1:50">
      <c r="A19" s="113" t="s">
        <v>90</v>
      </c>
      <c r="B19" s="111" t="s">
        <v>79</v>
      </c>
      <c r="C19" s="112" t="s">
        <v>96</v>
      </c>
      <c r="D19" s="116" t="s">
        <v>76</v>
      </c>
      <c r="E19" s="117"/>
      <c r="F19" s="117"/>
      <c r="G19" s="117"/>
      <c r="H19" s="117"/>
      <c r="I19" s="117">
        <v>2</v>
      </c>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f t="shared" si="1"/>
        <v>2</v>
      </c>
      <c r="AN19" s="21" t="s">
        <v>90</v>
      </c>
      <c r="AO19" t="s">
        <v>126</v>
      </c>
      <c r="AP19" t="s">
        <v>96</v>
      </c>
      <c r="AQ19" t="s">
        <v>76</v>
      </c>
      <c r="AR19" s="118"/>
      <c r="AS19" s="118"/>
      <c r="AT19" s="118">
        <v>1</v>
      </c>
      <c r="AU19" s="118"/>
      <c r="AV19" s="118"/>
      <c r="AW19" s="117">
        <v>3</v>
      </c>
      <c r="AX19" s="270"/>
    </row>
    <row r="20" spans="1:50">
      <c r="A20" s="113" t="s">
        <v>90</v>
      </c>
      <c r="B20" s="111" t="s">
        <v>83</v>
      </c>
      <c r="C20" s="112" t="s">
        <v>97</v>
      </c>
      <c r="D20" s="116" t="s">
        <v>85</v>
      </c>
      <c r="E20" s="117">
        <v>1</v>
      </c>
      <c r="F20" s="117">
        <v>2</v>
      </c>
      <c r="G20" s="117">
        <v>1</v>
      </c>
      <c r="H20" s="117">
        <v>7</v>
      </c>
      <c r="I20" s="117">
        <v>38</v>
      </c>
      <c r="J20" s="117">
        <v>86</v>
      </c>
      <c r="K20" s="117">
        <v>38</v>
      </c>
      <c r="L20" s="117">
        <v>3</v>
      </c>
      <c r="M20" s="117"/>
      <c r="N20" s="117">
        <v>1</v>
      </c>
      <c r="O20" s="117">
        <v>1</v>
      </c>
      <c r="P20" s="117">
        <v>10</v>
      </c>
      <c r="Q20" s="117">
        <v>5</v>
      </c>
      <c r="R20" s="117">
        <v>6</v>
      </c>
      <c r="S20" s="117">
        <v>2</v>
      </c>
      <c r="T20" s="117">
        <v>1</v>
      </c>
      <c r="U20" s="117">
        <v>1</v>
      </c>
      <c r="V20" s="117">
        <v>2</v>
      </c>
      <c r="W20" s="117"/>
      <c r="X20" s="117">
        <v>1</v>
      </c>
      <c r="Y20" s="117">
        <v>2</v>
      </c>
      <c r="Z20" s="117">
        <v>1</v>
      </c>
      <c r="AA20" s="117">
        <v>1</v>
      </c>
      <c r="AB20" s="117"/>
      <c r="AC20" s="117"/>
      <c r="AD20" s="117"/>
      <c r="AE20" s="117"/>
      <c r="AF20" s="117"/>
      <c r="AG20" s="117"/>
      <c r="AH20" s="117"/>
      <c r="AI20" s="117"/>
      <c r="AJ20" s="117"/>
      <c r="AK20" s="117"/>
      <c r="AL20" s="117"/>
      <c r="AM20">
        <f t="shared" si="1"/>
        <v>210</v>
      </c>
      <c r="AN20" s="21" t="s">
        <v>90</v>
      </c>
      <c r="AO20" t="s">
        <v>83</v>
      </c>
      <c r="AP20" t="s">
        <v>97</v>
      </c>
      <c r="AQ20" t="s">
        <v>85</v>
      </c>
      <c r="AR20" s="118"/>
      <c r="AS20" s="118"/>
      <c r="AT20" s="118">
        <v>0.22220000000000001</v>
      </c>
      <c r="AU20" s="118">
        <v>0.77780000000000005</v>
      </c>
      <c r="AV20" s="118"/>
      <c r="AW20" s="117">
        <v>4</v>
      </c>
      <c r="AX20" s="270"/>
    </row>
    <row r="21" spans="1:50">
      <c r="A21" s="113" t="s">
        <v>90</v>
      </c>
      <c r="B21" s="111" t="s">
        <v>86</v>
      </c>
      <c r="C21" s="112" t="s">
        <v>98</v>
      </c>
      <c r="D21" s="116" t="s">
        <v>85</v>
      </c>
      <c r="E21" s="117">
        <v>46</v>
      </c>
      <c r="F21" s="117">
        <v>94</v>
      </c>
      <c r="G21" s="117">
        <v>105</v>
      </c>
      <c r="H21" s="117">
        <v>674</v>
      </c>
      <c r="I21" s="117">
        <v>670</v>
      </c>
      <c r="J21" s="117">
        <v>430</v>
      </c>
      <c r="K21" s="117">
        <v>261</v>
      </c>
      <c r="L21" s="117">
        <v>42</v>
      </c>
      <c r="M21" s="117">
        <v>34</v>
      </c>
      <c r="N21" s="117">
        <v>15</v>
      </c>
      <c r="O21" s="117">
        <v>20</v>
      </c>
      <c r="P21" s="117">
        <v>21</v>
      </c>
      <c r="Q21" s="117">
        <v>39</v>
      </c>
      <c r="R21" s="117">
        <v>40</v>
      </c>
      <c r="S21" s="117">
        <v>26</v>
      </c>
      <c r="T21" s="117">
        <v>27</v>
      </c>
      <c r="U21" s="117">
        <v>31</v>
      </c>
      <c r="V21" s="117">
        <v>12</v>
      </c>
      <c r="W21" s="117">
        <v>34</v>
      </c>
      <c r="X21" s="117">
        <v>29</v>
      </c>
      <c r="Y21" s="117">
        <v>44</v>
      </c>
      <c r="Z21" s="117">
        <v>42</v>
      </c>
      <c r="AA21" s="117">
        <v>41</v>
      </c>
      <c r="AB21" s="117"/>
      <c r="AC21" s="117"/>
      <c r="AD21" s="117"/>
      <c r="AE21" s="117"/>
      <c r="AF21" s="117"/>
      <c r="AG21" s="117"/>
      <c r="AH21" s="117"/>
      <c r="AI21" s="117"/>
      <c r="AJ21" s="117"/>
      <c r="AK21" s="117"/>
      <c r="AL21" s="117"/>
      <c r="AM21">
        <f t="shared" si="1"/>
        <v>2777</v>
      </c>
      <c r="AN21" s="21" t="s">
        <v>90</v>
      </c>
      <c r="AO21" t="s">
        <v>127</v>
      </c>
      <c r="AP21" t="s">
        <v>98</v>
      </c>
      <c r="AQ21" t="s">
        <v>85</v>
      </c>
      <c r="AR21" s="118"/>
      <c r="AS21" s="118">
        <v>3.0300000000000001E-2</v>
      </c>
      <c r="AT21" s="118">
        <v>0.82120000000000004</v>
      </c>
      <c r="AU21" s="118">
        <v>3.3700000000000001E-2</v>
      </c>
      <c r="AV21" s="118">
        <v>0.1149</v>
      </c>
      <c r="AW21" s="117">
        <v>3</v>
      </c>
      <c r="AX21" s="270"/>
    </row>
    <row r="22" spans="1:50">
      <c r="A22" s="113" t="s">
        <v>90</v>
      </c>
      <c r="B22" s="111" t="s">
        <v>88</v>
      </c>
      <c r="C22" s="112" t="s">
        <v>99</v>
      </c>
      <c r="D22" s="116" t="s">
        <v>85</v>
      </c>
      <c r="E22" s="117"/>
      <c r="F22" s="117">
        <v>1</v>
      </c>
      <c r="G22" s="117">
        <v>2</v>
      </c>
      <c r="H22" s="117">
        <v>7</v>
      </c>
      <c r="I22" s="117">
        <v>11</v>
      </c>
      <c r="J22" s="117">
        <v>9</v>
      </c>
      <c r="K22" s="117">
        <v>13</v>
      </c>
      <c r="L22" s="117">
        <v>6</v>
      </c>
      <c r="M22" s="117"/>
      <c r="N22" s="117"/>
      <c r="O22" s="117"/>
      <c r="P22" s="117"/>
      <c r="Q22" s="117"/>
      <c r="R22" s="117">
        <v>3</v>
      </c>
      <c r="S22" s="117">
        <v>1</v>
      </c>
      <c r="T22" s="117">
        <v>2</v>
      </c>
      <c r="U22" s="117"/>
      <c r="V22" s="117">
        <v>3</v>
      </c>
      <c r="W22" s="117">
        <v>2</v>
      </c>
      <c r="X22" s="117"/>
      <c r="Y22" s="117">
        <v>2</v>
      </c>
      <c r="Z22" s="117"/>
      <c r="AA22" s="117"/>
      <c r="AB22" s="117"/>
      <c r="AC22" s="117"/>
      <c r="AD22" s="117"/>
      <c r="AE22" s="117"/>
      <c r="AF22" s="117"/>
      <c r="AG22" s="117"/>
      <c r="AH22" s="117"/>
      <c r="AI22" s="117"/>
      <c r="AJ22" s="117"/>
      <c r="AK22" s="117"/>
      <c r="AL22" s="117"/>
      <c r="AM22">
        <f t="shared" si="1"/>
        <v>62</v>
      </c>
      <c r="AN22" s="21" t="s">
        <v>90</v>
      </c>
      <c r="AO22" t="s">
        <v>128</v>
      </c>
      <c r="AP22" t="s">
        <v>99</v>
      </c>
      <c r="AQ22" t="s">
        <v>85</v>
      </c>
      <c r="AR22" s="118"/>
      <c r="AS22" s="118">
        <v>7.8100000000000003E-2</v>
      </c>
      <c r="AT22" s="118">
        <v>0.4531</v>
      </c>
      <c r="AU22" s="118">
        <v>0.4531</v>
      </c>
      <c r="AV22" s="118">
        <v>1.5599999999999999E-2</v>
      </c>
      <c r="AW22" s="117">
        <v>3</v>
      </c>
      <c r="AX22" s="270">
        <v>3.7000000000000005E-2</v>
      </c>
    </row>
    <row r="23" spans="1:50">
      <c r="A23" s="113" t="s">
        <v>100</v>
      </c>
      <c r="B23" s="111" t="s">
        <v>74</v>
      </c>
      <c r="C23" s="112" t="s">
        <v>101</v>
      </c>
      <c r="D23" s="116" t="s">
        <v>76</v>
      </c>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f t="shared" si="1"/>
        <v>0</v>
      </c>
      <c r="AN23" s="21" t="s">
        <v>100</v>
      </c>
      <c r="AO23" t="s">
        <v>125</v>
      </c>
      <c r="AP23" t="s">
        <v>101</v>
      </c>
      <c r="AQ23" t="s">
        <v>76</v>
      </c>
      <c r="AR23" s="118"/>
      <c r="AS23" s="118"/>
      <c r="AT23" s="118"/>
      <c r="AU23" s="118">
        <v>1</v>
      </c>
      <c r="AV23" s="118"/>
      <c r="AW23" s="117">
        <v>3</v>
      </c>
      <c r="AX23" s="270"/>
    </row>
    <row r="24" spans="1:50">
      <c r="A24" s="113" t="s">
        <v>100</v>
      </c>
      <c r="B24" s="111" t="s">
        <v>74</v>
      </c>
      <c r="C24" s="112" t="s">
        <v>102</v>
      </c>
      <c r="D24" s="116" t="s">
        <v>76</v>
      </c>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f t="shared" si="1"/>
        <v>0</v>
      </c>
      <c r="AN24" s="21" t="s">
        <v>100</v>
      </c>
      <c r="AO24" t="s">
        <v>125</v>
      </c>
      <c r="AP24" t="s">
        <v>133</v>
      </c>
      <c r="AQ24" t="s">
        <v>76</v>
      </c>
      <c r="AR24" s="118"/>
      <c r="AS24" s="118"/>
      <c r="AT24" s="118"/>
      <c r="AU24" s="118"/>
      <c r="AV24" s="118"/>
      <c r="AW24" s="118"/>
      <c r="AX24" s="269"/>
    </row>
    <row r="25" spans="1:50">
      <c r="A25" s="113" t="s">
        <v>100</v>
      </c>
      <c r="B25" s="111" t="s">
        <v>74</v>
      </c>
      <c r="C25" s="112" t="s">
        <v>103</v>
      </c>
      <c r="D25" s="116" t="s">
        <v>76</v>
      </c>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f t="shared" si="1"/>
        <v>0</v>
      </c>
      <c r="AN25" s="21" t="s">
        <v>100</v>
      </c>
      <c r="AO25" t="s">
        <v>125</v>
      </c>
      <c r="AP25" t="s">
        <v>134</v>
      </c>
      <c r="AQ25" t="s">
        <v>76</v>
      </c>
      <c r="AR25" s="118"/>
      <c r="AS25" s="118"/>
      <c r="AT25" s="118"/>
      <c r="AU25" s="118"/>
      <c r="AV25" s="118"/>
      <c r="AW25" s="118"/>
      <c r="AX25" s="269"/>
    </row>
    <row r="26" spans="1:50">
      <c r="A26" s="113" t="s">
        <v>100</v>
      </c>
      <c r="B26" s="111" t="s">
        <v>79</v>
      </c>
      <c r="C26" s="112" t="s">
        <v>104</v>
      </c>
      <c r="D26" s="116" t="s">
        <v>76</v>
      </c>
      <c r="E26" s="117"/>
      <c r="F26" s="117"/>
      <c r="G26" s="117"/>
      <c r="H26" s="117"/>
      <c r="I26" s="117">
        <v>1</v>
      </c>
      <c r="J26" s="117">
        <v>1</v>
      </c>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f t="shared" si="1"/>
        <v>2</v>
      </c>
      <c r="AN26" s="21" t="s">
        <v>100</v>
      </c>
      <c r="AO26" t="s">
        <v>126</v>
      </c>
      <c r="AP26" t="s">
        <v>135</v>
      </c>
      <c r="AQ26" t="s">
        <v>76</v>
      </c>
      <c r="AR26" s="118"/>
      <c r="AS26" s="118"/>
      <c r="AT26" s="118"/>
      <c r="AU26" s="118">
        <v>1</v>
      </c>
      <c r="AV26" s="118"/>
      <c r="AW26" s="117">
        <v>3</v>
      </c>
      <c r="AX26" s="269"/>
    </row>
    <row r="27" spans="1:50">
      <c r="A27" s="113" t="s">
        <v>100</v>
      </c>
      <c r="B27" s="111" t="s">
        <v>79</v>
      </c>
      <c r="C27" s="112" t="s">
        <v>105</v>
      </c>
      <c r="D27" s="116" t="s">
        <v>76</v>
      </c>
      <c r="E27" s="117"/>
      <c r="F27" s="117"/>
      <c r="G27" s="117"/>
      <c r="H27" s="117"/>
      <c r="I27" s="117">
        <v>1</v>
      </c>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f t="shared" si="1"/>
        <v>1</v>
      </c>
      <c r="AN27" s="21" t="s">
        <v>100</v>
      </c>
      <c r="AO27" t="s">
        <v>126</v>
      </c>
      <c r="AP27" t="s">
        <v>137</v>
      </c>
      <c r="AQ27" t="s">
        <v>76</v>
      </c>
      <c r="AR27" s="118"/>
      <c r="AS27" s="118"/>
      <c r="AT27" s="118">
        <v>1</v>
      </c>
      <c r="AU27" s="118"/>
      <c r="AV27" s="118"/>
      <c r="AW27" s="117">
        <v>3</v>
      </c>
      <c r="AX27" s="269"/>
    </row>
    <row r="28" spans="1:50">
      <c r="A28" s="113" t="s">
        <v>100</v>
      </c>
      <c r="B28" s="111" t="s">
        <v>79</v>
      </c>
      <c r="C28" s="112" t="s">
        <v>106</v>
      </c>
      <c r="D28" s="116" t="s">
        <v>76</v>
      </c>
      <c r="E28" s="117"/>
      <c r="F28" s="117"/>
      <c r="G28" s="117"/>
      <c r="H28" s="117"/>
      <c r="I28" s="117"/>
      <c r="J28" s="117"/>
      <c r="K28" s="117"/>
      <c r="L28" s="117"/>
      <c r="M28" s="117"/>
      <c r="N28" s="117"/>
      <c r="O28" s="117"/>
      <c r="P28" s="117"/>
      <c r="Q28" s="117"/>
      <c r="R28" s="117"/>
      <c r="S28" s="117"/>
      <c r="T28" s="117"/>
      <c r="U28" s="117"/>
      <c r="V28" s="117"/>
      <c r="W28" s="117"/>
      <c r="X28" s="117"/>
      <c r="Y28" s="117"/>
      <c r="Z28" s="117"/>
      <c r="AA28" s="117">
        <v>0</v>
      </c>
      <c r="AB28" s="117"/>
      <c r="AC28" s="117"/>
      <c r="AD28" s="117"/>
      <c r="AE28" s="117"/>
      <c r="AF28" s="117"/>
      <c r="AG28" s="117"/>
      <c r="AH28" s="117"/>
      <c r="AI28" s="117"/>
      <c r="AJ28" s="117"/>
      <c r="AK28" s="117"/>
      <c r="AL28" s="117"/>
      <c r="AM28">
        <f t="shared" si="1"/>
        <v>0</v>
      </c>
      <c r="AN28" s="21" t="s">
        <v>100</v>
      </c>
      <c r="AO28" t="s">
        <v>126</v>
      </c>
      <c r="AP28" t="s">
        <v>136</v>
      </c>
      <c r="AQ28" t="s">
        <v>76</v>
      </c>
      <c r="AR28" s="118"/>
      <c r="AS28" s="118"/>
      <c r="AT28" s="118"/>
      <c r="AU28" s="118"/>
      <c r="AV28" s="118"/>
      <c r="AW28" s="118"/>
      <c r="AX28" s="269"/>
    </row>
    <row r="29" spans="1:50">
      <c r="A29" s="113" t="s">
        <v>100</v>
      </c>
      <c r="B29" s="111" t="s">
        <v>86</v>
      </c>
      <c r="C29" s="112" t="s">
        <v>107</v>
      </c>
      <c r="D29" s="116" t="s">
        <v>85</v>
      </c>
      <c r="E29" s="117"/>
      <c r="F29" s="117"/>
      <c r="G29" s="117">
        <v>1</v>
      </c>
      <c r="H29" s="117"/>
      <c r="I29" s="117"/>
      <c r="J29" s="117">
        <v>1</v>
      </c>
      <c r="K29" s="117">
        <v>1</v>
      </c>
      <c r="L29" s="117"/>
      <c r="M29" s="117"/>
      <c r="N29" s="117"/>
      <c r="O29" s="117"/>
      <c r="P29" s="117"/>
      <c r="Q29" s="117"/>
      <c r="R29" s="117"/>
      <c r="S29" s="117"/>
      <c r="T29" s="117"/>
      <c r="U29" s="117"/>
      <c r="V29" s="117"/>
      <c r="W29" s="117">
        <v>2</v>
      </c>
      <c r="X29" s="117"/>
      <c r="Y29" s="117">
        <v>8</v>
      </c>
      <c r="Z29" s="117">
        <v>2</v>
      </c>
      <c r="AA29" s="117">
        <v>0</v>
      </c>
      <c r="AB29" s="117"/>
      <c r="AC29" s="117"/>
      <c r="AD29" s="117"/>
      <c r="AE29" s="117"/>
      <c r="AF29" s="117"/>
      <c r="AG29" s="117"/>
      <c r="AH29" s="117"/>
      <c r="AI29" s="117"/>
      <c r="AJ29" s="117"/>
      <c r="AK29" s="117"/>
      <c r="AL29" s="117"/>
      <c r="AM29">
        <f t="shared" si="1"/>
        <v>15</v>
      </c>
      <c r="AN29" s="21" t="s">
        <v>100</v>
      </c>
      <c r="AO29" t="s">
        <v>127</v>
      </c>
      <c r="AP29" t="s">
        <v>107</v>
      </c>
      <c r="AQ29" t="s">
        <v>85</v>
      </c>
      <c r="AR29" s="118"/>
      <c r="AS29" s="118"/>
      <c r="AT29" s="118">
        <v>0.54549999999999998</v>
      </c>
      <c r="AU29" s="118"/>
      <c r="AV29" s="118">
        <v>0.45450000000000002</v>
      </c>
      <c r="AW29" s="117">
        <v>3</v>
      </c>
      <c r="AX29" s="269"/>
    </row>
    <row r="30" spans="1:50">
      <c r="A30" s="113" t="s">
        <v>100</v>
      </c>
      <c r="B30" s="111" t="s">
        <v>88</v>
      </c>
      <c r="C30" s="112" t="s">
        <v>108</v>
      </c>
      <c r="D30" s="116" t="s">
        <v>85</v>
      </c>
      <c r="E30" s="117"/>
      <c r="F30" s="117"/>
      <c r="G30" s="117"/>
      <c r="H30" s="117"/>
      <c r="I30" s="117"/>
      <c r="J30" s="117"/>
      <c r="K30" s="117"/>
      <c r="L30" s="117"/>
      <c r="M30" s="117"/>
      <c r="N30" s="117"/>
      <c r="O30" s="117"/>
      <c r="P30" s="117"/>
      <c r="Q30" s="117"/>
      <c r="R30" s="117"/>
      <c r="S30" s="117"/>
      <c r="T30" s="117"/>
      <c r="U30" s="117"/>
      <c r="V30" s="117"/>
      <c r="W30" s="117"/>
      <c r="X30" s="117"/>
      <c r="Y30" s="117"/>
      <c r="Z30" s="117"/>
      <c r="AA30" s="117">
        <v>0</v>
      </c>
      <c r="AB30" s="117"/>
      <c r="AC30" s="117"/>
      <c r="AD30" s="117"/>
      <c r="AE30" s="117"/>
      <c r="AF30" s="117"/>
      <c r="AG30" s="117"/>
      <c r="AH30" s="117"/>
      <c r="AI30" s="117"/>
      <c r="AJ30" s="117"/>
      <c r="AK30" s="117"/>
      <c r="AL30" s="117"/>
      <c r="AM30">
        <f t="shared" si="1"/>
        <v>0</v>
      </c>
      <c r="AN30" s="21" t="s">
        <v>100</v>
      </c>
      <c r="AO30" t="s">
        <v>128</v>
      </c>
      <c r="AP30" t="s">
        <v>108</v>
      </c>
      <c r="AQ30" t="s">
        <v>85</v>
      </c>
      <c r="AR30" s="118"/>
      <c r="AS30" s="118"/>
      <c r="AT30" s="118"/>
      <c r="AU30" s="118"/>
      <c r="AV30" s="118"/>
      <c r="AW30" s="118"/>
      <c r="AX30" s="269"/>
    </row>
    <row r="31" spans="1:50" ht="30" customHeight="1">
      <c r="A31" s="113" t="s">
        <v>109</v>
      </c>
      <c r="B31" s="111" t="s">
        <v>110</v>
      </c>
      <c r="C31" s="112" t="s">
        <v>111</v>
      </c>
      <c r="D31" s="116" t="s">
        <v>85</v>
      </c>
      <c r="E31" s="117"/>
      <c r="F31" s="117"/>
      <c r="G31" s="117"/>
      <c r="H31" s="117"/>
      <c r="I31" s="117"/>
      <c r="J31" s="117"/>
      <c r="K31" s="117">
        <v>32</v>
      </c>
      <c r="L31" s="117">
        <v>1</v>
      </c>
      <c r="M31" s="117">
        <v>1</v>
      </c>
      <c r="N31" s="117">
        <v>1</v>
      </c>
      <c r="O31" s="117"/>
      <c r="P31" s="117"/>
      <c r="Q31" s="117">
        <v>4</v>
      </c>
      <c r="R31" s="117">
        <v>1</v>
      </c>
      <c r="S31" s="117">
        <v>19</v>
      </c>
      <c r="T31" s="117">
        <v>3</v>
      </c>
      <c r="U31" s="117">
        <v>1</v>
      </c>
      <c r="V31" s="117"/>
      <c r="W31" s="117">
        <v>1</v>
      </c>
      <c r="X31" s="117"/>
      <c r="Y31" s="117"/>
      <c r="Z31" s="117">
        <v>3</v>
      </c>
      <c r="AA31" s="117">
        <v>4</v>
      </c>
      <c r="AB31" s="117"/>
      <c r="AC31" s="117"/>
      <c r="AD31" s="117"/>
      <c r="AE31" s="117"/>
      <c r="AF31" s="117"/>
      <c r="AG31" s="117"/>
      <c r="AH31" s="117"/>
      <c r="AI31" s="117"/>
      <c r="AJ31" s="117"/>
      <c r="AK31" s="117"/>
      <c r="AL31" s="117"/>
      <c r="AM31">
        <f t="shared" si="1"/>
        <v>71</v>
      </c>
      <c r="AN31" s="21" t="s">
        <v>109</v>
      </c>
      <c r="AO31" t="s">
        <v>129</v>
      </c>
      <c r="AP31" t="s">
        <v>111</v>
      </c>
      <c r="AQ31" t="s">
        <v>85</v>
      </c>
      <c r="AR31" s="118"/>
      <c r="AS31" s="118">
        <v>1.3899999999999999E-2</v>
      </c>
      <c r="AT31" s="118">
        <v>0.22220000000000001</v>
      </c>
      <c r="AU31" s="118">
        <v>0.76390000000000002</v>
      </c>
      <c r="AV31" s="118"/>
      <c r="AW31" s="117">
        <v>3</v>
      </c>
      <c r="AX31" s="269">
        <v>0.27079999999999999</v>
      </c>
    </row>
    <row r="32" spans="1:50" ht="31">
      <c r="A32" s="266" t="s">
        <v>109</v>
      </c>
      <c r="B32" s="267" t="s">
        <v>130</v>
      </c>
      <c r="C32" s="267" t="s">
        <v>138</v>
      </c>
      <c r="D32" s="268" t="s">
        <v>85</v>
      </c>
      <c r="E32" s="117">
        <v>1</v>
      </c>
      <c r="F32" s="117">
        <v>1</v>
      </c>
      <c r="G32" s="117">
        <v>2</v>
      </c>
      <c r="H32" s="117">
        <v>4</v>
      </c>
      <c r="I32" s="117">
        <v>3</v>
      </c>
      <c r="J32" s="117"/>
      <c r="K32" s="117"/>
      <c r="L32" s="117">
        <v>2</v>
      </c>
      <c r="M32" s="117">
        <v>1</v>
      </c>
      <c r="N32" s="117"/>
      <c r="O32" s="117"/>
      <c r="P32" s="117">
        <v>1</v>
      </c>
      <c r="Q32" s="117"/>
      <c r="R32" s="117"/>
      <c r="S32" s="117"/>
      <c r="T32" s="117"/>
      <c r="U32" s="117"/>
      <c r="V32" s="117"/>
      <c r="W32" s="117"/>
      <c r="X32" s="117"/>
      <c r="Y32" s="117"/>
      <c r="Z32" s="117">
        <v>1</v>
      </c>
      <c r="AA32" s="117"/>
      <c r="AB32" s="117"/>
      <c r="AC32" s="117"/>
      <c r="AD32" s="117"/>
      <c r="AE32" s="117"/>
      <c r="AF32" s="117"/>
      <c r="AG32" s="117"/>
      <c r="AH32" s="117"/>
      <c r="AI32" s="117"/>
      <c r="AJ32" s="117"/>
      <c r="AK32" s="117"/>
      <c r="AL32" s="117"/>
      <c r="AN32" s="21" t="s">
        <v>109</v>
      </c>
      <c r="AO32" t="s">
        <v>130</v>
      </c>
      <c r="AP32" t="s">
        <v>138</v>
      </c>
      <c r="AQ32" t="s">
        <v>85</v>
      </c>
      <c r="AR32" s="118"/>
      <c r="AS32" s="118">
        <v>9.5200000000000007E-2</v>
      </c>
      <c r="AT32" s="118">
        <v>0.71430000000000005</v>
      </c>
      <c r="AU32" s="118">
        <v>0.1905</v>
      </c>
      <c r="AV32" s="118"/>
      <c r="AW32" s="117">
        <v>4</v>
      </c>
      <c r="AX32" s="269">
        <v>7.0999999999999994E-2</v>
      </c>
    </row>
    <row r="33" spans="1:28" ht="27" hidden="1" customHeight="1">
      <c r="A33" s="30" t="s">
        <v>68</v>
      </c>
      <c r="B33" s="31" t="s">
        <v>69</v>
      </c>
      <c r="C33" s="32" t="s">
        <v>70</v>
      </c>
      <c r="D33" s="33" t="s">
        <v>71</v>
      </c>
      <c r="E33">
        <v>1</v>
      </c>
      <c r="F33">
        <v>2</v>
      </c>
      <c r="G33">
        <v>2</v>
      </c>
      <c r="H33">
        <v>10</v>
      </c>
      <c r="I33">
        <v>21</v>
      </c>
      <c r="J33">
        <v>6</v>
      </c>
      <c r="L33">
        <v>3</v>
      </c>
      <c r="M33">
        <v>2</v>
      </c>
      <c r="P33">
        <v>1</v>
      </c>
      <c r="U33">
        <v>1</v>
      </c>
      <c r="X33">
        <v>1</v>
      </c>
      <c r="Y33">
        <v>2</v>
      </c>
      <c r="Z33">
        <v>1</v>
      </c>
      <c r="AA33">
        <v>0</v>
      </c>
      <c r="AB33" t="s">
        <v>164</v>
      </c>
    </row>
    <row r="34" spans="1:28" ht="44.25" hidden="1" customHeight="1">
      <c r="A34" s="34" t="s">
        <v>73</v>
      </c>
      <c r="B34" s="35" t="s">
        <v>74</v>
      </c>
      <c r="C34" s="36" t="s">
        <v>75</v>
      </c>
      <c r="D34" s="37" t="s">
        <v>76</v>
      </c>
      <c r="E34">
        <f t="shared" ref="E34:AA34" si="2">IF(E5="-","",E5*E$3)</f>
        <v>0</v>
      </c>
      <c r="F34">
        <f t="shared" si="2"/>
        <v>0</v>
      </c>
      <c r="G34">
        <f t="shared" si="2"/>
        <v>0</v>
      </c>
      <c r="H34">
        <f t="shared" si="2"/>
        <v>0</v>
      </c>
      <c r="I34">
        <f t="shared" si="2"/>
        <v>0</v>
      </c>
      <c r="J34">
        <f t="shared" si="2"/>
        <v>0</v>
      </c>
      <c r="K34">
        <f t="shared" si="2"/>
        <v>0</v>
      </c>
      <c r="L34">
        <f t="shared" si="2"/>
        <v>0</v>
      </c>
      <c r="M34">
        <f t="shared" si="2"/>
        <v>0</v>
      </c>
      <c r="N34">
        <f t="shared" si="2"/>
        <v>0</v>
      </c>
      <c r="O34">
        <f t="shared" si="2"/>
        <v>0</v>
      </c>
      <c r="P34">
        <f t="shared" si="2"/>
        <v>0</v>
      </c>
      <c r="Q34">
        <f t="shared" si="2"/>
        <v>0</v>
      </c>
      <c r="R34">
        <f t="shared" si="2"/>
        <v>0</v>
      </c>
      <c r="S34">
        <f t="shared" si="2"/>
        <v>0</v>
      </c>
      <c r="T34">
        <f t="shared" si="2"/>
        <v>0</v>
      </c>
      <c r="U34">
        <f t="shared" si="2"/>
        <v>0</v>
      </c>
      <c r="V34">
        <f t="shared" si="2"/>
        <v>0</v>
      </c>
      <c r="W34">
        <f t="shared" si="2"/>
        <v>0</v>
      </c>
      <c r="X34">
        <f t="shared" si="2"/>
        <v>0</v>
      </c>
      <c r="Y34">
        <f t="shared" si="2"/>
        <v>0</v>
      </c>
      <c r="Z34">
        <f t="shared" si="2"/>
        <v>0</v>
      </c>
      <c r="AA34">
        <f t="shared" si="2"/>
        <v>0</v>
      </c>
      <c r="AB34" s="66" t="str">
        <f t="shared" ref="AB34:AB61" si="3">IFERROR(SUM(E34:AA34)/SUM(E5:AA5),"")</f>
        <v/>
      </c>
    </row>
    <row r="35" spans="1:28" ht="19.5" hidden="1" customHeight="1">
      <c r="A35" s="34" t="s">
        <v>73</v>
      </c>
      <c r="B35" s="35" t="s">
        <v>74</v>
      </c>
      <c r="C35" s="36" t="s">
        <v>77</v>
      </c>
      <c r="D35" s="37" t="s">
        <v>76</v>
      </c>
      <c r="E35">
        <f t="shared" ref="E35:AA35" si="4">IF(E6="-","",E6*E$3)</f>
        <v>2397</v>
      </c>
      <c r="F35">
        <f t="shared" si="4"/>
        <v>616</v>
      </c>
      <c r="G35">
        <f t="shared" si="4"/>
        <v>156</v>
      </c>
      <c r="H35">
        <f t="shared" si="4"/>
        <v>544</v>
      </c>
      <c r="I35">
        <f t="shared" si="4"/>
        <v>1508</v>
      </c>
      <c r="J35">
        <f t="shared" si="4"/>
        <v>312</v>
      </c>
      <c r="K35">
        <f t="shared" si="4"/>
        <v>665</v>
      </c>
      <c r="L35">
        <f t="shared" si="4"/>
        <v>400</v>
      </c>
      <c r="M35">
        <f t="shared" si="4"/>
        <v>0</v>
      </c>
      <c r="N35">
        <f t="shared" si="4"/>
        <v>14</v>
      </c>
      <c r="O35">
        <f t="shared" si="4"/>
        <v>0</v>
      </c>
      <c r="P35">
        <f t="shared" si="4"/>
        <v>0</v>
      </c>
      <c r="Q35">
        <f t="shared" si="4"/>
        <v>0</v>
      </c>
      <c r="R35">
        <f t="shared" si="4"/>
        <v>10</v>
      </c>
      <c r="S35">
        <f t="shared" si="4"/>
        <v>9</v>
      </c>
      <c r="T35">
        <f t="shared" si="4"/>
        <v>0</v>
      </c>
      <c r="U35">
        <f t="shared" si="4"/>
        <v>0</v>
      </c>
      <c r="V35">
        <f t="shared" si="4"/>
        <v>0</v>
      </c>
      <c r="W35">
        <f t="shared" si="4"/>
        <v>0</v>
      </c>
      <c r="X35">
        <f t="shared" si="4"/>
        <v>4</v>
      </c>
      <c r="Y35">
        <f t="shared" si="4"/>
        <v>0</v>
      </c>
      <c r="Z35">
        <f t="shared" si="4"/>
        <v>2</v>
      </c>
      <c r="AA35">
        <f t="shared" si="4"/>
        <v>8</v>
      </c>
      <c r="AB35" s="66">
        <f t="shared" si="3"/>
        <v>30.342465753424658</v>
      </c>
    </row>
    <row r="36" spans="1:28" ht="21" hidden="1" customHeight="1">
      <c r="A36" s="34" t="s">
        <v>73</v>
      </c>
      <c r="B36" s="35" t="s">
        <v>74</v>
      </c>
      <c r="C36" s="36" t="s">
        <v>78</v>
      </c>
      <c r="D36" s="37" t="s">
        <v>76</v>
      </c>
      <c r="E36">
        <f t="shared" ref="E36:AA36" si="5">IF(E7="-","",E7*E$3)</f>
        <v>0</v>
      </c>
      <c r="F36">
        <f t="shared" si="5"/>
        <v>0</v>
      </c>
      <c r="G36">
        <f t="shared" si="5"/>
        <v>0</v>
      </c>
      <c r="H36">
        <f t="shared" si="5"/>
        <v>0</v>
      </c>
      <c r="I36">
        <f t="shared" si="5"/>
        <v>0</v>
      </c>
      <c r="J36">
        <f t="shared" si="5"/>
        <v>0</v>
      </c>
      <c r="K36">
        <f t="shared" si="5"/>
        <v>0</v>
      </c>
      <c r="L36">
        <f t="shared" si="5"/>
        <v>0</v>
      </c>
      <c r="M36">
        <f t="shared" si="5"/>
        <v>0</v>
      </c>
      <c r="N36">
        <f t="shared" si="5"/>
        <v>0</v>
      </c>
      <c r="O36">
        <f t="shared" si="5"/>
        <v>0</v>
      </c>
      <c r="P36">
        <f t="shared" si="5"/>
        <v>0</v>
      </c>
      <c r="Q36">
        <f t="shared" si="5"/>
        <v>0</v>
      </c>
      <c r="R36">
        <f t="shared" si="5"/>
        <v>0</v>
      </c>
      <c r="S36">
        <f t="shared" si="5"/>
        <v>0</v>
      </c>
      <c r="T36">
        <f t="shared" si="5"/>
        <v>0</v>
      </c>
      <c r="U36">
        <f t="shared" si="5"/>
        <v>0</v>
      </c>
      <c r="V36">
        <f t="shared" si="5"/>
        <v>0</v>
      </c>
      <c r="W36">
        <f t="shared" si="5"/>
        <v>0</v>
      </c>
      <c r="X36">
        <f t="shared" si="5"/>
        <v>0</v>
      </c>
      <c r="Y36">
        <f t="shared" si="5"/>
        <v>0</v>
      </c>
      <c r="Z36">
        <f t="shared" si="5"/>
        <v>0</v>
      </c>
      <c r="AA36">
        <f t="shared" si="5"/>
        <v>0</v>
      </c>
      <c r="AB36" s="66" t="str">
        <f t="shared" si="3"/>
        <v/>
      </c>
    </row>
    <row r="37" spans="1:28" ht="15.75" hidden="1" customHeight="1">
      <c r="A37" s="34" t="s">
        <v>73</v>
      </c>
      <c r="B37" s="35" t="s">
        <v>79</v>
      </c>
      <c r="C37" s="36" t="s">
        <v>80</v>
      </c>
      <c r="D37" s="37" t="s">
        <v>76</v>
      </c>
      <c r="E37">
        <f t="shared" ref="E37:AA37" si="6">IF(E8="-","",E8*E$3)</f>
        <v>0</v>
      </c>
      <c r="F37">
        <f t="shared" si="6"/>
        <v>0</v>
      </c>
      <c r="G37">
        <f t="shared" si="6"/>
        <v>0</v>
      </c>
      <c r="H37">
        <f t="shared" si="6"/>
        <v>0</v>
      </c>
      <c r="I37">
        <f t="shared" si="6"/>
        <v>0</v>
      </c>
      <c r="J37">
        <f t="shared" si="6"/>
        <v>0</v>
      </c>
      <c r="K37">
        <f t="shared" si="6"/>
        <v>0</v>
      </c>
      <c r="L37">
        <f t="shared" si="6"/>
        <v>0</v>
      </c>
      <c r="M37">
        <f t="shared" si="6"/>
        <v>0</v>
      </c>
      <c r="N37">
        <f t="shared" si="6"/>
        <v>0</v>
      </c>
      <c r="O37">
        <f t="shared" si="6"/>
        <v>0</v>
      </c>
      <c r="P37">
        <f t="shared" si="6"/>
        <v>0</v>
      </c>
      <c r="Q37">
        <f t="shared" si="6"/>
        <v>0</v>
      </c>
      <c r="R37">
        <f t="shared" si="6"/>
        <v>0</v>
      </c>
      <c r="S37">
        <f t="shared" si="6"/>
        <v>0</v>
      </c>
      <c r="T37">
        <f t="shared" si="6"/>
        <v>0</v>
      </c>
      <c r="U37">
        <f t="shared" si="6"/>
        <v>0</v>
      </c>
      <c r="V37">
        <f t="shared" si="6"/>
        <v>0</v>
      </c>
      <c r="W37">
        <f t="shared" si="6"/>
        <v>0</v>
      </c>
      <c r="X37">
        <f t="shared" si="6"/>
        <v>0</v>
      </c>
      <c r="Y37">
        <f t="shared" si="6"/>
        <v>0</v>
      </c>
      <c r="Z37">
        <f t="shared" si="6"/>
        <v>0</v>
      </c>
      <c r="AA37">
        <f t="shared" si="6"/>
        <v>0</v>
      </c>
      <c r="AB37" s="66" t="str">
        <f t="shared" si="3"/>
        <v/>
      </c>
    </row>
    <row r="38" spans="1:28" ht="21" hidden="1" customHeight="1">
      <c r="A38" s="34" t="s">
        <v>73</v>
      </c>
      <c r="B38" s="35" t="s">
        <v>79</v>
      </c>
      <c r="C38" s="36" t="s">
        <v>81</v>
      </c>
      <c r="D38" s="37" t="s">
        <v>76</v>
      </c>
      <c r="E38">
        <f t="shared" ref="E38:AA38" si="7">IF(E9="-","",E9*E$3)</f>
        <v>0</v>
      </c>
      <c r="F38">
        <f t="shared" si="7"/>
        <v>0</v>
      </c>
      <c r="G38">
        <f t="shared" si="7"/>
        <v>0</v>
      </c>
      <c r="H38">
        <f t="shared" si="7"/>
        <v>0</v>
      </c>
      <c r="I38">
        <f t="shared" si="7"/>
        <v>58</v>
      </c>
      <c r="J38">
        <f t="shared" si="7"/>
        <v>48</v>
      </c>
      <c r="K38">
        <f t="shared" si="7"/>
        <v>38</v>
      </c>
      <c r="L38">
        <f t="shared" si="7"/>
        <v>0</v>
      </c>
      <c r="M38">
        <f t="shared" si="7"/>
        <v>0</v>
      </c>
      <c r="N38">
        <f t="shared" si="7"/>
        <v>0</v>
      </c>
      <c r="O38">
        <f t="shared" si="7"/>
        <v>0</v>
      </c>
      <c r="P38">
        <f t="shared" si="7"/>
        <v>0</v>
      </c>
      <c r="Q38">
        <f t="shared" si="7"/>
        <v>0</v>
      </c>
      <c r="R38">
        <f t="shared" si="7"/>
        <v>0</v>
      </c>
      <c r="S38">
        <f t="shared" si="7"/>
        <v>0</v>
      </c>
      <c r="T38">
        <f t="shared" si="7"/>
        <v>0</v>
      </c>
      <c r="U38">
        <f t="shared" si="7"/>
        <v>0</v>
      </c>
      <c r="V38">
        <f t="shared" si="7"/>
        <v>0</v>
      </c>
      <c r="W38">
        <f t="shared" si="7"/>
        <v>0</v>
      </c>
      <c r="X38">
        <f t="shared" si="7"/>
        <v>0</v>
      </c>
      <c r="Y38">
        <f t="shared" si="7"/>
        <v>0</v>
      </c>
      <c r="Z38">
        <f t="shared" si="7"/>
        <v>0</v>
      </c>
      <c r="AA38">
        <f t="shared" si="7"/>
        <v>0</v>
      </c>
      <c r="AB38" s="66">
        <f t="shared" si="3"/>
        <v>24</v>
      </c>
    </row>
    <row r="39" spans="1:28" ht="30" hidden="1" customHeight="1">
      <c r="A39" s="34" t="s">
        <v>73</v>
      </c>
      <c r="B39" s="35" t="s">
        <v>79</v>
      </c>
      <c r="C39" s="36" t="s">
        <v>82</v>
      </c>
      <c r="D39" s="37" t="s">
        <v>76</v>
      </c>
      <c r="E39">
        <f t="shared" ref="E39:AA39" si="8">IF(E10="-","",E10*E$3)</f>
        <v>0</v>
      </c>
      <c r="F39">
        <f t="shared" si="8"/>
        <v>0</v>
      </c>
      <c r="G39">
        <f t="shared" si="8"/>
        <v>0</v>
      </c>
      <c r="H39">
        <f t="shared" si="8"/>
        <v>0</v>
      </c>
      <c r="I39">
        <f t="shared" si="8"/>
        <v>0</v>
      </c>
      <c r="J39">
        <f t="shared" si="8"/>
        <v>0</v>
      </c>
      <c r="K39">
        <f t="shared" si="8"/>
        <v>0</v>
      </c>
      <c r="L39">
        <f t="shared" si="8"/>
        <v>0</v>
      </c>
      <c r="M39">
        <f t="shared" si="8"/>
        <v>0</v>
      </c>
      <c r="N39">
        <f t="shared" si="8"/>
        <v>0</v>
      </c>
      <c r="O39">
        <f t="shared" si="8"/>
        <v>0</v>
      </c>
      <c r="P39">
        <f t="shared" si="8"/>
        <v>0</v>
      </c>
      <c r="Q39">
        <f t="shared" si="8"/>
        <v>0</v>
      </c>
      <c r="R39">
        <f t="shared" si="8"/>
        <v>0</v>
      </c>
      <c r="S39">
        <f t="shared" si="8"/>
        <v>0</v>
      </c>
      <c r="T39">
        <f t="shared" si="8"/>
        <v>0</v>
      </c>
      <c r="U39">
        <f t="shared" si="8"/>
        <v>0</v>
      </c>
      <c r="V39">
        <f t="shared" si="8"/>
        <v>0</v>
      </c>
      <c r="W39">
        <f t="shared" si="8"/>
        <v>0</v>
      </c>
      <c r="X39">
        <f t="shared" si="8"/>
        <v>0</v>
      </c>
      <c r="Y39">
        <f t="shared" si="8"/>
        <v>0</v>
      </c>
      <c r="Z39">
        <f t="shared" si="8"/>
        <v>0</v>
      </c>
      <c r="AA39">
        <f t="shared" si="8"/>
        <v>0</v>
      </c>
      <c r="AB39" s="66" t="str">
        <f t="shared" si="3"/>
        <v/>
      </c>
    </row>
    <row r="40" spans="1:28" ht="22.5" hidden="1" customHeight="1">
      <c r="A40" s="34" t="s">
        <v>73</v>
      </c>
      <c r="B40" s="35" t="s">
        <v>83</v>
      </c>
      <c r="C40" s="36" t="s">
        <v>84</v>
      </c>
      <c r="D40" s="37" t="s">
        <v>85</v>
      </c>
      <c r="E40">
        <f t="shared" ref="E40:AA40" si="9">IF(E11="-","",E11*E$3)</f>
        <v>306</v>
      </c>
      <c r="F40">
        <f t="shared" si="9"/>
        <v>44</v>
      </c>
      <c r="G40">
        <f t="shared" si="9"/>
        <v>273</v>
      </c>
      <c r="H40">
        <f t="shared" si="9"/>
        <v>238</v>
      </c>
      <c r="I40">
        <f t="shared" si="9"/>
        <v>58</v>
      </c>
      <c r="J40">
        <f t="shared" si="9"/>
        <v>72</v>
      </c>
      <c r="K40">
        <f t="shared" si="9"/>
        <v>988</v>
      </c>
      <c r="L40">
        <f t="shared" si="9"/>
        <v>16</v>
      </c>
      <c r="M40">
        <f t="shared" si="9"/>
        <v>30</v>
      </c>
      <c r="N40">
        <f t="shared" si="9"/>
        <v>14</v>
      </c>
      <c r="O40">
        <f t="shared" si="9"/>
        <v>0</v>
      </c>
      <c r="P40">
        <f t="shared" si="9"/>
        <v>0</v>
      </c>
      <c r="Q40">
        <f t="shared" si="9"/>
        <v>11</v>
      </c>
      <c r="R40">
        <f t="shared" si="9"/>
        <v>0</v>
      </c>
      <c r="S40">
        <f t="shared" si="9"/>
        <v>0</v>
      </c>
      <c r="T40">
        <f t="shared" si="9"/>
        <v>8</v>
      </c>
      <c r="U40">
        <f t="shared" si="9"/>
        <v>0</v>
      </c>
      <c r="V40">
        <f t="shared" si="9"/>
        <v>0</v>
      </c>
      <c r="W40">
        <f t="shared" si="9"/>
        <v>5</v>
      </c>
      <c r="X40">
        <f t="shared" si="9"/>
        <v>8</v>
      </c>
      <c r="Y40">
        <f t="shared" si="9"/>
        <v>0</v>
      </c>
      <c r="Z40">
        <f t="shared" si="9"/>
        <v>4</v>
      </c>
      <c r="AA40">
        <f t="shared" si="9"/>
        <v>4</v>
      </c>
      <c r="AB40" s="66">
        <f t="shared" si="3"/>
        <v>22.35483870967742</v>
      </c>
    </row>
    <row r="41" spans="1:28" ht="21" hidden="1" customHeight="1">
      <c r="A41" s="34" t="s">
        <v>73</v>
      </c>
      <c r="B41" s="35" t="s">
        <v>86</v>
      </c>
      <c r="C41" s="36" t="s">
        <v>87</v>
      </c>
      <c r="D41" s="37" t="s">
        <v>85</v>
      </c>
      <c r="E41">
        <f t="shared" ref="E41:AA41" si="10">IF(E12="-","",E12*E$3)</f>
        <v>2856</v>
      </c>
      <c r="F41">
        <f t="shared" si="10"/>
        <v>1672</v>
      </c>
      <c r="G41">
        <f t="shared" si="10"/>
        <v>702</v>
      </c>
      <c r="H41">
        <f t="shared" si="10"/>
        <v>2074</v>
      </c>
      <c r="I41">
        <f t="shared" si="10"/>
        <v>5249</v>
      </c>
      <c r="J41">
        <f t="shared" si="10"/>
        <v>2496</v>
      </c>
      <c r="K41">
        <f t="shared" si="10"/>
        <v>1273</v>
      </c>
      <c r="L41">
        <f t="shared" si="10"/>
        <v>256</v>
      </c>
      <c r="M41">
        <f t="shared" si="10"/>
        <v>120</v>
      </c>
      <c r="N41">
        <f t="shared" si="10"/>
        <v>56</v>
      </c>
      <c r="O41">
        <f t="shared" si="10"/>
        <v>65</v>
      </c>
      <c r="P41">
        <f t="shared" si="10"/>
        <v>36</v>
      </c>
      <c r="Q41">
        <f t="shared" si="10"/>
        <v>66</v>
      </c>
      <c r="R41">
        <f t="shared" si="10"/>
        <v>60</v>
      </c>
      <c r="S41">
        <f t="shared" si="10"/>
        <v>36</v>
      </c>
      <c r="T41">
        <f t="shared" si="10"/>
        <v>56</v>
      </c>
      <c r="U41">
        <f t="shared" si="10"/>
        <v>28</v>
      </c>
      <c r="V41">
        <f t="shared" si="10"/>
        <v>60</v>
      </c>
      <c r="W41">
        <f t="shared" si="10"/>
        <v>30</v>
      </c>
      <c r="X41">
        <f t="shared" si="10"/>
        <v>36</v>
      </c>
      <c r="Y41">
        <f t="shared" si="10"/>
        <v>24</v>
      </c>
      <c r="Z41">
        <f t="shared" si="10"/>
        <v>54</v>
      </c>
      <c r="AA41">
        <f t="shared" si="10"/>
        <v>24</v>
      </c>
      <c r="AB41" s="66">
        <f t="shared" si="3"/>
        <v>25.78720238095238</v>
      </c>
    </row>
    <row r="42" spans="1:28" ht="19.5" hidden="1" customHeight="1">
      <c r="A42" s="34" t="s">
        <v>73</v>
      </c>
      <c r="B42" s="35" t="s">
        <v>88</v>
      </c>
      <c r="C42" s="36" t="s">
        <v>89</v>
      </c>
      <c r="D42" s="37" t="s">
        <v>85</v>
      </c>
      <c r="E42">
        <f t="shared" ref="E42:AA42" si="11">IF(E13="-","",E13*E$3)</f>
        <v>153</v>
      </c>
      <c r="F42">
        <f t="shared" si="11"/>
        <v>0</v>
      </c>
      <c r="G42">
        <f t="shared" si="11"/>
        <v>0</v>
      </c>
      <c r="H42">
        <f t="shared" si="11"/>
        <v>34</v>
      </c>
      <c r="I42">
        <f t="shared" si="11"/>
        <v>203</v>
      </c>
      <c r="J42">
        <f t="shared" si="11"/>
        <v>0</v>
      </c>
      <c r="K42">
        <f t="shared" si="11"/>
        <v>57</v>
      </c>
      <c r="L42">
        <f t="shared" si="11"/>
        <v>16</v>
      </c>
      <c r="M42">
        <f t="shared" si="11"/>
        <v>0</v>
      </c>
      <c r="N42">
        <f t="shared" si="11"/>
        <v>0</v>
      </c>
      <c r="O42">
        <f t="shared" si="11"/>
        <v>0</v>
      </c>
      <c r="P42">
        <f t="shared" si="11"/>
        <v>0</v>
      </c>
      <c r="Q42">
        <f t="shared" si="11"/>
        <v>0</v>
      </c>
      <c r="R42">
        <f t="shared" si="11"/>
        <v>0</v>
      </c>
      <c r="S42">
        <f t="shared" si="11"/>
        <v>9</v>
      </c>
      <c r="T42">
        <f t="shared" si="11"/>
        <v>0</v>
      </c>
      <c r="U42">
        <f t="shared" si="11"/>
        <v>0</v>
      </c>
      <c r="V42">
        <f t="shared" si="11"/>
        <v>6</v>
      </c>
      <c r="W42">
        <f t="shared" si="11"/>
        <v>0</v>
      </c>
      <c r="X42">
        <f t="shared" si="11"/>
        <v>4</v>
      </c>
      <c r="Y42">
        <f t="shared" si="11"/>
        <v>0</v>
      </c>
      <c r="Z42">
        <f t="shared" si="11"/>
        <v>0</v>
      </c>
      <c r="AA42">
        <f t="shared" si="11"/>
        <v>0</v>
      </c>
      <c r="AB42" s="66">
        <f t="shared" si="3"/>
        <v>26.777777777777779</v>
      </c>
    </row>
    <row r="43" spans="1:28" ht="24.75" hidden="1" customHeight="1">
      <c r="A43" s="38" t="s">
        <v>90</v>
      </c>
      <c r="B43" s="35" t="s">
        <v>74</v>
      </c>
      <c r="C43" s="36" t="s">
        <v>91</v>
      </c>
      <c r="D43" s="37" t="s">
        <v>76</v>
      </c>
      <c r="E43">
        <f t="shared" ref="E43:AA43" si="12">IF(E14="-","",E14*E$3)</f>
        <v>714</v>
      </c>
      <c r="F43">
        <f t="shared" si="12"/>
        <v>132</v>
      </c>
      <c r="G43">
        <f t="shared" si="12"/>
        <v>663</v>
      </c>
      <c r="H43">
        <f t="shared" si="12"/>
        <v>2040</v>
      </c>
      <c r="I43">
        <f t="shared" si="12"/>
        <v>5104</v>
      </c>
      <c r="J43">
        <f t="shared" si="12"/>
        <v>12216</v>
      </c>
      <c r="K43">
        <f t="shared" si="12"/>
        <v>26448</v>
      </c>
      <c r="L43">
        <f t="shared" si="12"/>
        <v>2368</v>
      </c>
      <c r="M43">
        <f t="shared" si="12"/>
        <v>1305</v>
      </c>
      <c r="N43">
        <f t="shared" si="12"/>
        <v>784</v>
      </c>
      <c r="O43">
        <f t="shared" si="12"/>
        <v>1547</v>
      </c>
      <c r="P43">
        <f t="shared" si="12"/>
        <v>996</v>
      </c>
      <c r="Q43">
        <f t="shared" si="12"/>
        <v>1034</v>
      </c>
      <c r="R43">
        <f t="shared" si="12"/>
        <v>1180</v>
      </c>
      <c r="S43">
        <f t="shared" si="12"/>
        <v>819</v>
      </c>
      <c r="T43">
        <f t="shared" si="12"/>
        <v>456</v>
      </c>
      <c r="U43">
        <f t="shared" si="12"/>
        <v>252</v>
      </c>
      <c r="V43">
        <f t="shared" si="12"/>
        <v>240</v>
      </c>
      <c r="W43">
        <f t="shared" si="12"/>
        <v>275</v>
      </c>
      <c r="X43">
        <f t="shared" si="12"/>
        <v>204</v>
      </c>
      <c r="Y43">
        <f t="shared" si="12"/>
        <v>207</v>
      </c>
      <c r="Z43">
        <f t="shared" si="12"/>
        <v>160</v>
      </c>
      <c r="AA43">
        <f t="shared" si="12"/>
        <v>49</v>
      </c>
      <c r="AB43" s="66">
        <f t="shared" si="3"/>
        <v>17.38924794359577</v>
      </c>
    </row>
    <row r="44" spans="1:28" ht="17.25" hidden="1" customHeight="1">
      <c r="A44" s="38" t="s">
        <v>90</v>
      </c>
      <c r="B44" s="35" t="s">
        <v>74</v>
      </c>
      <c r="C44" s="36" t="s">
        <v>92</v>
      </c>
      <c r="D44" s="37" t="s">
        <v>76</v>
      </c>
      <c r="E44">
        <f t="shared" ref="E44:AA44" si="13">IF(E15="-","",E15*E$3)</f>
        <v>561</v>
      </c>
      <c r="F44">
        <f t="shared" si="13"/>
        <v>1056</v>
      </c>
      <c r="G44">
        <f t="shared" si="13"/>
        <v>546</v>
      </c>
      <c r="H44">
        <f t="shared" si="13"/>
        <v>2584</v>
      </c>
      <c r="I44">
        <f t="shared" si="13"/>
        <v>2175</v>
      </c>
      <c r="J44">
        <f t="shared" si="13"/>
        <v>120</v>
      </c>
      <c r="K44">
        <f t="shared" si="13"/>
        <v>95</v>
      </c>
      <c r="L44">
        <f t="shared" si="13"/>
        <v>0</v>
      </c>
      <c r="M44">
        <f t="shared" si="13"/>
        <v>0</v>
      </c>
      <c r="N44">
        <f t="shared" si="13"/>
        <v>0</v>
      </c>
      <c r="O44">
        <f t="shared" si="13"/>
        <v>0</v>
      </c>
      <c r="P44">
        <f t="shared" si="13"/>
        <v>0</v>
      </c>
      <c r="Q44">
        <f t="shared" si="13"/>
        <v>0</v>
      </c>
      <c r="R44">
        <f t="shared" si="13"/>
        <v>0</v>
      </c>
      <c r="S44">
        <f t="shared" si="13"/>
        <v>0</v>
      </c>
      <c r="T44">
        <f t="shared" si="13"/>
        <v>0</v>
      </c>
      <c r="U44">
        <f t="shared" si="13"/>
        <v>0</v>
      </c>
      <c r="V44">
        <f t="shared" si="13"/>
        <v>0</v>
      </c>
      <c r="W44">
        <f t="shared" si="13"/>
        <v>0</v>
      </c>
      <c r="X44">
        <f t="shared" si="13"/>
        <v>0</v>
      </c>
      <c r="Y44">
        <f t="shared" si="13"/>
        <v>0</v>
      </c>
      <c r="Z44">
        <f t="shared" si="13"/>
        <v>0</v>
      </c>
      <c r="AA44">
        <f t="shared" si="13"/>
        <v>0</v>
      </c>
      <c r="AB44" s="66">
        <f t="shared" si="3"/>
        <v>33.985714285714288</v>
      </c>
    </row>
    <row r="45" spans="1:28" ht="15" hidden="1" customHeight="1">
      <c r="A45" s="38" t="s">
        <v>90</v>
      </c>
      <c r="B45" s="35" t="s">
        <v>74</v>
      </c>
      <c r="C45" s="36" t="s">
        <v>93</v>
      </c>
      <c r="D45" s="37" t="s">
        <v>76</v>
      </c>
      <c r="E45">
        <f t="shared" ref="E45:AA45" si="14">IF(E16="-","",E16*E$3)</f>
        <v>51</v>
      </c>
      <c r="F45">
        <f t="shared" si="14"/>
        <v>0</v>
      </c>
      <c r="G45">
        <f t="shared" si="14"/>
        <v>0</v>
      </c>
      <c r="H45">
        <f t="shared" si="14"/>
        <v>0</v>
      </c>
      <c r="I45">
        <f t="shared" si="14"/>
        <v>0</v>
      </c>
      <c r="J45">
        <f t="shared" si="14"/>
        <v>0</v>
      </c>
      <c r="K45">
        <f t="shared" si="14"/>
        <v>0</v>
      </c>
      <c r="L45">
        <f t="shared" si="14"/>
        <v>0</v>
      </c>
      <c r="M45">
        <f t="shared" si="14"/>
        <v>0</v>
      </c>
      <c r="N45">
        <f t="shared" si="14"/>
        <v>0</v>
      </c>
      <c r="O45">
        <f t="shared" si="14"/>
        <v>0</v>
      </c>
      <c r="P45">
        <f t="shared" si="14"/>
        <v>0</v>
      </c>
      <c r="Q45">
        <f t="shared" si="14"/>
        <v>0</v>
      </c>
      <c r="R45">
        <f t="shared" si="14"/>
        <v>0</v>
      </c>
      <c r="S45">
        <f t="shared" si="14"/>
        <v>0</v>
      </c>
      <c r="T45">
        <f t="shared" si="14"/>
        <v>0</v>
      </c>
      <c r="U45">
        <f t="shared" si="14"/>
        <v>0</v>
      </c>
      <c r="V45">
        <f t="shared" si="14"/>
        <v>0</v>
      </c>
      <c r="W45">
        <f t="shared" si="14"/>
        <v>0</v>
      </c>
      <c r="X45">
        <f t="shared" si="14"/>
        <v>0</v>
      </c>
      <c r="Y45">
        <f t="shared" si="14"/>
        <v>0</v>
      </c>
      <c r="Z45">
        <f t="shared" si="14"/>
        <v>0</v>
      </c>
      <c r="AA45">
        <f t="shared" si="14"/>
        <v>0</v>
      </c>
      <c r="AB45" s="66">
        <f t="shared" si="3"/>
        <v>51</v>
      </c>
    </row>
    <row r="46" spans="1:28" ht="19.5" hidden="1" customHeight="1">
      <c r="A46" s="38" t="s">
        <v>90</v>
      </c>
      <c r="B46" s="35" t="s">
        <v>79</v>
      </c>
      <c r="C46" s="36" t="s">
        <v>94</v>
      </c>
      <c r="D46" s="37" t="s">
        <v>76</v>
      </c>
      <c r="E46">
        <f t="shared" ref="E46:K46" si="15">IF(E17="-","",E17*E$3)</f>
        <v>204</v>
      </c>
      <c r="F46">
        <f t="shared" si="15"/>
        <v>44</v>
      </c>
      <c r="G46">
        <f t="shared" si="15"/>
        <v>78</v>
      </c>
      <c r="H46">
        <f t="shared" si="15"/>
        <v>204</v>
      </c>
      <c r="I46">
        <f t="shared" si="15"/>
        <v>1769</v>
      </c>
      <c r="J46">
        <f t="shared" si="15"/>
        <v>7824</v>
      </c>
      <c r="K46">
        <f t="shared" si="15"/>
        <v>16302</v>
      </c>
      <c r="L46">
        <f t="shared" ref="F46:AA57" si="16">IF(L17="-","",L17*L$3)</f>
        <v>1360</v>
      </c>
      <c r="M46">
        <f t="shared" si="16"/>
        <v>780</v>
      </c>
      <c r="N46">
        <f t="shared" si="16"/>
        <v>770</v>
      </c>
      <c r="O46">
        <f t="shared" si="16"/>
        <v>975</v>
      </c>
      <c r="P46">
        <f t="shared" si="16"/>
        <v>1080</v>
      </c>
      <c r="Q46">
        <f t="shared" si="16"/>
        <v>825</v>
      </c>
      <c r="R46">
        <f t="shared" si="16"/>
        <v>760</v>
      </c>
      <c r="S46">
        <f t="shared" si="16"/>
        <v>639</v>
      </c>
      <c r="T46">
        <f t="shared" si="16"/>
        <v>464</v>
      </c>
      <c r="U46">
        <f t="shared" si="16"/>
        <v>245</v>
      </c>
      <c r="V46">
        <f t="shared" si="16"/>
        <v>252</v>
      </c>
      <c r="W46">
        <f t="shared" si="16"/>
        <v>305</v>
      </c>
      <c r="X46">
        <f t="shared" si="16"/>
        <v>204</v>
      </c>
      <c r="Y46">
        <f t="shared" si="16"/>
        <v>150</v>
      </c>
      <c r="Z46">
        <f t="shared" si="16"/>
        <v>98</v>
      </c>
      <c r="AA46">
        <f t="shared" si="16"/>
        <v>36</v>
      </c>
      <c r="AB46" s="66">
        <f t="shared" si="3"/>
        <v>15.938711131140153</v>
      </c>
    </row>
    <row r="47" spans="1:28" ht="21" hidden="1" customHeight="1">
      <c r="A47" s="38" t="s">
        <v>90</v>
      </c>
      <c r="B47" s="35" t="s">
        <v>79</v>
      </c>
      <c r="C47" s="36" t="s">
        <v>95</v>
      </c>
      <c r="D47" s="37" t="s">
        <v>76</v>
      </c>
      <c r="E47">
        <f t="shared" ref="E47:E60" si="17">IF(E18="-","",E18*E$3)</f>
        <v>102</v>
      </c>
      <c r="F47">
        <f t="shared" si="16"/>
        <v>44</v>
      </c>
      <c r="G47">
        <f t="shared" si="16"/>
        <v>78</v>
      </c>
      <c r="H47">
        <f t="shared" si="16"/>
        <v>238</v>
      </c>
      <c r="I47">
        <f t="shared" si="16"/>
        <v>203</v>
      </c>
      <c r="J47">
        <f t="shared" si="16"/>
        <v>96</v>
      </c>
      <c r="K47">
        <f t="shared" si="16"/>
        <v>76</v>
      </c>
      <c r="L47">
        <f t="shared" si="16"/>
        <v>0</v>
      </c>
      <c r="M47">
        <f t="shared" si="16"/>
        <v>0</v>
      </c>
      <c r="N47">
        <f t="shared" si="16"/>
        <v>0</v>
      </c>
      <c r="O47">
        <f t="shared" si="16"/>
        <v>0</v>
      </c>
      <c r="P47">
        <f t="shared" si="16"/>
        <v>0</v>
      </c>
      <c r="Q47">
        <f t="shared" si="16"/>
        <v>0</v>
      </c>
      <c r="R47">
        <f t="shared" si="16"/>
        <v>0</v>
      </c>
      <c r="S47">
        <f t="shared" si="16"/>
        <v>0</v>
      </c>
      <c r="T47">
        <f t="shared" si="16"/>
        <v>0</v>
      </c>
      <c r="U47">
        <f t="shared" si="16"/>
        <v>0</v>
      </c>
      <c r="V47">
        <f t="shared" si="16"/>
        <v>0</v>
      </c>
      <c r="W47">
        <f t="shared" si="16"/>
        <v>0</v>
      </c>
      <c r="X47">
        <f t="shared" si="16"/>
        <v>0</v>
      </c>
      <c r="Y47">
        <f t="shared" si="16"/>
        <v>0</v>
      </c>
      <c r="Z47">
        <f t="shared" si="16"/>
        <v>0</v>
      </c>
      <c r="AA47">
        <f t="shared" si="16"/>
        <v>0</v>
      </c>
      <c r="AB47" s="66">
        <f t="shared" si="3"/>
        <v>31</v>
      </c>
    </row>
    <row r="48" spans="1:28" ht="29.25" hidden="1" customHeight="1">
      <c r="A48" s="38" t="s">
        <v>90</v>
      </c>
      <c r="B48" s="35" t="s">
        <v>79</v>
      </c>
      <c r="C48" s="36" t="s">
        <v>96</v>
      </c>
      <c r="D48" s="37" t="s">
        <v>76</v>
      </c>
      <c r="E48">
        <f t="shared" si="17"/>
        <v>0</v>
      </c>
      <c r="F48">
        <f t="shared" si="16"/>
        <v>0</v>
      </c>
      <c r="G48">
        <f t="shared" si="16"/>
        <v>0</v>
      </c>
      <c r="H48">
        <f t="shared" si="16"/>
        <v>0</v>
      </c>
      <c r="I48">
        <f t="shared" si="16"/>
        <v>58</v>
      </c>
      <c r="J48">
        <f t="shared" si="16"/>
        <v>0</v>
      </c>
      <c r="K48">
        <f t="shared" si="16"/>
        <v>0</v>
      </c>
      <c r="L48">
        <f t="shared" si="16"/>
        <v>0</v>
      </c>
      <c r="M48">
        <f t="shared" si="16"/>
        <v>0</v>
      </c>
      <c r="N48">
        <f t="shared" si="16"/>
        <v>0</v>
      </c>
      <c r="O48">
        <f t="shared" si="16"/>
        <v>0</v>
      </c>
      <c r="P48">
        <f t="shared" si="16"/>
        <v>0</v>
      </c>
      <c r="Q48">
        <f t="shared" si="16"/>
        <v>0</v>
      </c>
      <c r="R48">
        <f t="shared" si="16"/>
        <v>0</v>
      </c>
      <c r="S48">
        <f t="shared" si="16"/>
        <v>0</v>
      </c>
      <c r="T48">
        <f t="shared" si="16"/>
        <v>0</v>
      </c>
      <c r="U48">
        <f t="shared" si="16"/>
        <v>0</v>
      </c>
      <c r="V48">
        <f t="shared" si="16"/>
        <v>0</v>
      </c>
      <c r="W48">
        <f t="shared" si="16"/>
        <v>0</v>
      </c>
      <c r="X48">
        <f t="shared" si="16"/>
        <v>0</v>
      </c>
      <c r="Y48">
        <f t="shared" si="16"/>
        <v>0</v>
      </c>
      <c r="Z48">
        <f t="shared" si="16"/>
        <v>0</v>
      </c>
      <c r="AA48">
        <f t="shared" si="16"/>
        <v>0</v>
      </c>
      <c r="AB48" s="66">
        <f t="shared" si="3"/>
        <v>29</v>
      </c>
    </row>
    <row r="49" spans="1:50" ht="18.75" hidden="1" customHeight="1">
      <c r="A49" s="38" t="s">
        <v>90</v>
      </c>
      <c r="B49" s="35" t="s">
        <v>83</v>
      </c>
      <c r="C49" s="36" t="s">
        <v>97</v>
      </c>
      <c r="D49" s="37" t="s">
        <v>85</v>
      </c>
      <c r="E49">
        <f t="shared" si="17"/>
        <v>51</v>
      </c>
      <c r="F49">
        <f t="shared" si="16"/>
        <v>88</v>
      </c>
      <c r="G49">
        <f t="shared" si="16"/>
        <v>39</v>
      </c>
      <c r="H49">
        <f t="shared" si="16"/>
        <v>238</v>
      </c>
      <c r="I49">
        <f t="shared" si="16"/>
        <v>1102</v>
      </c>
      <c r="J49">
        <f t="shared" si="16"/>
        <v>2064</v>
      </c>
      <c r="K49">
        <f t="shared" si="16"/>
        <v>722</v>
      </c>
      <c r="L49">
        <f t="shared" si="16"/>
        <v>48</v>
      </c>
      <c r="M49">
        <f t="shared" si="16"/>
        <v>0</v>
      </c>
      <c r="N49">
        <f t="shared" si="16"/>
        <v>14</v>
      </c>
      <c r="O49">
        <f t="shared" si="16"/>
        <v>13</v>
      </c>
      <c r="P49">
        <f t="shared" si="16"/>
        <v>120</v>
      </c>
      <c r="Q49">
        <f t="shared" si="16"/>
        <v>55</v>
      </c>
      <c r="R49">
        <f t="shared" si="16"/>
        <v>60</v>
      </c>
      <c r="S49">
        <f t="shared" si="16"/>
        <v>18</v>
      </c>
      <c r="T49">
        <f t="shared" si="16"/>
        <v>8</v>
      </c>
      <c r="U49">
        <f t="shared" si="16"/>
        <v>7</v>
      </c>
      <c r="V49">
        <f t="shared" si="16"/>
        <v>12</v>
      </c>
      <c r="W49">
        <f t="shared" si="16"/>
        <v>0</v>
      </c>
      <c r="X49">
        <f t="shared" si="16"/>
        <v>4</v>
      </c>
      <c r="Y49">
        <f t="shared" si="16"/>
        <v>6</v>
      </c>
      <c r="Z49">
        <f t="shared" si="16"/>
        <v>2</v>
      </c>
      <c r="AA49">
        <f t="shared" si="16"/>
        <v>1</v>
      </c>
      <c r="AB49" s="66">
        <f t="shared" si="3"/>
        <v>22.247619047619047</v>
      </c>
    </row>
    <row r="50" spans="1:50" ht="21.75" hidden="1" customHeight="1">
      <c r="A50" s="38" t="s">
        <v>90</v>
      </c>
      <c r="B50" s="35" t="s">
        <v>86</v>
      </c>
      <c r="C50" s="36" t="s">
        <v>98</v>
      </c>
      <c r="D50" s="37" t="s">
        <v>85</v>
      </c>
      <c r="E50">
        <f t="shared" si="17"/>
        <v>2346</v>
      </c>
      <c r="F50">
        <f t="shared" si="16"/>
        <v>4136</v>
      </c>
      <c r="G50">
        <f t="shared" si="16"/>
        <v>4095</v>
      </c>
      <c r="H50">
        <f t="shared" si="16"/>
        <v>22916</v>
      </c>
      <c r="I50">
        <f t="shared" si="16"/>
        <v>19430</v>
      </c>
      <c r="J50">
        <f t="shared" si="16"/>
        <v>10320</v>
      </c>
      <c r="K50">
        <f t="shared" si="16"/>
        <v>4959</v>
      </c>
      <c r="L50">
        <f t="shared" si="16"/>
        <v>672</v>
      </c>
      <c r="M50">
        <f t="shared" si="16"/>
        <v>510</v>
      </c>
      <c r="N50">
        <f t="shared" si="16"/>
        <v>210</v>
      </c>
      <c r="O50">
        <f t="shared" si="16"/>
        <v>260</v>
      </c>
      <c r="P50">
        <f t="shared" si="16"/>
        <v>252</v>
      </c>
      <c r="Q50">
        <f t="shared" si="16"/>
        <v>429</v>
      </c>
      <c r="R50">
        <f t="shared" si="16"/>
        <v>400</v>
      </c>
      <c r="S50">
        <f t="shared" si="16"/>
        <v>234</v>
      </c>
      <c r="T50">
        <f t="shared" si="16"/>
        <v>216</v>
      </c>
      <c r="U50">
        <f t="shared" si="16"/>
        <v>217</v>
      </c>
      <c r="V50">
        <f t="shared" si="16"/>
        <v>72</v>
      </c>
      <c r="W50">
        <f t="shared" si="16"/>
        <v>170</v>
      </c>
      <c r="X50">
        <f t="shared" si="16"/>
        <v>116</v>
      </c>
      <c r="Y50">
        <f t="shared" si="16"/>
        <v>132</v>
      </c>
      <c r="Z50">
        <f t="shared" si="16"/>
        <v>84</v>
      </c>
      <c r="AA50">
        <f t="shared" si="16"/>
        <v>41</v>
      </c>
      <c r="AB50" s="66">
        <f t="shared" si="3"/>
        <v>26.005401512423479</v>
      </c>
    </row>
    <row r="51" spans="1:50" ht="23.25" hidden="1" customHeight="1">
      <c r="A51" s="38" t="s">
        <v>90</v>
      </c>
      <c r="B51" s="35" t="s">
        <v>88</v>
      </c>
      <c r="C51" s="36" t="s">
        <v>99</v>
      </c>
      <c r="D51" s="37" t="s">
        <v>85</v>
      </c>
      <c r="E51">
        <f t="shared" si="17"/>
        <v>0</v>
      </c>
      <c r="F51">
        <f t="shared" si="16"/>
        <v>44</v>
      </c>
      <c r="G51">
        <f t="shared" si="16"/>
        <v>78</v>
      </c>
      <c r="H51">
        <f t="shared" si="16"/>
        <v>238</v>
      </c>
      <c r="I51">
        <f t="shared" si="16"/>
        <v>319</v>
      </c>
      <c r="J51">
        <f t="shared" si="16"/>
        <v>216</v>
      </c>
      <c r="K51">
        <f t="shared" si="16"/>
        <v>247</v>
      </c>
      <c r="L51">
        <f t="shared" si="16"/>
        <v>96</v>
      </c>
      <c r="M51">
        <f t="shared" si="16"/>
        <v>0</v>
      </c>
      <c r="N51">
        <f t="shared" si="16"/>
        <v>0</v>
      </c>
      <c r="O51">
        <f t="shared" si="16"/>
        <v>0</v>
      </c>
      <c r="P51">
        <f t="shared" si="16"/>
        <v>0</v>
      </c>
      <c r="Q51">
        <f t="shared" si="16"/>
        <v>0</v>
      </c>
      <c r="R51">
        <f t="shared" si="16"/>
        <v>30</v>
      </c>
      <c r="S51">
        <f t="shared" si="16"/>
        <v>9</v>
      </c>
      <c r="T51">
        <f t="shared" si="16"/>
        <v>16</v>
      </c>
      <c r="U51">
        <f t="shared" si="16"/>
        <v>0</v>
      </c>
      <c r="V51">
        <f t="shared" si="16"/>
        <v>18</v>
      </c>
      <c r="W51">
        <f t="shared" si="16"/>
        <v>10</v>
      </c>
      <c r="X51">
        <f t="shared" si="16"/>
        <v>0</v>
      </c>
      <c r="Y51">
        <f t="shared" si="16"/>
        <v>6</v>
      </c>
      <c r="Z51">
        <f t="shared" si="16"/>
        <v>0</v>
      </c>
      <c r="AA51">
        <f t="shared" si="16"/>
        <v>0</v>
      </c>
      <c r="AB51" s="66">
        <f t="shared" si="3"/>
        <v>21.403225806451612</v>
      </c>
    </row>
    <row r="52" spans="1:50" ht="24.75" hidden="1" customHeight="1">
      <c r="A52" s="38" t="s">
        <v>100</v>
      </c>
      <c r="B52" s="35" t="s">
        <v>74</v>
      </c>
      <c r="C52" s="36" t="s">
        <v>101</v>
      </c>
      <c r="D52" s="37" t="s">
        <v>76</v>
      </c>
      <c r="E52">
        <f t="shared" si="17"/>
        <v>0</v>
      </c>
      <c r="F52">
        <f t="shared" si="16"/>
        <v>0</v>
      </c>
      <c r="G52">
        <f t="shared" si="16"/>
        <v>0</v>
      </c>
      <c r="H52">
        <f t="shared" si="16"/>
        <v>0</v>
      </c>
      <c r="I52">
        <f t="shared" si="16"/>
        <v>0</v>
      </c>
      <c r="J52">
        <f t="shared" si="16"/>
        <v>0</v>
      </c>
      <c r="K52">
        <f t="shared" si="16"/>
        <v>0</v>
      </c>
      <c r="L52">
        <f t="shared" si="16"/>
        <v>0</v>
      </c>
      <c r="M52">
        <f t="shared" si="16"/>
        <v>0</v>
      </c>
      <c r="N52">
        <f t="shared" si="16"/>
        <v>0</v>
      </c>
      <c r="O52">
        <f t="shared" si="16"/>
        <v>0</v>
      </c>
      <c r="P52">
        <f t="shared" si="16"/>
        <v>0</v>
      </c>
      <c r="Q52">
        <f t="shared" si="16"/>
        <v>0</v>
      </c>
      <c r="R52">
        <f t="shared" si="16"/>
        <v>0</v>
      </c>
      <c r="S52">
        <f t="shared" si="16"/>
        <v>0</v>
      </c>
      <c r="T52">
        <f t="shared" si="16"/>
        <v>0</v>
      </c>
      <c r="U52">
        <f t="shared" si="16"/>
        <v>0</v>
      </c>
      <c r="V52">
        <f t="shared" si="16"/>
        <v>0</v>
      </c>
      <c r="W52">
        <f t="shared" si="16"/>
        <v>0</v>
      </c>
      <c r="X52">
        <f t="shared" si="16"/>
        <v>0</v>
      </c>
      <c r="Y52">
        <f t="shared" si="16"/>
        <v>0</v>
      </c>
      <c r="Z52">
        <f t="shared" si="16"/>
        <v>0</v>
      </c>
      <c r="AA52">
        <f t="shared" si="16"/>
        <v>0</v>
      </c>
      <c r="AB52" s="66" t="str">
        <f t="shared" si="3"/>
        <v/>
      </c>
    </row>
    <row r="53" spans="1:50" ht="17.25" hidden="1" customHeight="1">
      <c r="A53" s="38" t="s">
        <v>100</v>
      </c>
      <c r="B53" s="35" t="s">
        <v>74</v>
      </c>
      <c r="C53" s="36" t="s">
        <v>102</v>
      </c>
      <c r="D53" s="37" t="s">
        <v>76</v>
      </c>
      <c r="E53">
        <f t="shared" si="17"/>
        <v>0</v>
      </c>
      <c r="F53">
        <f t="shared" si="16"/>
        <v>0</v>
      </c>
      <c r="G53">
        <f t="shared" si="16"/>
        <v>0</v>
      </c>
      <c r="H53">
        <f t="shared" si="16"/>
        <v>0</v>
      </c>
      <c r="I53">
        <f t="shared" si="16"/>
        <v>0</v>
      </c>
      <c r="J53">
        <f t="shared" si="16"/>
        <v>0</v>
      </c>
      <c r="K53">
        <f t="shared" si="16"/>
        <v>0</v>
      </c>
      <c r="L53">
        <f t="shared" si="16"/>
        <v>0</v>
      </c>
      <c r="M53">
        <f t="shared" si="16"/>
        <v>0</v>
      </c>
      <c r="N53">
        <f t="shared" si="16"/>
        <v>0</v>
      </c>
      <c r="O53">
        <f t="shared" si="16"/>
        <v>0</v>
      </c>
      <c r="P53">
        <f t="shared" si="16"/>
        <v>0</v>
      </c>
      <c r="Q53">
        <f t="shared" si="16"/>
        <v>0</v>
      </c>
      <c r="R53">
        <f t="shared" si="16"/>
        <v>0</v>
      </c>
      <c r="S53">
        <f t="shared" si="16"/>
        <v>0</v>
      </c>
      <c r="T53">
        <f t="shared" si="16"/>
        <v>0</v>
      </c>
      <c r="U53">
        <f t="shared" si="16"/>
        <v>0</v>
      </c>
      <c r="V53">
        <f t="shared" si="16"/>
        <v>0</v>
      </c>
      <c r="W53">
        <f t="shared" si="16"/>
        <v>0</v>
      </c>
      <c r="X53">
        <f t="shared" si="16"/>
        <v>0</v>
      </c>
      <c r="Y53">
        <f t="shared" si="16"/>
        <v>0</v>
      </c>
      <c r="Z53">
        <f t="shared" si="16"/>
        <v>0</v>
      </c>
      <c r="AA53">
        <f t="shared" si="16"/>
        <v>0</v>
      </c>
      <c r="AB53" s="66" t="str">
        <f t="shared" si="3"/>
        <v/>
      </c>
    </row>
    <row r="54" spans="1:50" ht="17.25" hidden="1" customHeight="1">
      <c r="A54" s="38" t="s">
        <v>100</v>
      </c>
      <c r="B54" s="35" t="s">
        <v>74</v>
      </c>
      <c r="C54" s="36" t="s">
        <v>103</v>
      </c>
      <c r="D54" s="37" t="s">
        <v>76</v>
      </c>
      <c r="E54">
        <f t="shared" si="17"/>
        <v>0</v>
      </c>
      <c r="F54">
        <f t="shared" si="16"/>
        <v>0</v>
      </c>
      <c r="G54">
        <f t="shared" si="16"/>
        <v>0</v>
      </c>
      <c r="H54">
        <f t="shared" si="16"/>
        <v>0</v>
      </c>
      <c r="I54">
        <f t="shared" si="16"/>
        <v>0</v>
      </c>
      <c r="J54">
        <f t="shared" si="16"/>
        <v>0</v>
      </c>
      <c r="K54">
        <f t="shared" si="16"/>
        <v>0</v>
      </c>
      <c r="L54">
        <f t="shared" si="16"/>
        <v>0</v>
      </c>
      <c r="M54">
        <f t="shared" si="16"/>
        <v>0</v>
      </c>
      <c r="N54">
        <f t="shared" si="16"/>
        <v>0</v>
      </c>
      <c r="O54">
        <f t="shared" si="16"/>
        <v>0</v>
      </c>
      <c r="P54">
        <f t="shared" si="16"/>
        <v>0</v>
      </c>
      <c r="Q54">
        <f t="shared" si="16"/>
        <v>0</v>
      </c>
      <c r="R54">
        <f t="shared" si="16"/>
        <v>0</v>
      </c>
      <c r="S54">
        <f t="shared" si="16"/>
        <v>0</v>
      </c>
      <c r="T54">
        <f t="shared" si="16"/>
        <v>0</v>
      </c>
      <c r="U54">
        <f t="shared" si="16"/>
        <v>0</v>
      </c>
      <c r="V54">
        <f t="shared" si="16"/>
        <v>0</v>
      </c>
      <c r="W54">
        <f t="shared" si="16"/>
        <v>0</v>
      </c>
      <c r="X54">
        <f t="shared" si="16"/>
        <v>0</v>
      </c>
      <c r="Y54">
        <f t="shared" si="16"/>
        <v>0</v>
      </c>
      <c r="Z54">
        <f t="shared" si="16"/>
        <v>0</v>
      </c>
      <c r="AA54">
        <f t="shared" si="16"/>
        <v>0</v>
      </c>
      <c r="AB54" s="66" t="str">
        <f t="shared" si="3"/>
        <v/>
      </c>
    </row>
    <row r="55" spans="1:50" ht="21.75" hidden="1" customHeight="1">
      <c r="A55" s="38" t="s">
        <v>100</v>
      </c>
      <c r="B55" s="35" t="s">
        <v>79</v>
      </c>
      <c r="C55" s="36" t="s">
        <v>104</v>
      </c>
      <c r="D55" s="37" t="s">
        <v>76</v>
      </c>
      <c r="E55">
        <f t="shared" si="17"/>
        <v>0</v>
      </c>
      <c r="F55">
        <f t="shared" si="16"/>
        <v>0</v>
      </c>
      <c r="G55">
        <f t="shared" si="16"/>
        <v>0</v>
      </c>
      <c r="H55">
        <f t="shared" si="16"/>
        <v>0</v>
      </c>
      <c r="I55">
        <f t="shared" si="16"/>
        <v>29</v>
      </c>
      <c r="J55">
        <f t="shared" si="16"/>
        <v>24</v>
      </c>
      <c r="K55">
        <f t="shared" si="16"/>
        <v>0</v>
      </c>
      <c r="L55">
        <f t="shared" si="16"/>
        <v>0</v>
      </c>
      <c r="M55">
        <f t="shared" si="16"/>
        <v>0</v>
      </c>
      <c r="N55">
        <f t="shared" si="16"/>
        <v>0</v>
      </c>
      <c r="O55">
        <f t="shared" si="16"/>
        <v>0</v>
      </c>
      <c r="P55">
        <f t="shared" si="16"/>
        <v>0</v>
      </c>
      <c r="Q55">
        <f t="shared" si="16"/>
        <v>0</v>
      </c>
      <c r="R55">
        <f t="shared" si="16"/>
        <v>0</v>
      </c>
      <c r="S55">
        <f t="shared" si="16"/>
        <v>0</v>
      </c>
      <c r="T55">
        <f t="shared" si="16"/>
        <v>0</v>
      </c>
      <c r="U55">
        <f t="shared" si="16"/>
        <v>0</v>
      </c>
      <c r="V55">
        <f t="shared" si="16"/>
        <v>0</v>
      </c>
      <c r="W55">
        <f t="shared" si="16"/>
        <v>0</v>
      </c>
      <c r="X55">
        <f t="shared" si="16"/>
        <v>0</v>
      </c>
      <c r="Y55">
        <f t="shared" si="16"/>
        <v>0</v>
      </c>
      <c r="Z55">
        <f t="shared" si="16"/>
        <v>0</v>
      </c>
      <c r="AA55">
        <f t="shared" si="16"/>
        <v>0</v>
      </c>
      <c r="AB55" s="66">
        <f t="shared" si="3"/>
        <v>26.5</v>
      </c>
    </row>
    <row r="56" spans="1:50" ht="23.25" hidden="1" customHeight="1">
      <c r="A56" s="38" t="s">
        <v>100</v>
      </c>
      <c r="B56" s="35" t="s">
        <v>79</v>
      </c>
      <c r="C56" s="36" t="s">
        <v>105</v>
      </c>
      <c r="D56" s="37" t="s">
        <v>76</v>
      </c>
      <c r="E56">
        <f t="shared" si="17"/>
        <v>0</v>
      </c>
      <c r="F56">
        <f t="shared" si="16"/>
        <v>0</v>
      </c>
      <c r="G56">
        <f t="shared" si="16"/>
        <v>0</v>
      </c>
      <c r="H56">
        <f t="shared" si="16"/>
        <v>0</v>
      </c>
      <c r="I56">
        <f t="shared" si="16"/>
        <v>29</v>
      </c>
      <c r="J56">
        <f t="shared" si="16"/>
        <v>0</v>
      </c>
      <c r="K56">
        <f t="shared" si="16"/>
        <v>0</v>
      </c>
      <c r="L56">
        <f t="shared" si="16"/>
        <v>0</v>
      </c>
      <c r="M56">
        <f t="shared" si="16"/>
        <v>0</v>
      </c>
      <c r="N56">
        <f t="shared" si="16"/>
        <v>0</v>
      </c>
      <c r="O56">
        <f t="shared" si="16"/>
        <v>0</v>
      </c>
      <c r="P56">
        <f t="shared" si="16"/>
        <v>0</v>
      </c>
      <c r="Q56">
        <f t="shared" si="16"/>
        <v>0</v>
      </c>
      <c r="R56">
        <f t="shared" si="16"/>
        <v>0</v>
      </c>
      <c r="S56">
        <f t="shared" si="16"/>
        <v>0</v>
      </c>
      <c r="T56">
        <f t="shared" si="16"/>
        <v>0</v>
      </c>
      <c r="U56">
        <f t="shared" si="16"/>
        <v>0</v>
      </c>
      <c r="V56">
        <f t="shared" si="16"/>
        <v>0</v>
      </c>
      <c r="W56">
        <f t="shared" si="16"/>
        <v>0</v>
      </c>
      <c r="X56">
        <f t="shared" si="16"/>
        <v>0</v>
      </c>
      <c r="Y56">
        <f t="shared" si="16"/>
        <v>0</v>
      </c>
      <c r="Z56">
        <f t="shared" si="16"/>
        <v>0</v>
      </c>
      <c r="AA56">
        <f t="shared" si="16"/>
        <v>0</v>
      </c>
      <c r="AB56" s="66">
        <f t="shared" si="3"/>
        <v>29</v>
      </c>
    </row>
    <row r="57" spans="1:50" ht="24" hidden="1" customHeight="1">
      <c r="A57" s="38" t="s">
        <v>100</v>
      </c>
      <c r="B57" s="35" t="s">
        <v>79</v>
      </c>
      <c r="C57" s="36" t="s">
        <v>106</v>
      </c>
      <c r="D57" s="37" t="s">
        <v>76</v>
      </c>
      <c r="E57">
        <f t="shared" si="17"/>
        <v>0</v>
      </c>
      <c r="F57">
        <f t="shared" si="16"/>
        <v>0</v>
      </c>
      <c r="G57">
        <f t="shared" si="16"/>
        <v>0</v>
      </c>
      <c r="H57">
        <f t="shared" si="16"/>
        <v>0</v>
      </c>
      <c r="I57">
        <f t="shared" si="16"/>
        <v>0</v>
      </c>
      <c r="J57">
        <f t="shared" si="16"/>
        <v>0</v>
      </c>
      <c r="K57">
        <f t="shared" si="16"/>
        <v>0</v>
      </c>
      <c r="L57">
        <f t="shared" si="16"/>
        <v>0</v>
      </c>
      <c r="M57">
        <f t="shared" si="16"/>
        <v>0</v>
      </c>
      <c r="N57">
        <f t="shared" si="16"/>
        <v>0</v>
      </c>
      <c r="O57">
        <f t="shared" si="16"/>
        <v>0</v>
      </c>
      <c r="P57">
        <f t="shared" si="16"/>
        <v>0</v>
      </c>
      <c r="Q57">
        <f t="shared" si="16"/>
        <v>0</v>
      </c>
      <c r="R57">
        <f t="shared" si="16"/>
        <v>0</v>
      </c>
      <c r="S57">
        <f t="shared" si="16"/>
        <v>0</v>
      </c>
      <c r="T57">
        <f t="shared" si="16"/>
        <v>0</v>
      </c>
      <c r="U57">
        <f t="shared" si="16"/>
        <v>0</v>
      </c>
      <c r="V57">
        <f t="shared" si="16"/>
        <v>0</v>
      </c>
      <c r="W57">
        <f t="shared" si="16"/>
        <v>0</v>
      </c>
      <c r="X57">
        <f t="shared" si="16"/>
        <v>0</v>
      </c>
      <c r="Y57">
        <f t="shared" ref="F57:AA61" si="18">IF(Y28="-","",Y28*Y$3)</f>
        <v>0</v>
      </c>
      <c r="Z57">
        <f t="shared" si="18"/>
        <v>0</v>
      </c>
      <c r="AA57">
        <f t="shared" si="18"/>
        <v>0</v>
      </c>
      <c r="AB57" s="66" t="str">
        <f t="shared" si="3"/>
        <v/>
      </c>
    </row>
    <row r="58" spans="1:50" ht="0.75" hidden="1" customHeight="1">
      <c r="A58" s="38" t="s">
        <v>100</v>
      </c>
      <c r="B58" s="35" t="s">
        <v>86</v>
      </c>
      <c r="C58" s="36" t="s">
        <v>107</v>
      </c>
      <c r="D58" s="37" t="s">
        <v>85</v>
      </c>
      <c r="E58">
        <f t="shared" si="17"/>
        <v>0</v>
      </c>
      <c r="F58">
        <f t="shared" si="18"/>
        <v>0</v>
      </c>
      <c r="G58">
        <f t="shared" si="18"/>
        <v>39</v>
      </c>
      <c r="H58">
        <f t="shared" si="18"/>
        <v>0</v>
      </c>
      <c r="I58">
        <f t="shared" si="18"/>
        <v>0</v>
      </c>
      <c r="J58">
        <f t="shared" si="18"/>
        <v>24</v>
      </c>
      <c r="K58">
        <f t="shared" si="18"/>
        <v>19</v>
      </c>
      <c r="L58">
        <f t="shared" si="18"/>
        <v>0</v>
      </c>
      <c r="M58">
        <f t="shared" si="18"/>
        <v>0</v>
      </c>
      <c r="N58">
        <f t="shared" si="18"/>
        <v>0</v>
      </c>
      <c r="O58">
        <f t="shared" si="18"/>
        <v>0</v>
      </c>
      <c r="P58">
        <f t="shared" si="18"/>
        <v>0</v>
      </c>
      <c r="Q58">
        <f t="shared" si="18"/>
        <v>0</v>
      </c>
      <c r="R58">
        <f t="shared" si="18"/>
        <v>0</v>
      </c>
      <c r="S58">
        <f t="shared" si="18"/>
        <v>0</v>
      </c>
      <c r="T58">
        <f t="shared" si="18"/>
        <v>0</v>
      </c>
      <c r="U58">
        <f t="shared" si="18"/>
        <v>0</v>
      </c>
      <c r="V58">
        <f t="shared" si="18"/>
        <v>0</v>
      </c>
      <c r="W58">
        <f t="shared" si="18"/>
        <v>10</v>
      </c>
      <c r="X58">
        <f t="shared" si="18"/>
        <v>0</v>
      </c>
      <c r="Y58">
        <f t="shared" si="18"/>
        <v>24</v>
      </c>
      <c r="Z58">
        <f t="shared" si="18"/>
        <v>4</v>
      </c>
      <c r="AA58">
        <f t="shared" si="18"/>
        <v>0</v>
      </c>
      <c r="AB58" s="66">
        <f t="shared" si="3"/>
        <v>8</v>
      </c>
    </row>
    <row r="59" spans="1:50" ht="10.5" hidden="1" customHeight="1">
      <c r="A59" s="38" t="s">
        <v>100</v>
      </c>
      <c r="B59" s="35" t="s">
        <v>88</v>
      </c>
      <c r="C59" s="36" t="s">
        <v>108</v>
      </c>
      <c r="D59" s="37" t="s">
        <v>85</v>
      </c>
      <c r="E59">
        <f t="shared" si="17"/>
        <v>0</v>
      </c>
      <c r="F59">
        <f t="shared" si="18"/>
        <v>0</v>
      </c>
      <c r="G59">
        <f t="shared" si="18"/>
        <v>0</v>
      </c>
      <c r="H59">
        <f t="shared" si="18"/>
        <v>0</v>
      </c>
      <c r="I59">
        <f t="shared" si="18"/>
        <v>0</v>
      </c>
      <c r="J59">
        <f t="shared" si="18"/>
        <v>0</v>
      </c>
      <c r="K59">
        <f t="shared" si="18"/>
        <v>0</v>
      </c>
      <c r="L59">
        <f t="shared" si="18"/>
        <v>0</v>
      </c>
      <c r="M59">
        <f t="shared" si="18"/>
        <v>0</v>
      </c>
      <c r="N59">
        <f t="shared" si="18"/>
        <v>0</v>
      </c>
      <c r="O59">
        <f t="shared" si="18"/>
        <v>0</v>
      </c>
      <c r="P59">
        <f t="shared" si="18"/>
        <v>0</v>
      </c>
      <c r="Q59">
        <f t="shared" si="18"/>
        <v>0</v>
      </c>
      <c r="R59">
        <f t="shared" si="18"/>
        <v>0</v>
      </c>
      <c r="S59">
        <f t="shared" si="18"/>
        <v>0</v>
      </c>
      <c r="T59">
        <f t="shared" si="18"/>
        <v>0</v>
      </c>
      <c r="U59">
        <f t="shared" si="18"/>
        <v>0</v>
      </c>
      <c r="V59">
        <f t="shared" si="18"/>
        <v>0</v>
      </c>
      <c r="W59">
        <f t="shared" si="18"/>
        <v>0</v>
      </c>
      <c r="X59">
        <f t="shared" si="18"/>
        <v>0</v>
      </c>
      <c r="Y59">
        <f t="shared" si="18"/>
        <v>0</v>
      </c>
      <c r="Z59">
        <f t="shared" si="18"/>
        <v>0</v>
      </c>
      <c r="AA59">
        <f t="shared" si="18"/>
        <v>0</v>
      </c>
      <c r="AB59" s="66" t="str">
        <f t="shared" si="3"/>
        <v/>
      </c>
    </row>
    <row r="60" spans="1:50" ht="49.5" hidden="1" customHeight="1">
      <c r="A60" s="38" t="s">
        <v>109</v>
      </c>
      <c r="B60" s="35" t="s">
        <v>110</v>
      </c>
      <c r="C60" s="36" t="s">
        <v>111</v>
      </c>
      <c r="D60" s="37" t="s">
        <v>85</v>
      </c>
      <c r="E60">
        <f t="shared" si="17"/>
        <v>0</v>
      </c>
      <c r="F60">
        <f t="shared" si="18"/>
        <v>0</v>
      </c>
      <c r="G60">
        <f t="shared" si="18"/>
        <v>0</v>
      </c>
      <c r="H60">
        <f t="shared" si="18"/>
        <v>0</v>
      </c>
      <c r="I60">
        <f t="shared" si="18"/>
        <v>0</v>
      </c>
      <c r="J60">
        <f t="shared" si="18"/>
        <v>0</v>
      </c>
      <c r="K60">
        <f t="shared" si="18"/>
        <v>608</v>
      </c>
      <c r="L60">
        <f t="shared" si="18"/>
        <v>16</v>
      </c>
      <c r="M60">
        <f t="shared" si="18"/>
        <v>15</v>
      </c>
      <c r="N60">
        <f t="shared" si="18"/>
        <v>14</v>
      </c>
      <c r="O60">
        <f t="shared" si="18"/>
        <v>0</v>
      </c>
      <c r="P60">
        <f t="shared" si="18"/>
        <v>0</v>
      </c>
      <c r="Q60">
        <f t="shared" si="18"/>
        <v>44</v>
      </c>
      <c r="R60">
        <f t="shared" si="18"/>
        <v>10</v>
      </c>
      <c r="S60">
        <f t="shared" si="18"/>
        <v>171</v>
      </c>
      <c r="T60">
        <f t="shared" si="18"/>
        <v>24</v>
      </c>
      <c r="U60">
        <f t="shared" si="18"/>
        <v>7</v>
      </c>
      <c r="V60">
        <f t="shared" si="18"/>
        <v>0</v>
      </c>
      <c r="W60">
        <f t="shared" si="18"/>
        <v>5</v>
      </c>
      <c r="X60">
        <f t="shared" si="18"/>
        <v>0</v>
      </c>
      <c r="Y60">
        <f t="shared" si="18"/>
        <v>0</v>
      </c>
      <c r="Z60">
        <f t="shared" si="18"/>
        <v>6</v>
      </c>
      <c r="AA60">
        <f t="shared" si="18"/>
        <v>4</v>
      </c>
      <c r="AB60" s="66">
        <f t="shared" si="3"/>
        <v>13.014084507042254</v>
      </c>
    </row>
    <row r="61" spans="1:50" ht="16.5" hidden="1" customHeight="1">
      <c r="C61" s="36" t="s">
        <v>353</v>
      </c>
      <c r="D61" s="37" t="s">
        <v>85</v>
      </c>
      <c r="H61">
        <v>1</v>
      </c>
      <c r="I61">
        <v>1</v>
      </c>
      <c r="J61">
        <f t="shared" si="18"/>
        <v>0</v>
      </c>
      <c r="K61">
        <f t="shared" si="18"/>
        <v>0</v>
      </c>
      <c r="L61">
        <f t="shared" si="18"/>
        <v>32</v>
      </c>
      <c r="M61">
        <f t="shared" si="18"/>
        <v>15</v>
      </c>
      <c r="N61">
        <f t="shared" si="18"/>
        <v>0</v>
      </c>
      <c r="O61">
        <f t="shared" si="18"/>
        <v>0</v>
      </c>
      <c r="P61">
        <f t="shared" si="18"/>
        <v>12</v>
      </c>
      <c r="Q61">
        <f t="shared" si="18"/>
        <v>0</v>
      </c>
      <c r="R61">
        <f t="shared" si="18"/>
        <v>0</v>
      </c>
      <c r="S61">
        <f t="shared" si="18"/>
        <v>0</v>
      </c>
      <c r="T61">
        <f t="shared" si="18"/>
        <v>0</v>
      </c>
      <c r="U61">
        <f t="shared" si="18"/>
        <v>0</v>
      </c>
      <c r="V61">
        <f t="shared" si="18"/>
        <v>0</v>
      </c>
      <c r="W61">
        <f t="shared" si="18"/>
        <v>0</v>
      </c>
      <c r="X61">
        <f t="shared" si="18"/>
        <v>0</v>
      </c>
      <c r="Y61">
        <f t="shared" si="18"/>
        <v>0</v>
      </c>
      <c r="Z61">
        <f t="shared" si="18"/>
        <v>2</v>
      </c>
      <c r="AA61">
        <f t="shared" si="18"/>
        <v>0</v>
      </c>
      <c r="AB61" s="66">
        <f t="shared" si="3"/>
        <v>3.9375</v>
      </c>
    </row>
    <row r="62" spans="1:50" ht="27.75" customHeight="1">
      <c r="AS62">
        <v>9.52</v>
      </c>
      <c r="AT62">
        <v>71.430000000000007</v>
      </c>
      <c r="AU62">
        <v>19.05</v>
      </c>
      <c r="AW62">
        <v>4</v>
      </c>
      <c r="AX62">
        <v>7.1</v>
      </c>
    </row>
    <row r="67" spans="1:4">
      <c r="C67" s="18" t="s">
        <v>310</v>
      </c>
      <c r="D67" t="s">
        <v>387</v>
      </c>
    </row>
    <row r="68" spans="1:4">
      <c r="A68" s="110" t="s">
        <v>73</v>
      </c>
      <c r="B68" s="111" t="s">
        <v>74</v>
      </c>
      <c r="C68" s="265">
        <v>63595.394999999997</v>
      </c>
    </row>
    <row r="69" spans="1:4">
      <c r="A69" s="113" t="s">
        <v>90</v>
      </c>
      <c r="B69" s="111" t="s">
        <v>74</v>
      </c>
      <c r="C69" s="265">
        <v>316335.80999999994</v>
      </c>
    </row>
    <row r="70" spans="1:4">
      <c r="A70" s="113" t="s">
        <v>100</v>
      </c>
      <c r="B70" s="111" t="s">
        <v>74</v>
      </c>
      <c r="C70" s="265">
        <v>11778.599999999999</v>
      </c>
    </row>
    <row r="71" spans="1:4">
      <c r="B71" s="111" t="s">
        <v>79</v>
      </c>
      <c r="C71" s="265">
        <v>73538.864999999991</v>
      </c>
    </row>
    <row r="72" spans="1:4">
      <c r="A72" s="110"/>
      <c r="B72" s="111" t="s">
        <v>83</v>
      </c>
      <c r="C72" s="265">
        <v>7833.9749999999995</v>
      </c>
    </row>
    <row r="73" spans="1:4">
      <c r="A73" s="110"/>
      <c r="B73" s="111" t="s">
        <v>86</v>
      </c>
      <c r="C73" s="265">
        <v>4827.0149999999994</v>
      </c>
    </row>
    <row r="74" spans="1:4">
      <c r="A74" s="110"/>
      <c r="B74" s="111" t="s">
        <v>88</v>
      </c>
      <c r="C74" s="265">
        <v>4650.1349999999993</v>
      </c>
    </row>
    <row r="75" spans="1:4">
      <c r="A75" s="110"/>
      <c r="B75" s="111" t="s">
        <v>234</v>
      </c>
      <c r="C75" s="265">
        <v>12004.724999999999</v>
      </c>
    </row>
    <row r="76" spans="1:4">
      <c r="B76" s="111" t="s">
        <v>309</v>
      </c>
      <c r="C76" s="265">
        <v>4666.2149999999992</v>
      </c>
    </row>
    <row r="77" spans="1:4">
      <c r="A77" s="113"/>
      <c r="B77" s="111" t="s">
        <v>22</v>
      </c>
      <c r="C77" s="265">
        <v>499230.73499999993</v>
      </c>
    </row>
    <row r="78" spans="1:4">
      <c r="A78" s="113"/>
      <c r="B78" s="111"/>
    </row>
    <row r="79" spans="1:4">
      <c r="A79" s="113"/>
      <c r="B79" s="111"/>
    </row>
    <row r="80" spans="1:4">
      <c r="A80" s="113"/>
      <c r="B80" s="111"/>
    </row>
    <row r="82" spans="1:2">
      <c r="A82" s="113"/>
      <c r="B82" s="111"/>
    </row>
    <row r="83" spans="1:2">
      <c r="A83" s="113"/>
      <c r="B83" s="111"/>
    </row>
    <row r="84" spans="1:2">
      <c r="A84" s="113"/>
      <c r="B84" s="111"/>
    </row>
    <row r="85" spans="1:2">
      <c r="A85" s="113"/>
      <c r="B85" s="111"/>
    </row>
    <row r="86" spans="1:2">
      <c r="A86"/>
    </row>
    <row r="87" spans="1:2">
      <c r="A87"/>
    </row>
    <row r="88" spans="1:2">
      <c r="A88"/>
    </row>
    <row r="89" spans="1:2">
      <c r="A89"/>
    </row>
    <row r="90" spans="1:2">
      <c r="A90"/>
    </row>
    <row r="91" spans="1:2">
      <c r="A91"/>
    </row>
    <row r="92" spans="1:2">
      <c r="A92"/>
    </row>
    <row r="93" spans="1:2">
      <c r="A93"/>
    </row>
    <row r="94" spans="1:2">
      <c r="A94"/>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tint="-0.249977111117893"/>
  </sheetPr>
  <dimension ref="A1:AJ88"/>
  <sheetViews>
    <sheetView zoomScale="85" zoomScaleNormal="85" zoomScalePageLayoutView="80" workbookViewId="0">
      <selection activeCell="K12" sqref="K12"/>
    </sheetView>
  </sheetViews>
  <sheetFormatPr defaultColWidth="11" defaultRowHeight="15.5"/>
  <cols>
    <col min="1" max="1" width="9.5" bestFit="1" customWidth="1"/>
    <col min="2" max="2" width="63.33203125" bestFit="1" customWidth="1"/>
    <col min="3" max="3" width="7" customWidth="1"/>
    <col min="4" max="4" width="10" bestFit="1" customWidth="1"/>
    <col min="5" max="5" width="8" bestFit="1" customWidth="1"/>
    <col min="6" max="16" width="7" customWidth="1"/>
    <col min="17" max="17" width="7.5" customWidth="1"/>
    <col min="19" max="19" width="63.33203125" customWidth="1"/>
    <col min="20" max="20" width="8.83203125" customWidth="1"/>
    <col min="21" max="21" width="8.5" bestFit="1" customWidth="1"/>
    <col min="22" max="22" width="10.83203125" bestFit="1" customWidth="1"/>
    <col min="23" max="23" width="15" bestFit="1" customWidth="1"/>
    <col min="24" max="24" width="20.33203125" customWidth="1"/>
    <col min="25" max="25" width="7.5" customWidth="1"/>
    <col min="26" max="26" width="7.33203125" customWidth="1"/>
    <col min="27" max="29" width="6.5" customWidth="1"/>
    <col min="30" max="30" width="8" customWidth="1"/>
    <col min="31" max="31" width="8.5" bestFit="1" customWidth="1"/>
    <col min="32" max="33" width="7" bestFit="1" customWidth="1"/>
  </cols>
  <sheetData>
    <row r="1" spans="1:35">
      <c r="D1" t="s">
        <v>421</v>
      </c>
    </row>
    <row r="2" spans="1:35">
      <c r="D2" t="s">
        <v>422</v>
      </c>
      <c r="S2" t="s">
        <v>203</v>
      </c>
    </row>
    <row r="3" spans="1:35" ht="20">
      <c r="A3" s="160" t="s">
        <v>162</v>
      </c>
      <c r="D3" t="s">
        <v>423</v>
      </c>
    </row>
    <row r="4" spans="1:35">
      <c r="D4" t="s">
        <v>424</v>
      </c>
    </row>
    <row r="6" spans="1:35">
      <c r="C6" s="157">
        <v>2012</v>
      </c>
      <c r="D6" s="157">
        <v>2013</v>
      </c>
      <c r="E6" s="157">
        <v>2014</v>
      </c>
      <c r="F6" s="157">
        <v>2015</v>
      </c>
      <c r="G6" s="157">
        <v>2016</v>
      </c>
      <c r="H6" s="157">
        <v>2017</v>
      </c>
      <c r="I6" s="157">
        <v>2018</v>
      </c>
      <c r="J6" s="157">
        <v>2019</v>
      </c>
      <c r="K6" s="157">
        <v>2020</v>
      </c>
      <c r="L6" s="157">
        <v>2021</v>
      </c>
      <c r="M6" s="157">
        <v>2022</v>
      </c>
      <c r="N6" s="157">
        <v>2023</v>
      </c>
      <c r="O6" s="157">
        <v>2024</v>
      </c>
      <c r="P6" s="157">
        <v>2025</v>
      </c>
      <c r="Q6" s="157">
        <v>2026</v>
      </c>
      <c r="S6" t="str">
        <f>S52</f>
        <v>2013 to 2014 AMP Forecasts</v>
      </c>
      <c r="T6" s="157">
        <f>T17</f>
        <v>2014</v>
      </c>
      <c r="U6" s="157">
        <f t="shared" ref="U6:AF6" si="0">U17</f>
        <v>2015</v>
      </c>
      <c r="V6" s="157">
        <f t="shared" si="0"/>
        <v>2016</v>
      </c>
      <c r="W6" s="157">
        <f t="shared" si="0"/>
        <v>2017</v>
      </c>
      <c r="X6" s="157">
        <f t="shared" si="0"/>
        <v>2018</v>
      </c>
      <c r="Y6" s="157">
        <f t="shared" si="0"/>
        <v>2019</v>
      </c>
      <c r="Z6" s="157">
        <f t="shared" si="0"/>
        <v>2020</v>
      </c>
      <c r="AA6" s="157">
        <f t="shared" si="0"/>
        <v>2021</v>
      </c>
      <c r="AB6" s="157">
        <f t="shared" si="0"/>
        <v>2022</v>
      </c>
      <c r="AC6" s="157">
        <f t="shared" si="0"/>
        <v>2023</v>
      </c>
      <c r="AD6" s="157">
        <f t="shared" si="0"/>
        <v>2024</v>
      </c>
      <c r="AE6" s="157">
        <f t="shared" si="0"/>
        <v>2025</v>
      </c>
      <c r="AF6" s="157">
        <f t="shared" si="0"/>
        <v>2026</v>
      </c>
      <c r="AG6" s="157"/>
      <c r="AH6" s="157"/>
      <c r="AI6" s="157"/>
    </row>
    <row r="7" spans="1:35">
      <c r="A7" t="s">
        <v>204</v>
      </c>
      <c r="B7" t="s">
        <v>10</v>
      </c>
      <c r="C7" s="158"/>
      <c r="D7">
        <f>1.01*1.014*1.005*10322</f>
        <v>10624.028945399999</v>
      </c>
      <c r="E7">
        <f>1.01*1.014*1.005*10105</f>
        <v>10400.679373500001</v>
      </c>
      <c r="F7">
        <f>1.01*1.014*1.005*10382</f>
        <v>10685.7845874</v>
      </c>
      <c r="G7">
        <f>1.01*1.014*1.005*10105</f>
        <v>10400.679373500001</v>
      </c>
      <c r="H7">
        <f>1.01*1.014*1.005*10095</f>
        <v>10390.3867665</v>
      </c>
      <c r="I7">
        <f>1.01*1.014*1.005*10095</f>
        <v>10390.3867665</v>
      </c>
      <c r="J7">
        <f>1.01*1.014*1.005*10095</f>
        <v>10390.3867665</v>
      </c>
      <c r="K7">
        <f>1.01*1.014*1.005*10067</f>
        <v>10361.5674669</v>
      </c>
      <c r="L7">
        <f>1.01*1.014*1.005*10067</f>
        <v>10361.5674669</v>
      </c>
      <c r="M7">
        <f>1.01*1.014*1.005*10022</f>
        <v>10315.250735400001</v>
      </c>
      <c r="N7">
        <f>1.01*1.014*1.005*10022</f>
        <v>10315.250735400001</v>
      </c>
      <c r="O7" s="158"/>
      <c r="P7" s="158"/>
      <c r="Q7" s="158"/>
      <c r="S7" t="str">
        <f>S18</f>
        <v>Consumer connection</v>
      </c>
      <c r="T7" s="16">
        <f>IFERROR((E8-E7)/E7,(E8-E7)/(E7+1))</f>
        <v>0.48157220472170892</v>
      </c>
      <c r="U7" s="16">
        <f t="shared" ref="U7:AC7" si="1">IFERROR((F8-F7)/F7,(F8-F7)/(F7+1))</f>
        <v>0.59777680715480519</v>
      </c>
      <c r="V7" s="16">
        <f t="shared" si="1"/>
        <v>0.36487671528162202</v>
      </c>
      <c r="W7" s="16">
        <f t="shared" si="1"/>
        <v>0.36809223270023883</v>
      </c>
      <c r="X7" s="16">
        <f t="shared" si="1"/>
        <v>0.42409486119488621</v>
      </c>
      <c r="Y7" s="16">
        <f t="shared" si="1"/>
        <v>0.31434540185073478</v>
      </c>
      <c r="Z7" s="16">
        <f t="shared" si="1"/>
        <v>0.33796631873379035</v>
      </c>
      <c r="AA7" s="16">
        <f t="shared" si="1"/>
        <v>0.37042213211089653</v>
      </c>
      <c r="AB7" s="16">
        <f t="shared" si="1"/>
        <v>0.38615837237285872</v>
      </c>
      <c r="AC7" s="16">
        <f t="shared" si="1"/>
        <v>0.41154805961538066</v>
      </c>
      <c r="AD7" s="16"/>
      <c r="AE7" s="16"/>
      <c r="AF7" s="16"/>
      <c r="AG7" s="16"/>
    </row>
    <row r="8" spans="1:35">
      <c r="A8" s="9" t="s">
        <v>205</v>
      </c>
      <c r="B8" t="s">
        <v>10</v>
      </c>
      <c r="C8" s="158"/>
      <c r="D8" s="158"/>
      <c r="E8">
        <f>1.014*1.005*15121</f>
        <v>15409.357469999999</v>
      </c>
      <c r="F8">
        <f>1.014*1.005*16754</f>
        <v>17073.498779999998</v>
      </c>
      <c r="G8">
        <f>1.014*1.005*13930</f>
        <v>14195.6451</v>
      </c>
      <c r="H8">
        <f>1.014*1.005*13949</f>
        <v>14215.00743</v>
      </c>
      <c r="I8">
        <f>1.014*1.005*14520</f>
        <v>14796.8964</v>
      </c>
      <c r="J8">
        <f>1.014*1.005*13401</f>
        <v>13656.557069999999</v>
      </c>
      <c r="K8">
        <f>1.014*1.005*13604</f>
        <v>13863.428279999998</v>
      </c>
      <c r="L8">
        <f>1.014*1.005*13934</f>
        <v>14199.721379999999</v>
      </c>
      <c r="M8">
        <f>1.014*1.005*14031</f>
        <v>14298.571169999999</v>
      </c>
      <c r="N8">
        <f>1.014*1.005*14288</f>
        <v>14560.472159999999</v>
      </c>
      <c r="O8">
        <f>1.014*1.005*14592</f>
        <v>14870.269439999998</v>
      </c>
      <c r="P8" s="158"/>
      <c r="Q8" s="158"/>
      <c r="S8" t="str">
        <f t="shared" ref="S8:S14" si="2">S19</f>
        <v>System growth</v>
      </c>
      <c r="T8" s="16">
        <f>IFERROR((E12-E11)/E11,(E12-E11)/(E11+1))</f>
        <v>-0.54143074716549833</v>
      </c>
      <c r="U8" s="16">
        <f t="shared" ref="U8:AC8" si="3">IFERROR((F12-F11)/F11,(F12-F11)/(F11+1))</f>
        <v>-0.16568852631620007</v>
      </c>
      <c r="V8" s="16">
        <f t="shared" si="3"/>
        <v>-1.2031544377923881E-2</v>
      </c>
      <c r="W8" s="16">
        <f t="shared" si="3"/>
        <v>-3.3505500732011815E-3</v>
      </c>
      <c r="X8" s="16">
        <f t="shared" si="3"/>
        <v>-3.4906963327292363E-3</v>
      </c>
      <c r="Y8" s="16">
        <f t="shared" si="3"/>
        <v>-3.2037938711605729E-3</v>
      </c>
      <c r="Z8" s="16">
        <f t="shared" si="3"/>
        <v>2.0943013338524621E-4</v>
      </c>
      <c r="AA8" s="16">
        <f t="shared" si="3"/>
        <v>-3.358172334975376E-3</v>
      </c>
      <c r="AB8" s="16">
        <f t="shared" si="3"/>
        <v>-3.3128788163988092E-3</v>
      </c>
      <c r="AC8" s="16">
        <f t="shared" si="3"/>
        <v>-3.1426350826209036E-3</v>
      </c>
      <c r="AD8" s="16"/>
    </row>
    <row r="9" spans="1:35">
      <c r="A9" t="s">
        <v>206</v>
      </c>
      <c r="B9" t="s">
        <v>10</v>
      </c>
      <c r="C9" s="158"/>
      <c r="D9" s="158"/>
      <c r="E9" s="158"/>
      <c r="F9">
        <f>1.005*17791</f>
        <v>17879.954999999998</v>
      </c>
      <c r="G9" s="10">
        <f>1.005*16150</f>
        <v>16230.749999999998</v>
      </c>
      <c r="H9" s="10">
        <f>1.005*16658</f>
        <v>16741.289999999997</v>
      </c>
      <c r="I9" s="10">
        <f>1.005*16440</f>
        <v>16522.199999999997</v>
      </c>
      <c r="J9" s="10">
        <f>1.005*15332</f>
        <v>15408.659999999998</v>
      </c>
      <c r="K9" s="10">
        <f>1.005*15667</f>
        <v>15745.334999999999</v>
      </c>
      <c r="L9" s="10">
        <f>1.005*15854</f>
        <v>15933.269999999999</v>
      </c>
      <c r="M9" s="10">
        <f>1.005*15903</f>
        <v>15982.514999999998</v>
      </c>
      <c r="N9" s="10">
        <f>1.005*16288</f>
        <v>16369.439999999999</v>
      </c>
      <c r="O9" s="10">
        <f>1.005*16660</f>
        <v>16743.3</v>
      </c>
      <c r="P9" s="10">
        <f>1.005*16772</f>
        <v>16855.859999999997</v>
      </c>
      <c r="Q9" s="158"/>
      <c r="R9" s="10"/>
      <c r="S9" t="str">
        <f t="shared" si="2"/>
        <v>Asset replacement and renewal</v>
      </c>
      <c r="T9" s="16">
        <f>IFERROR((E16-E15)/E15,(E16-E15)/(E15+1))</f>
        <v>-8.8389302027163733E-2</v>
      </c>
      <c r="U9" s="16">
        <f t="shared" ref="U9:AC9" si="4">IFERROR((F16-F15)/F15,(F16-F15)/(F15+1))</f>
        <v>0.19929538966166535</v>
      </c>
      <c r="V9" s="16">
        <f t="shared" si="4"/>
        <v>0.54447664805773299</v>
      </c>
      <c r="W9" s="16">
        <f t="shared" si="4"/>
        <v>0.91365910784626836</v>
      </c>
      <c r="X9" s="16">
        <f t="shared" si="4"/>
        <v>0.94198367205141575</v>
      </c>
      <c r="Y9" s="16">
        <f t="shared" si="4"/>
        <v>2.0346629309202431</v>
      </c>
      <c r="Z9" s="16">
        <f t="shared" si="4"/>
        <v>2.0346629309202431</v>
      </c>
      <c r="AA9" s="16">
        <f t="shared" si="4"/>
        <v>2.0856954451566603</v>
      </c>
      <c r="AB9" s="16">
        <f t="shared" si="4"/>
        <v>2.0856954451566603</v>
      </c>
      <c r="AC9" s="16">
        <f t="shared" si="4"/>
        <v>2.0856954451566603</v>
      </c>
      <c r="AD9" s="16"/>
    </row>
    <row r="10" spans="1:35">
      <c r="A10" s="9" t="s">
        <v>207</v>
      </c>
      <c r="B10" t="s">
        <v>10</v>
      </c>
      <c r="C10" s="158"/>
      <c r="D10" s="158"/>
      <c r="E10" s="158"/>
      <c r="F10" s="158"/>
      <c r="G10" s="301">
        <f>'Data Input Sheet'!E20+1986</f>
        <v>16534</v>
      </c>
      <c r="H10" s="301">
        <f>'Data Input Sheet'!F20+1805</f>
        <v>16900</v>
      </c>
      <c r="I10" s="301">
        <f>'Data Input Sheet'!G20+1792</f>
        <v>14131</v>
      </c>
      <c r="J10" s="301">
        <f>'Data Input Sheet'!H20+1804</f>
        <v>14251</v>
      </c>
      <c r="K10" s="301">
        <f>'Data Input Sheet'!I20+1838</f>
        <v>14516</v>
      </c>
      <c r="L10" s="301">
        <f>'Data Input Sheet'!J20+1855</f>
        <v>14650</v>
      </c>
      <c r="M10">
        <f>'Data Input Sheet'!K20</f>
        <v>14781</v>
      </c>
      <c r="N10">
        <f>'Data Input Sheet'!L20</f>
        <v>14832</v>
      </c>
      <c r="O10">
        <f>'Data Input Sheet'!M20</f>
        <v>14580</v>
      </c>
      <c r="P10">
        <f>'Data Input Sheet'!N20</f>
        <v>14750</v>
      </c>
      <c r="Q10">
        <f>'Data Input Sheet'!O20</f>
        <v>14931</v>
      </c>
      <c r="S10" t="str">
        <f t="shared" si="2"/>
        <v>Asset relocations</v>
      </c>
      <c r="T10" s="16">
        <f>IFERROR((E20-E19)/E19,(E20-E19)/(E19+1))</f>
        <v>-0.44492127231298984</v>
      </c>
      <c r="U10" s="16">
        <f t="shared" ref="U10:AC10" si="5">IFERROR((F20-F19)/F19,(F20-F19)/(F19+1))</f>
        <v>7.3182453799214009E-2</v>
      </c>
      <c r="V10" s="16">
        <f t="shared" si="5"/>
        <v>0.57753271015269836</v>
      </c>
      <c r="W10" s="16">
        <f t="shared" si="5"/>
        <v>1.0417540878431102</v>
      </c>
      <c r="X10" s="16">
        <f t="shared" si="5"/>
        <v>0.99065092320042802</v>
      </c>
      <c r="Y10" s="16">
        <f t="shared" si="5"/>
        <v>0.38092756644085446</v>
      </c>
      <c r="Z10" s="16">
        <f t="shared" si="5"/>
        <v>0.26382537721542698</v>
      </c>
      <c r="AA10" s="16">
        <f t="shared" si="5"/>
        <v>0.31761267729826409</v>
      </c>
      <c r="AB10" s="16">
        <f t="shared" si="5"/>
        <v>0.31761267729826409</v>
      </c>
      <c r="AC10" s="16">
        <f t="shared" si="5"/>
        <v>0.31761267729826409</v>
      </c>
      <c r="AD10" s="16"/>
    </row>
    <row r="11" spans="1:35">
      <c r="A11" s="9" t="s">
        <v>204</v>
      </c>
      <c r="B11" s="9" t="s">
        <v>11</v>
      </c>
      <c r="C11" s="158"/>
      <c r="D11">
        <f>1.01*1.014*1.005*649</f>
        <v>667.99019429999998</v>
      </c>
      <c r="E11">
        <f>1.01*1.014*1.005*3569</f>
        <v>3673.4314383000001</v>
      </c>
      <c r="F11">
        <f>1.01*1.014*1.005*5078</f>
        <v>5226.5858346000005</v>
      </c>
      <c r="G11">
        <f>1.01*1.014*1.005*3253</f>
        <v>3348.1850571</v>
      </c>
      <c r="H11">
        <f>1.01*1.014*1.005*3023</f>
        <v>3111.4550961</v>
      </c>
      <c r="I11">
        <f>1.01*1.014*1.005*3398</f>
        <v>3497.4278586</v>
      </c>
      <c r="J11">
        <f>1.01*1.014*1.005*5470</f>
        <v>5630.0560290000003</v>
      </c>
      <c r="K11">
        <f>1.01*1.014*1.005*8226</f>
        <v>8466.6985182000008</v>
      </c>
      <c r="L11">
        <f>1.01*1.014*1.005*6961</f>
        <v>7164.6837327000003</v>
      </c>
      <c r="M11">
        <f>1.01*1.014*1.005*6312</f>
        <v>6496.6935383999999</v>
      </c>
      <c r="N11">
        <f>1.01*1.014*1.005*3223</f>
        <v>3317.3072361</v>
      </c>
      <c r="O11" s="158"/>
      <c r="P11" s="158"/>
      <c r="Q11" s="158"/>
      <c r="S11" t="str">
        <f t="shared" si="2"/>
        <v>Total reliability, safety and environment</v>
      </c>
      <c r="T11" s="16">
        <f>IFERROR((E24-E23)/E23,(E24-E23)/(E23+1))</f>
        <v>3.1840114871520775E-2</v>
      </c>
      <c r="U11" s="16">
        <f t="shared" ref="U11:AC11" si="6">IFERROR((F24-F23)/F23,(F24-F23)/(F23+1))</f>
        <v>-0.12247389122473905</v>
      </c>
      <c r="V11" s="16">
        <f t="shared" si="6"/>
        <v>-0.14469169689246164</v>
      </c>
      <c r="W11" s="16">
        <f t="shared" si="6"/>
        <v>-1.7854244440838598E-3</v>
      </c>
      <c r="X11" s="16">
        <f t="shared" si="6"/>
        <v>-1.2914334911753476E-3</v>
      </c>
      <c r="Y11" s="16">
        <f t="shared" si="6"/>
        <v>-1.7520270545573768E-3</v>
      </c>
      <c r="Z11" s="16">
        <f t="shared" si="6"/>
        <v>-1.2914334911753476E-3</v>
      </c>
      <c r="AA11" s="16">
        <f t="shared" si="6"/>
        <v>2.9574386010028904E-3</v>
      </c>
      <c r="AB11" s="16">
        <f t="shared" si="6"/>
        <v>-3.188454438664418E-3</v>
      </c>
      <c r="AC11" s="16">
        <f t="shared" si="6"/>
        <v>2.9574386010028904E-3</v>
      </c>
      <c r="AD11" s="16"/>
    </row>
    <row r="12" spans="1:35">
      <c r="A12" s="9" t="s">
        <v>205</v>
      </c>
      <c r="B12" s="9" t="s">
        <v>11</v>
      </c>
      <c r="C12" s="158"/>
      <c r="D12" s="158"/>
      <c r="E12">
        <f>1.014*1.005*1653</f>
        <v>1684.52271</v>
      </c>
      <c r="F12">
        <f>1.014*1.005*4279</f>
        <v>4360.6005299999997</v>
      </c>
      <c r="G12">
        <f>1.014*1.005*3246</f>
        <v>3307.9012199999997</v>
      </c>
      <c r="H12">
        <f>1.014*1.005*3043</f>
        <v>3101.0300099999999</v>
      </c>
      <c r="I12">
        <f>1.014*1.005*3420</f>
        <v>3485.2194</v>
      </c>
      <c r="J12">
        <f>1.014*1.005*5507</f>
        <v>5612.0184899999995</v>
      </c>
      <c r="K12">
        <f>1.014*1.005*8310</f>
        <v>8468.4717000000001</v>
      </c>
      <c r="L12">
        <f>1.014*1.005*7007</f>
        <v>7140.623489999999</v>
      </c>
      <c r="M12">
        <f>1.014*1.005*6354</f>
        <v>6475.1707799999995</v>
      </c>
      <c r="N12">
        <f>1.014*1.005*3245</f>
        <v>3306.8821499999999</v>
      </c>
      <c r="O12">
        <f>1.014*1.005*1175</f>
        <v>1197.40725</v>
      </c>
      <c r="P12" s="158"/>
      <c r="Q12" s="158"/>
      <c r="S12" t="str">
        <f t="shared" si="2"/>
        <v>Non network assets</v>
      </c>
      <c r="T12" s="16">
        <f>IFERROR((E28-E27)/E27,(E28-E27)/(E27+1))</f>
        <v>-0.28139908421834919</v>
      </c>
      <c r="U12" s="16">
        <f t="shared" ref="U12:AC12" si="7">IFERROR((F28-F27)/F27,(F28-F27)/(F27+1))</f>
        <v>-0.22068588223936161</v>
      </c>
      <c r="V12" s="16">
        <f t="shared" si="7"/>
        <v>0.15211521152115201</v>
      </c>
      <c r="W12" s="16">
        <f t="shared" si="7"/>
        <v>-0.44597121309089083</v>
      </c>
      <c r="X12" s="16">
        <f t="shared" si="7"/>
        <v>-0.26411560074926421</v>
      </c>
      <c r="Y12" s="16">
        <f t="shared" si="7"/>
        <v>-0.1964965727341966</v>
      </c>
      <c r="Z12" s="16">
        <f t="shared" si="7"/>
        <v>0.13650084520647171</v>
      </c>
      <c r="AA12" s="16">
        <f t="shared" si="7"/>
        <v>-0.35262757044935267</v>
      </c>
      <c r="AB12" s="16">
        <f t="shared" si="7"/>
        <v>-0.27753969426793434</v>
      </c>
      <c r="AC12" s="16">
        <f t="shared" si="7"/>
        <v>-0.18559020081112598</v>
      </c>
      <c r="AD12" s="16"/>
    </row>
    <row r="13" spans="1:35">
      <c r="A13" s="9" t="s">
        <v>206</v>
      </c>
      <c r="B13" s="9" t="s">
        <v>11</v>
      </c>
      <c r="C13" s="158"/>
      <c r="D13" s="158"/>
      <c r="E13" s="158"/>
      <c r="F13" s="10">
        <f>1.005*1879</f>
        <v>1888.3949999999998</v>
      </c>
      <c r="G13" s="10">
        <f>1.005*6121</f>
        <v>6151.6049999999996</v>
      </c>
      <c r="H13" s="10">
        <f>1.005*4827</f>
        <v>4851.1349999999993</v>
      </c>
      <c r="I13" s="10">
        <f>1.005*2992</f>
        <v>3006.9599999999996</v>
      </c>
      <c r="J13" s="10">
        <f>1.005*2242</f>
        <v>2253.2099999999996</v>
      </c>
      <c r="K13" s="10">
        <f>1.005*7404</f>
        <v>7441.0199999999995</v>
      </c>
      <c r="L13" s="10">
        <f>1.005*5712</f>
        <v>5740.5599999999995</v>
      </c>
      <c r="M13" s="10">
        <f>1.005*6073</f>
        <v>6103.3649999999998</v>
      </c>
      <c r="N13" s="10">
        <f>1.005*2654</f>
        <v>2667.2699999999995</v>
      </c>
      <c r="O13" s="10">
        <f>1.005*1516</f>
        <v>1523.58</v>
      </c>
      <c r="P13" s="10">
        <f>1.005*1516</f>
        <v>1523.58</v>
      </c>
      <c r="Q13" s="158"/>
      <c r="S13" t="str">
        <f t="shared" si="2"/>
        <v>Value of capital contributions</v>
      </c>
      <c r="T13" s="16">
        <f>IFERROR((E32-E31)/E31,(E32-E31)/(E31+1))</f>
        <v>-0.18609945864615346</v>
      </c>
      <c r="U13" s="16">
        <f t="shared" ref="U13:AC13" si="8">IFERROR((F32-F31)/F31,(F32-F31)/(F31+1))</f>
        <v>0.19631654285119615</v>
      </c>
      <c r="V13" s="16">
        <f t="shared" si="8"/>
        <v>0.45433731565038404</v>
      </c>
      <c r="W13" s="16">
        <f t="shared" si="8"/>
        <v>0.65850231892310429</v>
      </c>
      <c r="X13" s="16">
        <f t="shared" si="8"/>
        <v>0.66633893206189321</v>
      </c>
      <c r="Y13" s="16">
        <f t="shared" si="8"/>
        <v>0.33905814189623212</v>
      </c>
      <c r="Z13" s="16">
        <f t="shared" si="8"/>
        <v>0.29105510714603733</v>
      </c>
      <c r="AA13" s="16">
        <f t="shared" si="8"/>
        <v>0.3371164881584649</v>
      </c>
      <c r="AB13" s="16">
        <f t="shared" si="8"/>
        <v>0.34471036389353199</v>
      </c>
      <c r="AC13" s="16">
        <f t="shared" si="8"/>
        <v>0.35626510582160964</v>
      </c>
      <c r="AD13" s="16"/>
    </row>
    <row r="14" spans="1:35">
      <c r="A14" s="9" t="s">
        <v>207</v>
      </c>
      <c r="B14" s="9" t="s">
        <v>11</v>
      </c>
      <c r="C14" s="158"/>
      <c r="D14" s="158"/>
      <c r="E14" s="158"/>
      <c r="F14" s="158"/>
      <c r="G14">
        <f>'Data Input Sheet'!E21</f>
        <v>294</v>
      </c>
      <c r="H14">
        <f>'Data Input Sheet'!F21</f>
        <v>994</v>
      </c>
      <c r="I14">
        <f>'Data Input Sheet'!G21</f>
        <v>1295</v>
      </c>
      <c r="J14">
        <f>'Data Input Sheet'!H21</f>
        <v>1646</v>
      </c>
      <c r="K14">
        <f>'Data Input Sheet'!I21</f>
        <v>799</v>
      </c>
      <c r="L14">
        <f>'Data Input Sheet'!J21</f>
        <v>1623</v>
      </c>
      <c r="M14">
        <f>'Data Input Sheet'!K21</f>
        <v>449</v>
      </c>
      <c r="N14">
        <f>'Data Input Sheet'!L21</f>
        <v>517</v>
      </c>
      <c r="O14">
        <f>'Data Input Sheet'!M21</f>
        <v>1093</v>
      </c>
      <c r="P14">
        <f>'Data Input Sheet'!N21</f>
        <v>1093</v>
      </c>
      <c r="Q14">
        <f>'Data Input Sheet'!O21</f>
        <v>449</v>
      </c>
      <c r="S14" t="str">
        <f t="shared" si="2"/>
        <v>Total capital expenditure (excl cost of funding and capital contributions)</v>
      </c>
      <c r="T14" s="16">
        <f>IFERROR((E36-E35)/E35,(E36-E35)/(E35+1))</f>
        <v>-1.042317801724043E-2</v>
      </c>
      <c r="U14" s="16">
        <f t="shared" ref="U14:AC14" si="9">IFERROR((F36-F35)/F35,(F36-F35)/(F35+1))</f>
        <v>0.22950757206262473</v>
      </c>
      <c r="V14" s="16">
        <f t="shared" si="9"/>
        <v>0.31943521602952007</v>
      </c>
      <c r="W14" s="16">
        <f t="shared" si="9"/>
        <v>0.36259779824136251</v>
      </c>
      <c r="X14" s="16">
        <f t="shared" si="9"/>
        <v>0.40038603838613979</v>
      </c>
      <c r="Y14" s="16">
        <f t="shared" si="9"/>
        <v>0.29329844202845246</v>
      </c>
      <c r="Z14" s="16">
        <f t="shared" si="9"/>
        <v>0.27345888473226959</v>
      </c>
      <c r="AA14" s="16">
        <f t="shared" si="9"/>
        <v>0.28247871309062667</v>
      </c>
      <c r="AB14" s="16">
        <f t="shared" si="9"/>
        <v>0.3018901890189018</v>
      </c>
      <c r="AC14" s="16">
        <f t="shared" si="9"/>
        <v>0.3754817946888574</v>
      </c>
      <c r="AD14" s="16"/>
    </row>
    <row r="15" spans="1:35">
      <c r="A15" s="9" t="s">
        <v>204</v>
      </c>
      <c r="B15" s="9" t="s">
        <v>12</v>
      </c>
      <c r="C15" s="158"/>
      <c r="D15">
        <f>1.01*1.014*1.005*9933</f>
        <v>10223.6465331</v>
      </c>
      <c r="E15">
        <f>1.01*1.014*1.005*12438</f>
        <v>12801.944586600001</v>
      </c>
      <c r="F15">
        <f>1.01*1.014*1.005*4075</f>
        <v>4194.2373525000003</v>
      </c>
      <c r="G15">
        <f>1.01*1.014*1.005*1527</f>
        <v>1571.6810889000001</v>
      </c>
      <c r="H15">
        <f>1.01*1.014*1.005*1488</f>
        <v>1531.5399216000001</v>
      </c>
      <c r="I15">
        <f>1.01*1.014*1.005*1140</f>
        <v>1173.3571979999999</v>
      </c>
      <c r="J15">
        <f>1.01*1.014*1.005*1046</f>
        <v>1076.6066922</v>
      </c>
      <c r="K15">
        <f>1.01*1.014*1.005*1046</f>
        <v>1076.6066922</v>
      </c>
      <c r="L15">
        <f>1.01*1.014*1.005*1021</f>
        <v>1050.8751747000001</v>
      </c>
      <c r="M15">
        <f>1.01*1.014*1.005*1021</f>
        <v>1050.8751747000001</v>
      </c>
      <c r="N15">
        <f>1.01*1.014*1.005*1021</f>
        <v>1050.8751747000001</v>
      </c>
      <c r="O15" s="158"/>
      <c r="P15" s="158"/>
      <c r="Q15" s="158"/>
    </row>
    <row r="16" spans="1:35">
      <c r="A16" s="9" t="s">
        <v>205</v>
      </c>
      <c r="B16" s="9" t="s">
        <v>12</v>
      </c>
      <c r="C16" s="158"/>
      <c r="D16" s="158"/>
      <c r="E16">
        <f>1.014*1.005*11452</f>
        <v>11670.389639999999</v>
      </c>
      <c r="F16">
        <f>1.014*1.005*4936</f>
        <v>5030.1295199999995</v>
      </c>
      <c r="G16">
        <f>1.014*1.005*2382</f>
        <v>2427.4247399999999</v>
      </c>
      <c r="H16">
        <f>1.014*1.005*2876</f>
        <v>2930.8453199999999</v>
      </c>
      <c r="I16">
        <f>1.014*1.005*2236</f>
        <v>2278.6405199999999</v>
      </c>
      <c r="J16">
        <f>1.014*1.005*3206</f>
        <v>3267.1384199999998</v>
      </c>
      <c r="K16">
        <f>1.014*1.005*3206</f>
        <v>3267.1384199999998</v>
      </c>
      <c r="L16">
        <f>1.014*1.005*3182</f>
        <v>3242.6807399999998</v>
      </c>
      <c r="M16">
        <f>1.014*1.005*3182</f>
        <v>3242.6807399999998</v>
      </c>
      <c r="N16">
        <f>1.014*1.005*3182</f>
        <v>3242.6807399999998</v>
      </c>
      <c r="O16">
        <f>1.014*1.005*3182</f>
        <v>3242.6807399999998</v>
      </c>
      <c r="P16" s="158"/>
      <c r="Q16" s="158"/>
    </row>
    <row r="17" spans="1:36">
      <c r="A17" s="9" t="s">
        <v>206</v>
      </c>
      <c r="B17" s="9" t="s">
        <v>12</v>
      </c>
      <c r="C17" s="158"/>
      <c r="D17" s="158"/>
      <c r="E17" s="158"/>
      <c r="F17">
        <f>1.005*5911</f>
        <v>5940.5549999999994</v>
      </c>
      <c r="G17" s="10">
        <f>1.005*3865</f>
        <v>3884.3249999999994</v>
      </c>
      <c r="H17" s="10">
        <f>1.005*3424</f>
        <v>3441.1199999999994</v>
      </c>
      <c r="I17" s="10">
        <f>1.005*2373</f>
        <v>2384.8649999999998</v>
      </c>
      <c r="J17" s="10">
        <f>1.005*2203</f>
        <v>2214.0149999999999</v>
      </c>
      <c r="K17" s="10">
        <f>1.005*3154</f>
        <v>3169.7699999999995</v>
      </c>
      <c r="L17" s="10">
        <f>1.005*3203</f>
        <v>3219.0149999999999</v>
      </c>
      <c r="M17" s="10">
        <f>1.005*3193</f>
        <v>3208.9649999999997</v>
      </c>
      <c r="N17" s="10">
        <f>1.005*3193</f>
        <v>3208.9649999999997</v>
      </c>
      <c r="O17" s="10">
        <f>1.005*3193</f>
        <v>3208.9649999999997</v>
      </c>
      <c r="P17" s="10">
        <f>1.005*3193</f>
        <v>3208.9649999999997</v>
      </c>
      <c r="Q17" s="158"/>
      <c r="S17" t="str">
        <f>S64</f>
        <v>2014 to 2015 AMP Forecasts</v>
      </c>
      <c r="T17" s="157">
        <f>T64</f>
        <v>2014</v>
      </c>
      <c r="U17" s="157">
        <f>U64</f>
        <v>2015</v>
      </c>
      <c r="V17" s="157">
        <f t="shared" ref="V17:AE17" si="10">V64</f>
        <v>2016</v>
      </c>
      <c r="W17" s="157">
        <f t="shared" si="10"/>
        <v>2017</v>
      </c>
      <c r="X17" s="157">
        <f t="shared" si="10"/>
        <v>2018</v>
      </c>
      <c r="Y17" s="157">
        <f t="shared" si="10"/>
        <v>2019</v>
      </c>
      <c r="Z17" s="157">
        <f t="shared" si="10"/>
        <v>2020</v>
      </c>
      <c r="AA17" s="157">
        <f t="shared" si="10"/>
        <v>2021</v>
      </c>
      <c r="AB17" s="157">
        <f t="shared" si="10"/>
        <v>2022</v>
      </c>
      <c r="AC17" s="157">
        <f t="shared" si="10"/>
        <v>2023</v>
      </c>
      <c r="AD17" s="157">
        <f t="shared" si="10"/>
        <v>2024</v>
      </c>
      <c r="AE17" s="157">
        <f t="shared" si="10"/>
        <v>2025</v>
      </c>
      <c r="AF17" s="157">
        <f>AF64</f>
        <v>2026</v>
      </c>
      <c r="AG17" s="157"/>
      <c r="AH17" s="157"/>
      <c r="AI17" s="157"/>
    </row>
    <row r="18" spans="1:36">
      <c r="A18" s="9" t="s">
        <v>207</v>
      </c>
      <c r="B18" s="9" t="s">
        <v>12</v>
      </c>
      <c r="C18" s="158"/>
      <c r="D18" s="158"/>
      <c r="E18" s="158"/>
      <c r="F18" s="158"/>
      <c r="G18">
        <f>'Data Input Sheet'!E22</f>
        <v>1397</v>
      </c>
      <c r="H18">
        <f>'Data Input Sheet'!F22</f>
        <v>1644</v>
      </c>
      <c r="I18">
        <f>'Data Input Sheet'!G22</f>
        <v>1272</v>
      </c>
      <c r="J18">
        <f>'Data Input Sheet'!H22</f>
        <v>1199</v>
      </c>
      <c r="K18">
        <f>'Data Input Sheet'!I22</f>
        <v>1688</v>
      </c>
      <c r="L18">
        <f>'Data Input Sheet'!J22</f>
        <v>1688</v>
      </c>
      <c r="M18">
        <f>'Data Input Sheet'!K22</f>
        <v>1688</v>
      </c>
      <c r="N18">
        <f>'Data Input Sheet'!L22</f>
        <v>1688</v>
      </c>
      <c r="O18">
        <f>'Data Input Sheet'!M22</f>
        <v>1688</v>
      </c>
      <c r="P18">
        <f>'Data Input Sheet'!N22</f>
        <v>1688</v>
      </c>
      <c r="Q18">
        <f>'Data Input Sheet'!O22</f>
        <v>1688</v>
      </c>
      <c r="S18" t="s">
        <v>10</v>
      </c>
      <c r="U18" s="16">
        <f>IFERROR((F9-F8)/F8,(F9-F8)/(F8+1))</f>
        <v>4.7234385312088921E-2</v>
      </c>
      <c r="V18" s="16">
        <f t="shared" ref="V18:AD18" si="11">IFERROR((G9-G8)/G8,(G9-G8)/(G8+1))</f>
        <v>0.14336121293987539</v>
      </c>
      <c r="W18" s="16">
        <f t="shared" si="11"/>
        <v>0.17771939849066951</v>
      </c>
      <c r="X18" s="16">
        <f t="shared" si="11"/>
        <v>0.11659901869692063</v>
      </c>
      <c r="Y18" s="16">
        <f t="shared" si="11"/>
        <v>0.12829755852951591</v>
      </c>
      <c r="Z18" s="16">
        <f t="shared" si="11"/>
        <v>0.13574612873461636</v>
      </c>
      <c r="AA18" s="16">
        <f t="shared" si="11"/>
        <v>0.12208328414398788</v>
      </c>
      <c r="AB18" s="16">
        <f t="shared" si="11"/>
        <v>0.11777007716219232</v>
      </c>
      <c r="AC18" s="16">
        <f t="shared" si="11"/>
        <v>0.12423826783375405</v>
      </c>
      <c r="AD18" s="16">
        <f t="shared" si="11"/>
        <v>0.12595807813419158</v>
      </c>
      <c r="AE18" s="16"/>
      <c r="AF18" s="16"/>
      <c r="AG18" s="16"/>
    </row>
    <row r="19" spans="1:36">
      <c r="A19" s="9" t="s">
        <v>204</v>
      </c>
      <c r="B19" s="9" t="s">
        <v>13</v>
      </c>
      <c r="C19" s="158"/>
      <c r="D19" s="9">
        <f>1.01*1.014*1.005*1215</f>
        <v>1250.5517505</v>
      </c>
      <c r="E19">
        <f>1.01*1.014*1.005*3876</f>
        <v>3989.4144732</v>
      </c>
      <c r="F19">
        <f>1.01*1.014*1.005*3873</f>
        <v>3986.3266911000001</v>
      </c>
      <c r="G19">
        <f>1.01*1.014*1.005*2899</f>
        <v>2983.8267693000003</v>
      </c>
      <c r="H19">
        <f>1.01*1.014*1.005*2284</f>
        <v>2350.8314387999999</v>
      </c>
      <c r="I19">
        <f>1.01*1.014*1.005*2368</f>
        <v>2437.2893376000002</v>
      </c>
      <c r="J19">
        <f>1.01*1.014*1.005*3382</f>
        <v>3480.9596873999999</v>
      </c>
      <c r="K19">
        <f>1.01*1.014*1.005*3382</f>
        <v>3480.9596873999999</v>
      </c>
      <c r="L19">
        <f>1.01*1.014*1.005*3144</f>
        <v>3235.9956408000003</v>
      </c>
      <c r="M19">
        <f>1.01*1.014*1.005*3144</f>
        <v>3235.9956408000003</v>
      </c>
      <c r="N19">
        <f>1.01*1.014*1.005*3144</f>
        <v>3235.9956408000003</v>
      </c>
      <c r="O19" s="158"/>
      <c r="P19" s="158"/>
      <c r="Q19" s="158"/>
      <c r="S19" s="9" t="s">
        <v>11</v>
      </c>
      <c r="T19" s="9"/>
      <c r="U19" s="16">
        <f>IFERROR((F13-F12)/F12,(F13-F12)/(F12+1))</f>
        <v>-0.56694152857886304</v>
      </c>
      <c r="V19" s="16">
        <f t="shared" ref="V19:AD19" si="12">IFERROR((G13-G12)/G12,(G13-G12)/(G12+1))</f>
        <v>0.85967010224084017</v>
      </c>
      <c r="W19" s="16">
        <f t="shared" si="12"/>
        <v>0.5643624809680573</v>
      </c>
      <c r="X19" s="16">
        <f t="shared" si="12"/>
        <v>-0.13722504815622236</v>
      </c>
      <c r="Y19" s="16">
        <f t="shared" si="12"/>
        <v>-0.59850274834001838</v>
      </c>
      <c r="Z19" s="16">
        <f t="shared" si="12"/>
        <v>-0.12132669700012111</v>
      </c>
      <c r="AA19" s="16">
        <f t="shared" si="12"/>
        <v>-0.19607020198736172</v>
      </c>
      <c r="AB19" s="16">
        <f t="shared" si="12"/>
        <v>-5.7420227609811351E-2</v>
      </c>
      <c r="AC19" s="16">
        <f t="shared" si="12"/>
        <v>-0.1934184893767685</v>
      </c>
      <c r="AD19" s="16">
        <f t="shared" si="12"/>
        <v>0.27239917747282721</v>
      </c>
    </row>
    <row r="20" spans="1:36">
      <c r="A20" s="9" t="s">
        <v>205</v>
      </c>
      <c r="B20" s="9" t="s">
        <v>13</v>
      </c>
      <c r="C20" s="158"/>
      <c r="D20" s="158"/>
      <c r="E20" s="9">
        <f>1.014*1.005*2173</f>
        <v>2214.4391099999998</v>
      </c>
      <c r="F20">
        <f>1.014*1.005*4198</f>
        <v>4278.0558599999995</v>
      </c>
      <c r="G20">
        <f>1.014*1.005*4619</f>
        <v>4707.0843299999997</v>
      </c>
      <c r="H20">
        <f>1.014*1.005*4710</f>
        <v>4799.8197</v>
      </c>
      <c r="I20">
        <f>1.014*1.005*4761</f>
        <v>4851.7922699999999</v>
      </c>
      <c r="J20">
        <f>1.014*1.005*4717</f>
        <v>4806.9531899999993</v>
      </c>
      <c r="K20">
        <f>1.014*1.005*4317</f>
        <v>4399.3251899999996</v>
      </c>
      <c r="L20">
        <f>1.014*1.005*4184</f>
        <v>4263.7888800000001</v>
      </c>
      <c r="M20">
        <f>1.014*1.005*4184</f>
        <v>4263.7888800000001</v>
      </c>
      <c r="N20">
        <f>1.014*1.005*4184</f>
        <v>4263.7888800000001</v>
      </c>
      <c r="O20">
        <f>1.014*1.005*4184</f>
        <v>4263.7888800000001</v>
      </c>
      <c r="P20" s="158"/>
      <c r="Q20" s="158"/>
      <c r="S20" s="9" t="s">
        <v>12</v>
      </c>
      <c r="T20" s="9"/>
      <c r="U20" s="16">
        <f>IFERROR((F17-F16)/F16,(F17-F16)/(F16+1))</f>
        <v>0.18099444087475505</v>
      </c>
      <c r="V20" s="16">
        <f t="shared" ref="V20:AD20" si="13">IFERROR((G17-G16)/G16,(G17-G16)/(G16+1))</f>
        <v>0.60018349322747677</v>
      </c>
      <c r="W20" s="16">
        <f t="shared" si="13"/>
        <v>0.17410495071776752</v>
      </c>
      <c r="X20" s="16">
        <f t="shared" si="13"/>
        <v>4.6617480496660292E-2</v>
      </c>
      <c r="Y20" s="16">
        <f t="shared" si="13"/>
        <v>-0.32233817017155947</v>
      </c>
      <c r="Z20" s="16">
        <f t="shared" si="13"/>
        <v>-2.9802355297820608E-2</v>
      </c>
      <c r="AA20" s="16">
        <f t="shared" si="13"/>
        <v>-7.2982022892577195E-3</v>
      </c>
      <c r="AB20" s="16">
        <f t="shared" si="13"/>
        <v>-1.039748982503905E-2</v>
      </c>
      <c r="AC20" s="16">
        <f t="shared" si="13"/>
        <v>-1.039748982503905E-2</v>
      </c>
      <c r="AD20" s="16">
        <f t="shared" si="13"/>
        <v>-1.039748982503905E-2</v>
      </c>
    </row>
    <row r="21" spans="1:36">
      <c r="A21" s="9" t="s">
        <v>206</v>
      </c>
      <c r="B21" s="9" t="s">
        <v>13</v>
      </c>
      <c r="C21" s="158"/>
      <c r="D21" s="158"/>
      <c r="E21" s="158"/>
      <c r="F21">
        <f>1.005*1935</f>
        <v>1944.6749999999997</v>
      </c>
      <c r="G21">
        <f>1.005*3799</f>
        <v>3817.9949999999994</v>
      </c>
      <c r="H21">
        <f>1.005*4139</f>
        <v>4159.6949999999997</v>
      </c>
      <c r="I21">
        <f>1.005*3987</f>
        <v>4006.9349999999995</v>
      </c>
      <c r="J21">
        <f>1.005*4033</f>
        <v>4053.1649999999995</v>
      </c>
      <c r="K21">
        <f>1.005*3996</f>
        <v>4015.9799999999996</v>
      </c>
      <c r="L21">
        <f>1.005*3865</f>
        <v>3884.3249999999994</v>
      </c>
      <c r="M21">
        <f>1.005*3865</f>
        <v>3884.3249999999994</v>
      </c>
      <c r="N21">
        <f>1.005*3943</f>
        <v>3962.7149999999997</v>
      </c>
      <c r="O21">
        <f>1.005*3943</f>
        <v>3962.7149999999997</v>
      </c>
      <c r="P21">
        <f>1.005*3943</f>
        <v>3962.7149999999997</v>
      </c>
      <c r="Q21" s="158"/>
      <c r="S21" s="9" t="s">
        <v>13</v>
      </c>
      <c r="T21" s="9"/>
      <c r="U21" s="16">
        <f>IFERROR((F21-F20)/F20,(F21-F20)/(F20+1))</f>
        <v>-0.54543019922138181</v>
      </c>
      <c r="V21" s="16">
        <f t="shared" ref="V21:AD21" si="14">IFERROR((G21-G20)/G20,(G21-G20)/(G20+1))</f>
        <v>-0.18888323804472829</v>
      </c>
      <c r="W21" s="16">
        <f t="shared" si="14"/>
        <v>-0.13336432199734508</v>
      </c>
      <c r="X21" s="16">
        <f t="shared" si="14"/>
        <v>-0.17413302610336209</v>
      </c>
      <c r="Y21" s="16">
        <f t="shared" si="14"/>
        <v>-0.15681205125278116</v>
      </c>
      <c r="Z21" s="16">
        <f t="shared" si="14"/>
        <v>-8.7137270704919181E-2</v>
      </c>
      <c r="AA21" s="16">
        <f t="shared" si="14"/>
        <v>-8.8996873597550333E-2</v>
      </c>
      <c r="AB21" s="16">
        <f t="shared" si="14"/>
        <v>-8.8996873597550333E-2</v>
      </c>
      <c r="AC21" s="16">
        <f t="shared" si="14"/>
        <v>-7.0611816971575841E-2</v>
      </c>
      <c r="AD21" s="16">
        <f t="shared" si="14"/>
        <v>-7.0611816971575841E-2</v>
      </c>
    </row>
    <row r="22" spans="1:36">
      <c r="A22" s="9" t="s">
        <v>207</v>
      </c>
      <c r="B22" s="9" t="s">
        <v>13</v>
      </c>
      <c r="C22" s="158"/>
      <c r="D22" s="158"/>
      <c r="E22" s="158"/>
      <c r="F22" s="158"/>
      <c r="G22" s="302">
        <f>'Data Input Sheet'!E23+1981</f>
        <v>2306</v>
      </c>
      <c r="H22" s="302">
        <f>'Data Input Sheet'!F23+2138</f>
        <v>2264</v>
      </c>
      <c r="I22" s="302">
        <f>'Data Input Sheet'!G23+2778</f>
        <v>2942</v>
      </c>
      <c r="J22" s="302">
        <f>'Data Input Sheet'!H23+2153</f>
        <v>2279</v>
      </c>
      <c r="K22" s="302">
        <f>'Data Input Sheet'!I23+2727</f>
        <v>2887</v>
      </c>
      <c r="L22" s="302">
        <f>'Data Input Sheet'!J23+1928</f>
        <v>2042</v>
      </c>
      <c r="M22" s="9">
        <f>'Data Input Sheet'!K23</f>
        <v>1449</v>
      </c>
      <c r="N22" s="9">
        <f>'Data Input Sheet'!L23</f>
        <v>1714</v>
      </c>
      <c r="O22" s="9">
        <f>'Data Input Sheet'!M23</f>
        <v>1714</v>
      </c>
      <c r="P22" s="9">
        <f>'Data Input Sheet'!N23</f>
        <v>1714</v>
      </c>
      <c r="Q22" s="9">
        <f>'Data Input Sheet'!O23</f>
        <v>1714</v>
      </c>
      <c r="S22" s="9" t="s">
        <v>14</v>
      </c>
      <c r="T22" s="9"/>
      <c r="U22" s="16">
        <f>IFERROR((F25-F24)/F24,(F25-F24)/(F24+1))</f>
        <v>0.12642479780751098</v>
      </c>
      <c r="V22" s="16">
        <f t="shared" ref="V22:AD22" si="15">IFERROR((G25-G24)/G24,(G25-G24)/(G24+1))</f>
        <v>2.3174525129561494</v>
      </c>
      <c r="W22" s="16">
        <f t="shared" si="15"/>
        <v>5.229855197960263</v>
      </c>
      <c r="X22" s="16">
        <f t="shared" si="15"/>
        <v>2.1711215398218053</v>
      </c>
      <c r="Y22" s="16">
        <f t="shared" si="15"/>
        <v>-0.17079257738598405</v>
      </c>
      <c r="Z22" s="16">
        <f t="shared" si="15"/>
        <v>-0.34537169285179892</v>
      </c>
      <c r="AA22" s="16">
        <f t="shared" si="15"/>
        <v>-2.6450209882162644E-2</v>
      </c>
      <c r="AB22" s="16">
        <f t="shared" si="15"/>
        <v>-0.4388327721661055</v>
      </c>
      <c r="AC22" s="16">
        <f t="shared" si="15"/>
        <v>-2.6450209882162644E-2</v>
      </c>
      <c r="AD22" s="16">
        <f t="shared" si="15"/>
        <v>-2.6450209882162644E-2</v>
      </c>
    </row>
    <row r="23" spans="1:36">
      <c r="A23" s="9" t="s">
        <v>204</v>
      </c>
      <c r="B23" s="9" t="s">
        <v>14</v>
      </c>
      <c r="C23" s="158"/>
      <c r="D23" s="9">
        <f>1.01*1.014*1.005*445</f>
        <v>458.02101149999999</v>
      </c>
      <c r="E23">
        <f>1.01*1.014*1.005*593</f>
        <v>610.35159510000005</v>
      </c>
      <c r="F23">
        <f>1.01*1.014*1.005*730</f>
        <v>751.36031100000002</v>
      </c>
      <c r="G23" s="9">
        <f>1.01*1.014*1.005*404</f>
        <v>415.82132280000002</v>
      </c>
      <c r="H23" s="9">
        <f>1.01*1.014*1.005*122</f>
        <v>125.56980540000001</v>
      </c>
      <c r="I23" s="9">
        <f>1.01*1.014*1.005*115</f>
        <v>118.3649805</v>
      </c>
      <c r="J23" s="9">
        <f>1.01*1.014*1.005*243</f>
        <v>250.11035010000001</v>
      </c>
      <c r="K23" s="9">
        <f>1.01*1.014*1.005*115</f>
        <v>118.3649805</v>
      </c>
      <c r="L23" s="9">
        <f>1.01*1.014*1.005*77</f>
        <v>79.253073900000004</v>
      </c>
      <c r="M23" s="9">
        <f>1.01*1.014*1.005*295</f>
        <v>303.63190650000001</v>
      </c>
      <c r="N23" s="9">
        <f>1.01*1.014*1.005*77</f>
        <v>79.253073900000004</v>
      </c>
      <c r="O23" s="158"/>
      <c r="P23" s="158"/>
      <c r="Q23" s="158"/>
      <c r="S23" s="9" t="s">
        <v>208</v>
      </c>
      <c r="T23" s="9"/>
      <c r="U23" s="16">
        <f>IFERROR((F29-F28)/F28,(F29-F28)/(F28+1))</f>
        <v>-0.27308119906986983</v>
      </c>
      <c r="V23" s="16">
        <f t="shared" ref="V23:AD23" si="16">IFERROR((G29-G28)/G28,(G29-G28)/(G28+1))</f>
        <v>-0.37070528726856272</v>
      </c>
      <c r="W23" s="16">
        <f t="shared" si="16"/>
        <v>0.76018191524768741</v>
      </c>
      <c r="X23" s="16">
        <f t="shared" si="16"/>
        <v>0.99770064023457683</v>
      </c>
      <c r="Y23" s="16">
        <f t="shared" si="16"/>
        <v>0.39843143853351659</v>
      </c>
      <c r="Z23" s="16">
        <f t="shared" si="16"/>
        <v>3.5961348557119292E-2</v>
      </c>
      <c r="AA23" s="16">
        <f t="shared" si="16"/>
        <v>1.1893491124260354</v>
      </c>
      <c r="AB23" s="16">
        <f t="shared" si="16"/>
        <v>0.88833602295140746</v>
      </c>
      <c r="AC23" s="16">
        <f t="shared" si="16"/>
        <v>0.66420118343195267</v>
      </c>
      <c r="AD23" s="16">
        <f t="shared" si="16"/>
        <v>1.0260641309816254</v>
      </c>
    </row>
    <row r="24" spans="1:36">
      <c r="A24" s="9" t="s">
        <v>205</v>
      </c>
      <c r="B24" s="9" t="s">
        <v>14</v>
      </c>
      <c r="C24" s="158"/>
      <c r="D24" s="158"/>
      <c r="E24" s="9">
        <f>1.014*1.005*618</f>
        <v>629.78525999999999</v>
      </c>
      <c r="F24">
        <f>1.014*1.005*647</f>
        <v>659.33828999999992</v>
      </c>
      <c r="G24">
        <f>1.014*1.005*349</f>
        <v>355.65542999999997</v>
      </c>
      <c r="H24">
        <f>1.014*1.005*123</f>
        <v>125.34560999999999</v>
      </c>
      <c r="I24">
        <f>1.014*1.005*116</f>
        <v>118.21211999999998</v>
      </c>
      <c r="J24">
        <f>1.014*1.005*245</f>
        <v>249.67214999999999</v>
      </c>
      <c r="K24">
        <f>1.014*1.005*116</f>
        <v>118.21211999999998</v>
      </c>
      <c r="L24">
        <f>1.014*1.005*78</f>
        <v>79.487459999999999</v>
      </c>
      <c r="M24">
        <f>1.014*1.005*297</f>
        <v>302.66378999999995</v>
      </c>
      <c r="N24">
        <f>1.014*1.005*78</f>
        <v>79.487459999999999</v>
      </c>
      <c r="O24">
        <f>1.014*1.005*78</f>
        <v>79.487459999999999</v>
      </c>
      <c r="P24" s="158"/>
      <c r="Q24" s="158"/>
      <c r="S24" s="9" t="s">
        <v>16</v>
      </c>
      <c r="T24" s="9"/>
      <c r="U24" s="16">
        <f>IFERROR((F33-F32)/F32,(F33-F32)/(F32+1))</f>
        <v>-0.12392841423689863</v>
      </c>
      <c r="V24" s="16">
        <f t="shared" ref="V24:AD24" si="17">IFERROR((G33-G32)/G32,(G33-G32)/(G32+1))</f>
        <v>0.10676289772691615</v>
      </c>
      <c r="W24" s="16">
        <f t="shared" si="17"/>
        <v>0.15628117948274919</v>
      </c>
      <c r="X24" s="16">
        <f t="shared" si="17"/>
        <v>0.10665245943760532</v>
      </c>
      <c r="Y24" s="16">
        <f t="shared" si="17"/>
        <v>0.11973076404188474</v>
      </c>
      <c r="Z24" s="16">
        <f t="shared" si="17"/>
        <v>0.16738447438943055</v>
      </c>
      <c r="AA24" s="16">
        <f t="shared" si="17"/>
        <v>0.15803459616990889</v>
      </c>
      <c r="AB24" s="16">
        <f t="shared" si="17"/>
        <v>0.15637904832126118</v>
      </c>
      <c r="AC24" s="16">
        <f t="shared" si="17"/>
        <v>0.17163013090614887</v>
      </c>
      <c r="AD24" s="16">
        <f t="shared" si="17"/>
        <v>0.17134544076948399</v>
      </c>
    </row>
    <row r="25" spans="1:36">
      <c r="A25" s="9" t="s">
        <v>206</v>
      </c>
      <c r="B25" s="9" t="s">
        <v>14</v>
      </c>
      <c r="C25" s="158"/>
      <c r="D25" s="158"/>
      <c r="E25" s="158"/>
      <c r="F25">
        <f>1.005*739</f>
        <v>742.69499999999994</v>
      </c>
      <c r="G25" s="10">
        <f>1.005*1174</f>
        <v>1179.8699999999999</v>
      </c>
      <c r="H25" s="10">
        <f>1.005*777</f>
        <v>780.88499999999988</v>
      </c>
      <c r="I25" s="10">
        <f>1.005*373</f>
        <v>374.86499999999995</v>
      </c>
      <c r="J25" s="10">
        <f>1.005*206</f>
        <v>207.02999999999997</v>
      </c>
      <c r="K25" s="10">
        <f>1.005*77</f>
        <v>77.384999999999991</v>
      </c>
      <c r="L25" s="10">
        <f>1.005*77</f>
        <v>77.384999999999991</v>
      </c>
      <c r="M25" s="10">
        <f>1.005*169</f>
        <v>169.84499999999997</v>
      </c>
      <c r="N25" s="10">
        <f>1.005*77</f>
        <v>77.384999999999991</v>
      </c>
      <c r="O25" s="10">
        <f>1.005*77</f>
        <v>77.384999999999991</v>
      </c>
      <c r="P25" s="10">
        <f>1.005*77</f>
        <v>77.384999999999991</v>
      </c>
      <c r="Q25" s="158"/>
      <c r="S25" s="9" t="s">
        <v>17</v>
      </c>
      <c r="T25" s="9"/>
      <c r="U25" s="16">
        <f>IFERROR((F37-F36)/F36,(F37-F36)/(F36+1))</f>
        <v>-0.10369403612083068</v>
      </c>
      <c r="V25" s="16">
        <f t="shared" ref="V25:AD25" si="18">IFERROR((G37-G36)/G36,(G37-G36)/(G36+1))</f>
        <v>0.20437600488669744</v>
      </c>
      <c r="W25" s="16">
        <f t="shared" si="18"/>
        <v>0.21042274942549136</v>
      </c>
      <c r="X25" s="16">
        <f t="shared" si="18"/>
        <v>6.4783655269204612E-2</v>
      </c>
      <c r="Y25" s="16">
        <f t="shared" si="18"/>
        <v>-0.10562143849811713</v>
      </c>
      <c r="Z25" s="16">
        <f t="shared" si="18"/>
        <v>1.2261895394989456E-2</v>
      </c>
      <c r="AA25" s="16">
        <f t="shared" si="18"/>
        <v>3.2171794298328608E-2</v>
      </c>
      <c r="AB25" s="16">
        <f t="shared" si="18"/>
        <v>5.3012253233491992E-2</v>
      </c>
      <c r="AC25" s="16">
        <f t="shared" si="18"/>
        <v>5.6828263527375071E-2</v>
      </c>
      <c r="AD25" s="16">
        <f t="shared" si="18"/>
        <v>0.11549128827196135</v>
      </c>
    </row>
    <row r="26" spans="1:36">
      <c r="A26" s="9" t="s">
        <v>207</v>
      </c>
      <c r="B26" s="9" t="s">
        <v>14</v>
      </c>
      <c r="C26" s="158"/>
      <c r="D26" s="158"/>
      <c r="E26" s="158"/>
      <c r="F26" s="158"/>
      <c r="G26" s="9">
        <f>'Data Input Sheet'!E24</f>
        <v>304</v>
      </c>
      <c r="H26" s="9">
        <f>'Data Input Sheet'!F24</f>
        <v>492</v>
      </c>
      <c r="I26" s="9">
        <f>'Data Input Sheet'!G24</f>
        <v>583</v>
      </c>
      <c r="J26" s="9">
        <f>'Data Input Sheet'!H24</f>
        <v>605</v>
      </c>
      <c r="K26" s="9">
        <f>'Data Input Sheet'!I24</f>
        <v>518</v>
      </c>
      <c r="L26" s="9">
        <f>'Data Input Sheet'!J24</f>
        <v>197</v>
      </c>
      <c r="M26" s="9">
        <f>'Data Input Sheet'!K24</f>
        <v>137</v>
      </c>
      <c r="N26" s="9">
        <f>'Data Input Sheet'!L24</f>
        <v>0</v>
      </c>
      <c r="O26" s="9">
        <f>'Data Input Sheet'!M24</f>
        <v>0</v>
      </c>
      <c r="P26" s="9">
        <f>'Data Input Sheet'!N24</f>
        <v>0</v>
      </c>
      <c r="Q26" s="9">
        <f>'Data Input Sheet'!O24</f>
        <v>0</v>
      </c>
    </row>
    <row r="27" spans="1:36">
      <c r="A27" s="9" t="s">
        <v>204</v>
      </c>
      <c r="B27" s="9" t="s">
        <v>208</v>
      </c>
      <c r="C27" s="158"/>
      <c r="D27">
        <f>1.01*1.014*1.005*1693</f>
        <v>1742.5383651</v>
      </c>
      <c r="E27">
        <f>1.01*1.014*1.005*1652</f>
        <v>1700.3386763999999</v>
      </c>
      <c r="F27">
        <f>1.01*1.014*1.005*1846</f>
        <v>1900.0152522000001</v>
      </c>
      <c r="G27" s="9">
        <f>1.01*1.014*1.005*1705</f>
        <v>1754.8894935000001</v>
      </c>
      <c r="H27" s="9">
        <f>1.01*1.014*1.005*1578</f>
        <v>1624.1733846</v>
      </c>
      <c r="I27" s="9">
        <f>1.01*1.014*1.005*1258</f>
        <v>1294.8099606000001</v>
      </c>
      <c r="J27" s="9">
        <f>1.01*1.014*1.005*1300</f>
        <v>1338.03891</v>
      </c>
      <c r="K27" s="9">
        <f>1.01*1.014*1.005*1312</f>
        <v>1350.3900384000001</v>
      </c>
      <c r="L27" s="9">
        <f>1.01*1.014*1.005*1300</f>
        <v>1338.03891</v>
      </c>
      <c r="M27" s="9">
        <f>1.01*1.014*1.005*1206</f>
        <v>1241.2884042000001</v>
      </c>
      <c r="N27" s="9">
        <f>1.01*1.014*1.005*1206</f>
        <v>1241.2884042000001</v>
      </c>
      <c r="O27" s="158"/>
      <c r="P27" s="158"/>
      <c r="Q27" s="158"/>
    </row>
    <row r="28" spans="1:36">
      <c r="A28" s="9" t="s">
        <v>205</v>
      </c>
      <c r="B28" s="9" t="s">
        <v>208</v>
      </c>
      <c r="C28" s="158"/>
      <c r="D28" s="158"/>
      <c r="E28">
        <f>1.014*1.005*1199</f>
        <v>1221.86493</v>
      </c>
      <c r="F28">
        <f>1.014*1.005*1453</f>
        <v>1480.7087099999999</v>
      </c>
      <c r="G28">
        <f>1.014*1.005*1984</f>
        <v>2021.8348799999999</v>
      </c>
      <c r="H28">
        <f>1.014*1.005*883</f>
        <v>899.83880999999997</v>
      </c>
      <c r="I28">
        <f>1.014*1.005*935</f>
        <v>952.83044999999993</v>
      </c>
      <c r="J28">
        <f>1.014*1.005*1055</f>
        <v>1075.1188499999998</v>
      </c>
      <c r="K28">
        <f>1.014*1.005*1506</f>
        <v>1534.7194199999999</v>
      </c>
      <c r="L28">
        <f>1.014*1.005*850</f>
        <v>866.20949999999993</v>
      </c>
      <c r="M28">
        <f>1.014*1.005*880</f>
        <v>896.78159999999991</v>
      </c>
      <c r="N28">
        <f>1.014*1.005*992</f>
        <v>1010.9174399999999</v>
      </c>
      <c r="O28">
        <f>1.014*1.005*937</f>
        <v>954.86858999999993</v>
      </c>
      <c r="P28" s="158"/>
      <c r="Q28" s="158"/>
    </row>
    <row r="29" spans="1:36">
      <c r="A29" s="9" t="s">
        <v>206</v>
      </c>
      <c r="B29" s="9" t="s">
        <v>208</v>
      </c>
      <c r="C29" s="158"/>
      <c r="D29" s="158"/>
      <c r="E29" s="158"/>
      <c r="F29">
        <f>1.005*1071</f>
        <v>1076.3549999999998</v>
      </c>
      <c r="G29" s="10">
        <f>1.005*1266</f>
        <v>1272.33</v>
      </c>
      <c r="H29" s="10">
        <f>1.005*1576</f>
        <v>1583.8799999999999</v>
      </c>
      <c r="I29" s="10">
        <f>1.005*1894</f>
        <v>1903.4699999999998</v>
      </c>
      <c r="J29" s="10">
        <f>1.005*1496</f>
        <v>1503.4799999999998</v>
      </c>
      <c r="K29" s="10">
        <f>1.005*1582</f>
        <v>1589.9099999999999</v>
      </c>
      <c r="L29" s="10">
        <f>1.005*1887</f>
        <v>1896.4349999999997</v>
      </c>
      <c r="M29" s="10">
        <f>1.005*1685</f>
        <v>1693.4249999999997</v>
      </c>
      <c r="N29" s="10">
        <f>1.005*1674</f>
        <v>1682.37</v>
      </c>
      <c r="O29" s="10">
        <f>1.005*1925</f>
        <v>1934.6249999999998</v>
      </c>
      <c r="P29" s="10">
        <f>1.005*1810</f>
        <v>1819.0499999999997</v>
      </c>
      <c r="Q29" s="158"/>
      <c r="S29" t="str">
        <f>S73</f>
        <v>2015 to 2016 AMP Forecasts</v>
      </c>
      <c r="T29" s="157">
        <f>T64</f>
        <v>2014</v>
      </c>
      <c r="U29" s="157">
        <f>U64</f>
        <v>2015</v>
      </c>
      <c r="V29" s="157">
        <f t="shared" ref="V29:AF29" si="19">V64</f>
        <v>2016</v>
      </c>
      <c r="W29" s="157">
        <f t="shared" si="19"/>
        <v>2017</v>
      </c>
      <c r="X29" s="157">
        <f t="shared" si="19"/>
        <v>2018</v>
      </c>
      <c r="Y29" s="157">
        <f t="shared" si="19"/>
        <v>2019</v>
      </c>
      <c r="Z29" s="157">
        <f t="shared" si="19"/>
        <v>2020</v>
      </c>
      <c r="AA29" s="157">
        <f t="shared" si="19"/>
        <v>2021</v>
      </c>
      <c r="AB29" s="157">
        <f t="shared" si="19"/>
        <v>2022</v>
      </c>
      <c r="AC29" s="157">
        <f t="shared" si="19"/>
        <v>2023</v>
      </c>
      <c r="AD29" s="157">
        <f t="shared" si="19"/>
        <v>2024</v>
      </c>
      <c r="AE29" s="157">
        <f t="shared" si="19"/>
        <v>2025</v>
      </c>
      <c r="AF29" s="157">
        <f t="shared" si="19"/>
        <v>2026</v>
      </c>
      <c r="AG29" s="157"/>
      <c r="AH29" s="157"/>
      <c r="AI29" s="157"/>
    </row>
    <row r="30" spans="1:36">
      <c r="A30" s="9" t="s">
        <v>207</v>
      </c>
      <c r="B30" s="9" t="s">
        <v>208</v>
      </c>
      <c r="C30" s="158"/>
      <c r="D30" s="158"/>
      <c r="E30" s="158"/>
      <c r="F30" s="158"/>
      <c r="G30">
        <f>'Data Input Sheet'!E26</f>
        <v>623</v>
      </c>
      <c r="H30">
        <f>'Data Input Sheet'!F26</f>
        <v>1234</v>
      </c>
      <c r="I30">
        <f>'Data Input Sheet'!G26</f>
        <v>1686</v>
      </c>
      <c r="J30">
        <f>'Data Input Sheet'!H26</f>
        <v>1341</v>
      </c>
      <c r="K30">
        <f>'Data Input Sheet'!I26</f>
        <v>1418</v>
      </c>
      <c r="L30">
        <f>'Data Input Sheet'!J26</f>
        <v>1694</v>
      </c>
      <c r="M30">
        <f>'Data Input Sheet'!K26</f>
        <v>1512</v>
      </c>
      <c r="N30">
        <f>'Data Input Sheet'!L26</f>
        <v>1497</v>
      </c>
      <c r="O30">
        <f>'Data Input Sheet'!M26</f>
        <v>1724</v>
      </c>
      <c r="P30">
        <f>'Data Input Sheet'!N26</f>
        <v>1537</v>
      </c>
      <c r="Q30">
        <f>'Data Input Sheet'!O26</f>
        <v>1438</v>
      </c>
      <c r="S30" t="s">
        <v>10</v>
      </c>
      <c r="U30" s="16"/>
      <c r="V30" s="16">
        <f>IFERROR((G10-G9)/G9,(G10-G9)/(G9+1))</f>
        <v>1.8683671426151092E-2</v>
      </c>
      <c r="W30" s="16">
        <f t="shared" ref="W30:AE30" si="20">IFERROR((H10-H9)/H9,(H10-H9)/(H9+1))</f>
        <v>9.4801535604486144E-3</v>
      </c>
      <c r="X30" s="16">
        <f t="shared" si="20"/>
        <v>-0.14472648920845876</v>
      </c>
      <c r="Y30" s="16">
        <f t="shared" si="20"/>
        <v>-7.5130478575034965E-2</v>
      </c>
      <c r="Z30" s="16">
        <f t="shared" si="20"/>
        <v>-7.8076141282481401E-2</v>
      </c>
      <c r="AA30" s="16">
        <f t="shared" si="20"/>
        <v>-8.0540278298177254E-2</v>
      </c>
      <c r="AB30" s="16">
        <f t="shared" si="20"/>
        <v>-7.5176841692311744E-2</v>
      </c>
      <c r="AC30" s="16">
        <f t="shared" si="20"/>
        <v>-9.3921355892443409E-2</v>
      </c>
      <c r="AD30" s="16">
        <f t="shared" si="20"/>
        <v>-0.12920392037411976</v>
      </c>
      <c r="AE30" s="16">
        <f t="shared" si="20"/>
        <v>-0.12493340594902884</v>
      </c>
      <c r="AJ30">
        <v>3</v>
      </c>
    </row>
    <row r="31" spans="1:36">
      <c r="A31" s="9" t="s">
        <v>204</v>
      </c>
      <c r="B31" s="9" t="s">
        <v>16</v>
      </c>
      <c r="C31" s="158"/>
      <c r="D31">
        <f>1.01*1.014*1.005*3253</f>
        <v>3348.1850571</v>
      </c>
      <c r="E31">
        <f>1.01*1.014*1.005*4501</f>
        <v>4632.7024106999997</v>
      </c>
      <c r="F31">
        <f>1.01*1.014*1.005*4662</f>
        <v>4798.4133834000004</v>
      </c>
      <c r="G31">
        <f>1.01*1.014*1.005*4065</f>
        <v>4183.9447455</v>
      </c>
      <c r="H31">
        <f>1.01*1.014*1.005*3721</f>
        <v>3829.8790647000001</v>
      </c>
      <c r="I31">
        <f>1.01*1.014*1.005*3877</f>
        <v>3990.4437339000001</v>
      </c>
      <c r="J31">
        <f>1.01*1.014*1.005*4778</f>
        <v>4917.8076246000001</v>
      </c>
      <c r="K31">
        <f>1.01*1.014*1.005*4892</f>
        <v>5035.1433444000004</v>
      </c>
      <c r="L31">
        <f>1.01*1.014*1.005*4819</f>
        <v>4960.0073133000005</v>
      </c>
      <c r="M31">
        <f>1.01*1.014*1.005*4928</f>
        <v>5072.1967296000003</v>
      </c>
      <c r="N31">
        <f>1.01*1.014*1.005*5051</f>
        <v>5198.7957956999999</v>
      </c>
      <c r="O31" s="158"/>
      <c r="P31" s="158"/>
      <c r="Q31" s="158"/>
      <c r="S31" s="9" t="s">
        <v>11</v>
      </c>
      <c r="T31" s="9"/>
      <c r="U31" s="16"/>
      <c r="V31" s="16">
        <f>IFERROR((G14-G13)/G13,(G14-G13)/(G13+1))</f>
        <v>-0.95220759460335958</v>
      </c>
      <c r="W31" s="16">
        <f t="shared" ref="W31:AE31" si="21">IFERROR((H14-H13)/H13,(H14-H13)/(H13+1))</f>
        <v>-0.79509949733412899</v>
      </c>
      <c r="X31" s="16">
        <f t="shared" si="21"/>
        <v>-0.56933248197515096</v>
      </c>
      <c r="Y31" s="16">
        <f t="shared" si="21"/>
        <v>-0.26948664349971807</v>
      </c>
      <c r="Z31" s="16">
        <f t="shared" si="21"/>
        <v>-0.89262224802513634</v>
      </c>
      <c r="AA31" s="16">
        <f t="shared" si="21"/>
        <v>-0.71727496968936821</v>
      </c>
      <c r="AB31" s="16">
        <f t="shared" si="21"/>
        <v>-0.92643402450943046</v>
      </c>
      <c r="AC31" s="16">
        <f t="shared" si="21"/>
        <v>-0.80616885429671536</v>
      </c>
      <c r="AD31" s="16">
        <f t="shared" si="21"/>
        <v>-0.28261069323566856</v>
      </c>
      <c r="AE31" s="16">
        <f t="shared" si="21"/>
        <v>-0.28261069323566856</v>
      </c>
    </row>
    <row r="32" spans="1:36">
      <c r="A32" s="9" t="s">
        <v>205</v>
      </c>
      <c r="B32" s="9" t="s">
        <v>16</v>
      </c>
      <c r="C32" s="158"/>
      <c r="D32" s="158"/>
      <c r="E32">
        <f>1.014*1.005*3700</f>
        <v>3770.5589999999997</v>
      </c>
      <c r="F32">
        <f>1.014*1.005*5633</f>
        <v>5740.4213099999997</v>
      </c>
      <c r="G32">
        <f>1.014*1.005*5971</f>
        <v>6084.8669699999991</v>
      </c>
      <c r="H32">
        <f>1.014*1.005*6233</f>
        <v>6351.8633099999997</v>
      </c>
      <c r="I32">
        <f>1.014*1.005*6525</f>
        <v>6649.4317499999997</v>
      </c>
      <c r="J32">
        <f>1.014*1.005*6462</f>
        <v>6585.2303399999992</v>
      </c>
      <c r="K32">
        <f>1.014*1.005*6379</f>
        <v>6500.6475299999993</v>
      </c>
      <c r="L32">
        <f>1.014*1.005*6508</f>
        <v>6632.1075599999995</v>
      </c>
      <c r="M32">
        <f>1.014*1.005*6693</f>
        <v>6820.6355099999992</v>
      </c>
      <c r="N32">
        <f>1.014*1.005*6919</f>
        <v>7050.9453299999996</v>
      </c>
      <c r="O32">
        <f>1.014*1.005*7164</f>
        <v>7300.617479999999</v>
      </c>
      <c r="P32" s="158"/>
      <c r="Q32" s="158"/>
      <c r="S32" s="9" t="s">
        <v>12</v>
      </c>
      <c r="T32" s="9"/>
      <c r="U32" s="16"/>
      <c r="V32" s="16">
        <f>IFERROR((G18-G17)/G17,(G18-G17)/(G17+1))</f>
        <v>-0.64034935284766326</v>
      </c>
      <c r="W32" s="16">
        <f t="shared" ref="W32:AE32" si="22">IFERROR((H18-H17)/H17,(H18-H17)/(H17+1))</f>
        <v>-0.52224857023294735</v>
      </c>
      <c r="X32" s="16">
        <f t="shared" si="22"/>
        <v>-0.46663647627853144</v>
      </c>
      <c r="Y32" s="16">
        <f t="shared" si="22"/>
        <v>-0.45844992016765918</v>
      </c>
      <c r="Z32" s="16">
        <f t="shared" si="22"/>
        <v>-0.46746924855746624</v>
      </c>
      <c r="AA32" s="16">
        <f t="shared" si="22"/>
        <v>-0.47561598812058964</v>
      </c>
      <c r="AB32" s="16">
        <f t="shared" si="22"/>
        <v>-0.47397369556850882</v>
      </c>
      <c r="AC32" s="16">
        <f t="shared" si="22"/>
        <v>-0.47397369556850882</v>
      </c>
      <c r="AD32" s="16">
        <f t="shared" si="22"/>
        <v>-0.47397369556850882</v>
      </c>
      <c r="AE32" s="16">
        <f t="shared" si="22"/>
        <v>-0.47397369556850882</v>
      </c>
    </row>
    <row r="33" spans="1:35">
      <c r="A33" s="9" t="s">
        <v>206</v>
      </c>
      <c r="B33" s="9" t="s">
        <v>16</v>
      </c>
      <c r="C33" s="158"/>
      <c r="D33" s="158"/>
      <c r="E33" s="158"/>
      <c r="F33">
        <f>1.005*5004</f>
        <v>5029.0199999999995</v>
      </c>
      <c r="G33">
        <f>1.005*6701</f>
        <v>6734.5049999999992</v>
      </c>
      <c r="H33">
        <f>1.005*7308</f>
        <v>7344.5399999999991</v>
      </c>
      <c r="I33">
        <f>1.005*7322</f>
        <v>7358.61</v>
      </c>
      <c r="J33">
        <f>1.005*7337</f>
        <v>7373.6849999999995</v>
      </c>
      <c r="K33">
        <f>1.005*7551</f>
        <v>7588.7549999999992</v>
      </c>
      <c r="L33">
        <f>1.005*7642</f>
        <v>7680.2099999999991</v>
      </c>
      <c r="M33">
        <f>1.005*7848</f>
        <v>7887.2399999999989</v>
      </c>
      <c r="N33">
        <f>1.005*8220</f>
        <v>8261.0999999999985</v>
      </c>
      <c r="O33">
        <f>1.005*8509</f>
        <v>8551.5449999999983</v>
      </c>
      <c r="P33">
        <f>1.005*8747</f>
        <v>8790.7349999999988</v>
      </c>
      <c r="Q33" s="158"/>
      <c r="S33" s="9" t="s">
        <v>13</v>
      </c>
      <c r="T33" s="9"/>
      <c r="U33" s="16"/>
      <c r="V33" s="16">
        <f>IFERROR((G22-G21)/G21,(G22-G21)/(G21+1))</f>
        <v>-0.39601806707447224</v>
      </c>
      <c r="W33" s="16">
        <f t="shared" ref="W33:AE33" si="23">IFERROR((H22-H21)/H21,(H22-H21)/(H21+1))</f>
        <v>-0.45572932630877983</v>
      </c>
      <c r="X33" s="16">
        <f t="shared" si="23"/>
        <v>-0.26577296611998935</v>
      </c>
      <c r="Y33" s="16">
        <f t="shared" si="23"/>
        <v>-0.43772335939938289</v>
      </c>
      <c r="Z33" s="16">
        <f t="shared" si="23"/>
        <v>-0.28112191793783825</v>
      </c>
      <c r="AA33" s="16">
        <f t="shared" si="23"/>
        <v>-0.47429733608799463</v>
      </c>
      <c r="AB33" s="16">
        <f t="shared" si="23"/>
        <v>-0.6269622135120001</v>
      </c>
      <c r="AC33" s="16">
        <f t="shared" si="23"/>
        <v>-0.5674682635516306</v>
      </c>
      <c r="AD33" s="16">
        <f t="shared" si="23"/>
        <v>-0.5674682635516306</v>
      </c>
      <c r="AE33" s="16">
        <f t="shared" si="23"/>
        <v>-0.5674682635516306</v>
      </c>
    </row>
    <row r="34" spans="1:35">
      <c r="A34" t="s">
        <v>207</v>
      </c>
      <c r="B34" s="9" t="s">
        <v>16</v>
      </c>
      <c r="C34" s="158"/>
      <c r="D34" s="158"/>
      <c r="E34" s="158"/>
      <c r="F34" s="158"/>
      <c r="G34">
        <f>'Data Input Sheet'!E27</f>
        <v>4809</v>
      </c>
      <c r="H34">
        <f>'Data Input Sheet'!F27</f>
        <v>3943</v>
      </c>
      <c r="I34">
        <f>'Data Input Sheet'!G27</f>
        <v>4570</v>
      </c>
      <c r="J34">
        <f>'Data Input Sheet'!H27</f>
        <v>3957</v>
      </c>
      <c r="K34">
        <f>'Data Input Sheet'!I27</f>
        <v>4565</v>
      </c>
      <c r="L34">
        <f>'Data Input Sheet'!J27</f>
        <v>3783</v>
      </c>
      <c r="M34">
        <f>'Data Input Sheet'!K27</f>
        <v>3616</v>
      </c>
      <c r="N34">
        <f>'Data Input Sheet'!L27</f>
        <v>3991</v>
      </c>
      <c r="O34">
        <f>'Data Input Sheet'!M27</f>
        <v>4035</v>
      </c>
      <c r="P34">
        <f>'Data Input Sheet'!N27</f>
        <v>4148</v>
      </c>
      <c r="Q34">
        <f>'Data Input Sheet'!O27</f>
        <v>4270</v>
      </c>
      <c r="S34" s="9" t="s">
        <v>14</v>
      </c>
      <c r="T34" s="9"/>
      <c r="U34" s="16"/>
      <c r="V34" s="16">
        <f>IFERROR((G26-G25)/G25,(G26-G25)/(G25+1))</f>
        <v>-0.74234449558002147</v>
      </c>
      <c r="W34" s="16">
        <f t="shared" ref="W34:AE34" si="24">IFERROR((H26-H25)/H25,(H26-H25)/(H25+1))</f>
        <v>-0.36994563860235491</v>
      </c>
      <c r="X34" s="16">
        <f t="shared" si="24"/>
        <v>0.55522654822402751</v>
      </c>
      <c r="Y34" s="16">
        <f t="shared" si="24"/>
        <v>1.9222817949089508</v>
      </c>
      <c r="Z34" s="16">
        <f t="shared" si="24"/>
        <v>5.6938037087290825</v>
      </c>
      <c r="AA34" s="16">
        <f t="shared" si="24"/>
        <v>1.5457129934741878</v>
      </c>
      <c r="AB34" s="16">
        <f t="shared" si="24"/>
        <v>-0.19338220141894066</v>
      </c>
      <c r="AC34" s="16">
        <f t="shared" si="24"/>
        <v>-1</v>
      </c>
      <c r="AD34" s="16">
        <f t="shared" si="24"/>
        <v>-1</v>
      </c>
      <c r="AE34" s="16">
        <f t="shared" si="24"/>
        <v>-1</v>
      </c>
    </row>
    <row r="35" spans="1:35">
      <c r="A35" s="9" t="s">
        <v>204</v>
      </c>
      <c r="B35" s="9" t="s">
        <v>17</v>
      </c>
      <c r="C35" s="158"/>
      <c r="D35" s="159">
        <f t="shared" ref="D35:P37" si="25">D27+D23+D19+D15+D11+D7</f>
        <v>24966.776799899999</v>
      </c>
      <c r="E35" s="159">
        <f t="shared" si="25"/>
        <v>33176.160143100002</v>
      </c>
      <c r="F35" s="159">
        <f t="shared" si="25"/>
        <v>26744.310028799999</v>
      </c>
      <c r="G35" s="159">
        <f t="shared" si="25"/>
        <v>20475.083105100002</v>
      </c>
      <c r="H35" s="159">
        <f t="shared" si="25"/>
        <v>19133.956413</v>
      </c>
      <c r="I35" s="159">
        <f t="shared" si="25"/>
        <v>18911.636101799999</v>
      </c>
      <c r="J35" s="159">
        <f t="shared" si="25"/>
        <v>22166.158435199999</v>
      </c>
      <c r="K35" s="159">
        <f t="shared" si="25"/>
        <v>24854.587383600003</v>
      </c>
      <c r="L35" s="159">
        <f t="shared" si="25"/>
        <v>23230.413999</v>
      </c>
      <c r="M35" s="159">
        <f t="shared" si="25"/>
        <v>22643.735400000001</v>
      </c>
      <c r="N35" s="159">
        <f t="shared" si="25"/>
        <v>19239.970265100001</v>
      </c>
      <c r="O35" s="158"/>
      <c r="P35" s="158"/>
      <c r="Q35" s="158"/>
      <c r="S35" s="9" t="s">
        <v>208</v>
      </c>
      <c r="T35" s="9"/>
      <c r="U35" s="16"/>
      <c r="V35" s="16">
        <f>IFERROR((G30-G29)/G29,(G30-G29)/(G29+1))</f>
        <v>-0.51034715836300326</v>
      </c>
      <c r="W35" s="16">
        <f t="shared" ref="W35:AE35" si="26">IFERROR((H30-H29)/H29,(H30-H29)/(H29+1))</f>
        <v>-0.22090057327575316</v>
      </c>
      <c r="X35" s="16">
        <f t="shared" si="26"/>
        <v>-0.11424923954672248</v>
      </c>
      <c r="Y35" s="16">
        <f t="shared" si="26"/>
        <v>-0.10806927927208863</v>
      </c>
      <c r="Z35" s="16">
        <f t="shared" si="26"/>
        <v>-0.10812561717329904</v>
      </c>
      <c r="AA35" s="16">
        <f t="shared" si="26"/>
        <v>-0.10674502421649028</v>
      </c>
      <c r="AB35" s="16">
        <f t="shared" si="26"/>
        <v>-0.10713494840338353</v>
      </c>
      <c r="AC35" s="16">
        <f t="shared" si="26"/>
        <v>-0.11018384778615875</v>
      </c>
      <c r="AD35" s="16">
        <f t="shared" si="26"/>
        <v>-0.10887122827421325</v>
      </c>
      <c r="AE35" s="16">
        <f t="shared" si="26"/>
        <v>-0.15505346197190828</v>
      </c>
    </row>
    <row r="36" spans="1:35">
      <c r="A36" s="9" t="s">
        <v>205</v>
      </c>
      <c r="B36" s="9" t="s">
        <v>17</v>
      </c>
      <c r="C36" s="158"/>
      <c r="D36" s="158"/>
      <c r="E36" s="159">
        <f t="shared" si="25"/>
        <v>32830.359119999994</v>
      </c>
      <c r="F36" s="159">
        <f t="shared" si="25"/>
        <v>32882.331689999992</v>
      </c>
      <c r="G36" s="159">
        <f t="shared" si="25"/>
        <v>27015.545699999999</v>
      </c>
      <c r="H36" s="159">
        <f t="shared" si="25"/>
        <v>26071.886879999998</v>
      </c>
      <c r="I36" s="159">
        <f t="shared" si="25"/>
        <v>26483.59116</v>
      </c>
      <c r="J36" s="159">
        <f t="shared" si="25"/>
        <v>28667.458169999998</v>
      </c>
      <c r="K36" s="159">
        <f t="shared" si="25"/>
        <v>31651.295129999999</v>
      </c>
      <c r="L36" s="159">
        <f t="shared" si="25"/>
        <v>29792.511449999998</v>
      </c>
      <c r="M36" s="159">
        <f t="shared" si="25"/>
        <v>29479.65696</v>
      </c>
      <c r="N36" s="159">
        <f t="shared" si="25"/>
        <v>26464.22883</v>
      </c>
      <c r="O36" s="159">
        <f t="shared" si="25"/>
        <v>24608.502359999999</v>
      </c>
      <c r="P36" s="158"/>
      <c r="Q36" s="158"/>
      <c r="S36" s="9" t="s">
        <v>16</v>
      </c>
      <c r="T36" s="9"/>
      <c r="U36" s="16"/>
      <c r="V36" s="16">
        <f>IFERROR((G34-G33)/G33,(G34-G33)/(G33+1))</f>
        <v>-0.28591633683544659</v>
      </c>
      <c r="W36" s="16">
        <f t="shared" ref="W36:AE36" si="27">IFERROR((H34-H33)/H33,(H34-H33)/(H33+1))</f>
        <v>-0.46313860364297826</v>
      </c>
      <c r="X36" s="16">
        <f t="shared" si="27"/>
        <v>-0.37895879792515158</v>
      </c>
      <c r="Y36" s="16">
        <f t="shared" si="27"/>
        <v>-0.46336194182420321</v>
      </c>
      <c r="Z36" s="16">
        <f t="shared" si="27"/>
        <v>-0.39845205175288956</v>
      </c>
      <c r="AA36" s="16">
        <f t="shared" si="27"/>
        <v>-0.50743534356482434</v>
      </c>
      <c r="AB36" s="16">
        <f t="shared" si="27"/>
        <v>-0.54153797779704937</v>
      </c>
      <c r="AC36" s="16">
        <f t="shared" si="27"/>
        <v>-0.51689242352713316</v>
      </c>
      <c r="AD36" s="16">
        <f t="shared" si="27"/>
        <v>-0.52815543857864267</v>
      </c>
      <c r="AE36" s="16">
        <f t="shared" si="27"/>
        <v>-0.52813956967193298</v>
      </c>
    </row>
    <row r="37" spans="1:35">
      <c r="A37" s="9" t="s">
        <v>206</v>
      </c>
      <c r="B37" s="9" t="s">
        <v>17</v>
      </c>
      <c r="C37" s="158"/>
      <c r="D37" s="158"/>
      <c r="E37" s="158"/>
      <c r="F37" s="271">
        <f>F29+F25+F21+F17+F13+F9</f>
        <v>29472.629999999997</v>
      </c>
      <c r="G37" s="159">
        <f t="shared" si="25"/>
        <v>32536.874999999996</v>
      </c>
      <c r="H37" s="159">
        <f t="shared" si="25"/>
        <v>31558.004999999994</v>
      </c>
      <c r="I37" s="159">
        <f t="shared" si="25"/>
        <v>28199.294999999995</v>
      </c>
      <c r="J37" s="159">
        <f t="shared" si="25"/>
        <v>25639.559999999998</v>
      </c>
      <c r="K37" s="159">
        <f t="shared" si="25"/>
        <v>32039.399999999998</v>
      </c>
      <c r="L37" s="159">
        <f t="shared" si="25"/>
        <v>30750.989999999998</v>
      </c>
      <c r="M37" s="159">
        <f t="shared" si="25"/>
        <v>31042.439999999995</v>
      </c>
      <c r="N37" s="159">
        <f t="shared" si="25"/>
        <v>27968.144999999997</v>
      </c>
      <c r="O37" s="159">
        <f t="shared" si="25"/>
        <v>27450.57</v>
      </c>
      <c r="P37" s="159">
        <f t="shared" si="25"/>
        <v>27447.554999999997</v>
      </c>
      <c r="Q37" s="158"/>
      <c r="S37" s="9" t="s">
        <v>17</v>
      </c>
      <c r="T37" s="9"/>
      <c r="U37" s="16"/>
      <c r="V37" s="16">
        <f>IFERROR((G38-G37)/G37,(G38-G37)/(G37+1))</f>
        <v>-0.34050212259167478</v>
      </c>
      <c r="W37" s="16">
        <f t="shared" ref="W37:AE37" si="28">IFERROR((H38-H37)/H37,(H38-H37)/(H37+1))</f>
        <v>-0.2544522380296218</v>
      </c>
      <c r="X37" s="16">
        <f t="shared" si="28"/>
        <v>-0.2230656830250542</v>
      </c>
      <c r="Y37" s="16">
        <f t="shared" si="28"/>
        <v>-0.1684334676570112</v>
      </c>
      <c r="Z37" s="16">
        <f t="shared" si="28"/>
        <v>-0.31877625673389637</v>
      </c>
      <c r="AA37" s="16">
        <f t="shared" si="28"/>
        <v>-0.28802292218884656</v>
      </c>
      <c r="AB37" s="16">
        <f t="shared" si="28"/>
        <v>-0.35520532535457899</v>
      </c>
      <c r="AC37" s="16">
        <f t="shared" si="28"/>
        <v>-0.27603350168557828</v>
      </c>
      <c r="AD37" s="16">
        <f t="shared" si="28"/>
        <v>-0.24231081540383315</v>
      </c>
      <c r="AE37" s="16">
        <f t="shared" si="28"/>
        <v>-0.24284694939130269</v>
      </c>
    </row>
    <row r="38" spans="1:35">
      <c r="A38" t="s">
        <v>207</v>
      </c>
      <c r="B38" t="s">
        <v>17</v>
      </c>
      <c r="C38" s="158"/>
      <c r="D38" s="158"/>
      <c r="E38" s="158"/>
      <c r="F38" s="158"/>
      <c r="G38" s="159">
        <f t="shared" ref="G38:Q38" si="29">G30+G26+G22+G18+G14+G10</f>
        <v>21458</v>
      </c>
      <c r="H38" s="159">
        <f t="shared" si="29"/>
        <v>23528</v>
      </c>
      <c r="I38" s="159">
        <f t="shared" si="29"/>
        <v>21909</v>
      </c>
      <c r="J38" s="159">
        <f t="shared" si="29"/>
        <v>21321</v>
      </c>
      <c r="K38" s="159">
        <f t="shared" si="29"/>
        <v>21826</v>
      </c>
      <c r="L38" s="159">
        <f t="shared" si="29"/>
        <v>21894</v>
      </c>
      <c r="M38" s="159">
        <f t="shared" si="29"/>
        <v>20016</v>
      </c>
      <c r="N38" s="159">
        <f t="shared" si="29"/>
        <v>20248</v>
      </c>
      <c r="O38" s="159">
        <f t="shared" si="29"/>
        <v>20799</v>
      </c>
      <c r="P38" s="159">
        <f t="shared" si="29"/>
        <v>20782</v>
      </c>
      <c r="Q38" s="159">
        <f t="shared" si="29"/>
        <v>20220</v>
      </c>
    </row>
    <row r="39" spans="1:35">
      <c r="S39" t="s">
        <v>214</v>
      </c>
      <c r="U39" s="16">
        <f>Base!$Q$3/100</f>
        <v>0.1</v>
      </c>
      <c r="V39" s="16">
        <f>Base!$Q$3/100</f>
        <v>0.1</v>
      </c>
      <c r="W39" s="16">
        <f>Base!$Q$3/100</f>
        <v>0.1</v>
      </c>
      <c r="X39" s="16">
        <f>Base!$Q$3/100</f>
        <v>0.1</v>
      </c>
      <c r="Y39" s="16">
        <f>Base!$Q$3/100</f>
        <v>0.1</v>
      </c>
      <c r="Z39" s="16">
        <f>Base!$Q$3/100</f>
        <v>0.1</v>
      </c>
      <c r="AA39" s="16">
        <f>Base!$Q$3/100</f>
        <v>0.1</v>
      </c>
      <c r="AB39" s="16">
        <f>Base!$Q$3/100</f>
        <v>0.1</v>
      </c>
      <c r="AC39" s="16">
        <f>Base!$Q$3/100</f>
        <v>0.1</v>
      </c>
      <c r="AD39" s="16">
        <f>Base!$Q$3/100</f>
        <v>0.1</v>
      </c>
      <c r="AE39" s="16">
        <f>Base!$Q$3/100</f>
        <v>0.1</v>
      </c>
    </row>
    <row r="44" spans="1:35" ht="20">
      <c r="A44" s="163" t="s">
        <v>161</v>
      </c>
    </row>
    <row r="45" spans="1:35">
      <c r="C45" s="157">
        <v>2012</v>
      </c>
      <c r="D45" s="157">
        <v>2013</v>
      </c>
      <c r="E45" s="157">
        <v>2014</v>
      </c>
      <c r="F45" s="157">
        <v>2015</v>
      </c>
      <c r="G45" s="157">
        <v>2016</v>
      </c>
      <c r="H45" s="157">
        <v>2017</v>
      </c>
      <c r="I45" s="157">
        <v>2018</v>
      </c>
      <c r="J45" s="157">
        <v>2019</v>
      </c>
      <c r="K45" s="157">
        <v>2020</v>
      </c>
      <c r="L45" s="157">
        <v>2021</v>
      </c>
      <c r="M45" s="157">
        <v>2022</v>
      </c>
      <c r="N45" s="157">
        <v>2023</v>
      </c>
      <c r="O45" s="157">
        <v>2024</v>
      </c>
      <c r="P45" s="157">
        <v>2025</v>
      </c>
      <c r="Q45" s="157">
        <v>2026</v>
      </c>
    </row>
    <row r="46" spans="1:35">
      <c r="A46" t="s">
        <v>204</v>
      </c>
      <c r="B46" t="s">
        <v>215</v>
      </c>
      <c r="C46" s="158"/>
      <c r="D46">
        <f>1.01*1.014*1.005*4217</f>
        <v>4340.3923719000004</v>
      </c>
      <c r="E46">
        <f t="shared" ref="E46:O46" si="30">1.01*1.014*1.005*4014</f>
        <v>4131.4524498000001</v>
      </c>
      <c r="F46">
        <f t="shared" si="30"/>
        <v>4131.4524498000001</v>
      </c>
      <c r="G46">
        <f t="shared" si="30"/>
        <v>4131.4524498000001</v>
      </c>
      <c r="H46">
        <f t="shared" si="30"/>
        <v>4131.4524498000001</v>
      </c>
      <c r="I46">
        <f t="shared" si="30"/>
        <v>4131.4524498000001</v>
      </c>
      <c r="J46">
        <f t="shared" si="30"/>
        <v>4131.4524498000001</v>
      </c>
      <c r="K46">
        <f t="shared" si="30"/>
        <v>4131.4524498000001</v>
      </c>
      <c r="L46">
        <f t="shared" si="30"/>
        <v>4131.4524498000001</v>
      </c>
      <c r="M46">
        <f t="shared" si="30"/>
        <v>4131.4524498000001</v>
      </c>
      <c r="N46">
        <f t="shared" si="30"/>
        <v>4131.4524498000001</v>
      </c>
      <c r="O46">
        <f t="shared" si="30"/>
        <v>4131.4524498000001</v>
      </c>
      <c r="P46" s="158"/>
      <c r="Q46" s="158"/>
      <c r="S46" t="s">
        <v>162</v>
      </c>
      <c r="U46" s="157">
        <f>V46-1</f>
        <v>2012</v>
      </c>
      <c r="V46" s="157">
        <f>T29-1</f>
        <v>2013</v>
      </c>
      <c r="W46" s="157">
        <f>V46+1</f>
        <v>2014</v>
      </c>
      <c r="X46" s="157">
        <f t="shared" ref="X46:AF46" si="31">W46+1</f>
        <v>2015</v>
      </c>
      <c r="Y46" s="157">
        <f t="shared" si="31"/>
        <v>2016</v>
      </c>
      <c r="Z46" s="157">
        <f t="shared" si="31"/>
        <v>2017</v>
      </c>
      <c r="AA46" s="157">
        <f t="shared" si="31"/>
        <v>2018</v>
      </c>
      <c r="AB46" s="157">
        <f t="shared" si="31"/>
        <v>2019</v>
      </c>
      <c r="AC46" s="157">
        <f t="shared" si="31"/>
        <v>2020</v>
      </c>
      <c r="AD46" s="157">
        <f t="shared" si="31"/>
        <v>2021</v>
      </c>
      <c r="AE46" s="157">
        <f t="shared" si="31"/>
        <v>2022</v>
      </c>
      <c r="AF46" s="157">
        <f t="shared" si="31"/>
        <v>2023</v>
      </c>
      <c r="AG46" s="157"/>
      <c r="AH46" s="157"/>
      <c r="AI46" s="157"/>
    </row>
    <row r="47" spans="1:35">
      <c r="A47" s="9" t="s">
        <v>205</v>
      </c>
      <c r="B47" t="s">
        <v>215</v>
      </c>
      <c r="C47" s="158"/>
      <c r="D47" s="158"/>
      <c r="E47">
        <f>1.014*1.005*3789</f>
        <v>3861.2562299999995</v>
      </c>
      <c r="F47">
        <f>1.014*1.005*3802</f>
        <v>3874.5041399999996</v>
      </c>
      <c r="G47">
        <f t="shared" ref="G47:O47" si="32">1.014*1.005*3807</f>
        <v>3879.5994899999996</v>
      </c>
      <c r="H47">
        <f t="shared" si="32"/>
        <v>3879.5994899999996</v>
      </c>
      <c r="I47">
        <f t="shared" si="32"/>
        <v>3879.5994899999996</v>
      </c>
      <c r="J47">
        <f t="shared" si="32"/>
        <v>3879.5994899999996</v>
      </c>
      <c r="K47">
        <f t="shared" si="32"/>
        <v>3879.5994899999996</v>
      </c>
      <c r="L47">
        <f t="shared" si="32"/>
        <v>3879.5994899999996</v>
      </c>
      <c r="M47">
        <f t="shared" si="32"/>
        <v>3879.5994899999996</v>
      </c>
      <c r="N47">
        <f t="shared" si="32"/>
        <v>3879.5994899999996</v>
      </c>
      <c r="O47">
        <f t="shared" si="32"/>
        <v>3879.5994899999996</v>
      </c>
      <c r="P47" s="158"/>
      <c r="Q47" s="158"/>
      <c r="S47" t="s">
        <v>347</v>
      </c>
      <c r="V47">
        <f>D35</f>
        <v>24966.776799899999</v>
      </c>
      <c r="W47">
        <f>E35</f>
        <v>33176.160143100002</v>
      </c>
      <c r="X47">
        <f>F36</f>
        <v>32882.331689999992</v>
      </c>
      <c r="Y47">
        <f>G37</f>
        <v>32536.874999999996</v>
      </c>
    </row>
    <row r="48" spans="1:35">
      <c r="A48" t="s">
        <v>206</v>
      </c>
      <c r="B48" t="s">
        <v>215</v>
      </c>
      <c r="C48" s="158"/>
      <c r="D48" s="158"/>
      <c r="E48" s="158"/>
      <c r="F48">
        <f>1.005*3911</f>
        <v>3930.5549999999994</v>
      </c>
      <c r="G48">
        <f t="shared" ref="G48:P48" si="33">1.005*3912</f>
        <v>3931.5599999999995</v>
      </c>
      <c r="H48">
        <f t="shared" si="33"/>
        <v>3931.5599999999995</v>
      </c>
      <c r="I48">
        <f t="shared" si="33"/>
        <v>3931.5599999999995</v>
      </c>
      <c r="J48">
        <f t="shared" si="33"/>
        <v>3931.5599999999995</v>
      </c>
      <c r="K48">
        <f t="shared" si="33"/>
        <v>3931.5599999999995</v>
      </c>
      <c r="L48">
        <f t="shared" si="33"/>
        <v>3931.5599999999995</v>
      </c>
      <c r="M48">
        <f t="shared" si="33"/>
        <v>3931.5599999999995</v>
      </c>
      <c r="N48">
        <f t="shared" si="33"/>
        <v>3931.5599999999995</v>
      </c>
      <c r="O48">
        <f t="shared" si="33"/>
        <v>3931.5599999999995</v>
      </c>
      <c r="P48">
        <f t="shared" si="33"/>
        <v>3931.5599999999995</v>
      </c>
      <c r="Q48" s="158"/>
      <c r="S48" t="s">
        <v>348</v>
      </c>
      <c r="V48">
        <f>'Data Input Sheet'!B29</f>
        <v>13694</v>
      </c>
      <c r="W48">
        <f>'Data Input Sheet'!C29</f>
        <v>18806</v>
      </c>
      <c r="X48">
        <f>'Data Input Sheet'!D29</f>
        <v>13339</v>
      </c>
    </row>
    <row r="49" spans="1:35">
      <c r="A49" s="9" t="s">
        <v>207</v>
      </c>
      <c r="B49" t="s">
        <v>215</v>
      </c>
      <c r="C49" s="158"/>
      <c r="D49" s="158"/>
      <c r="E49" s="158"/>
      <c r="F49" s="158"/>
      <c r="G49">
        <f>'Data Input Sheet'!E7</f>
        <v>1959</v>
      </c>
      <c r="H49">
        <f>'Data Input Sheet'!F7</f>
        <v>1957</v>
      </c>
      <c r="I49">
        <f>'Data Input Sheet'!G7</f>
        <v>1957</v>
      </c>
      <c r="J49">
        <f>'Data Input Sheet'!H7</f>
        <v>1957</v>
      </c>
      <c r="K49">
        <f>'Data Input Sheet'!I7</f>
        <v>1957</v>
      </c>
      <c r="L49">
        <f>'Data Input Sheet'!J7</f>
        <v>1957</v>
      </c>
      <c r="M49">
        <f>'Data Input Sheet'!K7</f>
        <v>1957</v>
      </c>
      <c r="N49">
        <f>'Data Input Sheet'!L7</f>
        <v>1957</v>
      </c>
      <c r="O49">
        <f>'Data Input Sheet'!M7</f>
        <v>1957</v>
      </c>
      <c r="P49">
        <f>'Data Input Sheet'!N7</f>
        <v>1957</v>
      </c>
      <c r="Q49">
        <f>'Data Input Sheet'!O7</f>
        <v>1957</v>
      </c>
      <c r="S49" t="s">
        <v>19</v>
      </c>
      <c r="V49" s="14">
        <f>V47-V48</f>
        <v>11272.776799899999</v>
      </c>
      <c r="W49" s="14">
        <f t="shared" ref="W49:X49" si="34">W47-W48</f>
        <v>14370.160143100002</v>
      </c>
      <c r="X49" s="14">
        <f t="shared" si="34"/>
        <v>19543.331689999992</v>
      </c>
    </row>
    <row r="50" spans="1:35">
      <c r="A50" t="s">
        <v>204</v>
      </c>
      <c r="B50" t="s">
        <v>216</v>
      </c>
      <c r="C50" s="158"/>
      <c r="D50">
        <f>1.01*1.014*1.005*3727</f>
        <v>3836.0546288999999</v>
      </c>
      <c r="E50">
        <f>1.01*1.014*1.005*4550</f>
        <v>4683.1361850000003</v>
      </c>
      <c r="F50">
        <f>1.01*1.014*1.005*4562</f>
        <v>4695.4873133999999</v>
      </c>
      <c r="G50">
        <f>1.01*1.014*1.005*4605</f>
        <v>4739.7455234999998</v>
      </c>
      <c r="H50">
        <f>1.01*1.014*1.005*4544</f>
        <v>4676.9606208000005</v>
      </c>
      <c r="I50">
        <f>1.01*1.014*1.005*4619</f>
        <v>4754.1551733000006</v>
      </c>
      <c r="J50">
        <f>1.01*1.014*1.005*4622</f>
        <v>4757.2429554</v>
      </c>
      <c r="K50">
        <f>1.01*1.014*1.005*4650</f>
        <v>4786.0622549999998</v>
      </c>
      <c r="L50">
        <f>1.01*1.014*1.005*4678</f>
        <v>4814.8815546000005</v>
      </c>
      <c r="M50">
        <f>1.01*1.014*1.005*4707</f>
        <v>4844.7301149000004</v>
      </c>
      <c r="N50">
        <f>1.01*1.014*1.005*4735</f>
        <v>4873.5494145000002</v>
      </c>
      <c r="O50" s="158"/>
      <c r="P50" s="158"/>
      <c r="Q50" s="158"/>
      <c r="S50" t="s">
        <v>388</v>
      </c>
      <c r="V50" s="272">
        <f>V49/V47</f>
        <v>0.45151109773790066</v>
      </c>
      <c r="W50" s="19">
        <f t="shared" ref="W50:X50" si="35">W49/W47</f>
        <v>0.43314717800723895</v>
      </c>
      <c r="X50" s="19">
        <f t="shared" si="35"/>
        <v>0.59434141940558949</v>
      </c>
    </row>
    <row r="51" spans="1:35">
      <c r="A51" s="9" t="s">
        <v>205</v>
      </c>
      <c r="B51" t="s">
        <v>216</v>
      </c>
      <c r="C51" s="158"/>
      <c r="D51" s="158"/>
      <c r="E51">
        <f>1.014*1.005*4328</f>
        <v>4410.53496</v>
      </c>
      <c r="F51">
        <f>1.014*1.005*4435</f>
        <v>4519.5754499999994</v>
      </c>
      <c r="G51">
        <f>1.014*1.005*4430</f>
        <v>4514.4800999999998</v>
      </c>
      <c r="H51">
        <f>1.014*1.005*4475</f>
        <v>4560.3382499999998</v>
      </c>
      <c r="I51">
        <f>1.014*1.005*4524</f>
        <v>4610.27268</v>
      </c>
      <c r="J51">
        <f>1.014*1.005*4601</f>
        <v>4688.74107</v>
      </c>
      <c r="K51">
        <f>1.014*1.005*4603</f>
        <v>4690.7792099999997</v>
      </c>
      <c r="L51">
        <f>1.014*1.005*4630</f>
        <v>4718.2941000000001</v>
      </c>
      <c r="M51">
        <f>1.014*1.005*4658</f>
        <v>4746.8280599999998</v>
      </c>
      <c r="N51">
        <f>1.014*1.005*4685</f>
        <v>4774.3429499999993</v>
      </c>
      <c r="O51">
        <f>1.014*1.005*4712</f>
        <v>4801.8578399999997</v>
      </c>
      <c r="P51" s="158"/>
      <c r="Q51" s="158"/>
    </row>
    <row r="52" spans="1:35">
      <c r="A52" t="s">
        <v>206</v>
      </c>
      <c r="B52" t="s">
        <v>216</v>
      </c>
      <c r="C52" s="158"/>
      <c r="D52" s="158"/>
      <c r="E52" s="158"/>
      <c r="F52">
        <f>1.005*4177</f>
        <v>4197.8849999999993</v>
      </c>
      <c r="G52">
        <f>1.005*4322</f>
        <v>4343.6099999999997</v>
      </c>
      <c r="H52">
        <f>1.005*4324</f>
        <v>4345.62</v>
      </c>
      <c r="I52">
        <f>1.005*4326</f>
        <v>4347.6299999999992</v>
      </c>
      <c r="J52">
        <f>1.005*4329</f>
        <v>4350.6449999999995</v>
      </c>
      <c r="K52">
        <f>1.005*4331</f>
        <v>4352.6549999999997</v>
      </c>
      <c r="L52">
        <f>1.005*4333</f>
        <v>4354.665</v>
      </c>
      <c r="M52">
        <f>1.005*4336</f>
        <v>4357.6799999999994</v>
      </c>
      <c r="N52">
        <f>1.005*4338</f>
        <v>4359.6899999999996</v>
      </c>
      <c r="O52">
        <f>1.005*4340</f>
        <v>4361.7</v>
      </c>
      <c r="P52">
        <f>1.005*4343</f>
        <v>4364.7149999999992</v>
      </c>
      <c r="Q52" s="158"/>
      <c r="S52" s="3" t="str">
        <f>U52-2&amp;" to "&amp;U52-1&amp;" AMP Forecasts"</f>
        <v>2013 to 2014 AMP Forecasts</v>
      </c>
      <c r="T52" s="157">
        <f>T64</f>
        <v>2014</v>
      </c>
      <c r="U52" s="157">
        <f t="shared" ref="U52:AF52" si="36">U64</f>
        <v>2015</v>
      </c>
      <c r="V52" s="157">
        <f t="shared" si="36"/>
        <v>2016</v>
      </c>
      <c r="W52" s="157">
        <f t="shared" si="36"/>
        <v>2017</v>
      </c>
      <c r="X52" s="157">
        <f t="shared" si="36"/>
        <v>2018</v>
      </c>
      <c r="Y52" s="157">
        <f t="shared" si="36"/>
        <v>2019</v>
      </c>
      <c r="Z52" s="157">
        <f t="shared" si="36"/>
        <v>2020</v>
      </c>
      <c r="AA52" s="157">
        <f t="shared" si="36"/>
        <v>2021</v>
      </c>
      <c r="AB52" s="157">
        <f t="shared" si="36"/>
        <v>2022</v>
      </c>
      <c r="AC52" s="157">
        <f t="shared" si="36"/>
        <v>2023</v>
      </c>
      <c r="AD52" s="157">
        <f t="shared" si="36"/>
        <v>2024</v>
      </c>
      <c r="AE52" s="157">
        <f t="shared" si="36"/>
        <v>2025</v>
      </c>
      <c r="AF52" s="157">
        <f t="shared" si="36"/>
        <v>2026</v>
      </c>
      <c r="AG52" s="157"/>
      <c r="AH52" s="157"/>
      <c r="AI52" s="157"/>
    </row>
    <row r="53" spans="1:35">
      <c r="A53" s="9" t="s">
        <v>207</v>
      </c>
      <c r="B53" t="s">
        <v>216</v>
      </c>
      <c r="C53" s="158"/>
      <c r="D53" s="158"/>
      <c r="E53" s="158"/>
      <c r="F53" s="158"/>
      <c r="G53">
        <f>'Data Input Sheet'!E8</f>
        <v>2504</v>
      </c>
      <c r="H53">
        <f>'Data Input Sheet'!F8</f>
        <v>2453</v>
      </c>
      <c r="I53">
        <f>'Data Input Sheet'!G8</f>
        <v>2456</v>
      </c>
      <c r="J53">
        <f>'Data Input Sheet'!H8</f>
        <v>2458</v>
      </c>
      <c r="K53">
        <f>'Data Input Sheet'!I8</f>
        <v>2461</v>
      </c>
      <c r="L53">
        <f>'Data Input Sheet'!J8</f>
        <v>2464</v>
      </c>
      <c r="M53">
        <f>'Data Input Sheet'!K8</f>
        <v>2466</v>
      </c>
      <c r="N53">
        <f>'Data Input Sheet'!L8</f>
        <v>2469</v>
      </c>
      <c r="O53">
        <f>'Data Input Sheet'!M8</f>
        <v>2472</v>
      </c>
      <c r="P53">
        <f>'Data Input Sheet'!N8</f>
        <v>2475</v>
      </c>
      <c r="Q53">
        <f>'Data Input Sheet'!O8</f>
        <v>2478</v>
      </c>
      <c r="S53" t="str">
        <f>S65</f>
        <v>Service, Interruptions, Incidents and Emergencies</v>
      </c>
      <c r="T53" s="16">
        <f>IFERROR((E47-E46)/E46,(E47-E46)/(E46+1))</f>
        <v>-6.5399813523953423E-2</v>
      </c>
      <c r="U53" s="16">
        <f>IFERROR((F47-F46)/F46,(F47-F46)/(F46+1))</f>
        <v>-6.2193214837178906E-2</v>
      </c>
      <c r="V53" s="16">
        <f t="shared" ref="V53:AC53" si="37">IFERROR((G47-G46)/G46,(G47-G46)/(G46+1))</f>
        <v>-6.0959907649957928E-2</v>
      </c>
      <c r="W53" s="16">
        <f t="shared" si="37"/>
        <v>-6.0959907649957928E-2</v>
      </c>
      <c r="X53" s="16">
        <f t="shared" si="37"/>
        <v>-6.0959907649957928E-2</v>
      </c>
      <c r="Y53" s="16">
        <f t="shared" si="37"/>
        <v>-6.0959907649957928E-2</v>
      </c>
      <c r="Z53" s="16">
        <f t="shared" si="37"/>
        <v>-6.0959907649957928E-2</v>
      </c>
      <c r="AA53" s="16">
        <f t="shared" si="37"/>
        <v>-6.0959907649957928E-2</v>
      </c>
      <c r="AB53" s="16">
        <f t="shared" si="37"/>
        <v>-6.0959907649957928E-2</v>
      </c>
      <c r="AC53" s="16">
        <f t="shared" si="37"/>
        <v>-6.0959907649957928E-2</v>
      </c>
      <c r="AD53" s="16"/>
      <c r="AE53" s="16"/>
      <c r="AF53" s="16"/>
    </row>
    <row r="54" spans="1:35">
      <c r="A54" t="s">
        <v>204</v>
      </c>
      <c r="B54" t="s">
        <v>217</v>
      </c>
      <c r="C54" s="158"/>
      <c r="D54">
        <v>0</v>
      </c>
      <c r="E54">
        <v>0</v>
      </c>
      <c r="F54">
        <v>0</v>
      </c>
      <c r="G54">
        <v>0</v>
      </c>
      <c r="H54">
        <v>0</v>
      </c>
      <c r="I54">
        <v>0</v>
      </c>
      <c r="J54">
        <v>0</v>
      </c>
      <c r="K54">
        <v>0</v>
      </c>
      <c r="L54">
        <v>0</v>
      </c>
      <c r="M54">
        <v>0</v>
      </c>
      <c r="N54">
        <v>0</v>
      </c>
      <c r="O54" s="158"/>
      <c r="P54" s="158"/>
      <c r="Q54" s="158"/>
      <c r="S54" t="str">
        <f t="shared" ref="S54:S59" si="38">S66</f>
        <v>Routine and Corrective Maintenance and Inspection</v>
      </c>
      <c r="T54" s="16">
        <f>IFERROR((E51-E50)/E50,(E51-E50)/(E50+1))</f>
        <v>-5.820911761505828E-2</v>
      </c>
      <c r="U54" s="16">
        <f>IFERROR((F51-F50)/F50,(F51-F50)/(F50+1))</f>
        <v>-3.7464026981391819E-2</v>
      </c>
      <c r="V54" s="16">
        <f t="shared" ref="V54:AC54" si="39">IFERROR((G51-G50)/G50,(G51-G50)/(G50+1))</f>
        <v>-4.752690252738629E-2</v>
      </c>
      <c r="W54" s="16">
        <f t="shared" si="39"/>
        <v>-2.4935504113791803E-2</v>
      </c>
      <c r="X54" s="16">
        <f t="shared" si="39"/>
        <v>-3.0264576576731175E-2</v>
      </c>
      <c r="Y54" s="16">
        <f t="shared" si="39"/>
        <v>-1.4399492740273592E-2</v>
      </c>
      <c r="Z54" s="16">
        <f t="shared" si="39"/>
        <v>-1.990844245714897E-2</v>
      </c>
      <c r="AA54" s="16">
        <f t="shared" si="39"/>
        <v>-2.006019327884059E-2</v>
      </c>
      <c r="AB54" s="16">
        <f t="shared" si="39"/>
        <v>-2.0207948137070046E-2</v>
      </c>
      <c r="AC54" s="16">
        <f t="shared" si="39"/>
        <v>-2.0356101080013157E-2</v>
      </c>
      <c r="AD54" s="16"/>
      <c r="AE54" s="16"/>
      <c r="AF54" s="16"/>
    </row>
    <row r="55" spans="1:35">
      <c r="A55" s="9" t="s">
        <v>205</v>
      </c>
      <c r="B55" t="s">
        <v>217</v>
      </c>
      <c r="C55" s="158"/>
      <c r="D55" s="158"/>
      <c r="E55">
        <v>0</v>
      </c>
      <c r="F55">
        <v>0</v>
      </c>
      <c r="G55">
        <v>0</v>
      </c>
      <c r="H55">
        <v>0</v>
      </c>
      <c r="I55">
        <v>0</v>
      </c>
      <c r="J55">
        <v>0</v>
      </c>
      <c r="K55">
        <v>0</v>
      </c>
      <c r="L55">
        <v>0</v>
      </c>
      <c r="M55">
        <v>0</v>
      </c>
      <c r="N55">
        <v>0</v>
      </c>
      <c r="O55">
        <v>0</v>
      </c>
      <c r="P55" s="158"/>
      <c r="Q55" s="158"/>
      <c r="S55" t="str">
        <f t="shared" si="38"/>
        <v>Asset Replacement and Renewal</v>
      </c>
      <c r="T55" s="16">
        <f>IFERROR((E55-E54)/E54,(E55-E54)/(E54+1))</f>
        <v>0</v>
      </c>
      <c r="U55" s="16">
        <f>IFERROR((F55-F54)/F54,(F55-F54)/(F54+1))</f>
        <v>0</v>
      </c>
      <c r="V55" s="16">
        <f t="shared" ref="V55:AC55" si="40">IFERROR((G55-G54)/G54,(G55-G54)/(G54+1))</f>
        <v>0</v>
      </c>
      <c r="W55" s="16">
        <f t="shared" si="40"/>
        <v>0</v>
      </c>
      <c r="X55" s="16">
        <f t="shared" si="40"/>
        <v>0</v>
      </c>
      <c r="Y55" s="16">
        <f t="shared" si="40"/>
        <v>0</v>
      </c>
      <c r="Z55" s="16">
        <f t="shared" si="40"/>
        <v>0</v>
      </c>
      <c r="AA55" s="16">
        <f t="shared" si="40"/>
        <v>0</v>
      </c>
      <c r="AB55" s="16">
        <f t="shared" si="40"/>
        <v>0</v>
      </c>
      <c r="AC55" s="16">
        <f t="shared" si="40"/>
        <v>0</v>
      </c>
      <c r="AD55" s="16"/>
      <c r="AE55" s="16"/>
      <c r="AF55" s="16"/>
    </row>
    <row r="56" spans="1:35">
      <c r="A56" t="s">
        <v>206</v>
      </c>
      <c r="B56" t="s">
        <v>217</v>
      </c>
      <c r="C56" s="158"/>
      <c r="D56" s="158"/>
      <c r="E56" s="158"/>
      <c r="F56">
        <v>0</v>
      </c>
      <c r="G56">
        <v>0</v>
      </c>
      <c r="H56">
        <v>0</v>
      </c>
      <c r="I56">
        <v>0</v>
      </c>
      <c r="J56">
        <v>0</v>
      </c>
      <c r="K56">
        <v>0</v>
      </c>
      <c r="L56">
        <v>0</v>
      </c>
      <c r="M56">
        <v>0</v>
      </c>
      <c r="N56">
        <v>0</v>
      </c>
      <c r="O56">
        <v>0</v>
      </c>
      <c r="P56">
        <v>0</v>
      </c>
      <c r="Q56" s="158"/>
      <c r="S56" t="str">
        <f t="shared" si="38"/>
        <v>System Operations and Network Support</v>
      </c>
      <c r="T56" s="16">
        <f>IFERROR((E59-E58)/E58,(E59-E58)/(E58+1))</f>
        <v>-0.14714732505412095</v>
      </c>
      <c r="U56" s="16">
        <f>IFERROR((F59-F58)/F58,(F59-F58)/(F58+1))</f>
        <v>-9.5467934189155779E-2</v>
      </c>
      <c r="V56" s="16">
        <f t="shared" ref="V56:AC56" si="41">IFERROR((G59-G58)/G58,(G59-G58)/(G58+1))</f>
        <v>-9.146837420535181E-2</v>
      </c>
      <c r="W56" s="16">
        <f t="shared" si="41"/>
        <v>-9.146837420535181E-2</v>
      </c>
      <c r="X56" s="16">
        <f t="shared" si="41"/>
        <v>-9.146837420535181E-2</v>
      </c>
      <c r="Y56" s="16">
        <f t="shared" si="41"/>
        <v>-9.146837420535181E-2</v>
      </c>
      <c r="Z56" s="16">
        <f t="shared" si="41"/>
        <v>-9.146837420535181E-2</v>
      </c>
      <c r="AA56" s="16">
        <f t="shared" si="41"/>
        <v>-9.146837420535181E-2</v>
      </c>
      <c r="AB56" s="16">
        <f t="shared" si="41"/>
        <v>-9.146837420535181E-2</v>
      </c>
      <c r="AC56" s="16">
        <f t="shared" si="41"/>
        <v>-9.146837420535181E-2</v>
      </c>
      <c r="AD56" s="16"/>
      <c r="AE56" s="16"/>
      <c r="AF56" s="16"/>
    </row>
    <row r="57" spans="1:35">
      <c r="A57" s="9" t="s">
        <v>207</v>
      </c>
      <c r="B57" t="s">
        <v>217</v>
      </c>
      <c r="C57" s="158"/>
      <c r="D57" s="158"/>
      <c r="E57" s="158"/>
      <c r="F57" s="158"/>
      <c r="G57">
        <f>'Data Input Sheet'!E9</f>
        <v>0</v>
      </c>
      <c r="H57">
        <f>'Data Input Sheet'!F9</f>
        <v>0</v>
      </c>
      <c r="I57">
        <f>'Data Input Sheet'!G9</f>
        <v>0</v>
      </c>
      <c r="J57">
        <f>'Data Input Sheet'!H9</f>
        <v>0</v>
      </c>
      <c r="K57">
        <f>'Data Input Sheet'!I9</f>
        <v>0</v>
      </c>
      <c r="L57">
        <f>'Data Input Sheet'!J9</f>
        <v>0</v>
      </c>
      <c r="M57">
        <f>'Data Input Sheet'!K9</f>
        <v>0</v>
      </c>
      <c r="N57">
        <f>'Data Input Sheet'!L9</f>
        <v>0</v>
      </c>
      <c r="O57">
        <f>'Data Input Sheet'!M9</f>
        <v>0</v>
      </c>
      <c r="P57">
        <f>'Data Input Sheet'!N9</f>
        <v>0</v>
      </c>
      <c r="Q57">
        <f>'Data Input Sheet'!O9</f>
        <v>0</v>
      </c>
      <c r="S57" t="str">
        <f t="shared" si="38"/>
        <v>Business Support</v>
      </c>
      <c r="T57" s="16">
        <f>IFERROR((E63-E62)/E62,(E63-E62)/(E62+1))</f>
        <v>-0.17657970783227916</v>
      </c>
      <c r="U57" s="16">
        <f>IFERROR((F63-F62)/F62,(F63-F62)/(F62+1))</f>
        <v>-6.6970885092718299E-2</v>
      </c>
      <c r="V57" s="16">
        <f t="shared" ref="V57:AB57" si="42">IFERROR((G63-G62)/G62,(G63-G62)/(G62+1))</f>
        <v>-6.6970885092718299E-2</v>
      </c>
      <c r="W57" s="16">
        <f t="shared" si="42"/>
        <v>-6.6970885092718299E-2</v>
      </c>
      <c r="X57" s="16">
        <f t="shared" si="42"/>
        <v>-6.6970885092718299E-2</v>
      </c>
      <c r="Y57" s="16">
        <f t="shared" si="42"/>
        <v>-6.6970885092718299E-2</v>
      </c>
      <c r="Z57" s="16">
        <f t="shared" si="42"/>
        <v>-6.6970885092718299E-2</v>
      </c>
      <c r="AA57" s="16">
        <f t="shared" si="42"/>
        <v>-6.6970885092718299E-2</v>
      </c>
      <c r="AB57" s="16">
        <f t="shared" si="42"/>
        <v>-6.6970885092718299E-2</v>
      </c>
      <c r="AC57" s="16">
        <f>IFERROR((N63-N62)/N62,(N63-N62)/(N62+1))</f>
        <v>-6.6970885092718299E-2</v>
      </c>
      <c r="AD57" s="16"/>
      <c r="AE57" s="16"/>
      <c r="AF57" s="16"/>
    </row>
    <row r="58" spans="1:35">
      <c r="A58" t="s">
        <v>204</v>
      </c>
      <c r="B58" t="s">
        <v>218</v>
      </c>
      <c r="C58" s="158"/>
      <c r="D58">
        <f>1.01*1.014*1.005*3422</f>
        <v>3522.1301154000002</v>
      </c>
      <c r="E58">
        <f>1.01*1.014*1.005*4011</f>
        <v>4128.3646676999997</v>
      </c>
      <c r="F58">
        <f>1.01*1.014*1.005*4316</f>
        <v>4442.2891811999998</v>
      </c>
      <c r="G58">
        <f t="shared" ref="G58:N58" si="43">1.01*1.014*1.005*4297</f>
        <v>4422.7332279000002</v>
      </c>
      <c r="H58">
        <f t="shared" si="43"/>
        <v>4422.7332279000002</v>
      </c>
      <c r="I58">
        <f t="shared" si="43"/>
        <v>4422.7332279000002</v>
      </c>
      <c r="J58">
        <f t="shared" si="43"/>
        <v>4422.7332279000002</v>
      </c>
      <c r="K58">
        <f t="shared" si="43"/>
        <v>4422.7332279000002</v>
      </c>
      <c r="L58">
        <f t="shared" si="43"/>
        <v>4422.7332279000002</v>
      </c>
      <c r="M58">
        <f t="shared" si="43"/>
        <v>4422.7332279000002</v>
      </c>
      <c r="N58">
        <f t="shared" si="43"/>
        <v>4422.7332279000002</v>
      </c>
      <c r="O58" s="158"/>
      <c r="P58" s="158"/>
      <c r="Q58" s="158"/>
      <c r="S58" t="str">
        <f t="shared" si="38"/>
        <v>Total Network Opex</v>
      </c>
      <c r="T58" s="16">
        <f>IFERROR((E67-E66)/E66,(E67-E66)/(E66+1))</f>
        <v>-6.1579441456523096E-2</v>
      </c>
      <c r="U58" s="16">
        <f>IFERROR((F67-F66)/F66,(F67-F66)/(F66+1))</f>
        <v>-4.9038532584601814E-2</v>
      </c>
      <c r="V58" s="16">
        <f t="shared" ref="V58:AC58" si="44">IFERROR((G67-G66)/G66,(G67-G66)/(G66+1))</f>
        <v>-5.3782858271904613E-2</v>
      </c>
      <c r="W58" s="16">
        <f t="shared" si="44"/>
        <v>-4.1832203785931318E-2</v>
      </c>
      <c r="X58" s="16">
        <f t="shared" si="44"/>
        <v>-4.4536678850324724E-2</v>
      </c>
      <c r="Y58" s="16">
        <f t="shared" si="44"/>
        <v>-3.6040704579953078E-2</v>
      </c>
      <c r="Z58" s="16">
        <f t="shared" si="44"/>
        <v>-3.8927438450216283E-2</v>
      </c>
      <c r="AA58" s="16">
        <f t="shared" si="44"/>
        <v>-3.8947843242676777E-2</v>
      </c>
      <c r="AB58" s="16">
        <f t="shared" si="44"/>
        <v>-3.8964783991299046E-2</v>
      </c>
      <c r="AC58" s="16">
        <f t="shared" si="44"/>
        <v>-3.8984936326527997E-2</v>
      </c>
      <c r="AD58" s="16"/>
      <c r="AE58" s="16"/>
      <c r="AF58" s="16"/>
    </row>
    <row r="59" spans="1:35">
      <c r="A59" s="9" t="s">
        <v>205</v>
      </c>
      <c r="B59" t="s">
        <v>218</v>
      </c>
      <c r="C59" s="158"/>
      <c r="D59" s="158"/>
      <c r="E59">
        <f>1.014*1.005*3455</f>
        <v>3520.8868499999999</v>
      </c>
      <c r="F59">
        <f t="shared" ref="F59:O59" si="45">1.014*1.005*3943</f>
        <v>4018.1930099999995</v>
      </c>
      <c r="G59">
        <f t="shared" si="45"/>
        <v>4018.1930099999995</v>
      </c>
      <c r="H59">
        <f t="shared" si="45"/>
        <v>4018.1930099999995</v>
      </c>
      <c r="I59">
        <f t="shared" si="45"/>
        <v>4018.1930099999995</v>
      </c>
      <c r="J59">
        <f t="shared" si="45"/>
        <v>4018.1930099999995</v>
      </c>
      <c r="K59">
        <f t="shared" si="45"/>
        <v>4018.1930099999995</v>
      </c>
      <c r="L59">
        <f t="shared" si="45"/>
        <v>4018.1930099999995</v>
      </c>
      <c r="M59">
        <f t="shared" si="45"/>
        <v>4018.1930099999995</v>
      </c>
      <c r="N59">
        <f t="shared" si="45"/>
        <v>4018.1930099999995</v>
      </c>
      <c r="O59">
        <f t="shared" si="45"/>
        <v>4018.1930099999995</v>
      </c>
      <c r="P59" s="158"/>
      <c r="Q59" s="158"/>
      <c r="S59" t="str">
        <f t="shared" si="38"/>
        <v>Total Opex</v>
      </c>
      <c r="T59" s="16">
        <f>IFERROR((E71-E70)/E70,(E71-E70)/(E70+1))</f>
        <v>-0.12282352668663574</v>
      </c>
      <c r="U59" s="16">
        <f>IFERROR((F71-F70)/F70,(F71-F70)/(F70+1))</f>
        <v>-6.5534905087617779E-2</v>
      </c>
      <c r="V59" s="16">
        <f t="shared" ref="V59:AC59" si="46">IFERROR((G71-G70)/G70,(G71-G70)/(G70+1))</f>
        <v>-6.6579535125248779E-2</v>
      </c>
      <c r="W59" s="16">
        <f t="shared" si="46"/>
        <v>-6.183863902085282E-2</v>
      </c>
      <c r="X59" s="16">
        <f t="shared" si="46"/>
        <v>-6.2855594315192095E-2</v>
      </c>
      <c r="Y59" s="16">
        <f t="shared" si="46"/>
        <v>-5.9438197380195935E-2</v>
      </c>
      <c r="Z59" s="16">
        <f t="shared" si="46"/>
        <v>-6.0570275675889684E-2</v>
      </c>
      <c r="AA59" s="16">
        <f t="shared" si="46"/>
        <v>-6.055037775618613E-2</v>
      </c>
      <c r="AB59" s="16">
        <f t="shared" si="46"/>
        <v>-6.0528184383966163E-2</v>
      </c>
      <c r="AC59" s="16">
        <f t="shared" si="46"/>
        <v>-6.0508393540405041E-2</v>
      </c>
      <c r="AD59" s="16"/>
      <c r="AE59" s="16"/>
      <c r="AF59" s="16"/>
    </row>
    <row r="60" spans="1:35">
      <c r="A60" t="s">
        <v>206</v>
      </c>
      <c r="B60" t="s">
        <v>218</v>
      </c>
      <c r="C60" s="158"/>
      <c r="D60" s="158"/>
      <c r="E60" s="158"/>
      <c r="F60">
        <f>1.005*9932</f>
        <v>9981.659999999998</v>
      </c>
      <c r="G60">
        <f t="shared" ref="G60:P60" si="47">1.005*9981</f>
        <v>10030.904999999999</v>
      </c>
      <c r="H60">
        <f t="shared" si="47"/>
        <v>10030.904999999999</v>
      </c>
      <c r="I60">
        <f t="shared" si="47"/>
        <v>10030.904999999999</v>
      </c>
      <c r="J60">
        <f t="shared" si="47"/>
        <v>10030.904999999999</v>
      </c>
      <c r="K60">
        <f t="shared" si="47"/>
        <v>10030.904999999999</v>
      </c>
      <c r="L60">
        <f t="shared" si="47"/>
        <v>10030.904999999999</v>
      </c>
      <c r="M60">
        <f t="shared" si="47"/>
        <v>10030.904999999999</v>
      </c>
      <c r="N60">
        <f t="shared" si="47"/>
        <v>10030.904999999999</v>
      </c>
      <c r="O60">
        <f t="shared" si="47"/>
        <v>10030.904999999999</v>
      </c>
      <c r="P60">
        <f t="shared" si="47"/>
        <v>10030.904999999999</v>
      </c>
      <c r="Q60" s="158"/>
    </row>
    <row r="61" spans="1:35">
      <c r="A61" s="9" t="s">
        <v>207</v>
      </c>
      <c r="B61" t="s">
        <v>218</v>
      </c>
      <c r="C61" s="158"/>
      <c r="D61" s="158"/>
      <c r="E61" s="158"/>
      <c r="F61" s="158"/>
      <c r="G61">
        <f>'Data Input Sheet'!E11</f>
        <v>1924</v>
      </c>
      <c r="H61">
        <f>'Data Input Sheet'!F11</f>
        <v>3021</v>
      </c>
      <c r="I61">
        <f>'Data Input Sheet'!G11</f>
        <v>3021</v>
      </c>
      <c r="J61">
        <f>'Data Input Sheet'!H11</f>
        <v>3021</v>
      </c>
      <c r="K61">
        <f>'Data Input Sheet'!I11</f>
        <v>3021</v>
      </c>
      <c r="L61">
        <f>'Data Input Sheet'!J11</f>
        <v>3021</v>
      </c>
      <c r="M61">
        <f>'Data Input Sheet'!K11</f>
        <v>3021</v>
      </c>
      <c r="N61">
        <f>'Data Input Sheet'!L11</f>
        <v>3021</v>
      </c>
      <c r="O61">
        <f>'Data Input Sheet'!M11</f>
        <v>3021</v>
      </c>
      <c r="P61">
        <f>'Data Input Sheet'!N11</f>
        <v>3021</v>
      </c>
      <c r="Q61">
        <f>'Data Input Sheet'!O11</f>
        <v>3021</v>
      </c>
    </row>
    <row r="62" spans="1:35">
      <c r="A62" t="s">
        <v>204</v>
      </c>
      <c r="B62" t="s">
        <v>219</v>
      </c>
      <c r="C62" s="158"/>
      <c r="D62">
        <f>1.01*1.014*1.005*7011</f>
        <v>7216.1467677000001</v>
      </c>
      <c r="E62">
        <f>1.01*1.014*1.005*7942</f>
        <v>8174.3884794000005</v>
      </c>
      <c r="F62">
        <f>1.01*1.014*1.005*8553</f>
        <v>8803.2667670999999</v>
      </c>
      <c r="G62">
        <f t="shared" ref="G62:N62" si="48">1.01*1.014*1.005*8553</f>
        <v>8803.2667670999999</v>
      </c>
      <c r="H62">
        <f t="shared" si="48"/>
        <v>8803.2667670999999</v>
      </c>
      <c r="I62">
        <f t="shared" si="48"/>
        <v>8803.2667670999999</v>
      </c>
      <c r="J62">
        <f t="shared" si="48"/>
        <v>8803.2667670999999</v>
      </c>
      <c r="K62">
        <f t="shared" si="48"/>
        <v>8803.2667670999999</v>
      </c>
      <c r="L62">
        <f t="shared" si="48"/>
        <v>8803.2667670999999</v>
      </c>
      <c r="M62">
        <f t="shared" si="48"/>
        <v>8803.2667670999999</v>
      </c>
      <c r="N62">
        <f t="shared" si="48"/>
        <v>8803.2667670999999</v>
      </c>
      <c r="O62" s="158"/>
      <c r="P62" s="158"/>
      <c r="Q62" s="158"/>
    </row>
    <row r="63" spans="1:35">
      <c r="A63" s="9" t="s">
        <v>205</v>
      </c>
      <c r="B63" t="s">
        <v>219</v>
      </c>
      <c r="C63" s="158"/>
      <c r="D63" s="158"/>
      <c r="E63">
        <f>1.014*1.005*6605</f>
        <v>6730.9573499999997</v>
      </c>
      <c r="F63">
        <f t="shared" ref="F63:O63" si="49">1.014*1.005*8060</f>
        <v>8213.7042000000001</v>
      </c>
      <c r="G63">
        <f t="shared" si="49"/>
        <v>8213.7042000000001</v>
      </c>
      <c r="H63">
        <f t="shared" si="49"/>
        <v>8213.7042000000001</v>
      </c>
      <c r="I63">
        <f t="shared" si="49"/>
        <v>8213.7042000000001</v>
      </c>
      <c r="J63">
        <f t="shared" si="49"/>
        <v>8213.7042000000001</v>
      </c>
      <c r="K63">
        <f t="shared" si="49"/>
        <v>8213.7042000000001</v>
      </c>
      <c r="L63">
        <f t="shared" si="49"/>
        <v>8213.7042000000001</v>
      </c>
      <c r="M63">
        <f t="shared" si="49"/>
        <v>8213.7042000000001</v>
      </c>
      <c r="N63">
        <f t="shared" si="49"/>
        <v>8213.7042000000001</v>
      </c>
      <c r="O63">
        <f t="shared" si="49"/>
        <v>8213.7042000000001</v>
      </c>
      <c r="P63" s="158"/>
      <c r="Q63" s="158"/>
    </row>
    <row r="64" spans="1:35">
      <c r="A64" t="s">
        <v>206</v>
      </c>
      <c r="B64" t="s">
        <v>219</v>
      </c>
      <c r="C64" s="158"/>
      <c r="D64" s="158"/>
      <c r="E64" s="158"/>
      <c r="F64">
        <f t="shared" ref="F64:P64" si="50">1.005*556</f>
        <v>558.78</v>
      </c>
      <c r="G64">
        <f t="shared" si="50"/>
        <v>558.78</v>
      </c>
      <c r="H64">
        <f t="shared" si="50"/>
        <v>558.78</v>
      </c>
      <c r="I64">
        <f t="shared" si="50"/>
        <v>558.78</v>
      </c>
      <c r="J64">
        <f t="shared" si="50"/>
        <v>558.78</v>
      </c>
      <c r="K64">
        <f t="shared" si="50"/>
        <v>558.78</v>
      </c>
      <c r="L64">
        <f t="shared" si="50"/>
        <v>558.78</v>
      </c>
      <c r="M64">
        <f t="shared" si="50"/>
        <v>558.78</v>
      </c>
      <c r="N64">
        <f t="shared" si="50"/>
        <v>558.78</v>
      </c>
      <c r="O64">
        <f t="shared" si="50"/>
        <v>558.78</v>
      </c>
      <c r="P64">
        <f t="shared" si="50"/>
        <v>558.78</v>
      </c>
      <c r="Q64" s="158"/>
      <c r="S64" s="3" t="str">
        <f>U64-1&amp;" to "&amp;U64&amp;" AMP Forecasts"</f>
        <v>2014 to 2015 AMP Forecasts</v>
      </c>
      <c r="T64" s="157">
        <f t="shared" ref="T64:AF64" si="51">E45</f>
        <v>2014</v>
      </c>
      <c r="U64" s="157">
        <f t="shared" si="51"/>
        <v>2015</v>
      </c>
      <c r="V64" s="157">
        <f t="shared" si="51"/>
        <v>2016</v>
      </c>
      <c r="W64" s="157">
        <f t="shared" si="51"/>
        <v>2017</v>
      </c>
      <c r="X64" s="157">
        <f t="shared" si="51"/>
        <v>2018</v>
      </c>
      <c r="Y64" s="157">
        <f t="shared" si="51"/>
        <v>2019</v>
      </c>
      <c r="Z64" s="157">
        <f t="shared" si="51"/>
        <v>2020</v>
      </c>
      <c r="AA64" s="157">
        <f t="shared" si="51"/>
        <v>2021</v>
      </c>
      <c r="AB64" s="157">
        <f t="shared" si="51"/>
        <v>2022</v>
      </c>
      <c r="AC64" s="157">
        <f t="shared" si="51"/>
        <v>2023</v>
      </c>
      <c r="AD64" s="157">
        <f t="shared" si="51"/>
        <v>2024</v>
      </c>
      <c r="AE64" s="157">
        <f t="shared" si="51"/>
        <v>2025</v>
      </c>
      <c r="AF64" s="157">
        <f t="shared" si="51"/>
        <v>2026</v>
      </c>
      <c r="AG64" s="157"/>
      <c r="AH64" s="157"/>
      <c r="AI64" s="157"/>
    </row>
    <row r="65" spans="1:31">
      <c r="A65" s="9" t="s">
        <v>207</v>
      </c>
      <c r="B65" t="s">
        <v>219</v>
      </c>
      <c r="C65" s="158"/>
      <c r="D65" s="158"/>
      <c r="E65" s="158"/>
      <c r="F65" s="158"/>
      <c r="G65">
        <f>'Data Input Sheet'!E12</f>
        <v>4134</v>
      </c>
      <c r="H65">
        <f>'Data Input Sheet'!F12</f>
        <v>4336</v>
      </c>
      <c r="I65">
        <f>'Data Input Sheet'!G12</f>
        <v>4336</v>
      </c>
      <c r="J65">
        <f>'Data Input Sheet'!H12</f>
        <v>4336</v>
      </c>
      <c r="K65">
        <f>'Data Input Sheet'!I12</f>
        <v>4336</v>
      </c>
      <c r="L65">
        <f>'Data Input Sheet'!J12</f>
        <v>4336</v>
      </c>
      <c r="M65">
        <f>'Data Input Sheet'!K12</f>
        <v>4336</v>
      </c>
      <c r="N65">
        <f>'Data Input Sheet'!L12</f>
        <v>4336</v>
      </c>
      <c r="O65">
        <f>'Data Input Sheet'!M12</f>
        <v>4336</v>
      </c>
      <c r="P65">
        <f>'Data Input Sheet'!N12</f>
        <v>4336</v>
      </c>
      <c r="Q65">
        <f>'Data Input Sheet'!O12</f>
        <v>4336</v>
      </c>
      <c r="S65" t="s">
        <v>215</v>
      </c>
      <c r="U65" s="16">
        <f t="shared" ref="U65:AD65" si="52">IFERROR((F48-F47)/F47,(F48-F47)/(F47+1))</f>
        <v>1.4466589265278173E-2</v>
      </c>
      <c r="V65" s="16">
        <f t="shared" si="52"/>
        <v>1.339326653020049E-2</v>
      </c>
      <c r="W65" s="16">
        <f t="shared" si="52"/>
        <v>1.339326653020049E-2</v>
      </c>
      <c r="X65" s="16">
        <f t="shared" si="52"/>
        <v>1.339326653020049E-2</v>
      </c>
      <c r="Y65" s="16">
        <f t="shared" si="52"/>
        <v>1.339326653020049E-2</v>
      </c>
      <c r="Z65" s="16">
        <f t="shared" si="52"/>
        <v>1.339326653020049E-2</v>
      </c>
      <c r="AA65" s="16">
        <f t="shared" si="52"/>
        <v>1.339326653020049E-2</v>
      </c>
      <c r="AB65" s="16">
        <f t="shared" si="52"/>
        <v>1.339326653020049E-2</v>
      </c>
      <c r="AC65" s="16">
        <f t="shared" si="52"/>
        <v>1.339326653020049E-2</v>
      </c>
      <c r="AD65" s="16">
        <f t="shared" si="52"/>
        <v>1.339326653020049E-2</v>
      </c>
    </row>
    <row r="66" spans="1:31">
      <c r="A66" t="s">
        <v>204</v>
      </c>
      <c r="B66" t="s">
        <v>220</v>
      </c>
      <c r="C66" s="158"/>
      <c r="D66">
        <f>D54+D50+D46</f>
        <v>8176.4470008000008</v>
      </c>
      <c r="E66">
        <f>E54+E50+E46</f>
        <v>8814.5886348000004</v>
      </c>
      <c r="F66">
        <f t="shared" ref="F66:Q69" si="53">F54+F50+F46</f>
        <v>8826.9397632</v>
      </c>
      <c r="G66">
        <f t="shared" si="53"/>
        <v>8871.1979733000007</v>
      </c>
      <c r="H66">
        <f t="shared" si="53"/>
        <v>8808.4130705999996</v>
      </c>
      <c r="I66">
        <f t="shared" si="53"/>
        <v>8885.6076231000006</v>
      </c>
      <c r="J66">
        <f t="shared" si="53"/>
        <v>8888.6954052000001</v>
      </c>
      <c r="K66">
        <f t="shared" si="53"/>
        <v>8917.5147047999999</v>
      </c>
      <c r="L66">
        <f t="shared" si="53"/>
        <v>8946.3340043999997</v>
      </c>
      <c r="M66">
        <f t="shared" si="53"/>
        <v>8976.1825647000005</v>
      </c>
      <c r="N66">
        <f t="shared" si="53"/>
        <v>9005.0018643000003</v>
      </c>
      <c r="O66" s="158"/>
      <c r="P66" s="158"/>
      <c r="Q66" s="158"/>
      <c r="S66" t="s">
        <v>216</v>
      </c>
      <c r="U66" s="16">
        <f t="shared" ref="U66:AD66" si="54">IFERROR((F52-F51)/F51,(F52-F51)/(F51+1))</f>
        <v>-7.1177138994327468E-2</v>
      </c>
      <c r="V66" s="16">
        <f t="shared" si="54"/>
        <v>-3.7849341721541779E-2</v>
      </c>
      <c r="W66" s="16">
        <f t="shared" si="54"/>
        <v>-4.7083842958359483E-2</v>
      </c>
      <c r="X66" s="16">
        <f t="shared" si="54"/>
        <v>-5.6969012080214057E-2</v>
      </c>
      <c r="Y66" s="16">
        <f t="shared" si="54"/>
        <v>-7.2108070151973763E-2</v>
      </c>
      <c r="Z66" s="16">
        <f t="shared" si="54"/>
        <v>-7.2082738253630138E-2</v>
      </c>
      <c r="AA66" s="16">
        <f t="shared" si="54"/>
        <v>-7.7067917406844155E-2</v>
      </c>
      <c r="AB66" s="16">
        <f t="shared" si="54"/>
        <v>-8.1980652149427222E-2</v>
      </c>
      <c r="AC66" s="16">
        <f t="shared" si="54"/>
        <v>-8.685026491446321E-2</v>
      </c>
      <c r="AD66" s="16">
        <f t="shared" si="54"/>
        <v>-9.1664071421156415E-2</v>
      </c>
    </row>
    <row r="67" spans="1:31">
      <c r="A67" s="9" t="s">
        <v>205</v>
      </c>
      <c r="B67" t="s">
        <v>220</v>
      </c>
      <c r="C67" s="158"/>
      <c r="D67" s="158"/>
      <c r="E67">
        <f>E55+E51+E47</f>
        <v>8271.7911899999999</v>
      </c>
      <c r="F67">
        <f>F55+F51+F47</f>
        <v>8394.0795899999994</v>
      </c>
      <c r="G67">
        <f t="shared" si="53"/>
        <v>8394.0795899999994</v>
      </c>
      <c r="H67">
        <f t="shared" si="53"/>
        <v>8439.9377399999994</v>
      </c>
      <c r="I67">
        <f t="shared" si="53"/>
        <v>8489.8721699999987</v>
      </c>
      <c r="J67">
        <f t="shared" si="53"/>
        <v>8568.3405600000006</v>
      </c>
      <c r="K67">
        <f t="shared" si="53"/>
        <v>8570.3786999999993</v>
      </c>
      <c r="L67">
        <f t="shared" si="53"/>
        <v>8597.8935899999997</v>
      </c>
      <c r="M67">
        <f t="shared" si="53"/>
        <v>8626.4275500000003</v>
      </c>
      <c r="N67">
        <f t="shared" si="53"/>
        <v>8653.9424399999989</v>
      </c>
      <c r="O67">
        <f t="shared" si="53"/>
        <v>8681.4573299999993</v>
      </c>
      <c r="P67" s="158"/>
      <c r="Q67" s="158"/>
      <c r="S67" t="s">
        <v>217</v>
      </c>
      <c r="U67" s="16">
        <f t="shared" ref="U67:AD67" si="55">IFERROR((F56-F55)/F55,(F56-F55)/(F55+1))</f>
        <v>0</v>
      </c>
      <c r="V67" s="16">
        <f t="shared" si="55"/>
        <v>0</v>
      </c>
      <c r="W67" s="16">
        <f t="shared" si="55"/>
        <v>0</v>
      </c>
      <c r="X67" s="16">
        <f t="shared" si="55"/>
        <v>0</v>
      </c>
      <c r="Y67" s="16">
        <f t="shared" si="55"/>
        <v>0</v>
      </c>
      <c r="Z67" s="16">
        <f t="shared" si="55"/>
        <v>0</v>
      </c>
      <c r="AA67" s="16">
        <f t="shared" si="55"/>
        <v>0</v>
      </c>
      <c r="AB67" s="16">
        <f t="shared" si="55"/>
        <v>0</v>
      </c>
      <c r="AC67" s="16">
        <f t="shared" si="55"/>
        <v>0</v>
      </c>
      <c r="AD67" s="16">
        <f t="shared" si="55"/>
        <v>0</v>
      </c>
    </row>
    <row r="68" spans="1:31">
      <c r="A68" t="s">
        <v>206</v>
      </c>
      <c r="B68" t="s">
        <v>220</v>
      </c>
      <c r="C68" s="158"/>
      <c r="D68" s="158"/>
      <c r="E68" s="158"/>
      <c r="F68">
        <f>F56+F52+F48</f>
        <v>8128.4399999999987</v>
      </c>
      <c r="G68">
        <f>G56+G52+G48</f>
        <v>8275.1699999999983</v>
      </c>
      <c r="H68">
        <f t="shared" si="53"/>
        <v>8277.18</v>
      </c>
      <c r="I68">
        <f t="shared" si="53"/>
        <v>8279.1899999999987</v>
      </c>
      <c r="J68">
        <f t="shared" si="53"/>
        <v>8282.2049999999981</v>
      </c>
      <c r="K68">
        <f t="shared" si="53"/>
        <v>8284.2150000000001</v>
      </c>
      <c r="L68">
        <f t="shared" si="53"/>
        <v>8286.2249999999985</v>
      </c>
      <c r="M68">
        <f t="shared" si="53"/>
        <v>8289.239999999998</v>
      </c>
      <c r="N68">
        <f t="shared" si="53"/>
        <v>8291.25</v>
      </c>
      <c r="O68">
        <f t="shared" si="53"/>
        <v>8293.2599999999984</v>
      </c>
      <c r="P68">
        <f t="shared" si="53"/>
        <v>8296.2749999999978</v>
      </c>
      <c r="Q68" s="158"/>
      <c r="S68" t="s">
        <v>218</v>
      </c>
      <c r="U68" s="16">
        <f t="shared" ref="U68:AD68" si="56">IFERROR((F60-F59)/F59,(F60-F59)/(F59+1))</f>
        <v>1.4841166104163821</v>
      </c>
      <c r="V68" s="16">
        <f t="shared" si="56"/>
        <v>1.4963721192676109</v>
      </c>
      <c r="W68" s="16">
        <f t="shared" si="56"/>
        <v>1.4963721192676109</v>
      </c>
      <c r="X68" s="16">
        <f t="shared" si="56"/>
        <v>1.4963721192676109</v>
      </c>
      <c r="Y68" s="16">
        <f t="shared" si="56"/>
        <v>1.4963721192676109</v>
      </c>
      <c r="Z68" s="16">
        <f t="shared" si="56"/>
        <v>1.4963721192676109</v>
      </c>
      <c r="AA68" s="16">
        <f t="shared" si="56"/>
        <v>1.4963721192676109</v>
      </c>
      <c r="AB68" s="16">
        <f t="shared" si="56"/>
        <v>1.4963721192676109</v>
      </c>
      <c r="AC68" s="16">
        <f t="shared" si="56"/>
        <v>1.4963721192676109</v>
      </c>
      <c r="AD68" s="16">
        <f t="shared" si="56"/>
        <v>1.4963721192676109</v>
      </c>
    </row>
    <row r="69" spans="1:31">
      <c r="A69" s="9" t="s">
        <v>207</v>
      </c>
      <c r="B69" t="s">
        <v>220</v>
      </c>
      <c r="C69" s="158"/>
      <c r="D69" s="158"/>
      <c r="E69" s="158"/>
      <c r="F69" s="158"/>
      <c r="G69">
        <f>G57+G53+G49</f>
        <v>4463</v>
      </c>
      <c r="H69">
        <f>H57+H53+H49</f>
        <v>4410</v>
      </c>
      <c r="I69">
        <f t="shared" si="53"/>
        <v>4413</v>
      </c>
      <c r="J69">
        <f t="shared" si="53"/>
        <v>4415</v>
      </c>
      <c r="K69">
        <f t="shared" si="53"/>
        <v>4418</v>
      </c>
      <c r="L69">
        <f t="shared" si="53"/>
        <v>4421</v>
      </c>
      <c r="M69">
        <f t="shared" si="53"/>
        <v>4423</v>
      </c>
      <c r="N69">
        <f t="shared" si="53"/>
        <v>4426</v>
      </c>
      <c r="O69">
        <f t="shared" si="53"/>
        <v>4429</v>
      </c>
      <c r="P69">
        <f t="shared" si="53"/>
        <v>4432</v>
      </c>
      <c r="Q69">
        <f t="shared" si="53"/>
        <v>4435</v>
      </c>
      <c r="S69" t="s">
        <v>219</v>
      </c>
      <c r="U69" s="16">
        <f t="shared" ref="U69:AD69" si="57">IFERROR((F64-F63)/F63,(F64-F63)/(F63+1))</f>
        <v>-0.93196979263022406</v>
      </c>
      <c r="V69" s="16">
        <f t="shared" si="57"/>
        <v>-0.93196979263022406</v>
      </c>
      <c r="W69" s="16">
        <f t="shared" si="57"/>
        <v>-0.93196979263022406</v>
      </c>
      <c r="X69" s="16">
        <f t="shared" si="57"/>
        <v>-0.93196979263022406</v>
      </c>
      <c r="Y69" s="16">
        <f t="shared" si="57"/>
        <v>-0.93196979263022406</v>
      </c>
      <c r="Z69" s="16">
        <f t="shared" si="57"/>
        <v>-0.93196979263022406</v>
      </c>
      <c r="AA69" s="16">
        <f t="shared" si="57"/>
        <v>-0.93196979263022406</v>
      </c>
      <c r="AB69" s="16">
        <f t="shared" si="57"/>
        <v>-0.93196979263022406</v>
      </c>
      <c r="AC69" s="16">
        <f t="shared" si="57"/>
        <v>-0.93196979263022406</v>
      </c>
      <c r="AD69" s="16">
        <f t="shared" si="57"/>
        <v>-0.93196979263022406</v>
      </c>
    </row>
    <row r="70" spans="1:31">
      <c r="A70" t="s">
        <v>204</v>
      </c>
      <c r="B70" t="s">
        <v>221</v>
      </c>
      <c r="C70" s="158"/>
      <c r="D70">
        <f t="shared" ref="D70:N70" si="58">D58+D62+D66</f>
        <v>18914.723883899998</v>
      </c>
      <c r="E70">
        <f t="shared" si="58"/>
        <v>21117.341781900002</v>
      </c>
      <c r="F70">
        <f t="shared" si="58"/>
        <v>22072.4957115</v>
      </c>
      <c r="G70">
        <f t="shared" si="58"/>
        <v>22097.197968300003</v>
      </c>
      <c r="H70">
        <f t="shared" si="58"/>
        <v>22034.413065599998</v>
      </c>
      <c r="I70">
        <f t="shared" si="58"/>
        <v>22111.607618100003</v>
      </c>
      <c r="J70">
        <f t="shared" si="58"/>
        <v>22114.695400199998</v>
      </c>
      <c r="K70">
        <f t="shared" si="58"/>
        <v>22143.514699799998</v>
      </c>
      <c r="L70">
        <f t="shared" si="58"/>
        <v>22172.333999399998</v>
      </c>
      <c r="M70">
        <f t="shared" si="58"/>
        <v>22202.182559699999</v>
      </c>
      <c r="N70">
        <f t="shared" si="58"/>
        <v>22231.001859299999</v>
      </c>
      <c r="O70" s="158"/>
      <c r="P70" s="158"/>
      <c r="Q70" s="158"/>
      <c r="S70" t="s">
        <v>220</v>
      </c>
      <c r="U70" s="16">
        <f t="shared" ref="U70:AD70" si="59">IFERROR((F68-F67)/F67,(F68-F67)/(F67+1))</f>
        <v>-3.1646065200103816E-2</v>
      </c>
      <c r="V70" s="16">
        <f t="shared" si="59"/>
        <v>-1.4165887840956381E-2</v>
      </c>
      <c r="W70" s="16">
        <f t="shared" si="59"/>
        <v>-1.9284234672565147E-2</v>
      </c>
      <c r="X70" s="16">
        <f t="shared" si="59"/>
        <v>-2.4815705794072052E-2</v>
      </c>
      <c r="Y70" s="16">
        <f t="shared" si="59"/>
        <v>-3.3394512974400548E-2</v>
      </c>
      <c r="Z70" s="16">
        <f t="shared" si="59"/>
        <v>-3.3389854756359735E-2</v>
      </c>
      <c r="AA70" s="16">
        <f t="shared" si="59"/>
        <v>-3.6249412340075393E-2</v>
      </c>
      <c r="AB70" s="16">
        <f t="shared" si="59"/>
        <v>-3.9087739164980567E-2</v>
      </c>
      <c r="AC70" s="16">
        <f t="shared" si="59"/>
        <v>-4.1910660085231505E-2</v>
      </c>
      <c r="AD70" s="16">
        <f t="shared" si="59"/>
        <v>-4.4715687152954181E-2</v>
      </c>
    </row>
    <row r="71" spans="1:31">
      <c r="A71" s="9" t="s">
        <v>205</v>
      </c>
      <c r="B71" t="s">
        <v>221</v>
      </c>
      <c r="C71" s="158"/>
      <c r="D71" s="158"/>
      <c r="E71">
        <f t="shared" ref="E71:O71" si="60">E59+E63+E67</f>
        <v>18523.635389999999</v>
      </c>
      <c r="F71">
        <f t="shared" si="60"/>
        <v>20625.976799999997</v>
      </c>
      <c r="G71">
        <f t="shared" si="60"/>
        <v>20625.976799999997</v>
      </c>
      <c r="H71">
        <f t="shared" si="60"/>
        <v>20671.834949999997</v>
      </c>
      <c r="I71">
        <f t="shared" si="60"/>
        <v>20721.769379999998</v>
      </c>
      <c r="J71">
        <f t="shared" si="60"/>
        <v>20800.23777</v>
      </c>
      <c r="K71">
        <f t="shared" si="60"/>
        <v>20802.275909999997</v>
      </c>
      <c r="L71">
        <f t="shared" si="60"/>
        <v>20829.790799999999</v>
      </c>
      <c r="M71">
        <f t="shared" si="60"/>
        <v>20858.32476</v>
      </c>
      <c r="N71">
        <f t="shared" si="60"/>
        <v>20885.839649999998</v>
      </c>
      <c r="O71">
        <f t="shared" si="60"/>
        <v>20913.35454</v>
      </c>
      <c r="P71" s="158"/>
      <c r="Q71" s="158"/>
      <c r="S71" t="s">
        <v>221</v>
      </c>
      <c r="U71" s="16">
        <f t="shared" ref="U71:AD71" si="61">IFERROR((F72-F71)/F71,(F72-F71)/(F71+1))</f>
        <v>-9.4885048062305577E-2</v>
      </c>
      <c r="V71" s="16">
        <f t="shared" si="61"/>
        <v>-8.5383679865285264E-2</v>
      </c>
      <c r="W71" s="16">
        <f t="shared" si="61"/>
        <v>-8.7315419959852134E-2</v>
      </c>
      <c r="X71" s="16">
        <f t="shared" si="61"/>
        <v>-8.9417768628790625E-2</v>
      </c>
      <c r="Y71" s="16">
        <f t="shared" si="61"/>
        <v>-9.2707967635891134E-2</v>
      </c>
      <c r="Z71" s="16">
        <f t="shared" si="61"/>
        <v>-9.2700237144388284E-2</v>
      </c>
      <c r="AA71" s="16">
        <f t="shared" si="61"/>
        <v>-9.3802228681048622E-2</v>
      </c>
      <c r="AB71" s="16">
        <f t="shared" si="61"/>
        <v>-9.4897350711304382E-2</v>
      </c>
      <c r="AC71" s="16">
        <f t="shared" si="61"/>
        <v>-9.5993490498716944E-2</v>
      </c>
      <c r="AD71" s="16">
        <f t="shared" si="61"/>
        <v>-9.7086745988862314E-2</v>
      </c>
    </row>
    <row r="72" spans="1:31">
      <c r="A72" t="s">
        <v>206</v>
      </c>
      <c r="B72" t="s">
        <v>221</v>
      </c>
      <c r="C72" s="158"/>
      <c r="D72" s="158"/>
      <c r="E72" s="158"/>
      <c r="F72">
        <f t="shared" ref="F72:P72" si="62">F60+F64+F68</f>
        <v>18668.879999999997</v>
      </c>
      <c r="G72">
        <f t="shared" si="62"/>
        <v>18864.854999999996</v>
      </c>
      <c r="H72">
        <f t="shared" si="62"/>
        <v>18866.864999999998</v>
      </c>
      <c r="I72">
        <f t="shared" si="62"/>
        <v>18868.875</v>
      </c>
      <c r="J72">
        <f t="shared" si="62"/>
        <v>18871.89</v>
      </c>
      <c r="K72">
        <f t="shared" si="62"/>
        <v>18873.900000000001</v>
      </c>
      <c r="L72">
        <f t="shared" si="62"/>
        <v>18875.909999999996</v>
      </c>
      <c r="M72">
        <f t="shared" si="62"/>
        <v>18878.924999999996</v>
      </c>
      <c r="N72">
        <f t="shared" si="62"/>
        <v>18880.934999999998</v>
      </c>
      <c r="O72">
        <f t="shared" si="62"/>
        <v>18882.945</v>
      </c>
      <c r="P72">
        <f t="shared" si="62"/>
        <v>18885.96</v>
      </c>
      <c r="Q72" s="158"/>
    </row>
    <row r="73" spans="1:31">
      <c r="A73" s="9" t="s">
        <v>207</v>
      </c>
      <c r="B73" t="s">
        <v>221</v>
      </c>
      <c r="C73" s="158"/>
      <c r="D73" s="158"/>
      <c r="E73" s="158"/>
      <c r="F73" s="158"/>
      <c r="G73">
        <f>G61+G65+G69</f>
        <v>10521</v>
      </c>
      <c r="H73">
        <f>H61+H65+H69</f>
        <v>11767</v>
      </c>
      <c r="I73">
        <f t="shared" ref="I73:Q73" si="63">I61+I65+I69</f>
        <v>11770</v>
      </c>
      <c r="J73">
        <f t="shared" si="63"/>
        <v>11772</v>
      </c>
      <c r="K73">
        <f t="shared" si="63"/>
        <v>11775</v>
      </c>
      <c r="L73">
        <f t="shared" si="63"/>
        <v>11778</v>
      </c>
      <c r="M73">
        <f t="shared" si="63"/>
        <v>11780</v>
      </c>
      <c r="N73">
        <f t="shared" si="63"/>
        <v>11783</v>
      </c>
      <c r="O73">
        <f t="shared" si="63"/>
        <v>11786</v>
      </c>
      <c r="P73">
        <f t="shared" si="63"/>
        <v>11789</v>
      </c>
      <c r="Q73">
        <f t="shared" si="63"/>
        <v>11792</v>
      </c>
      <c r="S73" s="3" t="str">
        <f>V64-1&amp;" to "&amp;V64&amp;" AMP Forecasts"</f>
        <v>2015 to 2016 AMP Forecasts</v>
      </c>
      <c r="T73" s="3"/>
    </row>
    <row r="74" spans="1:31">
      <c r="S74" t="s">
        <v>215</v>
      </c>
      <c r="V74" s="16">
        <f t="shared" ref="V74:AE74" si="64">IFERROR((G49-G48)/G48,(G49-G48)/(G48+1))</f>
        <v>-0.5017245063028416</v>
      </c>
      <c r="W74" s="16">
        <f t="shared" si="64"/>
        <v>-0.50223321022698364</v>
      </c>
      <c r="X74" s="16">
        <f t="shared" si="64"/>
        <v>-0.50223321022698364</v>
      </c>
      <c r="Y74" s="16">
        <f t="shared" si="64"/>
        <v>-0.50223321022698364</v>
      </c>
      <c r="Z74" s="16">
        <f t="shared" si="64"/>
        <v>-0.50223321022698364</v>
      </c>
      <c r="AA74" s="16">
        <f t="shared" si="64"/>
        <v>-0.50223321022698364</v>
      </c>
      <c r="AB74" s="16">
        <f t="shared" si="64"/>
        <v>-0.50223321022698364</v>
      </c>
      <c r="AC74" s="16">
        <f t="shared" si="64"/>
        <v>-0.50223321022698364</v>
      </c>
      <c r="AD74" s="16">
        <f t="shared" si="64"/>
        <v>-0.50223321022698364</v>
      </c>
      <c r="AE74" s="16">
        <f t="shared" si="64"/>
        <v>-0.50223321022698364</v>
      </c>
    </row>
    <row r="75" spans="1:31">
      <c r="S75" t="s">
        <v>216</v>
      </c>
      <c r="V75" s="16">
        <f t="shared" ref="V75:AE75" si="65">IFERROR((G53-G52)/G52,(G53-G52)/(G52+1))</f>
        <v>-0.42352098830235674</v>
      </c>
      <c r="W75" s="16">
        <f t="shared" si="65"/>
        <v>-0.43552358466685998</v>
      </c>
      <c r="X75" s="16">
        <f t="shared" si="65"/>
        <v>-0.4350945227629765</v>
      </c>
      <c r="Y75" s="16">
        <f t="shared" si="65"/>
        <v>-0.4350263006979424</v>
      </c>
      <c r="Z75" s="16">
        <f t="shared" si="65"/>
        <v>-0.43459796377153709</v>
      </c>
      <c r="AA75" s="16">
        <f t="shared" si="65"/>
        <v>-0.43417002226348067</v>
      </c>
      <c r="AB75" s="16">
        <f t="shared" si="65"/>
        <v>-0.43410254998072362</v>
      </c>
      <c r="AC75" s="16">
        <f t="shared" si="65"/>
        <v>-0.43367533012668324</v>
      </c>
      <c r="AD75" s="16">
        <f t="shared" si="65"/>
        <v>-0.4332485040236605</v>
      </c>
      <c r="AE75" s="16">
        <f t="shared" si="65"/>
        <v>-0.43295266701262269</v>
      </c>
    </row>
    <row r="76" spans="1:31">
      <c r="S76" t="s">
        <v>217</v>
      </c>
      <c r="V76" s="16">
        <f t="shared" ref="V76:AE76" si="66">IFERROR((G57-G56)/G56,(G57-G56)/(G56+1))</f>
        <v>0</v>
      </c>
      <c r="W76" s="16">
        <f t="shared" si="66"/>
        <v>0</v>
      </c>
      <c r="X76" s="16">
        <f t="shared" si="66"/>
        <v>0</v>
      </c>
      <c r="Y76" s="16">
        <f t="shared" si="66"/>
        <v>0</v>
      </c>
      <c r="Z76" s="16">
        <f t="shared" si="66"/>
        <v>0</v>
      </c>
      <c r="AA76" s="16">
        <f t="shared" si="66"/>
        <v>0</v>
      </c>
      <c r="AB76" s="16">
        <f t="shared" si="66"/>
        <v>0</v>
      </c>
      <c r="AC76" s="16">
        <f t="shared" si="66"/>
        <v>0</v>
      </c>
      <c r="AD76" s="16">
        <f t="shared" si="66"/>
        <v>0</v>
      </c>
      <c r="AE76" s="16">
        <f t="shared" si="66"/>
        <v>0</v>
      </c>
    </row>
    <row r="77" spans="1:31">
      <c r="S77" t="s">
        <v>218</v>
      </c>
      <c r="V77" s="16">
        <f t="shared" ref="V77:AE77" si="67">IFERROR((G61-G60)/G60,(G61-G60)/(G60+1))</f>
        <v>-0.80819278021275243</v>
      </c>
      <c r="W77" s="16">
        <f t="shared" si="67"/>
        <v>-0.69883076352532492</v>
      </c>
      <c r="X77" s="16">
        <f t="shared" si="67"/>
        <v>-0.69883076352532492</v>
      </c>
      <c r="Y77" s="16">
        <f t="shared" si="67"/>
        <v>-0.69883076352532492</v>
      </c>
      <c r="Z77" s="16">
        <f t="shared" si="67"/>
        <v>-0.69883076352532492</v>
      </c>
      <c r="AA77" s="16">
        <f t="shared" si="67"/>
        <v>-0.69883076352532492</v>
      </c>
      <c r="AB77" s="16">
        <f t="shared" si="67"/>
        <v>-0.69883076352532492</v>
      </c>
      <c r="AC77" s="16">
        <f t="shared" si="67"/>
        <v>-0.69883076352532492</v>
      </c>
      <c r="AD77" s="16">
        <f t="shared" si="67"/>
        <v>-0.69883076352532492</v>
      </c>
      <c r="AE77" s="16">
        <f t="shared" si="67"/>
        <v>-0.69883076352532492</v>
      </c>
    </row>
    <row r="78" spans="1:31">
      <c r="S78" t="s">
        <v>219</v>
      </c>
      <c r="V78" s="16">
        <f t="shared" ref="V78:AE78" si="68">IFERROR((G65-G64)/G64,(G65-G64)/(G64+1))</f>
        <v>6.3982604960807485</v>
      </c>
      <c r="W78" s="16">
        <f t="shared" si="68"/>
        <v>6.7597623393822266</v>
      </c>
      <c r="X78" s="16">
        <f t="shared" si="68"/>
        <v>6.7597623393822266</v>
      </c>
      <c r="Y78" s="16">
        <f t="shared" si="68"/>
        <v>6.7597623393822266</v>
      </c>
      <c r="Z78" s="16">
        <f t="shared" si="68"/>
        <v>6.7597623393822266</v>
      </c>
      <c r="AA78" s="16">
        <f t="shared" si="68"/>
        <v>6.7597623393822266</v>
      </c>
      <c r="AB78" s="16">
        <f t="shared" si="68"/>
        <v>6.7597623393822266</v>
      </c>
      <c r="AC78" s="16">
        <f t="shared" si="68"/>
        <v>6.7597623393822266</v>
      </c>
      <c r="AD78" s="16">
        <f t="shared" si="68"/>
        <v>6.7597623393822266</v>
      </c>
      <c r="AE78" s="16">
        <f t="shared" si="68"/>
        <v>6.7597623393822266</v>
      </c>
    </row>
    <row r="79" spans="1:31">
      <c r="S79" t="s">
        <v>220</v>
      </c>
      <c r="V79" s="16">
        <f t="shared" ref="V79:AE79" si="69">IFERROR((G69-G68)/G68,(G69-G68)/(G68+1))</f>
        <v>-0.46067573234145026</v>
      </c>
      <c r="W79" s="16">
        <f t="shared" si="69"/>
        <v>-0.46720984683189204</v>
      </c>
      <c r="X79" s="16">
        <f t="shared" si="69"/>
        <v>-0.46697684193743583</v>
      </c>
      <c r="Y79" s="16">
        <f t="shared" si="69"/>
        <v>-0.46692939863236893</v>
      </c>
      <c r="Z79" s="16">
        <f t="shared" si="69"/>
        <v>-0.46669660311809869</v>
      </c>
      <c r="AA79" s="16">
        <f t="shared" si="69"/>
        <v>-0.46646392054282854</v>
      </c>
      <c r="AB79" s="16">
        <f t="shared" si="69"/>
        <v>-0.46641670406454622</v>
      </c>
      <c r="AC79" s="16">
        <f t="shared" si="69"/>
        <v>-0.46618423036333484</v>
      </c>
      <c r="AD79" s="16">
        <f t="shared" si="69"/>
        <v>-0.46595186934932692</v>
      </c>
      <c r="AE79" s="16">
        <f t="shared" si="69"/>
        <v>-0.4657843429732017</v>
      </c>
    </row>
    <row r="80" spans="1:31">
      <c r="S80" t="s">
        <v>221</v>
      </c>
      <c r="V80" s="16">
        <f t="shared" ref="V80:AE80" si="70">IFERROR((G73-G72)/G72,(G73-G72)/(G72+1))</f>
        <v>-0.44229626996867971</v>
      </c>
      <c r="W80" s="16">
        <f t="shared" si="70"/>
        <v>-0.37631397691137342</v>
      </c>
      <c r="X80" s="16">
        <f t="shared" si="70"/>
        <v>-0.37622142284582416</v>
      </c>
      <c r="Y80" s="16">
        <f t="shared" si="70"/>
        <v>-0.37621510087224969</v>
      </c>
      <c r="Z80" s="16">
        <f t="shared" si="70"/>
        <v>-0.37612258197828752</v>
      </c>
      <c r="AA80" s="16">
        <f t="shared" si="70"/>
        <v>-0.37603008278806149</v>
      </c>
      <c r="AB80" s="16">
        <f t="shared" si="70"/>
        <v>-0.37602379372766176</v>
      </c>
      <c r="AC80" s="16">
        <f t="shared" si="70"/>
        <v>-0.37593132967196796</v>
      </c>
      <c r="AD80" s="16">
        <f t="shared" si="70"/>
        <v>-0.37583888530099513</v>
      </c>
      <c r="AE80" s="16">
        <f t="shared" si="70"/>
        <v>-0.37577967971974946</v>
      </c>
    </row>
    <row r="84" spans="19:32">
      <c r="S84" t="s">
        <v>161</v>
      </c>
      <c r="T84">
        <f>U84-1</f>
        <v>2011</v>
      </c>
      <c r="U84">
        <f>V84-1</f>
        <v>2012</v>
      </c>
      <c r="V84">
        <f>T64-1</f>
        <v>2013</v>
      </c>
      <c r="W84">
        <f>V84+1</f>
        <v>2014</v>
      </c>
      <c r="X84">
        <f t="shared" ref="X84:AF84" si="71">W84+1</f>
        <v>2015</v>
      </c>
      <c r="Y84">
        <f t="shared" si="71"/>
        <v>2016</v>
      </c>
      <c r="Z84">
        <f t="shared" si="71"/>
        <v>2017</v>
      </c>
      <c r="AA84">
        <f t="shared" si="71"/>
        <v>2018</v>
      </c>
      <c r="AB84">
        <f t="shared" si="71"/>
        <v>2019</v>
      </c>
      <c r="AC84">
        <f t="shared" si="71"/>
        <v>2020</v>
      </c>
      <c r="AD84">
        <f t="shared" si="71"/>
        <v>2021</v>
      </c>
      <c r="AE84">
        <f t="shared" si="71"/>
        <v>2022</v>
      </c>
      <c r="AF84">
        <f t="shared" si="71"/>
        <v>2023</v>
      </c>
    </row>
    <row r="85" spans="19:32">
      <c r="S85" t="s">
        <v>347</v>
      </c>
      <c r="V85">
        <f>D70</f>
        <v>18914.723883899998</v>
      </c>
      <c r="W85">
        <f>E70</f>
        <v>21117.341781900002</v>
      </c>
      <c r="X85">
        <f>F71</f>
        <v>20625.976799999997</v>
      </c>
      <c r="Y85">
        <f>G72</f>
        <v>18864.854999999996</v>
      </c>
    </row>
    <row r="86" spans="19:32">
      <c r="S86" t="s">
        <v>348</v>
      </c>
      <c r="V86">
        <f>'Data Input Sheet'!B14</f>
        <v>10763</v>
      </c>
      <c r="W86">
        <f>'Data Input Sheet'!C14</f>
        <v>10816</v>
      </c>
      <c r="X86">
        <f>'Data Input Sheet'!D14</f>
        <v>10825</v>
      </c>
    </row>
    <row r="87" spans="19:32">
      <c r="S87" t="s">
        <v>19</v>
      </c>
      <c r="V87" s="14">
        <f>V85-V86</f>
        <v>8151.7238838999983</v>
      </c>
      <c r="W87" s="14">
        <f t="shared" ref="W87:X87" si="72">W85-W86</f>
        <v>10301.341781900002</v>
      </c>
      <c r="X87" s="14">
        <f t="shared" si="72"/>
        <v>9800.9767999999967</v>
      </c>
    </row>
    <row r="88" spans="19:32">
      <c r="S88" t="s">
        <v>388</v>
      </c>
      <c r="V88" s="272">
        <f>V87/V85</f>
        <v>0.43097239663322046</v>
      </c>
      <c r="W88" s="19">
        <f t="shared" ref="W88:X88" si="73">W87/W85</f>
        <v>0.48781432285807108</v>
      </c>
      <c r="X88" s="19">
        <f t="shared" si="73"/>
        <v>0.47517637079859404</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339966"/>
  </sheetPr>
  <dimension ref="A1:V117"/>
  <sheetViews>
    <sheetView tabSelected="1" zoomScale="70" zoomScaleNormal="70" zoomScaleSheetLayoutView="25" zoomScalePageLayoutView="75" workbookViewId="0">
      <selection activeCell="A2" sqref="A2"/>
    </sheetView>
  </sheetViews>
  <sheetFormatPr defaultColWidth="8.83203125" defaultRowHeight="15.5"/>
  <cols>
    <col min="1" max="1" width="20" style="64" customWidth="1"/>
    <col min="2" max="3" width="11" style="64" bestFit="1" customWidth="1"/>
    <col min="4" max="5" width="13.5" style="64" customWidth="1"/>
    <col min="6" max="6" width="11" style="64" bestFit="1" customWidth="1"/>
    <col min="7" max="7" width="15.5" style="64" customWidth="1"/>
    <col min="8" max="8" width="9" style="64" customWidth="1"/>
    <col min="9" max="9" width="13.5" style="64" customWidth="1"/>
    <col min="10" max="10" width="16.83203125" style="64" customWidth="1"/>
    <col min="11" max="11" width="14" style="64" customWidth="1"/>
    <col min="12" max="12" width="11.5" style="64" customWidth="1"/>
    <col min="13" max="13" width="13.5" style="64" customWidth="1"/>
    <col min="14" max="14" width="14.5" style="64" customWidth="1"/>
    <col min="15" max="15" width="12.33203125" style="64" customWidth="1"/>
    <col min="16" max="16" width="14" style="64" customWidth="1"/>
    <col min="17" max="17" width="12" style="64" customWidth="1"/>
    <col min="18" max="18" width="11.5" style="64" customWidth="1"/>
    <col min="19" max="19" width="14.5" style="64" customWidth="1"/>
    <col min="20" max="20" width="11.5" style="64" customWidth="1"/>
    <col min="21" max="21" width="15.83203125" style="64" customWidth="1"/>
    <col min="22" max="22" width="17.83203125" style="64" customWidth="1"/>
    <col min="23" max="23" width="15.83203125" style="64" customWidth="1"/>
    <col min="24" max="24" width="8.83203125" style="64"/>
    <col min="25" max="31" width="14" style="64" customWidth="1"/>
    <col min="32" max="16384" width="8.83203125" style="64"/>
  </cols>
  <sheetData>
    <row r="1" spans="1:2" s="73" customFormat="1">
      <c r="A1" s="73" t="s">
        <v>198</v>
      </c>
    </row>
    <row r="2" spans="1:2">
      <c r="A2" s="176"/>
    </row>
    <row r="3" spans="1:2">
      <c r="A3" s="176"/>
    </row>
    <row r="4" spans="1:2">
      <c r="A4" s="176"/>
      <c r="B4" s="176">
        <v>3</v>
      </c>
    </row>
    <row r="19" spans="3:22">
      <c r="C19" s="125"/>
      <c r="D19" s="125"/>
      <c r="I19" s="65"/>
      <c r="J19" s="125"/>
    </row>
    <row r="20" spans="3:22">
      <c r="D20" s="125"/>
      <c r="I20" s="65"/>
      <c r="J20" s="125"/>
    </row>
    <row r="21" spans="3:22">
      <c r="C21" s="65"/>
      <c r="D21" s="125"/>
      <c r="I21" s="65"/>
      <c r="J21" s="125"/>
    </row>
    <row r="22" spans="3:22">
      <c r="D22" s="125"/>
      <c r="I22" s="65"/>
      <c r="J22" s="125"/>
    </row>
    <row r="23" spans="3:22">
      <c r="D23" s="125"/>
      <c r="I23" s="65"/>
      <c r="J23" s="125"/>
      <c r="V23" s="126"/>
    </row>
    <row r="24" spans="3:22">
      <c r="C24" s="125"/>
      <c r="D24" s="125"/>
      <c r="I24" s="65"/>
      <c r="J24" s="125"/>
      <c r="V24" s="126"/>
    </row>
    <row r="77" spans="7:7">
      <c r="G77" s="133"/>
    </row>
    <row r="82" spans="1:18" s="73" customFormat="1">
      <c r="A82" s="72" t="s">
        <v>171</v>
      </c>
    </row>
    <row r="83" spans="1:18" ht="75" customHeight="1" thickBot="1">
      <c r="A83" s="154" t="s">
        <v>70</v>
      </c>
      <c r="B83" s="154"/>
      <c r="C83" s="155" t="s">
        <v>71</v>
      </c>
      <c r="D83" s="134" t="s">
        <v>165</v>
      </c>
      <c r="E83" s="134" t="s">
        <v>371</v>
      </c>
      <c r="F83" s="156" t="str">
        <f>'Asset Data Input Sheet'!AR4</f>
        <v>Grade 1</v>
      </c>
      <c r="G83" s="156" t="str">
        <f>'Asset Data Input Sheet'!AS4</f>
        <v>Grade 2</v>
      </c>
      <c r="H83" s="156" t="str">
        <f>'Asset Data Input Sheet'!AT4</f>
        <v>Grade 3</v>
      </c>
      <c r="I83" s="156" t="str">
        <f>'Asset Data Input Sheet'!AU4</f>
        <v>Grade 4</v>
      </c>
      <c r="J83" s="156" t="str">
        <f>'Asset Data Input Sheet'!AV4</f>
        <v>Grade Unknown</v>
      </c>
      <c r="K83" s="134" t="s">
        <v>145</v>
      </c>
      <c r="L83" s="134" t="s">
        <v>372</v>
      </c>
      <c r="M83" s="134" t="s">
        <v>373</v>
      </c>
      <c r="N83" s="134" t="s">
        <v>415</v>
      </c>
      <c r="O83" s="134"/>
      <c r="P83" s="134"/>
      <c r="Q83" s="134"/>
      <c r="R83" s="134"/>
    </row>
    <row r="84" spans="1:18" ht="16" thickTop="1">
      <c r="A84" s="64" t="s">
        <v>75</v>
      </c>
      <c r="C84" s="69" t="s">
        <v>76</v>
      </c>
      <c r="D84" s="67" t="str">
        <f>'Asset Data Input Sheet'!AB34</f>
        <v/>
      </c>
      <c r="E84" s="75">
        <f>IFERROR(SUM('Asset Data Input Sheet'!E5:AA5),0)</f>
        <v>0</v>
      </c>
      <c r="F84" s="81">
        <f>'Asset Data Input Sheet'!AR5</f>
        <v>0</v>
      </c>
      <c r="G84" s="81">
        <f>'Asset Data Input Sheet'!AS5</f>
        <v>0</v>
      </c>
      <c r="H84" s="81">
        <f>'Asset Data Input Sheet'!AT5</f>
        <v>0</v>
      </c>
      <c r="I84" s="81">
        <f>'Asset Data Input Sheet'!AU5</f>
        <v>0</v>
      </c>
      <c r="J84" s="81">
        <f>'Asset Data Input Sheet'!AV5</f>
        <v>0</v>
      </c>
      <c r="K84" s="68">
        <f>IFERROR('Asset Data Input Sheet'!AX5/100,"")</f>
        <v>0</v>
      </c>
      <c r="L84" s="80" t="str">
        <f t="shared" ref="L84:L110" si="0">IF(E84=0,"",K84*E84)</f>
        <v/>
      </c>
      <c r="M84" s="80" t="str">
        <f>IF(E84=0,"",(E84*F84*Base!$E$79)+(E84*G84*Base!$E$80)+(E84*H84*Base!$E$81)+(E84*I84*Base!$E$81))</f>
        <v/>
      </c>
      <c r="N84" s="123" t="str">
        <f>IF(E84=0,"",IF($D84&gt;Base!$D$85,"Assessment Required - Average Age",IF(ABS('Main Dashboard'!$M84-'Main Dashboard'!$L84)&gt;Base!$D$87,"Assessment Required - Replacement vs Required",IF('Main Dashboard'!$J84&gt;Base!$E$83,"Assessment Required - Unknown Asset Size",""))))</f>
        <v/>
      </c>
      <c r="P84" s="177"/>
      <c r="Q84" s="174"/>
      <c r="R84" s="278" t="str">
        <f>IF(_xlfn.XOR(E84&gt;0,SUM(F84:J84)&gt;0),"Potential Error,  Either Grading but no Asset, or Asset but no Grading","")</f>
        <v/>
      </c>
    </row>
    <row r="85" spans="1:18">
      <c r="A85" s="64" t="s">
        <v>77</v>
      </c>
      <c r="C85" s="69" t="s">
        <v>76</v>
      </c>
      <c r="D85" s="67">
        <f>'Asset Data Input Sheet'!AB35</f>
        <v>30.342465753424658</v>
      </c>
      <c r="E85" s="75">
        <f>IFERROR(SUM('Asset Data Input Sheet'!E6:AA6),0)</f>
        <v>219</v>
      </c>
      <c r="F85" s="81">
        <f>'Asset Data Input Sheet'!AR6</f>
        <v>0</v>
      </c>
      <c r="G85" s="81">
        <f>'Asset Data Input Sheet'!AS6</f>
        <v>0</v>
      </c>
      <c r="H85" s="81">
        <f>'Asset Data Input Sheet'!AT6</f>
        <v>0</v>
      </c>
      <c r="I85" s="81">
        <f>'Asset Data Input Sheet'!AU6</f>
        <v>1</v>
      </c>
      <c r="J85" s="81">
        <f>'Asset Data Input Sheet'!AV6</f>
        <v>0</v>
      </c>
      <c r="K85" s="68">
        <f>IFERROR('Asset Data Input Sheet'!AX6,"")</f>
        <v>0</v>
      </c>
      <c r="L85" s="80">
        <f t="shared" si="0"/>
        <v>0</v>
      </c>
      <c r="M85" s="80">
        <f>IF(E85=0,"",(E85*F85*Base!$E$79)+(E85*G85*Base!$E$80)+(E85*H85*Base!$E$81)+(E85*I85*Base!$E$81))</f>
        <v>0</v>
      </c>
      <c r="N85" s="123" t="str">
        <f>IF(E85=0,"",IF($D85&gt;Base!$D$85,"Assessment Required - Average Age",IF(ABS('Main Dashboard'!$M85-'Main Dashboard'!$L85)&gt;Base!$D$87,"Assessment Required - Replacement vs Required",IF('Main Dashboard'!$J85&gt;Base!$E$83,"Assessment Required - Unknown Asset Size",""))))</f>
        <v/>
      </c>
      <c r="P85" s="177"/>
      <c r="Q85" s="174"/>
      <c r="R85" s="278" t="str">
        <f t="shared" ref="R85:R110" si="1">IF(_xlfn.XOR(E85&gt;0,SUM(F85:J85)&gt;0),"Potential Error,  Either Grading but no Asset, or Asset but no Grading","")</f>
        <v/>
      </c>
    </row>
    <row r="86" spans="1:18">
      <c r="A86" s="64" t="s">
        <v>78</v>
      </c>
      <c r="C86" s="69" t="s">
        <v>76</v>
      </c>
      <c r="D86" s="67" t="str">
        <f>'Asset Data Input Sheet'!AB36</f>
        <v/>
      </c>
      <c r="E86" s="75">
        <f>IFERROR(SUM('Asset Data Input Sheet'!E7:AA7),0)</f>
        <v>0</v>
      </c>
      <c r="F86" s="81">
        <f>'Asset Data Input Sheet'!AR7</f>
        <v>0</v>
      </c>
      <c r="G86" s="81">
        <f>'Asset Data Input Sheet'!AS7</f>
        <v>0</v>
      </c>
      <c r="H86" s="81">
        <f>'Asset Data Input Sheet'!AT7</f>
        <v>0</v>
      </c>
      <c r="I86" s="81">
        <f>'Asset Data Input Sheet'!AU7</f>
        <v>0</v>
      </c>
      <c r="J86" s="81">
        <f>'Asset Data Input Sheet'!AV7</f>
        <v>0</v>
      </c>
      <c r="K86" s="68">
        <f>IFERROR('Asset Data Input Sheet'!AX7,"")</f>
        <v>0</v>
      </c>
      <c r="L86" s="80" t="str">
        <f t="shared" si="0"/>
        <v/>
      </c>
      <c r="M86" s="80" t="str">
        <f>IF(E86=0,"",(E86*F86*Base!$E$79)+(E86*G86*Base!$E$80)+(E86*H86*Base!$E$81)+(E86*I86*Base!$E$81))</f>
        <v/>
      </c>
      <c r="N86" s="123" t="str">
        <f>IF(E86=0,"",IF($D86&gt;Base!$D$85,"Assessment Required - Average Age",IF(ABS('Main Dashboard'!$M86-'Main Dashboard'!$L86)&gt;Base!$D$87,"Assessment Required - Replacement vs Required",IF('Main Dashboard'!$J86&gt;Base!$E$83,"Assessment Required - Unknown Asset Size",""))))</f>
        <v/>
      </c>
      <c r="P86" s="177"/>
      <c r="Q86" s="174"/>
      <c r="R86" s="278" t="str">
        <f t="shared" si="1"/>
        <v/>
      </c>
    </row>
    <row r="87" spans="1:18">
      <c r="A87" s="64" t="s">
        <v>80</v>
      </c>
      <c r="C87" s="69" t="s">
        <v>76</v>
      </c>
      <c r="D87" s="67" t="str">
        <f>'Asset Data Input Sheet'!AB37</f>
        <v/>
      </c>
      <c r="E87" s="75">
        <f>IFERROR(SUM('Asset Data Input Sheet'!E8:AA8),0)</f>
        <v>0</v>
      </c>
      <c r="F87" s="81">
        <f>'Asset Data Input Sheet'!AR8</f>
        <v>0</v>
      </c>
      <c r="G87" s="81">
        <f>'Asset Data Input Sheet'!AS8</f>
        <v>0</v>
      </c>
      <c r="H87" s="81">
        <f>'Asset Data Input Sheet'!AT8</f>
        <v>0</v>
      </c>
      <c r="I87" s="81">
        <f>'Asset Data Input Sheet'!AU8</f>
        <v>0</v>
      </c>
      <c r="J87" s="81">
        <f>'Asset Data Input Sheet'!AV8</f>
        <v>0</v>
      </c>
      <c r="K87" s="68">
        <f>IFERROR('Asset Data Input Sheet'!AX8,"")</f>
        <v>0</v>
      </c>
      <c r="L87" s="80" t="str">
        <f t="shared" si="0"/>
        <v/>
      </c>
      <c r="M87" s="80" t="str">
        <f>IF(E87=0,"",(E87*F87*Base!$E$79)+(E87*G87*Base!$E$80)+(E87*H87*Base!$E$81)+(E87*I87*Base!$E$81))</f>
        <v/>
      </c>
      <c r="N87" s="123" t="str">
        <f>IF(E87=0,"",IF($D87&gt;Base!$D$85,"Assessment Required - Average Age",IF(ABS('Main Dashboard'!$M87-'Main Dashboard'!$L87)&gt;Base!$D$87,"Assessment Required - Replacement vs Required",IF('Main Dashboard'!$J87&gt;Base!$E$83,"Assessment Required - Unknown Asset Size",""))))</f>
        <v/>
      </c>
      <c r="P87" s="177"/>
      <c r="Q87" s="174"/>
      <c r="R87" s="278" t="str">
        <f t="shared" si="1"/>
        <v/>
      </c>
    </row>
    <row r="88" spans="1:18">
      <c r="A88" s="64" t="s">
        <v>81</v>
      </c>
      <c r="C88" s="69" t="s">
        <v>76</v>
      </c>
      <c r="D88" s="67">
        <f>'Asset Data Input Sheet'!AB38</f>
        <v>24</v>
      </c>
      <c r="E88" s="75">
        <f>IFERROR(SUM('Asset Data Input Sheet'!E9:AA9),0)</f>
        <v>6</v>
      </c>
      <c r="F88" s="81">
        <f>'Asset Data Input Sheet'!AR9</f>
        <v>0</v>
      </c>
      <c r="G88" s="81">
        <f>'Asset Data Input Sheet'!AS9</f>
        <v>0</v>
      </c>
      <c r="H88" s="81">
        <f>'Asset Data Input Sheet'!AT9</f>
        <v>0</v>
      </c>
      <c r="I88" s="81">
        <f>'Asset Data Input Sheet'!AU9</f>
        <v>1</v>
      </c>
      <c r="J88" s="81">
        <f>'Asset Data Input Sheet'!AV9</f>
        <v>0</v>
      </c>
      <c r="K88" s="68">
        <f>IFERROR('Asset Data Input Sheet'!AX9,"")</f>
        <v>0</v>
      </c>
      <c r="L88" s="80">
        <f t="shared" si="0"/>
        <v>0</v>
      </c>
      <c r="M88" s="80">
        <f>IF(E88=0,"",(E88*F88*Base!$E$79)+(E88*G88*Base!$E$80)+(E88*H88*Base!$E$81)+(E88*I88*Base!$E$81))</f>
        <v>0</v>
      </c>
      <c r="N88" s="123" t="str">
        <f>IF(E88=0,"",IF($D88&gt;Base!$D$85,"Assessment Required - Average Age",IF(ABS('Main Dashboard'!$M88-'Main Dashboard'!$L88)&gt;Base!$D$87,"Assessment Required - Replacement vs Required",IF('Main Dashboard'!$J88&gt;Base!$E$83,"Assessment Required - Unknown Asset Size",""))))</f>
        <v/>
      </c>
      <c r="P88" s="177"/>
      <c r="Q88" s="174"/>
      <c r="R88" s="278" t="str">
        <f t="shared" si="1"/>
        <v/>
      </c>
    </row>
    <row r="89" spans="1:18">
      <c r="A89" s="64" t="s">
        <v>82</v>
      </c>
      <c r="C89" s="69" t="s">
        <v>76</v>
      </c>
      <c r="D89" s="67" t="str">
        <f>'Asset Data Input Sheet'!AB39</f>
        <v/>
      </c>
      <c r="E89" s="75">
        <f>IFERROR(SUM('Asset Data Input Sheet'!E10:AA10),0)</f>
        <v>0</v>
      </c>
      <c r="F89" s="81">
        <f>'Asset Data Input Sheet'!AR10</f>
        <v>0</v>
      </c>
      <c r="G89" s="81">
        <f>'Asset Data Input Sheet'!AS10</f>
        <v>0</v>
      </c>
      <c r="H89" s="81">
        <f>'Asset Data Input Sheet'!AT10</f>
        <v>0</v>
      </c>
      <c r="I89" s="81">
        <f>'Asset Data Input Sheet'!AU10</f>
        <v>0</v>
      </c>
      <c r="J89" s="81">
        <f>'Asset Data Input Sheet'!AV10</f>
        <v>0</v>
      </c>
      <c r="K89" s="68">
        <f>IFERROR('Asset Data Input Sheet'!AX10,"")</f>
        <v>0</v>
      </c>
      <c r="L89" s="80" t="str">
        <f t="shared" si="0"/>
        <v/>
      </c>
      <c r="M89" s="80" t="str">
        <f>IF(E89=0,"",(E89*F89*Base!$E$79)+(E89*G89*Base!$E$80)+(E89*H89*Base!$E$81)+(E89*I89*Base!$E$81))</f>
        <v/>
      </c>
      <c r="N89" s="123" t="str">
        <f>IF(E89=0,"",IF($D89&gt;Base!$D$85,"Assessment Required - Average Age",IF(ABS('Main Dashboard'!$M89-'Main Dashboard'!$L89)&gt;Base!$D$87,"Assessment Required - Replacement vs Required",IF('Main Dashboard'!$J89&gt;Base!$E$83,"Assessment Required - Unknown Asset Size",""))))</f>
        <v/>
      </c>
      <c r="P89" s="177"/>
      <c r="Q89" s="174"/>
      <c r="R89" s="278" t="str">
        <f t="shared" si="1"/>
        <v/>
      </c>
    </row>
    <row r="90" spans="1:18">
      <c r="A90" s="64" t="s">
        <v>84</v>
      </c>
      <c r="C90" s="69" t="s">
        <v>85</v>
      </c>
      <c r="D90" s="67">
        <f>'Asset Data Input Sheet'!AB40</f>
        <v>22.35483870967742</v>
      </c>
      <c r="E90" s="75">
        <f>IFERROR(SUM('Asset Data Input Sheet'!E11:AA11),0)</f>
        <v>93</v>
      </c>
      <c r="F90" s="81">
        <f>'Asset Data Input Sheet'!AR11</f>
        <v>0</v>
      </c>
      <c r="G90" s="81">
        <f>'Asset Data Input Sheet'!AS11</f>
        <v>0</v>
      </c>
      <c r="H90" s="81">
        <f>'Asset Data Input Sheet'!AT11</f>
        <v>0.20730000000000001</v>
      </c>
      <c r="I90" s="81">
        <f>'Asset Data Input Sheet'!AU11</f>
        <v>0.79269999999999996</v>
      </c>
      <c r="J90" s="81">
        <f>'Asset Data Input Sheet'!AV11</f>
        <v>0</v>
      </c>
      <c r="K90" s="68">
        <f>IFERROR('Asset Data Input Sheet'!AX11,"")</f>
        <v>7.3200000000000001E-2</v>
      </c>
      <c r="L90" s="80">
        <f t="shared" si="0"/>
        <v>6.8075999999999999</v>
      </c>
      <c r="M90" s="80">
        <f>IF(E90=0,"",(E90*F90*Base!$E$79)+(E90*G90*Base!$E$80)+(E90*H90*Base!$E$81)+(E90*I90*Base!$E$81))</f>
        <v>0</v>
      </c>
      <c r="N90" s="123" t="str">
        <f>IF(E90=0,"",IF($D90&gt;Base!$D$85,"Assessment Required - Average Age",IF(ABS('Main Dashboard'!$M90-'Main Dashboard'!$L90)&gt;Base!$D$87,"Assessment Required - Replacement vs Required",IF('Main Dashboard'!$J90&gt;Base!$E$83,"Assessment Required - Unknown Asset Size",""))))</f>
        <v>Assessment Required - Replacement vs Required</v>
      </c>
      <c r="P90" s="177"/>
      <c r="Q90" s="174"/>
      <c r="R90" s="278" t="str">
        <f t="shared" si="1"/>
        <v/>
      </c>
    </row>
    <row r="91" spans="1:18">
      <c r="A91" s="64" t="s">
        <v>87</v>
      </c>
      <c r="C91" s="69" t="s">
        <v>85</v>
      </c>
      <c r="D91" s="67">
        <f>'Asset Data Input Sheet'!AB41</f>
        <v>25.78720238095238</v>
      </c>
      <c r="E91" s="75">
        <f>IFERROR(SUM('Asset Data Input Sheet'!E12:AA12),0)</f>
        <v>672</v>
      </c>
      <c r="F91" s="81">
        <f>'Asset Data Input Sheet'!AR12</f>
        <v>0</v>
      </c>
      <c r="G91" s="81">
        <f>'Asset Data Input Sheet'!AS12</f>
        <v>5.67E-2</v>
      </c>
      <c r="H91" s="81">
        <f>'Asset Data Input Sheet'!AT12</f>
        <v>0.7631</v>
      </c>
      <c r="I91" s="81">
        <f>'Asset Data Input Sheet'!AU12</f>
        <v>7.2300000000000003E-2</v>
      </c>
      <c r="J91" s="81">
        <f>'Asset Data Input Sheet'!AV12</f>
        <v>0.10780000000000001</v>
      </c>
      <c r="K91" s="68">
        <f>IFERROR('Asset Data Input Sheet'!AX12,"")</f>
        <v>0</v>
      </c>
      <c r="L91" s="80">
        <f t="shared" si="0"/>
        <v>0</v>
      </c>
      <c r="M91" s="80">
        <f>IF(E91=0,"",(E91*F91*Base!$E$79)+(E91*G91*Base!$E$80)+(E91*H91*Base!$E$81)+(E91*I91*Base!$E$81))</f>
        <v>30.481920000000002</v>
      </c>
      <c r="N91" s="123" t="str">
        <f>IF(E91=0,"",IF($D91&gt;Base!$D$85,"Assessment Required - Average Age",IF(ABS('Main Dashboard'!$M91-'Main Dashboard'!$L91)&gt;Base!$D$87,"Assessment Required - Replacement vs Required",IF('Main Dashboard'!$J91&gt;Base!$E$83,"Assessment Required - Unknown Asset Size",""))))</f>
        <v>Assessment Required - Replacement vs Required</v>
      </c>
      <c r="P91" s="177"/>
      <c r="Q91" s="174"/>
      <c r="R91" s="278" t="str">
        <f t="shared" si="1"/>
        <v/>
      </c>
    </row>
    <row r="92" spans="1:18">
      <c r="A92" s="64" t="s">
        <v>89</v>
      </c>
      <c r="C92" s="69" t="s">
        <v>85</v>
      </c>
      <c r="D92" s="67">
        <f>'Asset Data Input Sheet'!AB42</f>
        <v>26.777777777777779</v>
      </c>
      <c r="E92" s="75">
        <f>IFERROR(SUM('Asset Data Input Sheet'!E13:AA13),0)</f>
        <v>18</v>
      </c>
      <c r="F92" s="81">
        <f>'Asset Data Input Sheet'!AR13</f>
        <v>0</v>
      </c>
      <c r="G92" s="81">
        <f>'Asset Data Input Sheet'!AS13</f>
        <v>5.8799999999999998E-2</v>
      </c>
      <c r="H92" s="81">
        <f>'Asset Data Input Sheet'!AT13</f>
        <v>0.76470000000000005</v>
      </c>
      <c r="I92" s="81">
        <f>'Asset Data Input Sheet'!AU13</f>
        <v>0.17649999999999999</v>
      </c>
      <c r="J92" s="81">
        <f>'Asset Data Input Sheet'!AV13</f>
        <v>0</v>
      </c>
      <c r="K92" s="68">
        <f>IFERROR('Asset Data Input Sheet'!AX13,"")</f>
        <v>3.7000000000000005E-2</v>
      </c>
      <c r="L92" s="80">
        <f t="shared" si="0"/>
        <v>0.66600000000000015</v>
      </c>
      <c r="M92" s="80">
        <f>IF(E92=0,"",(E92*F92*Base!$E$79)+(E92*G92*Base!$E$80)+(E92*H92*Base!$E$81)+(E92*I92*Base!$E$81))</f>
        <v>0.84672000000000003</v>
      </c>
      <c r="N92" s="123" t="str">
        <f>IF(E92=0,"",IF($D92&gt;Base!$D$85,"Assessment Required - Average Age",IF(ABS('Main Dashboard'!$M92-'Main Dashboard'!$L92)&gt;Base!$D$87,"Assessment Required - Replacement vs Required",IF('Main Dashboard'!$J92&gt;Base!$E$83,"Assessment Required - Unknown Asset Size",""))))</f>
        <v/>
      </c>
      <c r="P92" s="177"/>
      <c r="Q92" s="174"/>
      <c r="R92" s="278" t="str">
        <f t="shared" si="1"/>
        <v/>
      </c>
    </row>
    <row r="93" spans="1:18">
      <c r="A93" s="64" t="s">
        <v>91</v>
      </c>
      <c r="C93" s="69" t="s">
        <v>76</v>
      </c>
      <c r="D93" s="67">
        <f>'Asset Data Input Sheet'!AB43</f>
        <v>17.38924794359577</v>
      </c>
      <c r="E93" s="75">
        <f>IFERROR(SUM('Asset Data Input Sheet'!E14:AA14),0)</f>
        <v>3404</v>
      </c>
      <c r="F93" s="81">
        <f>'Asset Data Input Sheet'!AR14</f>
        <v>0</v>
      </c>
      <c r="G93" s="81">
        <f>'Asset Data Input Sheet'!AS14</f>
        <v>4.5999999999999999E-3</v>
      </c>
      <c r="H93" s="81">
        <f>'Asset Data Input Sheet'!AT14</f>
        <v>0</v>
      </c>
      <c r="I93" s="81">
        <f>'Asset Data Input Sheet'!AU14</f>
        <v>0.99539999999999995</v>
      </c>
      <c r="J93" s="81">
        <f>'Asset Data Input Sheet'!AV14</f>
        <v>0</v>
      </c>
      <c r="K93" s="68">
        <f>IFERROR('Asset Data Input Sheet'!AX14,"")</f>
        <v>1.9E-3</v>
      </c>
      <c r="L93" s="80">
        <f t="shared" si="0"/>
        <v>6.4676</v>
      </c>
      <c r="M93" s="80">
        <f>IF(E93=0,"",(E93*F93*Base!$E$79)+(E93*G93*Base!$E$80)+(E93*H93*Base!$E$81)+(E93*I93*Base!$E$81))</f>
        <v>12.526720000000001</v>
      </c>
      <c r="N93" s="123" t="str">
        <f>IF(E93=0,"",IF($D93&gt;Base!$D$85,"Assessment Required - Average Age",IF(ABS('Main Dashboard'!$M93-'Main Dashboard'!$L93)&gt;Base!$D$87,"Assessment Required - Replacement vs Required",IF('Main Dashboard'!$J93&gt;Base!$E$83,"Assessment Required - Unknown Asset Size",""))))</f>
        <v>Assessment Required - Replacement vs Required</v>
      </c>
      <c r="P93" s="177"/>
      <c r="Q93" s="174"/>
      <c r="R93" s="278" t="str">
        <f t="shared" si="1"/>
        <v/>
      </c>
    </row>
    <row r="94" spans="1:18">
      <c r="A94" s="64" t="s">
        <v>92</v>
      </c>
      <c r="C94" s="69" t="s">
        <v>76</v>
      </c>
      <c r="D94" s="67">
        <f>'Asset Data Input Sheet'!AB44</f>
        <v>33.985714285714288</v>
      </c>
      <c r="E94" s="75">
        <f>IFERROR(SUM('Asset Data Input Sheet'!E15:AA15),0)</f>
        <v>210</v>
      </c>
      <c r="F94" s="81">
        <f>'Asset Data Input Sheet'!AR15</f>
        <v>0</v>
      </c>
      <c r="G94" s="81">
        <f>'Asset Data Input Sheet'!AS15</f>
        <v>0</v>
      </c>
      <c r="H94" s="81">
        <f>'Asset Data Input Sheet'!AT15</f>
        <v>0</v>
      </c>
      <c r="I94" s="81">
        <f>'Asset Data Input Sheet'!AU15</f>
        <v>1</v>
      </c>
      <c r="J94" s="81">
        <f>'Asset Data Input Sheet'!AV15</f>
        <v>0</v>
      </c>
      <c r="K94" s="68">
        <f>IFERROR('Asset Data Input Sheet'!AX15,"")</f>
        <v>0</v>
      </c>
      <c r="L94" s="80">
        <f t="shared" si="0"/>
        <v>0</v>
      </c>
      <c r="M94" s="80">
        <f>IF(E94=0,"",(E94*F94*Base!$E$79)+(E94*G94*Base!$E$80)+(E94*H94*Base!$E$81)+(E94*I94*Base!$E$81))</f>
        <v>0</v>
      </c>
      <c r="N94" s="123" t="str">
        <f>IF(E94=0,"",IF($D94&gt;Base!$D$85,"Assessment Required - Average Age",IF(ABS('Main Dashboard'!$M94-'Main Dashboard'!$L94)&gt;Base!$D$87,"Assessment Required - Replacement vs Required",IF('Main Dashboard'!$J94&gt;Base!$E$83,"Assessment Required - Unknown Asset Size",""))))</f>
        <v/>
      </c>
      <c r="P94" s="177"/>
      <c r="Q94" s="174"/>
      <c r="R94" s="278" t="str">
        <f t="shared" si="1"/>
        <v/>
      </c>
    </row>
    <row r="95" spans="1:18">
      <c r="A95" s="64" t="s">
        <v>93</v>
      </c>
      <c r="C95" s="69" t="s">
        <v>76</v>
      </c>
      <c r="D95" s="67">
        <f>'Asset Data Input Sheet'!AB45</f>
        <v>51</v>
      </c>
      <c r="E95" s="75">
        <f>IFERROR(SUM('Asset Data Input Sheet'!E16:AA16),0)</f>
        <v>1</v>
      </c>
      <c r="F95" s="81">
        <f>'Asset Data Input Sheet'!AR16</f>
        <v>0</v>
      </c>
      <c r="G95" s="81">
        <f>'Asset Data Input Sheet'!AS16</f>
        <v>1</v>
      </c>
      <c r="H95" s="81">
        <f>'Asset Data Input Sheet'!AT16</f>
        <v>0</v>
      </c>
      <c r="I95" s="81">
        <f>'Asset Data Input Sheet'!AU16</f>
        <v>0</v>
      </c>
      <c r="J95" s="81">
        <f>'Asset Data Input Sheet'!AV16</f>
        <v>0</v>
      </c>
      <c r="K95" s="68">
        <f>IFERROR('Asset Data Input Sheet'!AX16,"")</f>
        <v>1</v>
      </c>
      <c r="L95" s="80">
        <f t="shared" si="0"/>
        <v>1</v>
      </c>
      <c r="M95" s="80">
        <f>IF(E95=0,"",(E95*F95*Base!$E$79)+(E95*G95*Base!$E$80)+(E95*H95*Base!$E$81)+(E95*I95*Base!$E$81))</f>
        <v>0.8</v>
      </c>
      <c r="N95" s="123" t="str">
        <f>IF(E95=0,"",IF($D95&gt;Base!$D$85,"Assessment Required - Average Age",IF(ABS('Main Dashboard'!$M95-'Main Dashboard'!$L95)&gt;Base!$D$87,"Assessment Required - Replacement vs Required",IF('Main Dashboard'!$J95&gt;Base!$E$83,"Assessment Required - Unknown Asset Size",""))))</f>
        <v>Assessment Required - Average Age</v>
      </c>
      <c r="P95" s="188"/>
      <c r="Q95" s="174"/>
      <c r="R95" s="278" t="str">
        <f t="shared" si="1"/>
        <v/>
      </c>
    </row>
    <row r="96" spans="1:18">
      <c r="A96" s="64" t="s">
        <v>94</v>
      </c>
      <c r="C96" s="69" t="s">
        <v>76</v>
      </c>
      <c r="D96" s="67">
        <f>'Asset Data Input Sheet'!AB46</f>
        <v>15.938711131140153</v>
      </c>
      <c r="E96" s="75">
        <f>IFERROR(SUM('Asset Data Input Sheet'!E17:AA17),0)</f>
        <v>2219</v>
      </c>
      <c r="F96" s="81">
        <f>'Asset Data Input Sheet'!AR17</f>
        <v>0</v>
      </c>
      <c r="G96" s="81">
        <f>'Asset Data Input Sheet'!AS17</f>
        <v>3.5999999999999999E-3</v>
      </c>
      <c r="H96" s="81">
        <f>'Asset Data Input Sheet'!AT17</f>
        <v>0.99639999999999995</v>
      </c>
      <c r="I96" s="81">
        <f>'Asset Data Input Sheet'!AU17</f>
        <v>0</v>
      </c>
      <c r="J96" s="81">
        <f>'Asset Data Input Sheet'!AV17</f>
        <v>0</v>
      </c>
      <c r="K96" s="68">
        <f>IFERROR('Asset Data Input Sheet'!AX17,"")</f>
        <v>1.5E-3</v>
      </c>
      <c r="L96" s="80">
        <f t="shared" si="0"/>
        <v>3.3285</v>
      </c>
      <c r="M96" s="80">
        <f>IF(E96=0,"",(E96*F96*Base!$E$79)+(E96*G96*Base!$E$80)+(E96*H96*Base!$E$81)+(E96*I96*Base!$E$81))</f>
        <v>6.39072</v>
      </c>
      <c r="N96" s="123" t="str">
        <f>IF(E96=0,"",IF($D96&gt;Base!$D$85,"Assessment Required - Average Age",IF(ABS('Main Dashboard'!$M96-'Main Dashboard'!$L96)&gt;Base!$D$87,"Assessment Required - Replacement vs Required",IF('Main Dashboard'!$J96&gt;Base!$E$83,"Assessment Required - Unknown Asset Size",""))))</f>
        <v>Assessment Required - Replacement vs Required</v>
      </c>
      <c r="P96" s="177"/>
      <c r="Q96" s="174"/>
      <c r="R96" s="278" t="str">
        <f t="shared" si="1"/>
        <v/>
      </c>
    </row>
    <row r="97" spans="1:18">
      <c r="A97" s="64" t="s">
        <v>95</v>
      </c>
      <c r="C97" s="69" t="s">
        <v>76</v>
      </c>
      <c r="D97" s="67">
        <f>'Asset Data Input Sheet'!AB47</f>
        <v>31</v>
      </c>
      <c r="E97" s="75">
        <f>IFERROR(SUM('Asset Data Input Sheet'!E18:AA18),0)</f>
        <v>27</v>
      </c>
      <c r="F97" s="81">
        <f>'Asset Data Input Sheet'!AR18</f>
        <v>0</v>
      </c>
      <c r="G97" s="81">
        <f>'Asset Data Input Sheet'!AS18</f>
        <v>0</v>
      </c>
      <c r="H97" s="81">
        <f>'Asset Data Input Sheet'!AT18</f>
        <v>1</v>
      </c>
      <c r="I97" s="81">
        <f>'Asset Data Input Sheet'!AU18</f>
        <v>0</v>
      </c>
      <c r="J97" s="81">
        <f>'Asset Data Input Sheet'!AV18</f>
        <v>0</v>
      </c>
      <c r="K97" s="68">
        <f>IFERROR('Asset Data Input Sheet'!AX18,"")</f>
        <v>0</v>
      </c>
      <c r="L97" s="80">
        <f t="shared" si="0"/>
        <v>0</v>
      </c>
      <c r="M97" s="80">
        <f>IF(E97=0,"",(E97*F97*Base!$E$79)+(E97*G97*Base!$E$80)+(E97*H97*Base!$E$81)+(E97*I97*Base!$E$81))</f>
        <v>0</v>
      </c>
      <c r="N97" s="123" t="str">
        <f>IF(E97=0,"",IF($D97&gt;Base!$D$85,"Assessment Required - Average Age",IF(ABS('Main Dashboard'!$M97-'Main Dashboard'!$L97)&gt;Base!$D$87,"Assessment Required - Replacement vs Required",IF('Main Dashboard'!$J97&gt;Base!$E$83,"Assessment Required - Unknown Asset Size",""))))</f>
        <v/>
      </c>
      <c r="P97" s="177"/>
      <c r="Q97" s="174"/>
      <c r="R97" s="278" t="str">
        <f t="shared" si="1"/>
        <v/>
      </c>
    </row>
    <row r="98" spans="1:18">
      <c r="A98" s="64" t="s">
        <v>96</v>
      </c>
      <c r="C98" s="69" t="s">
        <v>76</v>
      </c>
      <c r="D98" s="67">
        <f>'Asset Data Input Sheet'!AB48</f>
        <v>29</v>
      </c>
      <c r="E98" s="75">
        <f>IFERROR(SUM('Asset Data Input Sheet'!E19:AA19),0)</f>
        <v>2</v>
      </c>
      <c r="F98" s="81">
        <f>'Asset Data Input Sheet'!AR19</f>
        <v>0</v>
      </c>
      <c r="G98" s="81">
        <f>'Asset Data Input Sheet'!AS19</f>
        <v>0</v>
      </c>
      <c r="H98" s="81">
        <f>'Asset Data Input Sheet'!AT19</f>
        <v>1</v>
      </c>
      <c r="I98" s="81">
        <f>'Asset Data Input Sheet'!AU19</f>
        <v>0</v>
      </c>
      <c r="J98" s="81">
        <f>'Asset Data Input Sheet'!AV19</f>
        <v>0</v>
      </c>
      <c r="K98" s="68">
        <f>IFERROR('Asset Data Input Sheet'!AX19,"")</f>
        <v>0</v>
      </c>
      <c r="L98" s="80">
        <f t="shared" si="0"/>
        <v>0</v>
      </c>
      <c r="M98" s="80">
        <f>IF(E98=0,"",(E98*F98*Base!$E$79)+(E98*G98*Base!$E$80)+(E98*H98*Base!$E$81)+(E98*I98*Base!$E$81))</f>
        <v>0</v>
      </c>
      <c r="N98" s="123" t="str">
        <f>IF(E98=0,"",IF($D98&gt;Base!$D$85,"Assessment Required - Average Age",IF(ABS('Main Dashboard'!$M98-'Main Dashboard'!$L98)&gt;Base!$D$87,"Assessment Required - Replacement vs Required",IF('Main Dashboard'!$J98&gt;Base!$E$83,"Assessment Required - Unknown Asset Size",""))))</f>
        <v/>
      </c>
      <c r="P98" s="177"/>
      <c r="Q98" s="174"/>
      <c r="R98" s="278" t="str">
        <f t="shared" si="1"/>
        <v/>
      </c>
    </row>
    <row r="99" spans="1:18">
      <c r="A99" s="64" t="s">
        <v>97</v>
      </c>
      <c r="C99" s="69" t="s">
        <v>85</v>
      </c>
      <c r="D99" s="67">
        <f>'Asset Data Input Sheet'!AB49</f>
        <v>22.247619047619047</v>
      </c>
      <c r="E99" s="75">
        <f>IFERROR(SUM('Asset Data Input Sheet'!E20:AA20),0)</f>
        <v>210</v>
      </c>
      <c r="F99" s="81">
        <f>'Asset Data Input Sheet'!AR20</f>
        <v>0</v>
      </c>
      <c r="G99" s="81">
        <f>'Asset Data Input Sheet'!AS20</f>
        <v>0</v>
      </c>
      <c r="H99" s="81">
        <f>'Asset Data Input Sheet'!AT20</f>
        <v>0.22220000000000001</v>
      </c>
      <c r="I99" s="81">
        <f>'Asset Data Input Sheet'!AU20</f>
        <v>0.77780000000000005</v>
      </c>
      <c r="J99" s="81">
        <f>'Asset Data Input Sheet'!AV20</f>
        <v>0</v>
      </c>
      <c r="K99" s="68">
        <f>IFERROR('Asset Data Input Sheet'!AX20,"")</f>
        <v>0</v>
      </c>
      <c r="L99" s="80">
        <f t="shared" si="0"/>
        <v>0</v>
      </c>
      <c r="M99" s="80">
        <f>IF(E99=0,"",(E99*F99*Base!$E$79)+(E99*G99*Base!$E$80)+(E99*H99*Base!$E$81)+(E99*I99*Base!$E$81))</f>
        <v>0</v>
      </c>
      <c r="N99" s="123" t="str">
        <f>IF(E99=0,"",IF($D99&gt;Base!$D$85,"Assessment Required - Average Age",IF(ABS('Main Dashboard'!$M99-'Main Dashboard'!$L99)&gt;Base!$D$87,"Assessment Required - Replacement vs Required",IF('Main Dashboard'!$J99&gt;Base!$E$83,"Assessment Required - Unknown Asset Size",""))))</f>
        <v/>
      </c>
      <c r="P99" s="177"/>
      <c r="Q99" s="174"/>
      <c r="R99" s="278" t="str">
        <f t="shared" si="1"/>
        <v/>
      </c>
    </row>
    <row r="100" spans="1:18">
      <c r="A100" s="64" t="s">
        <v>98</v>
      </c>
      <c r="C100" s="69" t="s">
        <v>85</v>
      </c>
      <c r="D100" s="67">
        <f>'Asset Data Input Sheet'!AB50</f>
        <v>26.005401512423479</v>
      </c>
      <c r="E100" s="75">
        <f>IFERROR(SUM('Asset Data Input Sheet'!E21:AA21),0)</f>
        <v>2777</v>
      </c>
      <c r="F100" s="81">
        <f>'Asset Data Input Sheet'!AR21</f>
        <v>0</v>
      </c>
      <c r="G100" s="81">
        <f>'Asset Data Input Sheet'!AS21</f>
        <v>3.0300000000000001E-2</v>
      </c>
      <c r="H100" s="81">
        <f>'Asset Data Input Sheet'!AT21</f>
        <v>0.82120000000000004</v>
      </c>
      <c r="I100" s="81">
        <f>'Asset Data Input Sheet'!AU21</f>
        <v>3.3700000000000001E-2</v>
      </c>
      <c r="J100" s="81">
        <f>'Asset Data Input Sheet'!AV21</f>
        <v>0.1149</v>
      </c>
      <c r="K100" s="68">
        <f>IFERROR('Asset Data Input Sheet'!AX21,"")</f>
        <v>0</v>
      </c>
      <c r="L100" s="80">
        <f t="shared" si="0"/>
        <v>0</v>
      </c>
      <c r="M100" s="80">
        <f>IF(E100=0,"",(E100*F100*Base!$E$79)+(E100*G100*Base!$E$80)+(E100*H100*Base!$E$81)+(E100*I100*Base!$E$81))</f>
        <v>67.314480000000003</v>
      </c>
      <c r="N100" s="123" t="str">
        <f>IF(E100=0,"",IF($D100&gt;Base!$D$85,"Assessment Required - Average Age",IF(ABS('Main Dashboard'!$M100-'Main Dashboard'!$L100)&gt;Base!$D$87,"Assessment Required - Replacement vs Required",IF('Main Dashboard'!$J100&gt;Base!$E$83,"Assessment Required - Unknown Asset Size",""))))</f>
        <v>Assessment Required - Replacement vs Required</v>
      </c>
      <c r="P100" s="177"/>
      <c r="Q100" s="174"/>
      <c r="R100" s="278" t="str">
        <f t="shared" si="1"/>
        <v/>
      </c>
    </row>
    <row r="101" spans="1:18">
      <c r="A101" s="64" t="s">
        <v>99</v>
      </c>
      <c r="C101" s="69" t="s">
        <v>85</v>
      </c>
      <c r="D101" s="67">
        <f>'Asset Data Input Sheet'!AB51</f>
        <v>21.403225806451612</v>
      </c>
      <c r="E101" s="75">
        <f>IFERROR(SUM('Asset Data Input Sheet'!E22:AA22),0)</f>
        <v>62</v>
      </c>
      <c r="F101" s="81">
        <f>'Asset Data Input Sheet'!AR22</f>
        <v>0</v>
      </c>
      <c r="G101" s="81">
        <f>'Asset Data Input Sheet'!AS22</f>
        <v>7.8100000000000003E-2</v>
      </c>
      <c r="H101" s="81">
        <f>'Asset Data Input Sheet'!AT22</f>
        <v>0.4531</v>
      </c>
      <c r="I101" s="81">
        <f>'Asset Data Input Sheet'!AU22</f>
        <v>0.4531</v>
      </c>
      <c r="J101" s="81">
        <f>'Asset Data Input Sheet'!AV22</f>
        <v>1.5599999999999999E-2</v>
      </c>
      <c r="K101" s="68">
        <f>IFERROR('Asset Data Input Sheet'!AX22,"")</f>
        <v>3.7000000000000005E-2</v>
      </c>
      <c r="L101" s="80">
        <f t="shared" si="0"/>
        <v>2.2940000000000005</v>
      </c>
      <c r="M101" s="80">
        <f>IF(E101=0,"",(E101*F101*Base!$E$79)+(E101*G101*Base!$E$80)+(E101*H101*Base!$E$81)+(E101*I101*Base!$E$81))</f>
        <v>3.8737600000000003</v>
      </c>
      <c r="N101" s="123" t="str">
        <f>IF(E101=0,"",IF($D101&gt;Base!$D$85,"Assessment Required - Average Age",IF(ABS('Main Dashboard'!$M101-'Main Dashboard'!$L101)&gt;Base!$D$87,"Assessment Required - Replacement vs Required",IF('Main Dashboard'!$J101&gt;Base!$E$83,"Assessment Required - Unknown Asset Size",""))))</f>
        <v>Assessment Required - Replacement vs Required</v>
      </c>
      <c r="P101" s="177"/>
      <c r="Q101" s="174"/>
      <c r="R101" s="278" t="str">
        <f t="shared" si="1"/>
        <v/>
      </c>
    </row>
    <row r="102" spans="1:18">
      <c r="A102" s="64" t="s">
        <v>101</v>
      </c>
      <c r="C102" s="69" t="s">
        <v>76</v>
      </c>
      <c r="D102" s="67" t="str">
        <f>'Asset Data Input Sheet'!AB52</f>
        <v/>
      </c>
      <c r="E102" s="75">
        <f>IFERROR(SUM('Asset Data Input Sheet'!E23:AA23),0)</f>
        <v>0</v>
      </c>
      <c r="F102" s="81">
        <f>'Asset Data Input Sheet'!AR23</f>
        <v>0</v>
      </c>
      <c r="G102" s="81">
        <f>'Asset Data Input Sheet'!AS23</f>
        <v>0</v>
      </c>
      <c r="H102" s="81">
        <f>'Asset Data Input Sheet'!AT23</f>
        <v>0</v>
      </c>
      <c r="I102" s="81">
        <f>'Asset Data Input Sheet'!AU23</f>
        <v>1</v>
      </c>
      <c r="J102" s="81">
        <f>'Asset Data Input Sheet'!AV23</f>
        <v>0</v>
      </c>
      <c r="K102" s="68">
        <f>IFERROR('Asset Data Input Sheet'!AX23,"")</f>
        <v>0</v>
      </c>
      <c r="L102" s="80" t="str">
        <f t="shared" si="0"/>
        <v/>
      </c>
      <c r="M102" s="80" t="str">
        <f>IF(E102=0,"",(E102*F102*Base!$E$79)+(E102*G102*Base!$E$80)+(E102*H102*Base!$E$81)+(E102*I102*Base!$E$81))</f>
        <v/>
      </c>
      <c r="N102" s="123" t="str">
        <f>IF(E102=0,"",IF($D102&gt;Base!$D$85,"Assessment Required - Average Age",IF(ABS('Main Dashboard'!$M102-'Main Dashboard'!$L102)&gt;Base!$D$87,"Assessment Required - Replacement vs Required",IF('Main Dashboard'!$J102&gt;Base!$E$83,"Assessment Required - Unknown Asset Size",""))))</f>
        <v/>
      </c>
      <c r="P102" s="177"/>
      <c r="Q102" s="174"/>
      <c r="R102" s="278" t="str">
        <f>IF(_xlfn.XOR(E102&gt;0,SUM(F102:J102)&gt;0),"Either Grading but no Asset, or Asset but no Grading","")</f>
        <v>Either Grading but no Asset, or Asset but no Grading</v>
      </c>
    </row>
    <row r="103" spans="1:18">
      <c r="A103" s="64" t="s">
        <v>102</v>
      </c>
      <c r="C103" s="69" t="s">
        <v>76</v>
      </c>
      <c r="D103" s="67" t="str">
        <f>'Asset Data Input Sheet'!AB53</f>
        <v/>
      </c>
      <c r="E103" s="75">
        <f>IFERROR(SUM('Asset Data Input Sheet'!E24:AA24),0)</f>
        <v>0</v>
      </c>
      <c r="F103" s="81">
        <f>'Asset Data Input Sheet'!AR24</f>
        <v>0</v>
      </c>
      <c r="G103" s="81">
        <f>'Asset Data Input Sheet'!AS24</f>
        <v>0</v>
      </c>
      <c r="H103" s="81">
        <f>'Asset Data Input Sheet'!AT24</f>
        <v>0</v>
      </c>
      <c r="I103" s="81">
        <f>'Asset Data Input Sheet'!AU24</f>
        <v>0</v>
      </c>
      <c r="J103" s="81">
        <f>'Asset Data Input Sheet'!AV24</f>
        <v>0</v>
      </c>
      <c r="K103" s="68">
        <f>IFERROR('Asset Data Input Sheet'!AX24,"")</f>
        <v>0</v>
      </c>
      <c r="L103" s="80" t="str">
        <f t="shared" si="0"/>
        <v/>
      </c>
      <c r="M103" s="80" t="str">
        <f>IF(E103=0,"",(E103*F103*Base!$E$79)+(E103*G103*Base!$E$80)+(E103*H103*Base!$E$81)+(E103*I103*Base!$E$81))</f>
        <v/>
      </c>
      <c r="N103" s="123" t="str">
        <f>IF(E103=0,"",IF($D103&gt;Base!$D$85,"Assessment Required - Average Age",IF(ABS('Main Dashboard'!$M103-'Main Dashboard'!$L103)&gt;Base!$D$87,"Assessment Required - Replacement vs Required",IF('Main Dashboard'!$J103&gt;Base!$E$83,"Assessment Required - Unknown Asset Size",""))))</f>
        <v/>
      </c>
      <c r="P103" s="177"/>
      <c r="Q103" s="255"/>
      <c r="R103" s="278" t="str">
        <f t="shared" si="1"/>
        <v/>
      </c>
    </row>
    <row r="104" spans="1:18">
      <c r="A104" s="64" t="s">
        <v>103</v>
      </c>
      <c r="C104" s="69" t="s">
        <v>76</v>
      </c>
      <c r="D104" s="67" t="str">
        <f>'Asset Data Input Sheet'!AB54</f>
        <v/>
      </c>
      <c r="E104" s="75">
        <f>IFERROR(SUM('Asset Data Input Sheet'!E25:AA25),0)</f>
        <v>0</v>
      </c>
      <c r="F104" s="81">
        <f>'Asset Data Input Sheet'!AR25</f>
        <v>0</v>
      </c>
      <c r="G104" s="81">
        <f>'Asset Data Input Sheet'!AS25</f>
        <v>0</v>
      </c>
      <c r="H104" s="81">
        <f>'Asset Data Input Sheet'!AT25</f>
        <v>0</v>
      </c>
      <c r="I104" s="81">
        <f>'Asset Data Input Sheet'!AU25</f>
        <v>0</v>
      </c>
      <c r="J104" s="81">
        <f>'Asset Data Input Sheet'!AV25</f>
        <v>0</v>
      </c>
      <c r="K104" s="68">
        <f>IFERROR('Asset Data Input Sheet'!AX25,"")</f>
        <v>0</v>
      </c>
      <c r="L104" s="80" t="str">
        <f t="shared" si="0"/>
        <v/>
      </c>
      <c r="M104" s="80" t="str">
        <f>IF(E104=0,"",(E104*F104*Base!$E$79)+(E104*G104*Base!$E$80)+(E104*H104*Base!$E$81)+(E104*I104*Base!$E$81))</f>
        <v/>
      </c>
      <c r="N104" s="123" t="str">
        <f>IF(E104=0,"",IF($D104&gt;Base!$D$85,"Assessment Required - Average Age",IF(ABS('Main Dashboard'!$M104-'Main Dashboard'!$L104)&gt;Base!$D$87,"Assessment Required - Replacement vs Required",IF('Main Dashboard'!$J104&gt;Base!$E$83,"Assessment Required - Unknown Asset Size",""))))</f>
        <v/>
      </c>
      <c r="P104" s="177"/>
      <c r="Q104" s="174"/>
      <c r="R104" s="278" t="str">
        <f t="shared" si="1"/>
        <v/>
      </c>
    </row>
    <row r="105" spans="1:18">
      <c r="A105" s="64" t="s">
        <v>104</v>
      </c>
      <c r="C105" s="69" t="s">
        <v>76</v>
      </c>
      <c r="D105" s="67">
        <f>'Asset Data Input Sheet'!AB55</f>
        <v>26.5</v>
      </c>
      <c r="E105" s="75">
        <f>IFERROR(SUM('Asset Data Input Sheet'!E26:AA26),0)</f>
        <v>2</v>
      </c>
      <c r="F105" s="81">
        <f>'Asset Data Input Sheet'!AR26</f>
        <v>0</v>
      </c>
      <c r="G105" s="81">
        <f>'Asset Data Input Sheet'!AS26</f>
        <v>0</v>
      </c>
      <c r="H105" s="81">
        <f>'Asset Data Input Sheet'!AT26</f>
        <v>0</v>
      </c>
      <c r="I105" s="81">
        <f>'Asset Data Input Sheet'!AU26</f>
        <v>1</v>
      </c>
      <c r="J105" s="81">
        <f>'Asset Data Input Sheet'!AV26</f>
        <v>0</v>
      </c>
      <c r="K105" s="68">
        <f>IFERROR('Asset Data Input Sheet'!AX26,"")</f>
        <v>0</v>
      </c>
      <c r="L105" s="80">
        <f t="shared" si="0"/>
        <v>0</v>
      </c>
      <c r="M105" s="80">
        <f>IF(E105=0,"",(E105*F105*Base!$E$79)+(E105*G105*Base!$E$80)+(E105*H105*Base!$E$81)+(E105*I105*Base!$E$81))</f>
        <v>0</v>
      </c>
      <c r="N105" s="123" t="str">
        <f>IF(E105=0,"",IF($D105&gt;Base!$D$85,"Assessment Required - Average Age",IF(ABS('Main Dashboard'!$M105-'Main Dashboard'!$L105)&gt;Base!$D$87,"Assessment Required - Replacement vs Required",IF('Main Dashboard'!$J105&gt;Base!$E$83,"Assessment Required - Unknown Asset Size",""))))</f>
        <v/>
      </c>
      <c r="P105" s="177"/>
      <c r="Q105" s="174"/>
      <c r="R105" s="278" t="str">
        <f t="shared" si="1"/>
        <v/>
      </c>
    </row>
    <row r="106" spans="1:18">
      <c r="A106" s="64" t="s">
        <v>105</v>
      </c>
      <c r="C106" s="69" t="s">
        <v>76</v>
      </c>
      <c r="D106" s="67">
        <f>'Asset Data Input Sheet'!AB56</f>
        <v>29</v>
      </c>
      <c r="E106" s="75">
        <f>IFERROR(SUM('Asset Data Input Sheet'!E27:AA27),0)</f>
        <v>1</v>
      </c>
      <c r="F106" s="81">
        <f>'Asset Data Input Sheet'!AR27</f>
        <v>0</v>
      </c>
      <c r="G106" s="81">
        <f>'Asset Data Input Sheet'!AS27</f>
        <v>0</v>
      </c>
      <c r="H106" s="81">
        <f>'Asset Data Input Sheet'!AT27</f>
        <v>1</v>
      </c>
      <c r="I106" s="81">
        <f>'Asset Data Input Sheet'!AU27</f>
        <v>0</v>
      </c>
      <c r="J106" s="81">
        <f>'Asset Data Input Sheet'!AV27</f>
        <v>0</v>
      </c>
      <c r="K106" s="68">
        <f>IFERROR('Asset Data Input Sheet'!AX27,"")</f>
        <v>0</v>
      </c>
      <c r="L106" s="80">
        <f t="shared" si="0"/>
        <v>0</v>
      </c>
      <c r="M106" s="80">
        <f>IF(E106=0,"",(E106*F106*Base!$E$79)+(E106*G106*Base!$E$80)+(E106*H106*Base!$E$81)+(E106*I106*Base!$E$81))</f>
        <v>0</v>
      </c>
      <c r="N106" s="123" t="str">
        <f>IF(E106=0,"",IF($D106&gt;Base!$D$85,"Assessment Required - Average Age",IF(ABS('Main Dashboard'!$M106-'Main Dashboard'!$L106)&gt;Base!$D$87,"Assessment Required - Replacement vs Required",IF('Main Dashboard'!$J106&gt;Base!$E$83,"Assessment Required - Unknown Asset Size",""))))</f>
        <v/>
      </c>
      <c r="P106" s="177"/>
      <c r="Q106" s="174"/>
      <c r="R106" s="278" t="str">
        <f t="shared" si="1"/>
        <v/>
      </c>
    </row>
    <row r="107" spans="1:18">
      <c r="A107" s="64" t="s">
        <v>106</v>
      </c>
      <c r="C107" s="69" t="s">
        <v>76</v>
      </c>
      <c r="D107" s="67" t="str">
        <f>'Asset Data Input Sheet'!AB57</f>
        <v/>
      </c>
      <c r="E107" s="75">
        <f>IFERROR(SUM('Asset Data Input Sheet'!E28:AA28),0)</f>
        <v>0</v>
      </c>
      <c r="F107" s="81">
        <f>'Asset Data Input Sheet'!AR28</f>
        <v>0</v>
      </c>
      <c r="G107" s="81">
        <f>'Asset Data Input Sheet'!AS28</f>
        <v>0</v>
      </c>
      <c r="H107" s="81">
        <f>'Asset Data Input Sheet'!AT28</f>
        <v>0</v>
      </c>
      <c r="I107" s="81">
        <f>'Asset Data Input Sheet'!AU28</f>
        <v>0</v>
      </c>
      <c r="J107" s="81">
        <f>'Asset Data Input Sheet'!AV28</f>
        <v>0</v>
      </c>
      <c r="K107" s="68">
        <f>IFERROR('Asset Data Input Sheet'!AX28,"")</f>
        <v>0</v>
      </c>
      <c r="L107" s="80" t="str">
        <f t="shared" si="0"/>
        <v/>
      </c>
      <c r="M107" s="80" t="str">
        <f>IF(E107=0,"",(E107*F107*Base!$E$79)+(E107*G107*Base!$E$80)+(E107*H107*Base!$E$81)+(E107*I107*Base!$E$81))</f>
        <v/>
      </c>
      <c r="N107" s="123" t="str">
        <f>IF(E107=0,"",IF($D107&gt;Base!$D$85,"Assessment Required - Average Age",IF(ABS('Main Dashboard'!$M107-'Main Dashboard'!$L107)&gt;Base!$D$87,"Assessment Required - Replacement vs Required",IF('Main Dashboard'!$J107&gt;Base!$E$83,"Assessment Required - Unknown Asset Size",""))))</f>
        <v/>
      </c>
      <c r="P107" s="177"/>
      <c r="Q107" s="174"/>
      <c r="R107" s="278" t="str">
        <f t="shared" si="1"/>
        <v/>
      </c>
    </row>
    <row r="108" spans="1:18">
      <c r="A108" s="64" t="s">
        <v>107</v>
      </c>
      <c r="C108" s="69" t="s">
        <v>85</v>
      </c>
      <c r="D108" s="67">
        <f>'Asset Data Input Sheet'!AB58</f>
        <v>8</v>
      </c>
      <c r="E108" s="75">
        <f>IFERROR(SUM('Asset Data Input Sheet'!E29:AA29),0)</f>
        <v>15</v>
      </c>
      <c r="F108" s="81">
        <f>'Asset Data Input Sheet'!AR29</f>
        <v>0</v>
      </c>
      <c r="G108" s="81">
        <f>'Asset Data Input Sheet'!AS29</f>
        <v>0</v>
      </c>
      <c r="H108" s="81">
        <f>'Asset Data Input Sheet'!AT29</f>
        <v>0.54549999999999998</v>
      </c>
      <c r="I108" s="81">
        <f>'Asset Data Input Sheet'!AU29</f>
        <v>0</v>
      </c>
      <c r="J108" s="81">
        <f>'Asset Data Input Sheet'!AV29</f>
        <v>0.45450000000000002</v>
      </c>
      <c r="K108" s="68">
        <f>IFERROR('Asset Data Input Sheet'!AX29,"")</f>
        <v>0</v>
      </c>
      <c r="L108" s="80">
        <f t="shared" si="0"/>
        <v>0</v>
      </c>
      <c r="M108" s="80">
        <f>IF(E108=0,"",(E108*F108*Base!$E$79)+(E108*G108*Base!$E$80)+(E108*H108*Base!$E$81)+(E108*I108*Base!$E$81))</f>
        <v>0</v>
      </c>
      <c r="N108" s="123" t="str">
        <f>IF(E108=0,"",IF($D108&gt;Base!$D$85,"Assessment Required - Average Age",IF(ABS('Main Dashboard'!$M108-'Main Dashboard'!$L108)&gt;Base!$D$87,"Assessment Required - Replacement vs Required",IF('Main Dashboard'!$J108&gt;Base!$E$83,"Assessment Required - Unknown Asset Size",""))))</f>
        <v/>
      </c>
      <c r="P108" s="177"/>
      <c r="Q108" s="174"/>
      <c r="R108" s="278" t="str">
        <f t="shared" si="1"/>
        <v/>
      </c>
    </row>
    <row r="109" spans="1:18">
      <c r="A109" s="64" t="s">
        <v>108</v>
      </c>
      <c r="C109" s="69" t="s">
        <v>85</v>
      </c>
      <c r="D109" s="67" t="str">
        <f>'Asset Data Input Sheet'!AB59</f>
        <v/>
      </c>
      <c r="E109" s="75">
        <f>IFERROR(SUM('Asset Data Input Sheet'!E30:AA30),0)</f>
        <v>0</v>
      </c>
      <c r="F109" s="81">
        <f>'Asset Data Input Sheet'!AR30</f>
        <v>0</v>
      </c>
      <c r="G109" s="81">
        <f>'Asset Data Input Sheet'!AS30</f>
        <v>0</v>
      </c>
      <c r="H109" s="81">
        <f>'Asset Data Input Sheet'!AT30</f>
        <v>0</v>
      </c>
      <c r="I109" s="81">
        <f>'Asset Data Input Sheet'!AU30</f>
        <v>0</v>
      </c>
      <c r="J109" s="81">
        <f>'Asset Data Input Sheet'!AV30</f>
        <v>0</v>
      </c>
      <c r="K109" s="68">
        <f>IFERROR('Asset Data Input Sheet'!AX30,"")</f>
        <v>0</v>
      </c>
      <c r="L109" s="80" t="str">
        <f t="shared" si="0"/>
        <v/>
      </c>
      <c r="M109" s="80" t="str">
        <f>IF(E109=0,"",(E109*F109*Base!$E$79)+(E109*G109*Base!$E$80)+(E109*H109*Base!$E$81)+(E109*I109*Base!$E$81))</f>
        <v/>
      </c>
      <c r="N109" s="123" t="str">
        <f>IF(E109=0,"",IF($D109&gt;Base!$D$85,"Assessment Required - Average Age",IF(ABS('Main Dashboard'!$M109-'Main Dashboard'!$L109)&gt;Base!$D$87,"Assessment Required - Replacement vs Required",IF('Main Dashboard'!$J109&gt;Base!$E$83,"Assessment Required - Unknown Asset Size",""))))</f>
        <v/>
      </c>
      <c r="P109" s="177"/>
      <c r="Q109" s="174"/>
      <c r="R109" s="278" t="str">
        <f t="shared" si="1"/>
        <v/>
      </c>
    </row>
    <row r="110" spans="1:18">
      <c r="A110" s="64" t="s">
        <v>111</v>
      </c>
      <c r="C110" s="69" t="s">
        <v>85</v>
      </c>
      <c r="D110" s="67">
        <f>'Asset Data Input Sheet'!AB60</f>
        <v>13.014084507042254</v>
      </c>
      <c r="E110" s="75">
        <f>IFERROR(SUM('Asset Data Input Sheet'!E31:AA31),0)</f>
        <v>71</v>
      </c>
      <c r="F110" s="81">
        <f>'Asset Data Input Sheet'!AR31</f>
        <v>0</v>
      </c>
      <c r="G110" s="81">
        <f>'Asset Data Input Sheet'!AS31</f>
        <v>1.3899999999999999E-2</v>
      </c>
      <c r="H110" s="81">
        <f>'Asset Data Input Sheet'!AT31</f>
        <v>0.22220000000000001</v>
      </c>
      <c r="I110" s="81">
        <f>'Asset Data Input Sheet'!AU31</f>
        <v>0.76390000000000002</v>
      </c>
      <c r="J110" s="81">
        <f>'Asset Data Input Sheet'!AV31</f>
        <v>0</v>
      </c>
      <c r="K110" s="68">
        <f>IFERROR('Asset Data Input Sheet'!AX31,"")</f>
        <v>0.27079999999999999</v>
      </c>
      <c r="L110" s="80">
        <f t="shared" si="0"/>
        <v>19.226799999999997</v>
      </c>
      <c r="M110" s="80">
        <f>IF(E110=0,"",(E110*F110*Base!$E$79)+(E110*G110*Base!$E$80)+(E110*H110*Base!$E$81)+(E110*I110*Base!$E$81))</f>
        <v>0.78952</v>
      </c>
      <c r="N110" s="123" t="str">
        <f>IF(E110=0,"",IF($D110&gt;Base!$D$85,"Assessment Required - Average Age",IF(ABS('Main Dashboard'!$M110-'Main Dashboard'!$L110)&gt;Base!$D$87,"Assessment Required - Replacement vs Required",IF('Main Dashboard'!$J110&gt;Base!$E$83,"Assessment Required - Unknown Asset Size",""))))</f>
        <v>Assessment Required - Replacement vs Required</v>
      </c>
      <c r="P110" s="177"/>
      <c r="Q110" s="174"/>
      <c r="R110" s="278" t="str">
        <f t="shared" si="1"/>
        <v/>
      </c>
    </row>
    <row r="111" spans="1:18" ht="16" thickBot="1">
      <c r="A111" s="64" t="s">
        <v>410</v>
      </c>
      <c r="C111" s="69" t="s">
        <v>85</v>
      </c>
      <c r="D111" s="67">
        <f>'Asset Data Input Sheet'!AB61</f>
        <v>3.9375</v>
      </c>
      <c r="E111" s="75">
        <f>IFERROR(SUM('Asset Data Input Sheet'!E32:AA32),0)</f>
        <v>16</v>
      </c>
      <c r="F111" s="81">
        <f>'Asset Data Input Sheet'!AR32</f>
        <v>0</v>
      </c>
      <c r="G111" s="81">
        <f>'Asset Data Input Sheet'!AS32</f>
        <v>9.5200000000000007E-2</v>
      </c>
      <c r="H111" s="81">
        <f>'Asset Data Input Sheet'!AT32</f>
        <v>0.71430000000000005</v>
      </c>
      <c r="I111" s="81">
        <f>'Asset Data Input Sheet'!AU32</f>
        <v>0.1905</v>
      </c>
      <c r="J111" s="81">
        <f>'Asset Data Input Sheet'!AV32</f>
        <v>0</v>
      </c>
      <c r="K111" s="68">
        <f>IFERROR('Asset Data Input Sheet'!AX32,"")</f>
        <v>7.0999999999999994E-2</v>
      </c>
      <c r="L111" s="80">
        <f t="shared" ref="L111" si="2">IF(E111=0,"",K111*E111)</f>
        <v>1.1359999999999999</v>
      </c>
      <c r="M111" s="80">
        <f>IF(E111=0,"",(E111*F111*Base!$E$79)+(E111*G111*Base!$E$80)+(E111*H111*Base!$E$81)+(E111*I111*Base!$E$81))</f>
        <v>1.2185600000000001</v>
      </c>
      <c r="N111" s="123"/>
      <c r="P111" s="177"/>
      <c r="Q111" s="174"/>
      <c r="R111" s="278"/>
    </row>
    <row r="112" spans="1:18" ht="16" thickBot="1">
      <c r="A112" s="79" t="s">
        <v>22</v>
      </c>
      <c r="B112" s="78"/>
      <c r="C112" s="78"/>
      <c r="D112" s="77">
        <f>SUM('Asset Data Input Sheet'!E34:AA60)/SUM('Asset Data Input Sheet'!E5:AA31)</f>
        <v>20.847737036666999</v>
      </c>
      <c r="E112" s="74">
        <f>SUM(E84:E110)</f>
        <v>10009</v>
      </c>
      <c r="F112" s="76">
        <f t="shared" ref="F112:J112" si="3">SUMPRODUCT(F84:F110,$E$84:$E$110)/$E$112</f>
        <v>0</v>
      </c>
      <c r="G112" s="76">
        <f t="shared" si="3"/>
        <v>1.5364152262963332E-2</v>
      </c>
      <c r="H112" s="76">
        <f t="shared" si="3"/>
        <v>0.51613983414926567</v>
      </c>
      <c r="I112" s="76">
        <f t="shared" si="3"/>
        <v>0.42862197022679577</v>
      </c>
      <c r="J112" s="76">
        <f t="shared" si="3"/>
        <v>3.9894454990508539E-2</v>
      </c>
      <c r="K112" s="76">
        <f>L112/E112</f>
        <v>3.9754720751323802E-3</v>
      </c>
      <c r="L112" s="77">
        <f>SUM(L85:L110)</f>
        <v>39.790499999999994</v>
      </c>
      <c r="M112" s="151">
        <f>SUM(M85:M110)</f>
        <v>123.02384000000001</v>
      </c>
      <c r="N112" s="123" t="str">
        <f>IF(E112=0,"",IF($D112&gt;Base!$D$85,"Assessment Required - Average Age",IF(ABS('Main Dashboard'!$M112-'Main Dashboard'!$L112)&gt;Base!$D$87,"Assessment Required - Replacement vs Required",IF('Main Dashboard'!$J112&gt;Base!$E$83,"Assessment Required - Unknown Asset Size",""))))</f>
        <v>Assessment Required - Replacement vs Required</v>
      </c>
      <c r="Q112" s="175"/>
      <c r="R112" s="279"/>
    </row>
    <row r="113" spans="1:17" ht="16" thickBot="1">
      <c r="A113" s="299" t="s">
        <v>271</v>
      </c>
      <c r="B113" s="78"/>
      <c r="C113" s="78"/>
      <c r="D113" s="77"/>
      <c r="E113" s="74">
        <f>SUMIF($C$84:$C$110,$C89,E$84:E$110)</f>
        <v>6091</v>
      </c>
      <c r="F113" s="76">
        <f>SUMPRODUCT(--($C$84:$C$110="km"),$E$84:$E$110,F$84:F$110)/$E113</f>
        <v>0</v>
      </c>
      <c r="G113" s="76">
        <f t="shared" ref="G113:K113" si="4">SUMPRODUCT(--($C$84:$C$110="km"),$E$84:$E$110,G$84:G$110)/$E113</f>
        <v>4.0464291577737644E-3</v>
      </c>
      <c r="H113" s="76">
        <f t="shared" si="4"/>
        <v>0.36792178624199634</v>
      </c>
      <c r="I113" s="76">
        <f t="shared" si="4"/>
        <v>0.62803178460022979</v>
      </c>
      <c r="J113" s="76">
        <f t="shared" si="4"/>
        <v>0</v>
      </c>
      <c r="K113" s="76">
        <f t="shared" si="4"/>
        <v>1.772467575110819E-3</v>
      </c>
      <c r="L113" s="77">
        <f>SUMIF($C$84:$C$110,$C89,L$84:L$110)</f>
        <v>10.796099999999999</v>
      </c>
      <c r="M113" s="151">
        <f>SUMIF($C$84:$C$110,$C89,M$84:M$110)</f>
        <v>19.717440000000003</v>
      </c>
      <c r="N113" s="123" t="str">
        <f>IF(E113=0,"",IF($D113&gt;Base!$D$85,"Assessment Required - Average Age",IF(ABS('Main Dashboard'!$M113-'Main Dashboard'!$L113)&gt;Base!$D$87,"Assessment Required - Replacement vs Required",IF('Main Dashboard'!$J113&gt;Base!$E$83,"Assessment Required - Unknown Asset Size",""))))</f>
        <v>Assessment Required - Replacement vs Required</v>
      </c>
    </row>
    <row r="114" spans="1:17" ht="16" thickBot="1">
      <c r="A114" s="299" t="s">
        <v>85</v>
      </c>
      <c r="B114" s="78"/>
      <c r="C114" s="78"/>
      <c r="D114" s="77"/>
      <c r="E114" s="74">
        <f>SUMIF($C$84:$C$110,$C90,E$84:E$110)</f>
        <v>3918</v>
      </c>
      <c r="F114" s="76">
        <f>SUMPRODUCT(--($C$84:$C$110="No."),$E$84:$E$110,F$84:F$110)/$E114</f>
        <v>0</v>
      </c>
      <c r="G114" s="76">
        <f t="shared" ref="G114:K114" si="5">SUMPRODUCT(--($C$84:$C$110="No."),$E$84:$E$110,G$84:G$110)/$E114</f>
        <v>3.2958907605921385E-2</v>
      </c>
      <c r="H114" s="76">
        <f t="shared" si="5"/>
        <v>0.74656253190403254</v>
      </c>
      <c r="I114" s="76">
        <f t="shared" si="5"/>
        <v>0.1186155436447167</v>
      </c>
      <c r="J114" s="76">
        <f t="shared" si="5"/>
        <v>0.10191516079632465</v>
      </c>
      <c r="K114" s="76">
        <f t="shared" si="5"/>
        <v>7.4003062787136292E-3</v>
      </c>
      <c r="L114" s="77">
        <f>SUMIF($C$84:$C$110,$C90,L$84:L$110)</f>
        <v>28.994399999999999</v>
      </c>
      <c r="M114" s="151">
        <f>SUMIF($C$84:$C$110,$C90,M$84:M$110)</f>
        <v>103.30640000000001</v>
      </c>
      <c r="N114" s="123" t="str">
        <f>IF(E114=0,"",IF($D114&gt;Base!$D$85,"Assessment Required - Average Age",IF(ABS('Main Dashboard'!$M114-'Main Dashboard'!$L114)&gt;Base!$D$87,"Assessment Required - Replacement vs Required",IF('Main Dashboard'!$J114&gt;Base!$E$83,"Assessment Required - Unknown Asset Size",""))))</f>
        <v>Assessment Required - Replacement vs Required</v>
      </c>
      <c r="Q114" s="175"/>
    </row>
    <row r="115" spans="1:17" ht="16" thickBot="1">
      <c r="F115" s="290"/>
      <c r="G115" s="290"/>
      <c r="H115" s="290"/>
      <c r="I115" s="290"/>
      <c r="J115" s="291" t="s">
        <v>417</v>
      </c>
      <c r="K115" s="292" t="str">
        <f>"From : "&amp;TEXT(SUM(Calculations!F47:J47)*MIN(K112:K113),"$#,#")&amp;" To : "&amp;TEXT(SUM(Calculations!F47:J47)*MAX(K112:K113),"$#,#")&amp;"**"</f>
        <v>From : $4,459 To : $10,002**</v>
      </c>
      <c r="M115" s="289" t="s">
        <v>418</v>
      </c>
    </row>
    <row r="116" spans="1:17">
      <c r="G116" s="293"/>
      <c r="H116" s="293"/>
      <c r="I116" s="293"/>
      <c r="J116" s="294" t="s">
        <v>419</v>
      </c>
      <c r="K116" s="295">
        <f>SUM('Data Input Sheet'!F22:J22)</f>
        <v>7491</v>
      </c>
      <c r="M116" s="64" t="s">
        <v>416</v>
      </c>
    </row>
    <row r="117" spans="1:17">
      <c r="G117" s="296"/>
      <c r="H117" s="296"/>
      <c r="I117" s="296"/>
      <c r="J117" s="297" t="s">
        <v>420</v>
      </c>
      <c r="K117" s="298">
        <f>SUM('Data Input Sheet'!F22:J22)/'Asset Data Input Sheet'!C77</f>
        <v>1.5005085774616823E-2</v>
      </c>
    </row>
  </sheetData>
  <conditionalFormatting sqref="D84:D111">
    <cfRule type="dataBar" priority="36">
      <dataBar>
        <cfvo type="min"/>
        <cfvo type="max"/>
        <color rgb="FF638EC6"/>
      </dataBar>
      <extLst>
        <ext xmlns:x14="http://schemas.microsoft.com/office/spreadsheetml/2009/9/main" uri="{B025F937-C7B1-47D3-B67F-A62EFF666E3E}">
          <x14:id>{D0716E07-FE16-4A45-9076-6C768497A4F7}</x14:id>
        </ext>
      </extLst>
    </cfRule>
  </conditionalFormatting>
  <conditionalFormatting sqref="K84:M111">
    <cfRule type="dataBar" priority="38">
      <dataBar>
        <cfvo type="min"/>
        <cfvo type="max"/>
        <color rgb="FF63C384"/>
      </dataBar>
      <extLst>
        <ext xmlns:x14="http://schemas.microsoft.com/office/spreadsheetml/2009/9/main" uri="{B025F937-C7B1-47D3-B67F-A62EFF666E3E}">
          <x14:id>{5F0DEDF0-73E3-4AB3-BDBB-EE051C0BC8F6}</x14:id>
        </ext>
      </extLst>
    </cfRule>
  </conditionalFormatting>
  <conditionalFormatting sqref="F84:I111">
    <cfRule type="cellIs" dxfId="14" priority="4" operator="equal">
      <formula>0</formula>
    </cfRule>
  </conditionalFormatting>
  <conditionalFormatting sqref="J84:J111">
    <cfRule type="cellIs" dxfId="13" priority="3" operator="equal">
      <formula>0</formula>
    </cfRule>
  </conditionalFormatting>
  <conditionalFormatting sqref="K84:K111">
    <cfRule type="cellIs" dxfId="12" priority="2" operator="equal">
      <formula>0</formula>
    </cfRule>
  </conditionalFormatting>
  <conditionalFormatting sqref="L84:M111">
    <cfRule type="cellIs" dxfId="11" priority="1" operator="equal">
      <formula>0</formula>
    </cfRule>
  </conditionalFormatting>
  <pageMargins left="0.7" right="0.7" top="0.75" bottom="0.75" header="0.3" footer="0.3"/>
  <pageSetup paperSize="9" scale="32" orientation="portrait" r:id="rId1"/>
  <rowBreaks count="1" manualBreakCount="1">
    <brk id="8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96" r:id="rId4" name="Drop Down 32">
              <controlPr defaultSize="0" autoLine="0" autoPict="0">
                <anchor moveWithCells="1">
                  <from>
                    <xdr:col>7</xdr:col>
                    <xdr:colOff>190500</xdr:colOff>
                    <xdr:row>24</xdr:row>
                    <xdr:rowOff>190500</xdr:rowOff>
                  </from>
                  <to>
                    <xdr:col>9</xdr:col>
                    <xdr:colOff>190500</xdr:colOff>
                    <xdr:row>26</xdr:row>
                    <xdr:rowOff>114300</xdr:rowOff>
                  </to>
                </anchor>
              </controlPr>
            </control>
          </mc:Choice>
        </mc:AlternateContent>
        <mc:AlternateContent xmlns:mc="http://schemas.openxmlformats.org/markup-compatibility/2006">
          <mc:Choice Requires="x14">
            <control shapeId="11297" r:id="rId5" name="Drop Down 33">
              <controlPr defaultSize="0" autoLine="0" autoPict="0">
                <anchor moveWithCells="1">
                  <from>
                    <xdr:col>7</xdr:col>
                    <xdr:colOff>88900</xdr:colOff>
                    <xdr:row>1</xdr:row>
                    <xdr:rowOff>184150</xdr:rowOff>
                  </from>
                  <to>
                    <xdr:col>9</xdr:col>
                    <xdr:colOff>95250</xdr:colOff>
                    <xdr:row>3</xdr:row>
                    <xdr:rowOff>107950</xdr:rowOff>
                  </to>
                </anchor>
              </controlPr>
            </control>
          </mc:Choice>
        </mc:AlternateContent>
        <mc:AlternateContent xmlns:mc="http://schemas.openxmlformats.org/markup-compatibility/2006">
          <mc:Choice Requires="x14">
            <control shapeId="11298" r:id="rId6" name="Drop Down 34">
              <controlPr defaultSize="0" autoLine="0" autoPict="0">
                <anchor moveWithCells="1">
                  <from>
                    <xdr:col>7</xdr:col>
                    <xdr:colOff>203200</xdr:colOff>
                    <xdr:row>23</xdr:row>
                    <xdr:rowOff>12700</xdr:rowOff>
                  </from>
                  <to>
                    <xdr:col>9</xdr:col>
                    <xdr:colOff>209550</xdr:colOff>
                    <xdr:row>24</xdr:row>
                    <xdr:rowOff>133350</xdr:rowOff>
                  </to>
                </anchor>
              </controlPr>
            </control>
          </mc:Choice>
        </mc:AlternateContent>
        <mc:AlternateContent xmlns:mc="http://schemas.openxmlformats.org/markup-compatibility/2006">
          <mc:Choice Requires="x14">
            <control shapeId="11299" r:id="rId7" name="Drop Down 35">
              <controlPr defaultSize="0" autoLine="0" autoPict="0">
                <anchor moveWithCells="1">
                  <from>
                    <xdr:col>7</xdr:col>
                    <xdr:colOff>527050</xdr:colOff>
                    <xdr:row>59</xdr:row>
                    <xdr:rowOff>133350</xdr:rowOff>
                  </from>
                  <to>
                    <xdr:col>9</xdr:col>
                    <xdr:colOff>539750</xdr:colOff>
                    <xdr:row>61</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D0716E07-FE16-4A45-9076-6C768497A4F7}">
            <x14:dataBar minLength="0" maxLength="100" border="1" negativeBarBorderColorSameAsPositive="0">
              <x14:cfvo type="autoMin"/>
              <x14:cfvo type="autoMax"/>
              <x14:borderColor rgb="FF638EC6"/>
              <x14:negativeFillColor rgb="FFFF0000"/>
              <x14:negativeBorderColor rgb="FFFF0000"/>
              <x14:axisColor rgb="FF000000"/>
            </x14:dataBar>
          </x14:cfRule>
          <xm:sqref>D84:D111</xm:sqref>
        </x14:conditionalFormatting>
        <x14:conditionalFormatting xmlns:xm="http://schemas.microsoft.com/office/excel/2006/main">
          <x14:cfRule type="dataBar" id="{5F0DEDF0-73E3-4AB3-BDBB-EE051C0BC8F6}">
            <x14:dataBar minLength="0" maxLength="100" border="1" negativeBarBorderColorSameAsPositive="0">
              <x14:cfvo type="autoMin"/>
              <x14:cfvo type="autoMax"/>
              <x14:borderColor rgb="FF63C384"/>
              <x14:negativeFillColor rgb="FFFF0000"/>
              <x14:negativeBorderColor rgb="FFFF0000"/>
              <x14:axisColor rgb="FF000000"/>
            </x14:dataBar>
          </x14:cfRule>
          <xm:sqref>K84:M111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pageSetUpPr fitToPage="1"/>
  </sheetPr>
  <dimension ref="A1:X115"/>
  <sheetViews>
    <sheetView zoomScale="70" zoomScaleNormal="70" zoomScaleSheetLayoutView="80" zoomScalePageLayoutView="85" workbookViewId="0">
      <selection activeCell="U15" sqref="U15"/>
    </sheetView>
  </sheetViews>
  <sheetFormatPr defaultColWidth="8.83203125" defaultRowHeight="15.5"/>
  <cols>
    <col min="1" max="1" width="38.5" style="64" customWidth="1"/>
    <col min="2" max="2" width="14.83203125" style="64" customWidth="1"/>
    <col min="3" max="3" width="12.5" style="64" customWidth="1"/>
    <col min="4" max="5" width="13.5" style="64" customWidth="1"/>
    <col min="6" max="6" width="13.33203125" style="64" customWidth="1"/>
    <col min="7" max="20" width="8.83203125" style="64"/>
    <col min="21" max="21" width="42" style="64" customWidth="1"/>
    <col min="22" max="22" width="15.5" style="64" customWidth="1"/>
    <col min="23" max="23" width="25" style="64" customWidth="1"/>
    <col min="24" max="24" width="16.5" style="64" customWidth="1"/>
    <col min="25" max="16384" width="8.83203125" style="64"/>
  </cols>
  <sheetData>
    <row r="1" spans="1:24" s="73" customFormat="1">
      <c r="A1" s="73" t="s">
        <v>312</v>
      </c>
    </row>
    <row r="5" spans="1:24" ht="49" customHeight="1">
      <c r="U5" s="280"/>
      <c r="V5" s="281"/>
      <c r="W5" s="282"/>
      <c r="X5" s="281"/>
    </row>
    <row r="6" spans="1:24">
      <c r="U6" s="283"/>
      <c r="V6" s="284"/>
      <c r="W6" s="284"/>
      <c r="X6" s="285"/>
    </row>
    <row r="7" spans="1:24">
      <c r="U7" s="283"/>
      <c r="V7" s="284"/>
      <c r="W7" s="284"/>
      <c r="X7" s="285"/>
    </row>
    <row r="13" spans="1:24">
      <c r="V13" s="284"/>
      <c r="W13" s="284"/>
      <c r="X13" s="285"/>
    </row>
    <row r="14" spans="1:24">
      <c r="V14" s="284"/>
      <c r="W14" s="284"/>
      <c r="X14" s="285"/>
    </row>
    <row r="17" spans="1:22">
      <c r="V17" s="286"/>
    </row>
    <row r="22" spans="1:22" ht="16" thickBot="1"/>
    <row r="23" spans="1:22" ht="52.5" thickBot="1">
      <c r="A23" s="223" t="s">
        <v>337</v>
      </c>
      <c r="B23" s="216" t="str">
        <f>'Data Input Sheet'!A7</f>
        <v>Service interruptions, incidents and emergencies</v>
      </c>
      <c r="C23" s="216" t="str">
        <f>'Data Input Sheet'!A8</f>
        <v>Routine and corrective maintenance and inspection</v>
      </c>
      <c r="D23" s="216" t="str">
        <f>'Data Input Sheet'!A9</f>
        <v xml:space="preserve"> Asset replacement and  renewal</v>
      </c>
      <c r="E23" s="216" t="str">
        <f>'Data Input Sheet'!A11</f>
        <v xml:space="preserve">System operations and network support </v>
      </c>
      <c r="F23" s="216" t="str">
        <f>'Data Input Sheet'!A12</f>
        <v>Business  support</v>
      </c>
    </row>
    <row r="24" spans="1:22">
      <c r="A24" s="215">
        <f>'Capex Dashboard'!$A49</f>
        <v>2013</v>
      </c>
      <c r="B24" s="220">
        <f t="array" ref="B24:B36">(TRANSPOSE('Data Input Sheet'!B7:N7)-Base!$C$31)</f>
        <v>5.75</v>
      </c>
      <c r="C24" s="220">
        <f t="array" ref="C24:C36">(TRANSPOSE('Data Input Sheet'!B8:N87)-Base!$C$32)</f>
        <v>8</v>
      </c>
      <c r="D24" s="220">
        <f t="array" ref="D24:D36">(TRANSPOSE('Data Input Sheet'!B9:N9)-Base!$C$33)</f>
        <v>0</v>
      </c>
      <c r="E24" s="220">
        <f t="array" ref="E24:E36">(TRANSPOSE('Data Input Sheet'!B11:N11)-Base!$C$35)</f>
        <v>5.5</v>
      </c>
      <c r="F24" s="220">
        <f t="array" ref="F24:F36">(TRANSPOSE('Data Input Sheet'!B12:N127)-Base!$C$36)</f>
        <v>12.5</v>
      </c>
    </row>
    <row r="25" spans="1:22">
      <c r="A25" s="213">
        <f>'Capex Dashboard'!$A50</f>
        <v>2014</v>
      </c>
      <c r="B25" s="221">
        <v>15.75</v>
      </c>
      <c r="C25" s="221">
        <v>20</v>
      </c>
      <c r="D25" s="221">
        <v>0</v>
      </c>
      <c r="E25" s="221">
        <v>15.5</v>
      </c>
      <c r="F25" s="221">
        <v>33.5</v>
      </c>
    </row>
    <row r="26" spans="1:22">
      <c r="A26" s="213">
        <f>'Capex Dashboard'!$A51</f>
        <v>2015</v>
      </c>
      <c r="B26" s="221">
        <v>17.75</v>
      </c>
      <c r="C26" s="221">
        <v>22</v>
      </c>
      <c r="D26" s="221">
        <v>0</v>
      </c>
      <c r="E26" s="221">
        <v>17.5</v>
      </c>
      <c r="F26" s="221">
        <v>36.5</v>
      </c>
    </row>
    <row r="27" spans="1:22">
      <c r="A27" s="213">
        <f>'Capex Dashboard'!$A52</f>
        <v>2016</v>
      </c>
      <c r="B27" s="221">
        <v>-39.25</v>
      </c>
      <c r="C27" s="221">
        <v>-50</v>
      </c>
      <c r="D27" s="221">
        <v>0</v>
      </c>
      <c r="E27" s="221">
        <v>-38.5</v>
      </c>
      <c r="F27" s="221">
        <v>-82.5</v>
      </c>
    </row>
    <row r="28" spans="1:22">
      <c r="A28" s="213">
        <f>'Capex Dashboard'!$A53</f>
        <v>2017</v>
      </c>
      <c r="B28" s="221">
        <v>-41.25</v>
      </c>
      <c r="C28" s="221">
        <v>-101</v>
      </c>
      <c r="D28" s="221">
        <v>0</v>
      </c>
      <c r="E28" s="221">
        <v>1058.5</v>
      </c>
      <c r="F28" s="221">
        <v>119.5</v>
      </c>
    </row>
    <row r="29" spans="1:22">
      <c r="A29" s="213">
        <f>'Capex Dashboard'!$A54</f>
        <v>2018</v>
      </c>
      <c r="B29" s="221">
        <v>-41.25</v>
      </c>
      <c r="C29" s="221">
        <v>-98</v>
      </c>
      <c r="D29" s="221">
        <v>0</v>
      </c>
      <c r="E29" s="221">
        <v>1058.5</v>
      </c>
      <c r="F29" s="221">
        <v>119.5</v>
      </c>
    </row>
    <row r="30" spans="1:22">
      <c r="A30" s="213">
        <f>'Capex Dashboard'!$A55</f>
        <v>2019</v>
      </c>
      <c r="B30" s="221">
        <v>-41.25</v>
      </c>
      <c r="C30" s="221">
        <v>-96</v>
      </c>
      <c r="D30" s="221">
        <v>0</v>
      </c>
      <c r="E30" s="221">
        <v>1058.5</v>
      </c>
      <c r="F30" s="221">
        <v>119.5</v>
      </c>
    </row>
    <row r="31" spans="1:22">
      <c r="A31" s="213">
        <f>'Capex Dashboard'!$A56</f>
        <v>2020</v>
      </c>
      <c r="B31" s="221">
        <v>-41.25</v>
      </c>
      <c r="C31" s="221">
        <v>-93</v>
      </c>
      <c r="D31" s="221">
        <v>0</v>
      </c>
      <c r="E31" s="221">
        <v>1058.5</v>
      </c>
      <c r="F31" s="221">
        <v>119.5</v>
      </c>
    </row>
    <row r="32" spans="1:22">
      <c r="A32" s="213">
        <f>'Capex Dashboard'!$A57</f>
        <v>2021</v>
      </c>
      <c r="B32" s="221">
        <v>-41.25</v>
      </c>
      <c r="C32" s="221">
        <v>-90</v>
      </c>
      <c r="D32" s="221">
        <v>0</v>
      </c>
      <c r="E32" s="221">
        <v>1058.5</v>
      </c>
      <c r="F32" s="221">
        <v>119.5</v>
      </c>
    </row>
    <row r="33" spans="1:6">
      <c r="A33" s="213">
        <f>'Capex Dashboard'!$A58</f>
        <v>2022</v>
      </c>
      <c r="B33" s="221">
        <v>-41.25</v>
      </c>
      <c r="C33" s="221">
        <v>-88</v>
      </c>
      <c r="D33" s="221">
        <v>0</v>
      </c>
      <c r="E33" s="221">
        <v>1058.5</v>
      </c>
      <c r="F33" s="221">
        <v>119.5</v>
      </c>
    </row>
    <row r="34" spans="1:6">
      <c r="A34" s="213">
        <f>'Capex Dashboard'!$A59</f>
        <v>2023</v>
      </c>
      <c r="B34" s="221">
        <v>-41.25</v>
      </c>
      <c r="C34" s="221">
        <v>-85</v>
      </c>
      <c r="D34" s="221">
        <v>0</v>
      </c>
      <c r="E34" s="221">
        <v>1058.5</v>
      </c>
      <c r="F34" s="221">
        <v>119.5</v>
      </c>
    </row>
    <row r="35" spans="1:6">
      <c r="A35" s="213">
        <f>'Capex Dashboard'!$A60</f>
        <v>2024</v>
      </c>
      <c r="B35" s="221">
        <v>-41.25</v>
      </c>
      <c r="C35" s="221">
        <v>-82</v>
      </c>
      <c r="D35" s="221">
        <v>0</v>
      </c>
      <c r="E35" s="221">
        <v>1058.5</v>
      </c>
      <c r="F35" s="221">
        <v>119.5</v>
      </c>
    </row>
    <row r="36" spans="1:6">
      <c r="A36" s="214">
        <f>'Capex Dashboard'!$A61</f>
        <v>2025</v>
      </c>
      <c r="B36" s="222">
        <v>-41.25</v>
      </c>
      <c r="C36" s="222">
        <v>-79</v>
      </c>
      <c r="D36" s="222">
        <v>0</v>
      </c>
      <c r="E36" s="222">
        <v>1058.5</v>
      </c>
      <c r="F36" s="222">
        <v>119.5</v>
      </c>
    </row>
    <row r="37" spans="1:6" hidden="1">
      <c r="A37" s="237"/>
      <c r="B37" s="238">
        <f>MAX(B24:F36)</f>
        <v>1058.5</v>
      </c>
      <c r="C37" s="238">
        <f>MAX(B24:F36)</f>
        <v>1058.5</v>
      </c>
      <c r="D37" s="238">
        <f>MAX(B24:F36)</f>
        <v>1058.5</v>
      </c>
      <c r="E37" s="238">
        <f>MAX(B24:F36)</f>
        <v>1058.5</v>
      </c>
      <c r="F37" s="238">
        <f>MAX(B24:F36)</f>
        <v>1058.5</v>
      </c>
    </row>
    <row r="54" spans="1:13" s="73" customFormat="1">
      <c r="A54" s="72" t="s">
        <v>213</v>
      </c>
    </row>
    <row r="55" spans="1:13" ht="16" thickBot="1">
      <c r="A55" s="64" t="s">
        <v>214</v>
      </c>
      <c r="B55" s="189">
        <f>Base!Q4/100</f>
        <v>0.05</v>
      </c>
      <c r="C55" s="189">
        <f>B55</f>
        <v>0.05</v>
      </c>
      <c r="D55" s="189">
        <f t="shared" ref="D55:L55" si="0">C55</f>
        <v>0.05</v>
      </c>
      <c r="E55" s="189">
        <f t="shared" si="0"/>
        <v>0.05</v>
      </c>
      <c r="F55" s="189">
        <f t="shared" si="0"/>
        <v>0.05</v>
      </c>
      <c r="G55" s="189">
        <f t="shared" si="0"/>
        <v>0.05</v>
      </c>
      <c r="H55" s="189">
        <f t="shared" si="0"/>
        <v>0.05</v>
      </c>
      <c r="I55" s="189">
        <f t="shared" si="0"/>
        <v>0.05</v>
      </c>
      <c r="J55" s="189">
        <f t="shared" si="0"/>
        <v>0.05</v>
      </c>
      <c r="K55" s="189">
        <f t="shared" si="0"/>
        <v>0.05</v>
      </c>
      <c r="L55" s="189">
        <f t="shared" si="0"/>
        <v>0.05</v>
      </c>
    </row>
    <row r="56" spans="1:13" ht="0.75" customHeight="1" thickBot="1">
      <c r="B56" s="189">
        <f>B55*-1</f>
        <v>-0.05</v>
      </c>
      <c r="C56" s="189">
        <f t="shared" ref="C56:L56" si="1">C55*-1</f>
        <v>-0.05</v>
      </c>
      <c r="D56" s="189">
        <f t="shared" si="1"/>
        <v>-0.05</v>
      </c>
      <c r="E56" s="189">
        <f t="shared" si="1"/>
        <v>-0.05</v>
      </c>
      <c r="F56" s="189">
        <f t="shared" si="1"/>
        <v>-0.05</v>
      </c>
      <c r="G56" s="189">
        <f t="shared" si="1"/>
        <v>-0.05</v>
      </c>
      <c r="H56" s="189">
        <f t="shared" si="1"/>
        <v>-0.05</v>
      </c>
      <c r="I56" s="189">
        <f t="shared" si="1"/>
        <v>-0.05</v>
      </c>
      <c r="J56" s="189">
        <f t="shared" si="1"/>
        <v>-0.05</v>
      </c>
      <c r="K56" s="189">
        <f t="shared" si="1"/>
        <v>-0.05</v>
      </c>
      <c r="L56" s="189">
        <f t="shared" si="1"/>
        <v>-0.05</v>
      </c>
    </row>
    <row r="57" spans="1:13" ht="16" thickBot="1">
      <c r="A57" s="77" t="str">
        <f>'Asset Forecast v AMP'!S52</f>
        <v>2013 to 2014 AMP Forecasts</v>
      </c>
      <c r="B57" s="74">
        <f>'Asset Forecast v AMP'!T52</f>
        <v>2014</v>
      </c>
      <c r="C57" s="74">
        <f>'Asset Forecast v AMP'!U52</f>
        <v>2015</v>
      </c>
      <c r="D57" s="74">
        <f>'Asset Forecast v AMP'!V52</f>
        <v>2016</v>
      </c>
      <c r="E57" s="74">
        <f>'Asset Forecast v AMP'!W52</f>
        <v>2017</v>
      </c>
      <c r="F57" s="74">
        <f>'Asset Forecast v AMP'!X52</f>
        <v>2018</v>
      </c>
      <c r="G57" s="74">
        <f>'Asset Forecast v AMP'!Y52</f>
        <v>2019</v>
      </c>
      <c r="H57" s="74">
        <f>'Asset Forecast v AMP'!Z52</f>
        <v>2020</v>
      </c>
      <c r="I57" s="74">
        <f>'Asset Forecast v AMP'!AA52</f>
        <v>2021</v>
      </c>
      <c r="J57" s="74">
        <f>'Asset Forecast v AMP'!AB52</f>
        <v>2022</v>
      </c>
      <c r="K57" s="74">
        <f>'Asset Forecast v AMP'!AC52</f>
        <v>2023</v>
      </c>
      <c r="L57" s="74">
        <f>'Asset Forecast v AMP'!AD52</f>
        <v>2024</v>
      </c>
      <c r="M57" s="74">
        <f>'Asset Forecast v AMP'!AE52</f>
        <v>2025</v>
      </c>
    </row>
    <row r="58" spans="1:13">
      <c r="A58" s="64" t="str">
        <f>'Asset Forecast v AMP'!S53</f>
        <v>Service, Interruptions, Incidents and Emergencies</v>
      </c>
      <c r="B58" s="133">
        <f>'Asset Forecast v AMP'!T53</f>
        <v>-6.5399813523953423E-2</v>
      </c>
      <c r="C58" s="133">
        <f>'Asset Forecast v AMP'!U53</f>
        <v>-6.2193214837178906E-2</v>
      </c>
      <c r="D58" s="133">
        <f>'Asset Forecast v AMP'!V53</f>
        <v>-6.0959907649957928E-2</v>
      </c>
      <c r="E58" s="133">
        <f>'Asset Forecast v AMP'!W53</f>
        <v>-6.0959907649957928E-2</v>
      </c>
      <c r="F58" s="133">
        <f>'Asset Forecast v AMP'!X53</f>
        <v>-6.0959907649957928E-2</v>
      </c>
      <c r="G58" s="133">
        <f>'Asset Forecast v AMP'!Y53</f>
        <v>-6.0959907649957928E-2</v>
      </c>
      <c r="H58" s="133">
        <f>'Asset Forecast v AMP'!Z53</f>
        <v>-6.0959907649957928E-2</v>
      </c>
      <c r="I58" s="133">
        <f>'Asset Forecast v AMP'!AA53</f>
        <v>-6.0959907649957928E-2</v>
      </c>
      <c r="J58" s="133">
        <f>'Asset Forecast v AMP'!AB53</f>
        <v>-6.0959907649957928E-2</v>
      </c>
      <c r="K58" s="133">
        <f>'Asset Forecast v AMP'!AC53</f>
        <v>-6.0959907649957928E-2</v>
      </c>
      <c r="L58" s="133"/>
    </row>
    <row r="59" spans="1:13">
      <c r="A59" s="64" t="str">
        <f>'Asset Forecast v AMP'!S54</f>
        <v>Routine and Corrective Maintenance and Inspection</v>
      </c>
      <c r="B59" s="133">
        <f>'Asset Forecast v AMP'!T54</f>
        <v>-5.820911761505828E-2</v>
      </c>
      <c r="C59" s="133">
        <f>'Asset Forecast v AMP'!U54</f>
        <v>-3.7464026981391819E-2</v>
      </c>
      <c r="D59" s="133">
        <f>'Asset Forecast v AMP'!V54</f>
        <v>-4.752690252738629E-2</v>
      </c>
      <c r="E59" s="133">
        <f>'Asset Forecast v AMP'!W54</f>
        <v>-2.4935504113791803E-2</v>
      </c>
      <c r="F59" s="133">
        <f>'Asset Forecast v AMP'!X54</f>
        <v>-3.0264576576731175E-2</v>
      </c>
      <c r="G59" s="133">
        <f>'Asset Forecast v AMP'!Y54</f>
        <v>-1.4399492740273592E-2</v>
      </c>
      <c r="H59" s="133">
        <f>'Asset Forecast v AMP'!Z54</f>
        <v>-1.990844245714897E-2</v>
      </c>
      <c r="I59" s="133">
        <f>'Asset Forecast v AMP'!AA54</f>
        <v>-2.006019327884059E-2</v>
      </c>
      <c r="J59" s="133">
        <f>'Asset Forecast v AMP'!AB54</f>
        <v>-2.0207948137070046E-2</v>
      </c>
      <c r="K59" s="133">
        <f>'Asset Forecast v AMP'!AC54</f>
        <v>-2.0356101080013157E-2</v>
      </c>
      <c r="L59" s="133"/>
    </row>
    <row r="60" spans="1:13">
      <c r="A60" s="64" t="str">
        <f>'Asset Forecast v AMP'!S55</f>
        <v>Asset Replacement and Renewal</v>
      </c>
      <c r="B60" s="133">
        <f>'Asset Forecast v AMP'!T55</f>
        <v>0</v>
      </c>
      <c r="C60" s="133">
        <f>'Asset Forecast v AMP'!U55</f>
        <v>0</v>
      </c>
      <c r="D60" s="133">
        <f>'Asset Forecast v AMP'!V55</f>
        <v>0</v>
      </c>
      <c r="E60" s="133">
        <f>'Asset Forecast v AMP'!W55</f>
        <v>0</v>
      </c>
      <c r="F60" s="133">
        <f>'Asset Forecast v AMP'!X55</f>
        <v>0</v>
      </c>
      <c r="G60" s="133">
        <f>'Asset Forecast v AMP'!Y55</f>
        <v>0</v>
      </c>
      <c r="H60" s="133">
        <f>'Asset Forecast v AMP'!Z55</f>
        <v>0</v>
      </c>
      <c r="I60" s="133">
        <f>'Asset Forecast v AMP'!AA55</f>
        <v>0</v>
      </c>
      <c r="J60" s="133">
        <f>'Asset Forecast v AMP'!AB55</f>
        <v>0</v>
      </c>
      <c r="K60" s="133">
        <f>'Asset Forecast v AMP'!AC55</f>
        <v>0</v>
      </c>
      <c r="L60" s="133"/>
    </row>
    <row r="61" spans="1:13">
      <c r="A61" s="64" t="str">
        <f>'Asset Forecast v AMP'!S56</f>
        <v>System Operations and Network Support</v>
      </c>
      <c r="B61" s="133">
        <f>'Asset Forecast v AMP'!T56</f>
        <v>-0.14714732505412095</v>
      </c>
      <c r="C61" s="133">
        <f>'Asset Forecast v AMP'!U56</f>
        <v>-9.5467934189155779E-2</v>
      </c>
      <c r="D61" s="133">
        <f>'Asset Forecast v AMP'!V56</f>
        <v>-9.146837420535181E-2</v>
      </c>
      <c r="E61" s="133">
        <f>'Asset Forecast v AMP'!W56</f>
        <v>-9.146837420535181E-2</v>
      </c>
      <c r="F61" s="133">
        <f>'Asset Forecast v AMP'!X56</f>
        <v>-9.146837420535181E-2</v>
      </c>
      <c r="G61" s="133">
        <f>'Asset Forecast v AMP'!Y56</f>
        <v>-9.146837420535181E-2</v>
      </c>
      <c r="H61" s="133">
        <f>'Asset Forecast v AMP'!Z56</f>
        <v>-9.146837420535181E-2</v>
      </c>
      <c r="I61" s="133">
        <f>'Asset Forecast v AMP'!AA56</f>
        <v>-9.146837420535181E-2</v>
      </c>
      <c r="J61" s="133">
        <f>'Asset Forecast v AMP'!AB56</f>
        <v>-9.146837420535181E-2</v>
      </c>
      <c r="K61" s="133">
        <f>'Asset Forecast v AMP'!AC56</f>
        <v>-9.146837420535181E-2</v>
      </c>
      <c r="L61" s="133"/>
    </row>
    <row r="62" spans="1:13">
      <c r="A62" s="64" t="str">
        <f>'Asset Forecast v AMP'!S57</f>
        <v>Business Support</v>
      </c>
      <c r="B62" s="133">
        <f>'Asset Forecast v AMP'!T57</f>
        <v>-0.17657970783227916</v>
      </c>
      <c r="C62" s="133">
        <f>'Asset Forecast v AMP'!U57</f>
        <v>-6.6970885092718299E-2</v>
      </c>
      <c r="D62" s="133">
        <f>'Asset Forecast v AMP'!V57</f>
        <v>-6.6970885092718299E-2</v>
      </c>
      <c r="E62" s="133">
        <f>'Asset Forecast v AMP'!W57</f>
        <v>-6.6970885092718299E-2</v>
      </c>
      <c r="F62" s="133">
        <f>'Asset Forecast v AMP'!X57</f>
        <v>-6.6970885092718299E-2</v>
      </c>
      <c r="G62" s="133">
        <f>'Asset Forecast v AMP'!Y57</f>
        <v>-6.6970885092718299E-2</v>
      </c>
      <c r="H62" s="133">
        <f>'Asset Forecast v AMP'!Z57</f>
        <v>-6.6970885092718299E-2</v>
      </c>
      <c r="I62" s="133">
        <f>'Asset Forecast v AMP'!AA57</f>
        <v>-6.6970885092718299E-2</v>
      </c>
      <c r="J62" s="133">
        <f>'Asset Forecast v AMP'!AB57</f>
        <v>-6.6970885092718299E-2</v>
      </c>
      <c r="K62" s="133">
        <f>'Asset Forecast v AMP'!AC57</f>
        <v>-6.6970885092718299E-2</v>
      </c>
      <c r="L62" s="133"/>
    </row>
    <row r="63" spans="1:13">
      <c r="A63" s="64" t="str">
        <f>'Asset Forecast v AMP'!S58</f>
        <v>Total Network Opex</v>
      </c>
      <c r="B63" s="133">
        <f>'Asset Forecast v AMP'!T58</f>
        <v>-6.1579441456523096E-2</v>
      </c>
      <c r="C63" s="133">
        <f>'Asset Forecast v AMP'!U58</f>
        <v>-4.9038532584601814E-2</v>
      </c>
      <c r="D63" s="133">
        <f>'Asset Forecast v AMP'!V58</f>
        <v>-5.3782858271904613E-2</v>
      </c>
      <c r="E63" s="133">
        <f>'Asset Forecast v AMP'!W58</f>
        <v>-4.1832203785931318E-2</v>
      </c>
      <c r="F63" s="133">
        <f>'Asset Forecast v AMP'!X58</f>
        <v>-4.4536678850324724E-2</v>
      </c>
      <c r="G63" s="133">
        <f>'Asset Forecast v AMP'!Y58</f>
        <v>-3.6040704579953078E-2</v>
      </c>
      <c r="H63" s="133">
        <f>'Asset Forecast v AMP'!Z58</f>
        <v>-3.8927438450216283E-2</v>
      </c>
      <c r="I63" s="133">
        <f>'Asset Forecast v AMP'!AA58</f>
        <v>-3.8947843242676777E-2</v>
      </c>
      <c r="J63" s="133">
        <f>'Asset Forecast v AMP'!AB58</f>
        <v>-3.8964783991299046E-2</v>
      </c>
      <c r="K63" s="133">
        <f>'Asset Forecast v AMP'!AC58</f>
        <v>-3.8984936326527997E-2</v>
      </c>
      <c r="L63" s="133"/>
    </row>
    <row r="64" spans="1:13">
      <c r="A64" s="64" t="str">
        <f>'Asset Forecast v AMP'!S59</f>
        <v>Total Opex</v>
      </c>
      <c r="B64" s="133">
        <f>'Asset Forecast v AMP'!T59</f>
        <v>-0.12282352668663574</v>
      </c>
      <c r="C64" s="133">
        <f>'Asset Forecast v AMP'!U59</f>
        <v>-6.5534905087617779E-2</v>
      </c>
      <c r="D64" s="133">
        <f>'Asset Forecast v AMP'!V59</f>
        <v>-6.6579535125248779E-2</v>
      </c>
      <c r="E64" s="133">
        <f>'Asset Forecast v AMP'!W59</f>
        <v>-6.183863902085282E-2</v>
      </c>
      <c r="F64" s="133">
        <f>'Asset Forecast v AMP'!X59</f>
        <v>-6.2855594315192095E-2</v>
      </c>
      <c r="G64" s="133">
        <f>'Asset Forecast v AMP'!Y59</f>
        <v>-5.9438197380195935E-2</v>
      </c>
      <c r="H64" s="133">
        <f>'Asset Forecast v AMP'!Z59</f>
        <v>-6.0570275675889684E-2</v>
      </c>
      <c r="I64" s="133">
        <f>'Asset Forecast v AMP'!AA59</f>
        <v>-6.055037775618613E-2</v>
      </c>
      <c r="J64" s="133">
        <f>'Asset Forecast v AMP'!AB59</f>
        <v>-6.0528184383966163E-2</v>
      </c>
      <c r="K64" s="133">
        <f>'Asset Forecast v AMP'!AC59</f>
        <v>-6.0508393540405041E-2</v>
      </c>
      <c r="L64" s="133"/>
    </row>
    <row r="65" spans="1:13" ht="16" thickBot="1">
      <c r="B65" s="189"/>
      <c r="C65" s="189"/>
      <c r="D65" s="189"/>
      <c r="E65" s="189"/>
      <c r="F65" s="189"/>
      <c r="G65" s="189"/>
      <c r="H65" s="189"/>
      <c r="I65" s="189"/>
      <c r="J65" s="189"/>
      <c r="K65" s="189"/>
      <c r="L65" s="189"/>
    </row>
    <row r="66" spans="1:13" ht="16" thickBot="1">
      <c r="A66" s="77" t="str">
        <f>'Asset Forecast v AMP'!S64</f>
        <v>2014 to 2015 AMP Forecasts</v>
      </c>
      <c r="B66" s="74">
        <f>'Asset Forecast v AMP'!T64</f>
        <v>2014</v>
      </c>
      <c r="C66" s="74">
        <f>'Asset Forecast v AMP'!U64</f>
        <v>2015</v>
      </c>
      <c r="D66" s="74">
        <f>'Asset Forecast v AMP'!V64</f>
        <v>2016</v>
      </c>
      <c r="E66" s="74">
        <f>'Asset Forecast v AMP'!W64</f>
        <v>2017</v>
      </c>
      <c r="F66" s="74">
        <f>'Asset Forecast v AMP'!X64</f>
        <v>2018</v>
      </c>
      <c r="G66" s="74">
        <f>'Asset Forecast v AMP'!Y64</f>
        <v>2019</v>
      </c>
      <c r="H66" s="74">
        <f>'Asset Forecast v AMP'!Z64</f>
        <v>2020</v>
      </c>
      <c r="I66" s="74">
        <f>'Asset Forecast v AMP'!AA64</f>
        <v>2021</v>
      </c>
      <c r="J66" s="74">
        <f>'Asset Forecast v AMP'!AB64</f>
        <v>2022</v>
      </c>
      <c r="K66" s="74">
        <f>'Asset Forecast v AMP'!AC64</f>
        <v>2023</v>
      </c>
      <c r="L66" s="74">
        <f>'Asset Forecast v AMP'!AD64</f>
        <v>2024</v>
      </c>
      <c r="M66" s="74">
        <f>'Asset Forecast v AMP'!AE64</f>
        <v>2025</v>
      </c>
    </row>
    <row r="67" spans="1:13">
      <c r="A67" s="64" t="str">
        <f>'Asset Forecast v AMP'!S65</f>
        <v>Service, Interruptions, Incidents and Emergencies</v>
      </c>
      <c r="B67" s="133"/>
      <c r="C67" s="133">
        <f>'Asset Forecast v AMP'!U65</f>
        <v>1.4466589265278173E-2</v>
      </c>
      <c r="D67" s="133">
        <f>'Asset Forecast v AMP'!V65</f>
        <v>1.339326653020049E-2</v>
      </c>
      <c r="E67" s="133">
        <f>'Asset Forecast v AMP'!W65</f>
        <v>1.339326653020049E-2</v>
      </c>
      <c r="F67" s="133">
        <f>'Asset Forecast v AMP'!X65</f>
        <v>1.339326653020049E-2</v>
      </c>
      <c r="G67" s="133">
        <f>'Asset Forecast v AMP'!Y65</f>
        <v>1.339326653020049E-2</v>
      </c>
      <c r="H67" s="133">
        <f>'Asset Forecast v AMP'!Z65</f>
        <v>1.339326653020049E-2</v>
      </c>
      <c r="I67" s="133">
        <f>'Asset Forecast v AMP'!AA65</f>
        <v>1.339326653020049E-2</v>
      </c>
      <c r="J67" s="133">
        <f>'Asset Forecast v AMP'!AB65</f>
        <v>1.339326653020049E-2</v>
      </c>
      <c r="K67" s="133">
        <f>'Asset Forecast v AMP'!AC65</f>
        <v>1.339326653020049E-2</v>
      </c>
      <c r="L67" s="133">
        <f>'Asset Forecast v AMP'!AD65</f>
        <v>1.339326653020049E-2</v>
      </c>
    </row>
    <row r="68" spans="1:13">
      <c r="A68" s="64" t="str">
        <f>'Asset Forecast v AMP'!S66</f>
        <v>Routine and Corrective Maintenance and Inspection</v>
      </c>
      <c r="B68" s="133"/>
      <c r="C68" s="133">
        <f>'Asset Forecast v AMP'!U66</f>
        <v>-7.1177138994327468E-2</v>
      </c>
      <c r="D68" s="133">
        <f>'Asset Forecast v AMP'!V66</f>
        <v>-3.7849341721541779E-2</v>
      </c>
      <c r="E68" s="133">
        <f>'Asset Forecast v AMP'!W66</f>
        <v>-4.7083842958359483E-2</v>
      </c>
      <c r="F68" s="133">
        <f>'Asset Forecast v AMP'!X66</f>
        <v>-5.6969012080214057E-2</v>
      </c>
      <c r="G68" s="133">
        <f>'Asset Forecast v AMP'!Y66</f>
        <v>-7.2108070151973763E-2</v>
      </c>
      <c r="H68" s="133">
        <f>'Asset Forecast v AMP'!Z66</f>
        <v>-7.2082738253630138E-2</v>
      </c>
      <c r="I68" s="133">
        <f>'Asset Forecast v AMP'!AA66</f>
        <v>-7.7067917406844155E-2</v>
      </c>
      <c r="J68" s="133">
        <f>'Asset Forecast v AMP'!AB66</f>
        <v>-8.1980652149427222E-2</v>
      </c>
      <c r="K68" s="133">
        <f>'Asset Forecast v AMP'!AC66</f>
        <v>-8.685026491446321E-2</v>
      </c>
      <c r="L68" s="133">
        <f>'Asset Forecast v AMP'!AD66</f>
        <v>-9.1664071421156415E-2</v>
      </c>
    </row>
    <row r="69" spans="1:13">
      <c r="A69" s="64" t="str">
        <f>'Asset Forecast v AMP'!S67</f>
        <v>Asset Replacement and Renewal</v>
      </c>
      <c r="B69" s="133"/>
      <c r="C69" s="133">
        <f>'Asset Forecast v AMP'!U67</f>
        <v>0</v>
      </c>
      <c r="D69" s="133">
        <f>'Asset Forecast v AMP'!V67</f>
        <v>0</v>
      </c>
      <c r="E69" s="133">
        <f>'Asset Forecast v AMP'!W67</f>
        <v>0</v>
      </c>
      <c r="F69" s="133">
        <f>'Asset Forecast v AMP'!X67</f>
        <v>0</v>
      </c>
      <c r="G69" s="133">
        <f>'Asset Forecast v AMP'!Y67</f>
        <v>0</v>
      </c>
      <c r="H69" s="133">
        <f>'Asset Forecast v AMP'!Z67</f>
        <v>0</v>
      </c>
      <c r="I69" s="133">
        <f>'Asset Forecast v AMP'!AA67</f>
        <v>0</v>
      </c>
      <c r="J69" s="133">
        <f>'Asset Forecast v AMP'!AB67</f>
        <v>0</v>
      </c>
      <c r="K69" s="133">
        <f>'Asset Forecast v AMP'!AC67</f>
        <v>0</v>
      </c>
      <c r="L69" s="133">
        <f>'Asset Forecast v AMP'!AD67</f>
        <v>0</v>
      </c>
    </row>
    <row r="70" spans="1:13">
      <c r="A70" s="64" t="str">
        <f>'Asset Forecast v AMP'!S68</f>
        <v>System Operations and Network Support</v>
      </c>
      <c r="B70" s="133"/>
      <c r="C70" s="133">
        <f>'Asset Forecast v AMP'!U68</f>
        <v>1.4841166104163821</v>
      </c>
      <c r="D70" s="133">
        <f>'Asset Forecast v AMP'!V68</f>
        <v>1.4963721192676109</v>
      </c>
      <c r="E70" s="133">
        <f>'Asset Forecast v AMP'!W68</f>
        <v>1.4963721192676109</v>
      </c>
      <c r="F70" s="133">
        <f>'Asset Forecast v AMP'!X68</f>
        <v>1.4963721192676109</v>
      </c>
      <c r="G70" s="133">
        <f>'Asset Forecast v AMP'!Y68</f>
        <v>1.4963721192676109</v>
      </c>
      <c r="H70" s="133">
        <f>'Asset Forecast v AMP'!Z68</f>
        <v>1.4963721192676109</v>
      </c>
      <c r="I70" s="133">
        <f>'Asset Forecast v AMP'!AA68</f>
        <v>1.4963721192676109</v>
      </c>
      <c r="J70" s="133">
        <f>'Asset Forecast v AMP'!AB68</f>
        <v>1.4963721192676109</v>
      </c>
      <c r="K70" s="133">
        <f>'Asset Forecast v AMP'!AC68</f>
        <v>1.4963721192676109</v>
      </c>
      <c r="L70" s="133">
        <f>'Asset Forecast v AMP'!AD68</f>
        <v>1.4963721192676109</v>
      </c>
    </row>
    <row r="71" spans="1:13">
      <c r="A71" s="64" t="str">
        <f>'Asset Forecast v AMP'!S69</f>
        <v>Business Support</v>
      </c>
      <c r="B71" s="133"/>
      <c r="C71" s="133">
        <f>'Asset Forecast v AMP'!U69</f>
        <v>-0.93196979263022406</v>
      </c>
      <c r="D71" s="133">
        <f>'Asset Forecast v AMP'!V69</f>
        <v>-0.93196979263022406</v>
      </c>
      <c r="E71" s="133">
        <f>'Asset Forecast v AMP'!W69</f>
        <v>-0.93196979263022406</v>
      </c>
      <c r="F71" s="133">
        <f>'Asset Forecast v AMP'!X69</f>
        <v>-0.93196979263022406</v>
      </c>
      <c r="G71" s="133">
        <f>'Asset Forecast v AMP'!Y69</f>
        <v>-0.93196979263022406</v>
      </c>
      <c r="H71" s="133">
        <f>'Asset Forecast v AMP'!Z69</f>
        <v>-0.93196979263022406</v>
      </c>
      <c r="I71" s="133">
        <f>'Asset Forecast v AMP'!AA69</f>
        <v>-0.93196979263022406</v>
      </c>
      <c r="J71" s="133">
        <f>'Asset Forecast v AMP'!AB69</f>
        <v>-0.93196979263022406</v>
      </c>
      <c r="K71" s="133">
        <f>'Asset Forecast v AMP'!AC69</f>
        <v>-0.93196979263022406</v>
      </c>
      <c r="L71" s="133">
        <f>'Asset Forecast v AMP'!AD69</f>
        <v>-0.93196979263022406</v>
      </c>
    </row>
    <row r="72" spans="1:13">
      <c r="A72" s="64" t="str">
        <f>'Asset Forecast v AMP'!S70</f>
        <v>Total Network Opex</v>
      </c>
      <c r="B72" s="133"/>
      <c r="C72" s="133">
        <f>'Asset Forecast v AMP'!U70</f>
        <v>-3.1646065200103816E-2</v>
      </c>
      <c r="D72" s="133">
        <f>'Asset Forecast v AMP'!V70</f>
        <v>-1.4165887840956381E-2</v>
      </c>
      <c r="E72" s="133">
        <f>'Asset Forecast v AMP'!W70</f>
        <v>-1.9284234672565147E-2</v>
      </c>
      <c r="F72" s="133">
        <f>'Asset Forecast v AMP'!X70</f>
        <v>-2.4815705794072052E-2</v>
      </c>
      <c r="G72" s="133">
        <f>'Asset Forecast v AMP'!Y70</f>
        <v>-3.3394512974400548E-2</v>
      </c>
      <c r="H72" s="133">
        <f>'Asset Forecast v AMP'!Z70</f>
        <v>-3.3389854756359735E-2</v>
      </c>
      <c r="I72" s="133">
        <f>'Asset Forecast v AMP'!AA70</f>
        <v>-3.6249412340075393E-2</v>
      </c>
      <c r="J72" s="133">
        <f>'Asset Forecast v AMP'!AB70</f>
        <v>-3.9087739164980567E-2</v>
      </c>
      <c r="K72" s="133">
        <f>'Asset Forecast v AMP'!AC70</f>
        <v>-4.1910660085231505E-2</v>
      </c>
      <c r="L72" s="133">
        <f>'Asset Forecast v AMP'!AD70</f>
        <v>-4.4715687152954181E-2</v>
      </c>
    </row>
    <row r="73" spans="1:13">
      <c r="A73" s="64" t="str">
        <f>'Asset Forecast v AMP'!S71</f>
        <v>Total Opex</v>
      </c>
      <c r="B73" s="133"/>
      <c r="C73" s="133">
        <f>'Asset Forecast v AMP'!U71</f>
        <v>-9.4885048062305577E-2</v>
      </c>
      <c r="D73" s="133">
        <f>'Asset Forecast v AMP'!V71</f>
        <v>-8.5383679865285264E-2</v>
      </c>
      <c r="E73" s="133">
        <f>'Asset Forecast v AMP'!W71</f>
        <v>-8.7315419959852134E-2</v>
      </c>
      <c r="F73" s="133">
        <f>'Asset Forecast v AMP'!X71</f>
        <v>-8.9417768628790625E-2</v>
      </c>
      <c r="G73" s="133">
        <f>'Asset Forecast v AMP'!Y71</f>
        <v>-9.2707967635891134E-2</v>
      </c>
      <c r="H73" s="133">
        <f>'Asset Forecast v AMP'!Z71</f>
        <v>-9.2700237144388284E-2</v>
      </c>
      <c r="I73" s="133">
        <f>'Asset Forecast v AMP'!AA71</f>
        <v>-9.3802228681048622E-2</v>
      </c>
      <c r="J73" s="133">
        <f>'Asset Forecast v AMP'!AB71</f>
        <v>-9.4897350711304382E-2</v>
      </c>
      <c r="K73" s="133">
        <f>'Asset Forecast v AMP'!AC71</f>
        <v>-9.5993490498716944E-2</v>
      </c>
      <c r="L73" s="133">
        <f>'Asset Forecast v AMP'!AD71</f>
        <v>-9.7086745988862314E-2</v>
      </c>
    </row>
    <row r="74" spans="1:13" ht="16" thickBot="1">
      <c r="B74" s="133"/>
      <c r="C74" s="133"/>
      <c r="D74" s="133"/>
      <c r="E74" s="133"/>
      <c r="F74" s="133"/>
      <c r="G74" s="133"/>
      <c r="H74" s="133"/>
      <c r="I74" s="133"/>
      <c r="J74" s="133"/>
      <c r="K74" s="133"/>
      <c r="L74" s="133"/>
    </row>
    <row r="75" spans="1:13" ht="16" thickBot="1">
      <c r="A75" s="77" t="str">
        <f>'Asset Forecast v AMP'!S73</f>
        <v>2015 to 2016 AMP Forecasts</v>
      </c>
      <c r="B75" s="74">
        <f>'Asset Forecast v AMP'!T64</f>
        <v>2014</v>
      </c>
      <c r="C75" s="74">
        <f>'Asset Forecast v AMP'!U64</f>
        <v>2015</v>
      </c>
      <c r="D75" s="74">
        <f>'Asset Forecast v AMP'!V64</f>
        <v>2016</v>
      </c>
      <c r="E75" s="74">
        <f>'Asset Forecast v AMP'!W64</f>
        <v>2017</v>
      </c>
      <c r="F75" s="74">
        <f>'Asset Forecast v AMP'!X64</f>
        <v>2018</v>
      </c>
      <c r="G75" s="74">
        <f>'Asset Forecast v AMP'!Y64</f>
        <v>2019</v>
      </c>
      <c r="H75" s="74">
        <f>'Asset Forecast v AMP'!Z64</f>
        <v>2020</v>
      </c>
      <c r="I75" s="74">
        <f>'Asset Forecast v AMP'!AA64</f>
        <v>2021</v>
      </c>
      <c r="J75" s="74">
        <f>'Asset Forecast v AMP'!AB64</f>
        <v>2022</v>
      </c>
      <c r="K75" s="74">
        <f>'Asset Forecast v AMP'!AC64</f>
        <v>2023</v>
      </c>
      <c r="L75" s="74">
        <f>'Asset Forecast v AMP'!AD64</f>
        <v>2024</v>
      </c>
      <c r="M75" s="74">
        <f>'Asset Forecast v AMP'!AE64</f>
        <v>2025</v>
      </c>
    </row>
    <row r="76" spans="1:13">
      <c r="A76" s="64" t="str">
        <f>'Asset Forecast v AMP'!S74</f>
        <v>Service, Interruptions, Incidents and Emergencies</v>
      </c>
      <c r="B76" s="133"/>
      <c r="C76" s="133"/>
      <c r="D76" s="133">
        <f>'Asset Forecast v AMP'!V74</f>
        <v>-0.5017245063028416</v>
      </c>
      <c r="E76" s="133">
        <f>'Asset Forecast v AMP'!W74</f>
        <v>-0.50223321022698364</v>
      </c>
      <c r="F76" s="133">
        <f>'Asset Forecast v AMP'!X74</f>
        <v>-0.50223321022698364</v>
      </c>
      <c r="G76" s="133">
        <f>'Asset Forecast v AMP'!Y74</f>
        <v>-0.50223321022698364</v>
      </c>
      <c r="H76" s="133">
        <f>'Asset Forecast v AMP'!Z74</f>
        <v>-0.50223321022698364</v>
      </c>
      <c r="I76" s="133">
        <f>'Asset Forecast v AMP'!AA74</f>
        <v>-0.50223321022698364</v>
      </c>
      <c r="J76" s="133">
        <f>'Asset Forecast v AMP'!AB74</f>
        <v>-0.50223321022698364</v>
      </c>
      <c r="K76" s="133">
        <f>'Asset Forecast v AMP'!AC74</f>
        <v>-0.50223321022698364</v>
      </c>
      <c r="L76" s="133">
        <f>'Asset Forecast v AMP'!AD74</f>
        <v>-0.50223321022698364</v>
      </c>
      <c r="M76" s="133">
        <f>'Asset Forecast v AMP'!AE74</f>
        <v>-0.50223321022698364</v>
      </c>
    </row>
    <row r="77" spans="1:13">
      <c r="A77" s="64" t="str">
        <f>'Asset Forecast v AMP'!S75</f>
        <v>Routine and Corrective Maintenance and Inspection</v>
      </c>
      <c r="B77" s="133"/>
      <c r="C77" s="133"/>
      <c r="D77" s="133">
        <f>'Asset Forecast v AMP'!V75</f>
        <v>-0.42352098830235674</v>
      </c>
      <c r="E77" s="133">
        <f>'Asset Forecast v AMP'!W75</f>
        <v>-0.43552358466685998</v>
      </c>
      <c r="F77" s="133">
        <f>'Asset Forecast v AMP'!X75</f>
        <v>-0.4350945227629765</v>
      </c>
      <c r="G77" s="133">
        <f>'Asset Forecast v AMP'!Y75</f>
        <v>-0.4350263006979424</v>
      </c>
      <c r="H77" s="133">
        <f>'Asset Forecast v AMP'!Z75</f>
        <v>-0.43459796377153709</v>
      </c>
      <c r="I77" s="133">
        <f>'Asset Forecast v AMP'!AA75</f>
        <v>-0.43417002226348067</v>
      </c>
      <c r="J77" s="133">
        <f>'Asset Forecast v AMP'!AB75</f>
        <v>-0.43410254998072362</v>
      </c>
      <c r="K77" s="133">
        <f>'Asset Forecast v AMP'!AC75</f>
        <v>-0.43367533012668324</v>
      </c>
      <c r="L77" s="133">
        <f>'Asset Forecast v AMP'!AD75</f>
        <v>-0.4332485040236605</v>
      </c>
      <c r="M77" s="133">
        <f>'Asset Forecast v AMP'!AE75</f>
        <v>-0.43295266701262269</v>
      </c>
    </row>
    <row r="78" spans="1:13">
      <c r="A78" s="64" t="str">
        <f>'Asset Forecast v AMP'!S76</f>
        <v>Asset Replacement and Renewal</v>
      </c>
      <c r="B78" s="133"/>
      <c r="C78" s="133"/>
      <c r="D78" s="133">
        <f>'Asset Forecast v AMP'!V76</f>
        <v>0</v>
      </c>
      <c r="E78" s="133">
        <f>'Asset Forecast v AMP'!W76</f>
        <v>0</v>
      </c>
      <c r="F78" s="133">
        <f>'Asset Forecast v AMP'!X76</f>
        <v>0</v>
      </c>
      <c r="G78" s="133">
        <f>'Asset Forecast v AMP'!Y76</f>
        <v>0</v>
      </c>
      <c r="H78" s="133">
        <f>'Asset Forecast v AMP'!Z76</f>
        <v>0</v>
      </c>
      <c r="I78" s="133">
        <f>'Asset Forecast v AMP'!AA76</f>
        <v>0</v>
      </c>
      <c r="J78" s="133">
        <f>'Asset Forecast v AMP'!AB76</f>
        <v>0</v>
      </c>
      <c r="K78" s="133">
        <f>'Asset Forecast v AMP'!AC76</f>
        <v>0</v>
      </c>
      <c r="L78" s="133">
        <f>'Asset Forecast v AMP'!AD76</f>
        <v>0</v>
      </c>
      <c r="M78" s="133">
        <f>'Asset Forecast v AMP'!AE76</f>
        <v>0</v>
      </c>
    </row>
    <row r="79" spans="1:13">
      <c r="A79" s="64" t="str">
        <f>'Asset Forecast v AMP'!S77</f>
        <v>System Operations and Network Support</v>
      </c>
      <c r="B79" s="133"/>
      <c r="C79" s="133"/>
      <c r="D79" s="133">
        <f>'Asset Forecast v AMP'!V77</f>
        <v>-0.80819278021275243</v>
      </c>
      <c r="E79" s="133">
        <f>'Asset Forecast v AMP'!W77</f>
        <v>-0.69883076352532492</v>
      </c>
      <c r="F79" s="133">
        <f>'Asset Forecast v AMP'!X77</f>
        <v>-0.69883076352532492</v>
      </c>
      <c r="G79" s="133">
        <f>'Asset Forecast v AMP'!Y77</f>
        <v>-0.69883076352532492</v>
      </c>
      <c r="H79" s="133">
        <f>'Asset Forecast v AMP'!Z77</f>
        <v>-0.69883076352532492</v>
      </c>
      <c r="I79" s="133">
        <f>'Asset Forecast v AMP'!AA77</f>
        <v>-0.69883076352532492</v>
      </c>
      <c r="J79" s="133">
        <f>'Asset Forecast v AMP'!AB77</f>
        <v>-0.69883076352532492</v>
      </c>
      <c r="K79" s="133">
        <f>'Asset Forecast v AMP'!AC77</f>
        <v>-0.69883076352532492</v>
      </c>
      <c r="L79" s="133">
        <f>'Asset Forecast v AMP'!AD77</f>
        <v>-0.69883076352532492</v>
      </c>
      <c r="M79" s="133">
        <f>'Asset Forecast v AMP'!AE77</f>
        <v>-0.69883076352532492</v>
      </c>
    </row>
    <row r="80" spans="1:13">
      <c r="A80" s="64" t="str">
        <f>'Asset Forecast v AMP'!S78</f>
        <v>Business Support</v>
      </c>
      <c r="B80" s="133"/>
      <c r="C80" s="133"/>
      <c r="D80" s="133">
        <f>'Asset Forecast v AMP'!V78</f>
        <v>6.3982604960807485</v>
      </c>
      <c r="E80" s="133">
        <f>'Asset Forecast v AMP'!W78</f>
        <v>6.7597623393822266</v>
      </c>
      <c r="F80" s="133">
        <f>'Asset Forecast v AMP'!X78</f>
        <v>6.7597623393822266</v>
      </c>
      <c r="G80" s="133">
        <f>'Asset Forecast v AMP'!Y78</f>
        <v>6.7597623393822266</v>
      </c>
      <c r="H80" s="133">
        <f>'Asset Forecast v AMP'!Z78</f>
        <v>6.7597623393822266</v>
      </c>
      <c r="I80" s="133">
        <f>'Asset Forecast v AMP'!AA78</f>
        <v>6.7597623393822266</v>
      </c>
      <c r="J80" s="133">
        <f>'Asset Forecast v AMP'!AB78</f>
        <v>6.7597623393822266</v>
      </c>
      <c r="K80" s="133">
        <f>'Asset Forecast v AMP'!AC78</f>
        <v>6.7597623393822266</v>
      </c>
      <c r="L80" s="133">
        <f>'Asset Forecast v AMP'!AD78</f>
        <v>6.7597623393822266</v>
      </c>
      <c r="M80" s="133">
        <f>'Asset Forecast v AMP'!AE78</f>
        <v>6.7597623393822266</v>
      </c>
    </row>
    <row r="81" spans="1:13">
      <c r="A81" s="64" t="str">
        <f>'Asset Forecast v AMP'!S79</f>
        <v>Total Network Opex</v>
      </c>
      <c r="B81" s="133"/>
      <c r="C81" s="133"/>
      <c r="D81" s="133">
        <f>'Asset Forecast v AMP'!V79</f>
        <v>-0.46067573234145026</v>
      </c>
      <c r="E81" s="133">
        <f>'Asset Forecast v AMP'!W79</f>
        <v>-0.46720984683189204</v>
      </c>
      <c r="F81" s="133">
        <f>'Asset Forecast v AMP'!X79</f>
        <v>-0.46697684193743583</v>
      </c>
      <c r="G81" s="133">
        <f>'Asset Forecast v AMP'!Y79</f>
        <v>-0.46692939863236893</v>
      </c>
      <c r="H81" s="133">
        <f>'Asset Forecast v AMP'!Z79</f>
        <v>-0.46669660311809869</v>
      </c>
      <c r="I81" s="133">
        <f>'Asset Forecast v AMP'!AA79</f>
        <v>-0.46646392054282854</v>
      </c>
      <c r="J81" s="133">
        <f>'Asset Forecast v AMP'!AB79</f>
        <v>-0.46641670406454622</v>
      </c>
      <c r="K81" s="133">
        <f>'Asset Forecast v AMP'!AC79</f>
        <v>-0.46618423036333484</v>
      </c>
      <c r="L81" s="133">
        <f>'Asset Forecast v AMP'!AD79</f>
        <v>-0.46595186934932692</v>
      </c>
      <c r="M81" s="133">
        <f>'Asset Forecast v AMP'!AE79</f>
        <v>-0.4657843429732017</v>
      </c>
    </row>
    <row r="82" spans="1:13">
      <c r="A82" s="64" t="str">
        <f>'Asset Forecast v AMP'!S80</f>
        <v>Total Opex</v>
      </c>
      <c r="B82" s="133"/>
      <c r="C82" s="133"/>
      <c r="D82" s="133">
        <f>'Asset Forecast v AMP'!V80</f>
        <v>-0.44229626996867971</v>
      </c>
      <c r="E82" s="133">
        <f>'Asset Forecast v AMP'!W80</f>
        <v>-0.37631397691137342</v>
      </c>
      <c r="F82" s="133">
        <f>'Asset Forecast v AMP'!X80</f>
        <v>-0.37622142284582416</v>
      </c>
      <c r="G82" s="133">
        <f>'Asset Forecast v AMP'!Y80</f>
        <v>-0.37621510087224969</v>
      </c>
      <c r="H82" s="133">
        <f>'Asset Forecast v AMP'!Z80</f>
        <v>-0.37612258197828752</v>
      </c>
      <c r="I82" s="133">
        <f>'Asset Forecast v AMP'!AA80</f>
        <v>-0.37603008278806149</v>
      </c>
      <c r="J82" s="133">
        <f>'Asset Forecast v AMP'!AB80</f>
        <v>-0.37602379372766176</v>
      </c>
      <c r="K82" s="133">
        <f>'Asset Forecast v AMP'!AC80</f>
        <v>-0.37593132967196796</v>
      </c>
      <c r="L82" s="133">
        <f>'Asset Forecast v AMP'!AD80</f>
        <v>-0.37583888530099513</v>
      </c>
      <c r="M82" s="133">
        <f>'Asset Forecast v AMP'!AE80</f>
        <v>-0.37577967971974946</v>
      </c>
    </row>
    <row r="83" spans="1:13">
      <c r="B83" s="133"/>
      <c r="C83" s="133"/>
      <c r="D83" s="133"/>
      <c r="E83" s="133"/>
      <c r="F83" s="133"/>
      <c r="G83" s="133"/>
      <c r="H83" s="133"/>
      <c r="I83" s="133"/>
      <c r="J83" s="133"/>
      <c r="K83" s="133"/>
      <c r="L83" s="133"/>
    </row>
    <row r="103" spans="1:13" ht="19.5" customHeight="1"/>
    <row r="104" spans="1:13" ht="0.75" customHeight="1">
      <c r="A104" s="64">
        <v>7</v>
      </c>
    </row>
    <row r="105" spans="1:13" ht="1.5" customHeight="1">
      <c r="A105" s="64" t="str">
        <f>A57&amp;" "&amp;INDEX(A58:A64,$A$104,1)</f>
        <v>2013 to 2014 AMP Forecasts Total Opex</v>
      </c>
      <c r="B105" s="133">
        <f>INDEX(B58:B64,$A$104,1)</f>
        <v>-0.12282352668663574</v>
      </c>
      <c r="C105" s="133">
        <f t="shared" ref="C105:K105" si="2">INDEX(C58:C64,$A$104,1)</f>
        <v>-6.5534905087617779E-2</v>
      </c>
      <c r="D105" s="133">
        <f t="shared" si="2"/>
        <v>-6.6579535125248779E-2</v>
      </c>
      <c r="E105" s="133">
        <f t="shared" si="2"/>
        <v>-6.183863902085282E-2</v>
      </c>
      <c r="F105" s="133">
        <f t="shared" si="2"/>
        <v>-6.2855594315192095E-2</v>
      </c>
      <c r="G105" s="133">
        <f t="shared" si="2"/>
        <v>-5.9438197380195935E-2</v>
      </c>
      <c r="H105" s="133">
        <f t="shared" si="2"/>
        <v>-6.0570275675889684E-2</v>
      </c>
      <c r="I105" s="133">
        <f t="shared" si="2"/>
        <v>-6.055037775618613E-2</v>
      </c>
      <c r="J105" s="133">
        <f t="shared" si="2"/>
        <v>-6.0528184383966163E-2</v>
      </c>
      <c r="K105" s="133">
        <f t="shared" si="2"/>
        <v>-6.0508393540405041E-2</v>
      </c>
      <c r="L105" s="133"/>
    </row>
    <row r="106" spans="1:13" ht="1.5" customHeight="1">
      <c r="A106" s="64" t="str">
        <f>A66&amp;" "&amp;INDEX(A67:A73,$A$104,1)</f>
        <v>2014 to 2015 AMP Forecasts Total Opex</v>
      </c>
      <c r="B106" s="133">
        <f t="shared" ref="B106:L106" si="3">INDEX(B67:B73,$A$104,1)</f>
        <v>0</v>
      </c>
      <c r="C106" s="133">
        <f t="shared" si="3"/>
        <v>-9.4885048062305577E-2</v>
      </c>
      <c r="D106" s="133">
        <f t="shared" si="3"/>
        <v>-8.5383679865285264E-2</v>
      </c>
      <c r="E106" s="133">
        <f t="shared" si="3"/>
        <v>-8.7315419959852134E-2</v>
      </c>
      <c r="F106" s="133">
        <f t="shared" si="3"/>
        <v>-8.9417768628790625E-2</v>
      </c>
      <c r="G106" s="133">
        <f t="shared" si="3"/>
        <v>-9.2707967635891134E-2</v>
      </c>
      <c r="H106" s="133">
        <f t="shared" si="3"/>
        <v>-9.2700237144388284E-2</v>
      </c>
      <c r="I106" s="133">
        <f t="shared" si="3"/>
        <v>-9.3802228681048622E-2</v>
      </c>
      <c r="J106" s="133">
        <f t="shared" si="3"/>
        <v>-9.4897350711304382E-2</v>
      </c>
      <c r="K106" s="133">
        <f t="shared" si="3"/>
        <v>-9.5993490498716944E-2</v>
      </c>
      <c r="L106" s="133">
        <f t="shared" si="3"/>
        <v>-9.7086745988862314E-2</v>
      </c>
    </row>
    <row r="107" spans="1:13" ht="1.5" customHeight="1">
      <c r="A107" s="64" t="str">
        <f>A75&amp;" "&amp;INDEX(A76:A82,$A$104,1)</f>
        <v>2015 to 2016 AMP Forecasts Total Opex</v>
      </c>
      <c r="B107" s="133"/>
      <c r="C107" s="133">
        <f t="shared" ref="C107:M107" si="4">INDEX(C76:C82,$A$104,1)</f>
        <v>0</v>
      </c>
      <c r="D107" s="133">
        <f t="shared" si="4"/>
        <v>-0.44229626996867971</v>
      </c>
      <c r="E107" s="133">
        <f t="shared" si="4"/>
        <v>-0.37631397691137342</v>
      </c>
      <c r="F107" s="133">
        <f t="shared" si="4"/>
        <v>-0.37622142284582416</v>
      </c>
      <c r="G107" s="133">
        <f t="shared" si="4"/>
        <v>-0.37621510087224969</v>
      </c>
      <c r="H107" s="133">
        <f t="shared" si="4"/>
        <v>-0.37612258197828752</v>
      </c>
      <c r="I107" s="133">
        <f t="shared" si="4"/>
        <v>-0.37603008278806149</v>
      </c>
      <c r="J107" s="133">
        <f t="shared" si="4"/>
        <v>-0.37602379372766176</v>
      </c>
      <c r="K107" s="133">
        <f t="shared" si="4"/>
        <v>-0.37593132967196796</v>
      </c>
      <c r="L107" s="133">
        <f t="shared" si="4"/>
        <v>-0.37583888530099513</v>
      </c>
      <c r="M107" s="133">
        <f t="shared" si="4"/>
        <v>-0.37577967971974946</v>
      </c>
    </row>
    <row r="108" spans="1:13" ht="19.5" customHeight="1"/>
    <row r="115" spans="1:1">
      <c r="A115" s="64" t="s">
        <v>346</v>
      </c>
    </row>
  </sheetData>
  <phoneticPr fontId="9" type="noConversion"/>
  <conditionalFormatting sqref="B74:L74 C67:L73">
    <cfRule type="dataBar" priority="14">
      <dataBar>
        <cfvo type="min"/>
        <cfvo type="max"/>
        <color rgb="FF638EC6"/>
      </dataBar>
      <extLst>
        <ext xmlns:x14="http://schemas.microsoft.com/office/spreadsheetml/2009/9/main" uri="{B025F937-C7B1-47D3-B67F-A62EFF666E3E}">
          <x14:id>{5E782CA9-B990-4D7E-AF36-4F09473667EE}</x14:id>
        </ext>
      </extLst>
    </cfRule>
    <cfRule type="cellIs" dxfId="10" priority="15" operator="greaterThan">
      <formula>$B$55</formula>
    </cfRule>
  </conditionalFormatting>
  <conditionalFormatting sqref="B83:L83 B76:M82">
    <cfRule type="dataBar" priority="16">
      <dataBar>
        <cfvo type="min"/>
        <cfvo type="max"/>
        <color rgb="FF638EC6"/>
      </dataBar>
      <extLst>
        <ext xmlns:x14="http://schemas.microsoft.com/office/spreadsheetml/2009/9/main" uri="{B025F937-C7B1-47D3-B67F-A62EFF666E3E}">
          <x14:id>{74C080C3-C911-4BFF-9434-E0BE36C8869A}</x14:id>
        </ext>
      </extLst>
    </cfRule>
    <cfRule type="cellIs" dxfId="9" priority="17" operator="greaterThan">
      <formula>$B$55</formula>
    </cfRule>
  </conditionalFormatting>
  <conditionalFormatting sqref="B106:L106">
    <cfRule type="dataBar" priority="18">
      <dataBar>
        <cfvo type="min"/>
        <cfvo type="max"/>
        <color rgb="FF638EC6"/>
      </dataBar>
      <extLst>
        <ext xmlns:x14="http://schemas.microsoft.com/office/spreadsheetml/2009/9/main" uri="{B025F937-C7B1-47D3-B67F-A62EFF666E3E}">
          <x14:id>{FE47B488-14AC-48B6-A3FC-40F35BD08B72}</x14:id>
        </ext>
      </extLst>
    </cfRule>
  </conditionalFormatting>
  <conditionalFormatting sqref="B107:L107">
    <cfRule type="dataBar" priority="20">
      <dataBar>
        <cfvo type="min"/>
        <cfvo type="max"/>
        <color rgb="FF638EC6"/>
      </dataBar>
      <extLst>
        <ext xmlns:x14="http://schemas.microsoft.com/office/spreadsheetml/2009/9/main" uri="{B025F937-C7B1-47D3-B67F-A62EFF666E3E}">
          <x14:id>{A273FBA0-8506-45DF-865F-DD6AC296FD1E}</x14:id>
        </ext>
      </extLst>
    </cfRule>
  </conditionalFormatting>
  <conditionalFormatting sqref="B24:B37">
    <cfRule type="dataBar" priority="13">
      <dataBar>
        <cfvo type="min"/>
        <cfvo type="max"/>
        <color theme="4"/>
      </dataBar>
      <extLst>
        <ext xmlns:x14="http://schemas.microsoft.com/office/spreadsheetml/2009/9/main" uri="{B025F937-C7B1-47D3-B67F-A62EFF666E3E}">
          <x14:id>{A581E83C-5C98-4AE4-AC1B-E32434AF132A}</x14:id>
        </ext>
      </extLst>
    </cfRule>
  </conditionalFormatting>
  <conditionalFormatting sqref="C24:C37">
    <cfRule type="dataBar" priority="12">
      <dataBar>
        <cfvo type="min"/>
        <cfvo type="max"/>
        <color theme="5"/>
      </dataBar>
      <extLst>
        <ext xmlns:x14="http://schemas.microsoft.com/office/spreadsheetml/2009/9/main" uri="{B025F937-C7B1-47D3-B67F-A62EFF666E3E}">
          <x14:id>{5B86A77A-91B7-4DF1-B046-990C8C5C9E84}</x14:id>
        </ext>
      </extLst>
    </cfRule>
  </conditionalFormatting>
  <conditionalFormatting sqref="D24:D37">
    <cfRule type="dataBar" priority="11">
      <dataBar>
        <cfvo type="min"/>
        <cfvo type="max"/>
        <color theme="0" tint="-0.34998626667073579"/>
      </dataBar>
      <extLst>
        <ext xmlns:x14="http://schemas.microsoft.com/office/spreadsheetml/2009/9/main" uri="{B025F937-C7B1-47D3-B67F-A62EFF666E3E}">
          <x14:id>{E81EA863-FCE2-4657-9F05-BF5F913F1B1C}</x14:id>
        </ext>
      </extLst>
    </cfRule>
  </conditionalFormatting>
  <conditionalFormatting sqref="E24:E37">
    <cfRule type="dataBar" priority="10">
      <dataBar>
        <cfvo type="min"/>
        <cfvo type="max"/>
        <color rgb="FFFFB628"/>
      </dataBar>
      <extLst>
        <ext xmlns:x14="http://schemas.microsoft.com/office/spreadsheetml/2009/9/main" uri="{B025F937-C7B1-47D3-B67F-A62EFF666E3E}">
          <x14:id>{334FAB46-CA0D-48DB-B505-B71CAFAFC538}</x14:id>
        </ext>
      </extLst>
    </cfRule>
  </conditionalFormatting>
  <conditionalFormatting sqref="F24:F37">
    <cfRule type="dataBar" priority="9">
      <dataBar>
        <cfvo type="min"/>
        <cfvo type="max"/>
        <color rgb="FF2E6DEA"/>
      </dataBar>
      <extLst>
        <ext xmlns:x14="http://schemas.microsoft.com/office/spreadsheetml/2009/9/main" uri="{B025F937-C7B1-47D3-B67F-A62EFF666E3E}">
          <x14:id>{157A0914-CCA6-4B91-8C88-F16A94966D85}</x14:id>
        </ext>
      </extLst>
    </cfRule>
  </conditionalFormatting>
  <conditionalFormatting sqref="B58:L64">
    <cfRule type="dataBar" priority="7">
      <dataBar>
        <cfvo type="min"/>
        <cfvo type="max"/>
        <color rgb="FF638EC6"/>
      </dataBar>
      <extLst>
        <ext xmlns:x14="http://schemas.microsoft.com/office/spreadsheetml/2009/9/main" uri="{B025F937-C7B1-47D3-B67F-A62EFF666E3E}">
          <x14:id>{6925CDA5-FFCA-49F9-A73D-6ABAFAE95F5B}</x14:id>
        </ext>
      </extLst>
    </cfRule>
    <cfRule type="cellIs" dxfId="8" priority="8" operator="greaterThan">
      <formula>$B$55</formula>
    </cfRule>
  </conditionalFormatting>
  <conditionalFormatting sqref="B67:B73">
    <cfRule type="dataBar" priority="5">
      <dataBar>
        <cfvo type="min"/>
        <cfvo type="max"/>
        <color rgb="FF638EC6"/>
      </dataBar>
      <extLst>
        <ext xmlns:x14="http://schemas.microsoft.com/office/spreadsheetml/2009/9/main" uri="{B025F937-C7B1-47D3-B67F-A62EFF666E3E}">
          <x14:id>{9042BC7B-893F-4214-9FCB-2E8B209A85FF}</x14:id>
        </ext>
      </extLst>
    </cfRule>
    <cfRule type="cellIs" dxfId="7" priority="6" operator="greaterThan">
      <formula>$B$55</formula>
    </cfRule>
  </conditionalFormatting>
  <conditionalFormatting sqref="B105:L105">
    <cfRule type="dataBar" priority="3">
      <dataBar>
        <cfvo type="min"/>
        <cfvo type="max"/>
        <color rgb="FF638EC6"/>
      </dataBar>
      <extLst>
        <ext xmlns:x14="http://schemas.microsoft.com/office/spreadsheetml/2009/9/main" uri="{B025F937-C7B1-47D3-B67F-A62EFF666E3E}">
          <x14:id>{3EB61B67-2029-419D-8589-3BCA94987E54}</x14:id>
        </ext>
      </extLst>
    </cfRule>
  </conditionalFormatting>
  <conditionalFormatting sqref="M107">
    <cfRule type="dataBar" priority="1">
      <dataBar>
        <cfvo type="min"/>
        <cfvo type="max"/>
        <color rgb="FF638EC6"/>
      </dataBar>
      <extLst>
        <ext xmlns:x14="http://schemas.microsoft.com/office/spreadsheetml/2009/9/main" uri="{B025F937-C7B1-47D3-B67F-A62EFF666E3E}">
          <x14:id>{071990E5-31B7-48EE-8328-A1DB3C758F46}</x14:id>
        </ext>
      </extLst>
    </cfRule>
  </conditionalFormatting>
  <pageMargins left="0.7" right="0.7"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Drop Down 1">
              <controlPr defaultSize="0" autoLine="0" autoPict="0">
                <anchor moveWithCells="1">
                  <from>
                    <xdr:col>5</xdr:col>
                    <xdr:colOff>685800</xdr:colOff>
                    <xdr:row>114</xdr:row>
                    <xdr:rowOff>165100</xdr:rowOff>
                  </from>
                  <to>
                    <xdr:col>8</xdr:col>
                    <xdr:colOff>546100</xdr:colOff>
                    <xdr:row>116</xdr:row>
                    <xdr:rowOff>88900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5E782CA9-B990-4D7E-AF36-4F09473667EE}">
            <x14:dataBar minLength="0" maxLength="100" border="1" negativeBarColorSameAsPositive="1">
              <x14:cfvo type="autoMin"/>
              <x14:cfvo type="autoMax"/>
              <x14:borderColor rgb="FF638EC6"/>
              <x14:axisColor rgb="FF000000"/>
            </x14:dataBar>
          </x14:cfRule>
          <xm:sqref>B74:L74 C67:L73</xm:sqref>
        </x14:conditionalFormatting>
        <x14:conditionalFormatting xmlns:xm="http://schemas.microsoft.com/office/excel/2006/main">
          <x14:cfRule type="dataBar" id="{74C080C3-C911-4BFF-9434-E0BE36C8869A}">
            <x14:dataBar minLength="0" maxLength="100" border="1" negativeBarColorSameAsPositive="1">
              <x14:cfvo type="autoMin"/>
              <x14:cfvo type="autoMax"/>
              <x14:borderColor rgb="FF638EC6"/>
              <x14:axisColor rgb="FF000000"/>
            </x14:dataBar>
          </x14:cfRule>
          <xm:sqref>B83:L83 B76:M82</xm:sqref>
        </x14:conditionalFormatting>
        <x14:conditionalFormatting xmlns:xm="http://schemas.microsoft.com/office/excel/2006/main">
          <x14:cfRule type="dataBar" id="{FE47B488-14AC-48B6-A3FC-40F35BD08B72}">
            <x14:dataBar minLength="0" maxLength="100" border="1" negativeBarBorderColorSameAsPositive="0">
              <x14:cfvo type="autoMin"/>
              <x14:cfvo type="autoMax"/>
              <x14:borderColor rgb="FF638EC6"/>
              <x14:negativeFillColor rgb="FFFF0000"/>
              <x14:negativeBorderColor rgb="FFFF0000"/>
              <x14:axisColor rgb="FF000000"/>
            </x14:dataBar>
          </x14:cfRule>
          <xm:sqref>B106:L106</xm:sqref>
        </x14:conditionalFormatting>
        <x14:conditionalFormatting xmlns:xm="http://schemas.microsoft.com/office/excel/2006/main">
          <x14:cfRule type="dataBar" id="{A273FBA0-8506-45DF-865F-DD6AC296FD1E}">
            <x14:dataBar minLength="0" maxLength="100" border="1" negativeBarBorderColorSameAsPositive="0">
              <x14:cfvo type="autoMin"/>
              <x14:cfvo type="autoMax"/>
              <x14:borderColor rgb="FF638EC6"/>
              <x14:negativeFillColor rgb="FFFF0000"/>
              <x14:negativeBorderColor rgb="FFFF0000"/>
              <x14:axisColor rgb="FF000000"/>
            </x14:dataBar>
          </x14:cfRule>
          <xm:sqref>B107:L107</xm:sqref>
        </x14:conditionalFormatting>
        <x14:conditionalFormatting xmlns:xm="http://schemas.microsoft.com/office/excel/2006/main">
          <x14:cfRule type="dataBar" id="{A581E83C-5C98-4AE4-AC1B-E32434AF132A}">
            <x14:dataBar minLength="0" maxLength="100" gradient="0" negativeBarColorSameAsPositive="1">
              <x14:cfvo type="autoMin"/>
              <x14:cfvo type="autoMax"/>
              <x14:axisColor rgb="FF000000"/>
            </x14:dataBar>
          </x14:cfRule>
          <xm:sqref>B24:B37</xm:sqref>
        </x14:conditionalFormatting>
        <x14:conditionalFormatting xmlns:xm="http://schemas.microsoft.com/office/excel/2006/main">
          <x14:cfRule type="dataBar" id="{5B86A77A-91B7-4DF1-B046-990C8C5C9E84}">
            <x14:dataBar minLength="0" maxLength="100" gradient="0" negativeBarColorSameAsPositive="1">
              <x14:cfvo type="autoMin"/>
              <x14:cfvo type="autoMax"/>
              <x14:axisColor rgb="FF000000"/>
            </x14:dataBar>
          </x14:cfRule>
          <xm:sqref>C24:C37</xm:sqref>
        </x14:conditionalFormatting>
        <x14:conditionalFormatting xmlns:xm="http://schemas.microsoft.com/office/excel/2006/main">
          <x14:cfRule type="dataBar" id="{E81EA863-FCE2-4657-9F05-BF5F913F1B1C}">
            <x14:dataBar minLength="0" maxLength="100" gradient="0" negativeBarColorSameAsPositive="1">
              <x14:cfvo type="autoMin"/>
              <x14:cfvo type="autoMax"/>
              <x14:axisColor rgb="FF000000"/>
            </x14:dataBar>
          </x14:cfRule>
          <xm:sqref>D24:D37</xm:sqref>
        </x14:conditionalFormatting>
        <x14:conditionalFormatting xmlns:xm="http://schemas.microsoft.com/office/excel/2006/main">
          <x14:cfRule type="dataBar" id="{334FAB46-CA0D-48DB-B505-B71CAFAFC538}">
            <x14:dataBar minLength="0" maxLength="100" gradient="0" negativeBarColorSameAsPositive="1">
              <x14:cfvo type="autoMin"/>
              <x14:cfvo type="autoMax"/>
              <x14:axisColor rgb="FF000000"/>
            </x14:dataBar>
          </x14:cfRule>
          <xm:sqref>E24:E37</xm:sqref>
        </x14:conditionalFormatting>
        <x14:conditionalFormatting xmlns:xm="http://schemas.microsoft.com/office/excel/2006/main">
          <x14:cfRule type="dataBar" id="{157A0914-CCA6-4B91-8C88-F16A94966D85}">
            <x14:dataBar minLength="0" maxLength="100" gradient="0" negativeBarColorSameAsPositive="1">
              <x14:cfvo type="autoMin"/>
              <x14:cfvo type="autoMax"/>
              <x14:axisColor rgb="FF000000"/>
            </x14:dataBar>
          </x14:cfRule>
          <xm:sqref>F24:F37</xm:sqref>
        </x14:conditionalFormatting>
        <x14:conditionalFormatting xmlns:xm="http://schemas.microsoft.com/office/excel/2006/main">
          <x14:cfRule type="dataBar" id="{6925CDA5-FFCA-49F9-A73D-6ABAFAE95F5B}">
            <x14:dataBar minLength="0" maxLength="100" border="1" negativeBarColorSameAsPositive="1">
              <x14:cfvo type="autoMin"/>
              <x14:cfvo type="autoMax"/>
              <x14:borderColor rgb="FF638EC6"/>
              <x14:axisColor rgb="FF000000"/>
            </x14:dataBar>
          </x14:cfRule>
          <xm:sqref>B58:L64</xm:sqref>
        </x14:conditionalFormatting>
        <x14:conditionalFormatting xmlns:xm="http://schemas.microsoft.com/office/excel/2006/main">
          <x14:cfRule type="dataBar" id="{9042BC7B-893F-4214-9FCB-2E8B209A85FF}">
            <x14:dataBar minLength="0" maxLength="100" border="1" negativeBarBorderColorSameAsPositive="0">
              <x14:cfvo type="autoMin"/>
              <x14:cfvo type="autoMax"/>
              <x14:borderColor rgb="FF638EC6"/>
              <x14:negativeFillColor rgb="FFFF0000"/>
              <x14:negativeBorderColor rgb="FFFF0000"/>
              <x14:axisColor rgb="FF000000"/>
            </x14:dataBar>
          </x14:cfRule>
          <xm:sqref>B67:B73</xm:sqref>
        </x14:conditionalFormatting>
        <x14:conditionalFormatting xmlns:xm="http://schemas.microsoft.com/office/excel/2006/main">
          <x14:cfRule type="dataBar" id="{3EB61B67-2029-419D-8589-3BCA94987E54}">
            <x14:dataBar minLength="0" maxLength="100" border="1" negativeBarBorderColorSameAsPositive="0">
              <x14:cfvo type="autoMin"/>
              <x14:cfvo type="autoMax"/>
              <x14:borderColor rgb="FF638EC6"/>
              <x14:negativeFillColor rgb="FFFF0000"/>
              <x14:negativeBorderColor rgb="FFFF0000"/>
              <x14:axisColor rgb="FF000000"/>
            </x14:dataBar>
          </x14:cfRule>
          <xm:sqref>B105:L105</xm:sqref>
        </x14:conditionalFormatting>
        <x14:conditionalFormatting xmlns:xm="http://schemas.microsoft.com/office/excel/2006/main">
          <x14:cfRule type="dataBar" id="{071990E5-31B7-48EE-8328-A1DB3C758F46}">
            <x14:dataBar minLength="0" maxLength="100" border="1" negativeBarBorderColorSameAsPositive="0">
              <x14:cfvo type="autoMin"/>
              <x14:cfvo type="autoMax"/>
              <x14:borderColor rgb="FF638EC6"/>
              <x14:negativeFillColor rgb="FFFF0000"/>
              <x14:negativeBorderColor rgb="FFFF0000"/>
              <x14:axisColor rgb="FF000000"/>
            </x14:dataBar>
          </x14:cfRule>
          <xm:sqref>M107</xm:sqref>
        </x14:conditionalFormatting>
        <x14:conditionalFormatting xmlns:xm="http://schemas.microsoft.com/office/excel/2006/main">
          <x14:cfRule type="cellIs" priority="19" operator="greaterThan" id="{C529234E-0C5B-4E52-93B4-F67AEE5025B7}">
            <xm:f>'Capex Dashboard'!$B$68</xm:f>
            <x14:dxf>
              <font>
                <color rgb="FFC00000"/>
              </font>
              <fill>
                <patternFill>
                  <bgColor theme="0"/>
                </patternFill>
              </fill>
            </x14:dxf>
          </x14:cfRule>
          <xm:sqref>B106:L106</xm:sqref>
        </x14:conditionalFormatting>
        <x14:conditionalFormatting xmlns:xm="http://schemas.microsoft.com/office/excel/2006/main">
          <x14:cfRule type="cellIs" priority="21" operator="greaterThan" id="{95444CFA-2DE1-435C-8B89-3919B3E4EF45}">
            <xm:f>'Capex Dashboard'!$B$68</xm:f>
            <x14:dxf>
              <font>
                <color rgb="FFC00000"/>
              </font>
              <fill>
                <patternFill>
                  <bgColor theme="0"/>
                </patternFill>
              </fill>
            </x14:dxf>
          </x14:cfRule>
          <xm:sqref>B107:L107</xm:sqref>
        </x14:conditionalFormatting>
        <x14:conditionalFormatting xmlns:xm="http://schemas.microsoft.com/office/excel/2006/main">
          <x14:cfRule type="cellIs" priority="4" operator="greaterThan" id="{602A122C-9CC5-465B-B06F-299880DCA2A6}">
            <xm:f>'Capex Dashboard'!$B$68</xm:f>
            <x14:dxf>
              <font>
                <color rgb="FFC00000"/>
              </font>
              <fill>
                <patternFill>
                  <bgColor theme="0"/>
                </patternFill>
              </fill>
            </x14:dxf>
          </x14:cfRule>
          <xm:sqref>B105:L105</xm:sqref>
        </x14:conditionalFormatting>
        <x14:conditionalFormatting xmlns:xm="http://schemas.microsoft.com/office/excel/2006/main">
          <x14:cfRule type="cellIs" priority="2" operator="greaterThan" id="{EA010B66-56DD-4360-A6CC-5A08BDEB1784}">
            <xm:f>'Capex Dashboard'!$B$68</xm:f>
            <x14:dxf>
              <font>
                <color rgb="FFC00000"/>
              </font>
              <fill>
                <patternFill>
                  <bgColor theme="0"/>
                </patternFill>
              </fill>
            </x14:dxf>
          </x14:cfRule>
          <xm:sqref>M107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pageSetUpPr fitToPage="1"/>
  </sheetPr>
  <dimension ref="A1:N126"/>
  <sheetViews>
    <sheetView zoomScale="60" zoomScaleNormal="60" workbookViewId="0">
      <selection activeCell="AD10" sqref="AD10"/>
    </sheetView>
  </sheetViews>
  <sheetFormatPr defaultColWidth="8.83203125" defaultRowHeight="15.5"/>
  <cols>
    <col min="1" max="1" width="27.83203125" style="64" customWidth="1"/>
    <col min="2" max="2" width="10" style="64" customWidth="1"/>
    <col min="3" max="3" width="12.83203125" style="64" customWidth="1"/>
    <col min="4" max="4" width="14" style="64" customWidth="1"/>
    <col min="5" max="5" width="11" style="64" customWidth="1"/>
    <col min="6" max="6" width="11.33203125" style="64" customWidth="1"/>
    <col min="7" max="7" width="10.5" style="64" customWidth="1"/>
    <col min="8" max="9" width="11" style="64" customWidth="1"/>
    <col min="10" max="10" width="10" style="64" customWidth="1"/>
    <col min="11" max="11" width="10.5" style="64" customWidth="1"/>
    <col min="12" max="26" width="8.83203125" style="64"/>
    <col min="27" max="27" width="40" style="64" customWidth="1"/>
    <col min="28" max="28" width="13.83203125" style="64" customWidth="1"/>
    <col min="29" max="29" width="25" style="64" customWidth="1"/>
    <col min="30" max="30" width="21.5" style="64" customWidth="1"/>
    <col min="31" max="16384" width="8.83203125" style="64"/>
  </cols>
  <sheetData>
    <row r="1" spans="1:1" s="73" customFormat="1">
      <c r="A1" s="73" t="s">
        <v>313</v>
      </c>
    </row>
    <row r="21" spans="1:9">
      <c r="A21" s="289" t="s">
        <v>425</v>
      </c>
    </row>
    <row r="22" spans="1:9">
      <c r="A22" s="289" t="s">
        <v>426</v>
      </c>
    </row>
    <row r="26" spans="1:9">
      <c r="A26" s="153" t="str">
        <f>"Changes in Capex Categories from the Base Case ($000 with base case as "&amp;INDEX(Base!C3:P3,1,Base!$C$6)&amp;")"</f>
        <v>Changes in Capex Categories from the Base Case ($000 with base case as +/-)</v>
      </c>
      <c r="C26" s="164"/>
    </row>
    <row r="27" spans="1:9" ht="78" thickBot="1">
      <c r="A27" s="134" t="str">
        <f>A48</f>
        <v>Year</v>
      </c>
      <c r="B27" s="134" t="s">
        <v>10</v>
      </c>
      <c r="C27" s="134" t="s">
        <v>11</v>
      </c>
      <c r="D27" s="134" t="s">
        <v>12</v>
      </c>
      <c r="E27" s="134" t="s">
        <v>13</v>
      </c>
      <c r="F27" s="134" t="s">
        <v>14</v>
      </c>
      <c r="G27" s="134" t="s">
        <v>304</v>
      </c>
    </row>
    <row r="28" spans="1:9" ht="16" thickTop="1">
      <c r="A28" s="135">
        <f>'Data Input Sheet'!B5</f>
        <v>2013</v>
      </c>
      <c r="B28" s="217">
        <f t="array" ref="B28:B40">(TRANSPOSE('Data Input Sheet'!$B$20:$N$20)-Base!$C$13)</f>
        <v>-2015.25</v>
      </c>
      <c r="C28" s="217">
        <f t="array" ref="C28:C40">(TRANSPOSE('Data Input Sheet'!$B$21:$N$21)-Base!$C$14)</f>
        <v>-46.25</v>
      </c>
      <c r="D28" s="217">
        <f t="array" ref="D28:D40">(TRANSPOSE('Data Input Sheet'!$B$22:$N$22)-Base!$C$15)</f>
        <v>-219</v>
      </c>
      <c r="E28" s="217">
        <f t="array" ref="E28:E40">(TRANSPOSE('Data Input Sheet'!$B$23:$N$23)-Base!$C$16)</f>
        <v>26.75</v>
      </c>
      <c r="F28" s="217">
        <f t="array" ref="F28:F40">(TRANSPOSE('Data Input Sheet'!$B$24:$N$24)-Base!$C$17)</f>
        <v>-47.75</v>
      </c>
      <c r="G28" s="219">
        <f t="array" ref="G28:G40">(TRANSPOSE('Data Input Sheet'!$B$26:$N$26)-Base!$C$21)</f>
        <v>721</v>
      </c>
    </row>
    <row r="29" spans="1:9">
      <c r="A29" s="140">
        <f>'Data Input Sheet'!C5</f>
        <v>2014</v>
      </c>
      <c r="B29" s="218">
        <v>3424.75</v>
      </c>
      <c r="C29" s="218">
        <v>45.75</v>
      </c>
      <c r="D29" s="218">
        <v>218</v>
      </c>
      <c r="E29" s="218">
        <v>191.75</v>
      </c>
      <c r="F29" s="218">
        <v>47.25</v>
      </c>
      <c r="G29" s="219">
        <v>225</v>
      </c>
    </row>
    <row r="30" spans="1:9">
      <c r="A30" s="140">
        <f>'Data Input Sheet'!D5</f>
        <v>2015</v>
      </c>
      <c r="B30" s="218">
        <v>-1216.25</v>
      </c>
      <c r="C30" s="218">
        <v>-32.25</v>
      </c>
      <c r="D30" s="218">
        <v>-155</v>
      </c>
      <c r="E30" s="218">
        <v>-80.25</v>
      </c>
      <c r="F30" s="218">
        <v>-33.75</v>
      </c>
      <c r="G30" s="219">
        <v>293</v>
      </c>
    </row>
    <row r="31" spans="1:9">
      <c r="A31" s="140">
        <f>'Data Input Sheet'!E5</f>
        <v>2016</v>
      </c>
      <c r="B31" s="218">
        <v>-193.25</v>
      </c>
      <c r="C31" s="218">
        <v>32.75</v>
      </c>
      <c r="D31" s="218">
        <v>156</v>
      </c>
      <c r="E31" s="218">
        <v>-138.25</v>
      </c>
      <c r="F31" s="218">
        <v>34.25</v>
      </c>
      <c r="G31" s="219">
        <v>-111</v>
      </c>
      <c r="I31" s="147"/>
    </row>
    <row r="32" spans="1:9">
      <c r="A32" s="140">
        <f>'Data Input Sheet'!F5</f>
        <v>2017</v>
      </c>
      <c r="B32" s="218">
        <v>353.75</v>
      </c>
      <c r="C32" s="218">
        <v>732.75</v>
      </c>
      <c r="D32" s="218">
        <v>403</v>
      </c>
      <c r="E32" s="218">
        <v>-337.25</v>
      </c>
      <c r="F32" s="218">
        <v>222.25</v>
      </c>
      <c r="G32" s="219">
        <v>500</v>
      </c>
    </row>
    <row r="33" spans="1:11">
      <c r="A33" s="140">
        <f>'Data Input Sheet'!G5</f>
        <v>2018</v>
      </c>
      <c r="B33" s="218">
        <v>-2402.25</v>
      </c>
      <c r="C33" s="218">
        <v>1033.75</v>
      </c>
      <c r="D33" s="218">
        <v>31</v>
      </c>
      <c r="E33" s="218">
        <v>-299.25</v>
      </c>
      <c r="F33" s="218">
        <v>313.25</v>
      </c>
      <c r="G33" s="219">
        <v>952</v>
      </c>
    </row>
    <row r="34" spans="1:11">
      <c r="A34" s="140">
        <f>'Data Input Sheet'!H5</f>
        <v>2019</v>
      </c>
      <c r="B34" s="218">
        <v>-2294.25</v>
      </c>
      <c r="C34" s="218">
        <v>1384.75</v>
      </c>
      <c r="D34" s="218">
        <v>-42</v>
      </c>
      <c r="E34" s="218">
        <v>-337.25</v>
      </c>
      <c r="F34" s="218">
        <v>335.25</v>
      </c>
      <c r="G34" s="219">
        <v>607</v>
      </c>
      <c r="I34" s="147"/>
    </row>
    <row r="35" spans="1:11">
      <c r="A35" s="140">
        <f>'Data Input Sheet'!I5</f>
        <v>2020</v>
      </c>
      <c r="B35" s="218">
        <v>-2063.25</v>
      </c>
      <c r="C35" s="218">
        <v>537.75</v>
      </c>
      <c r="D35" s="218">
        <v>447</v>
      </c>
      <c r="E35" s="218">
        <v>-303.25</v>
      </c>
      <c r="F35" s="218">
        <v>248.25</v>
      </c>
      <c r="G35" s="219">
        <v>684</v>
      </c>
      <c r="I35" s="147"/>
    </row>
    <row r="36" spans="1:11">
      <c r="A36" s="140">
        <f>'Data Input Sheet'!J5</f>
        <v>2021</v>
      </c>
      <c r="B36" s="218">
        <v>-1946.25</v>
      </c>
      <c r="C36" s="218">
        <v>1361.75</v>
      </c>
      <c r="D36" s="218">
        <v>447</v>
      </c>
      <c r="E36" s="218">
        <v>-349.25</v>
      </c>
      <c r="F36" s="218">
        <v>-72.75</v>
      </c>
      <c r="G36" s="219">
        <v>960</v>
      </c>
      <c r="I36" s="147"/>
    </row>
    <row r="37" spans="1:11">
      <c r="A37" s="140">
        <f>'Data Input Sheet'!K5</f>
        <v>2022</v>
      </c>
      <c r="B37" s="218">
        <v>39.75</v>
      </c>
      <c r="C37" s="218">
        <v>187.75</v>
      </c>
      <c r="D37" s="218">
        <v>447</v>
      </c>
      <c r="E37" s="218">
        <v>985.75</v>
      </c>
      <c r="F37" s="218">
        <v>-132.75</v>
      </c>
      <c r="G37" s="219">
        <v>778</v>
      </c>
    </row>
    <row r="38" spans="1:11">
      <c r="A38" s="140">
        <f>'Data Input Sheet'!L5</f>
        <v>2023</v>
      </c>
      <c r="B38" s="218">
        <v>90.75</v>
      </c>
      <c r="C38" s="218">
        <v>255.75</v>
      </c>
      <c r="D38" s="218">
        <v>447</v>
      </c>
      <c r="E38" s="218">
        <v>1250.75</v>
      </c>
      <c r="F38" s="218">
        <v>-269.75</v>
      </c>
      <c r="G38" s="219">
        <v>763</v>
      </c>
    </row>
    <row r="39" spans="1:11">
      <c r="A39" s="140">
        <f>'Data Input Sheet'!M5</f>
        <v>2024</v>
      </c>
      <c r="B39" s="218">
        <v>-161.25</v>
      </c>
      <c r="C39" s="218">
        <v>831.75</v>
      </c>
      <c r="D39" s="218">
        <v>447</v>
      </c>
      <c r="E39" s="218">
        <v>1250.75</v>
      </c>
      <c r="F39" s="218">
        <v>-269.75</v>
      </c>
      <c r="G39" s="219">
        <v>990</v>
      </c>
    </row>
    <row r="40" spans="1:11">
      <c r="A40" s="140">
        <f>'Data Input Sheet'!N5</f>
        <v>2025</v>
      </c>
      <c r="B40" s="218">
        <v>8.75</v>
      </c>
      <c r="C40" s="218">
        <v>831.75</v>
      </c>
      <c r="D40" s="218">
        <v>447</v>
      </c>
      <c r="E40" s="218">
        <v>1250.75</v>
      </c>
      <c r="F40" s="218">
        <v>-269.75</v>
      </c>
      <c r="G40" s="219">
        <v>803</v>
      </c>
    </row>
    <row r="41" spans="1:11">
      <c r="A41" s="69" t="s">
        <v>322</v>
      </c>
      <c r="B41" s="150"/>
      <c r="C41" s="150"/>
      <c r="D41" s="150"/>
      <c r="E41" s="150"/>
      <c r="F41" s="150"/>
      <c r="G41" s="69"/>
    </row>
    <row r="43" spans="1:11">
      <c r="A43" s="64" t="s">
        <v>180</v>
      </c>
    </row>
    <row r="44" spans="1:11">
      <c r="K44" s="289"/>
    </row>
    <row r="47" spans="1:11">
      <c r="A47" s="152" t="str">
        <f>"Drivers of System Growth Capex "</f>
        <v xml:space="preserve">Drivers of System Growth Capex </v>
      </c>
    </row>
    <row r="48" spans="1:11" ht="114.75" customHeight="1" thickBot="1">
      <c r="A48" s="134" t="s">
        <v>190</v>
      </c>
      <c r="B48" s="134" t="s">
        <v>199</v>
      </c>
      <c r="C48" s="134" t="s">
        <v>404</v>
      </c>
      <c r="D48" s="134" t="s">
        <v>405</v>
      </c>
      <c r="E48" s="134" t="s">
        <v>200</v>
      </c>
      <c r="F48" s="134" t="s">
        <v>406</v>
      </c>
      <c r="G48" s="134" t="s">
        <v>191</v>
      </c>
      <c r="H48" s="134" t="s">
        <v>403</v>
      </c>
      <c r="I48" s="134" t="s">
        <v>192</v>
      </c>
      <c r="J48" s="134" t="s">
        <v>402</v>
      </c>
      <c r="K48" s="134" t="s">
        <v>370</v>
      </c>
    </row>
    <row r="49" spans="1:13" ht="16" thickTop="1">
      <c r="A49" s="135">
        <f t="shared" ref="A49:A61" si="0">A28</f>
        <v>2013</v>
      </c>
      <c r="B49" s="136">
        <f>'Data Input Sheet'!B21</f>
        <v>215</v>
      </c>
      <c r="C49" s="137"/>
      <c r="D49" s="147">
        <f>(B49-Base!$C$14)/Base!$C$14</f>
        <v>-0.17703349282296652</v>
      </c>
      <c r="E49" s="138">
        <f>'Data Input Sheet'!B41</f>
        <v>21589120</v>
      </c>
      <c r="F49" s="137"/>
      <c r="G49" s="136">
        <f>'Data Input Sheet'!B49</f>
        <v>10478</v>
      </c>
      <c r="H49" s="137"/>
      <c r="I49" s="138">
        <f>'Data Input Sheet'!B31</f>
        <v>156952</v>
      </c>
      <c r="J49" s="139"/>
      <c r="K49" s="148" t="str">
        <f>IF(Ratios!B44&gt;Ratios!B54*1000,"Assessment Required","")</f>
        <v/>
      </c>
      <c r="L49" s="133"/>
      <c r="M49" s="133"/>
    </row>
    <row r="50" spans="1:13">
      <c r="A50" s="140">
        <f t="shared" si="0"/>
        <v>2014</v>
      </c>
      <c r="B50" s="141">
        <f>'Data Input Sheet'!C21</f>
        <v>307</v>
      </c>
      <c r="C50" s="142">
        <f>(B50-B49)/Base!$C$14</f>
        <v>0.35215311004784688</v>
      </c>
      <c r="D50" s="147">
        <f>(B50-Base!$C$14)/Base!$C$14</f>
        <v>0.17511961722488037</v>
      </c>
      <c r="E50" s="143">
        <f>'Data Input Sheet'!C41</f>
        <v>21934671</v>
      </c>
      <c r="F50" s="144">
        <f>(E50-E49)/INDEX($E$49:$E$62,Base!$C$6,1)</f>
        <v>1.5424318171673437E-2</v>
      </c>
      <c r="G50" s="141">
        <f>'Data Input Sheet'!C49</f>
        <v>10623</v>
      </c>
      <c r="H50" s="144">
        <f>(G50-G49)/INDEX($G$49:$G$62,Base!$C$6,1)</f>
        <v>2.3805614841569529E-2</v>
      </c>
      <c r="I50" s="143">
        <f>'Data Input Sheet'!C31</f>
        <v>159738</v>
      </c>
      <c r="J50" s="145">
        <f>(I50-I49)/INDEX($I$49:$I$62,Base!$C$6,1)</f>
        <v>1.7224324257486955E-2</v>
      </c>
      <c r="K50" s="148" t="str">
        <f>IF(Ratios!C44&gt;Ratios!C54*1000,"Assessment Required","")</f>
        <v>Assessment Required</v>
      </c>
      <c r="M50" s="148"/>
    </row>
    <row r="51" spans="1:13">
      <c r="A51" s="140">
        <f t="shared" si="0"/>
        <v>2015</v>
      </c>
      <c r="B51" s="146">
        <f>'Data Input Sheet'!D21</f>
        <v>229</v>
      </c>
      <c r="C51" s="142">
        <f>(B51-B50)/Base!$C$14</f>
        <v>-0.29856459330143542</v>
      </c>
      <c r="D51" s="147">
        <f>(B51-Base!$C$14)/Base!$C$14</f>
        <v>-0.12344497607655502</v>
      </c>
      <c r="E51" s="143">
        <f>'Data Input Sheet'!D41</f>
        <v>22788368</v>
      </c>
      <c r="F51" s="144">
        <f>(E51-E50)/INDEX($E$49:$E$62,Base!$C$6,1)</f>
        <v>3.8106369682631792E-2</v>
      </c>
      <c r="G51" s="141">
        <f>'Data Input Sheet'!D49</f>
        <v>10770</v>
      </c>
      <c r="H51" s="144">
        <f>(G51-G50)/INDEX($G$49:$G$62,Base!$C$6,1)</f>
        <v>2.413396814972911E-2</v>
      </c>
      <c r="I51" s="143">
        <f>'Data Input Sheet'!D31</f>
        <v>163243</v>
      </c>
      <c r="J51" s="145">
        <f>(I51-I50)/INDEX($I$49:$I$62,Base!$C$6,1)</f>
        <v>2.1669510596730716E-2</v>
      </c>
      <c r="K51" s="148" t="str">
        <f>IF(Ratios!D44&gt;Ratios!D54*1000,"Assessment Required","")</f>
        <v>Assessment Required</v>
      </c>
      <c r="M51" s="148"/>
    </row>
    <row r="52" spans="1:13">
      <c r="A52" s="140">
        <f t="shared" si="0"/>
        <v>2016</v>
      </c>
      <c r="B52" s="146">
        <f>'Data Input Sheet'!E21</f>
        <v>294</v>
      </c>
      <c r="C52" s="142">
        <f>(B52-B51)/Base!$C$14</f>
        <v>0.24880382775119617</v>
      </c>
      <c r="D52" s="147">
        <f>(B52-Base!$C$14)/Base!$C$14</f>
        <v>0.12535885167464114</v>
      </c>
      <c r="E52" s="143">
        <f>'Data Input Sheet'!E41</f>
        <v>13954111</v>
      </c>
      <c r="F52" s="144">
        <f>(E52-E51)/INDEX($E$49:$E$62,Base!$C$6,1)</f>
        <v>-0.3943336606704459</v>
      </c>
      <c r="G52" s="141">
        <f>'Data Input Sheet'!E49</f>
        <v>10770</v>
      </c>
      <c r="H52" s="144">
        <f>(G52-G51)/INDEX($G$49:$G$62,Base!$C$6,1)</f>
        <v>0</v>
      </c>
      <c r="I52" s="143">
        <f>'Data Input Sheet'!E31</f>
        <v>104344</v>
      </c>
      <c r="J52" s="145">
        <f>(I52-I51)/INDEX($I$49:$I$62,Base!$C$6,1)</f>
        <v>-0.36414051487499072</v>
      </c>
      <c r="K52" s="148" t="str">
        <f>IF(Ratios!E44&gt;Ratios!E54*1000,"Assessment Required","")</f>
        <v>Assessment Required</v>
      </c>
      <c r="M52" s="148"/>
    </row>
    <row r="53" spans="1:13">
      <c r="A53" s="140">
        <f t="shared" si="0"/>
        <v>2017</v>
      </c>
      <c r="B53" s="146">
        <f>'Data Input Sheet'!F21</f>
        <v>994</v>
      </c>
      <c r="C53" s="142">
        <f>(B53-B52)/Base!$C$14</f>
        <v>2.6794258373205744</v>
      </c>
      <c r="D53" s="147">
        <f>(B53-Base!$C$14)/Base!$C$14</f>
        <v>2.8047846889952153</v>
      </c>
      <c r="E53" s="143">
        <f>'Data Input Sheet'!F41</f>
        <v>13792297</v>
      </c>
      <c r="F53" s="144">
        <f>(E53-E52)/INDEX($E$49:$E$62,Base!$C$6,1)</f>
        <v>-7.2228719367941792E-3</v>
      </c>
      <c r="G53" s="141">
        <f>'Data Input Sheet'!F49</f>
        <v>10770</v>
      </c>
      <c r="H53" s="144">
        <f>(G53-G52)/INDEX($G$49:$G$62,Base!$C$6,1)</f>
        <v>0</v>
      </c>
      <c r="I53" s="143">
        <f>'Data Input Sheet'!F31</f>
        <v>107325</v>
      </c>
      <c r="J53" s="145">
        <f>(I53-I52)/INDEX($I$49:$I$62,Base!$C$6,1)</f>
        <v>1.8429903306377823E-2</v>
      </c>
      <c r="K53" s="148" t="str">
        <f>IF(Ratios!F44&gt;Ratios!F54*1000,"Assessment Required","")</f>
        <v>Assessment Required</v>
      </c>
      <c r="M53" s="148"/>
    </row>
    <row r="54" spans="1:13">
      <c r="A54" s="140">
        <f t="shared" si="0"/>
        <v>2018</v>
      </c>
      <c r="B54" s="146">
        <f>'Data Input Sheet'!G21</f>
        <v>1295</v>
      </c>
      <c r="C54" s="142">
        <f>(B54-B53)/Base!$C$14</f>
        <v>1.1521531100478468</v>
      </c>
      <c r="D54" s="147">
        <f>(B54-Base!$C$14)/Base!$C$14</f>
        <v>3.9569377990430623</v>
      </c>
      <c r="E54" s="143">
        <f>'Data Input Sheet'!G41</f>
        <v>13907274</v>
      </c>
      <c r="F54" s="144">
        <f>(E54-E53)/INDEX($E$49:$E$62,Base!$C$6,1)</f>
        <v>5.1322144355666656E-3</v>
      </c>
      <c r="G54" s="141">
        <f>'Data Input Sheet'!G49</f>
        <v>10770</v>
      </c>
      <c r="H54" s="144">
        <f>(G54-G53)/INDEX($G$49:$G$62,Base!$C$6,1)</f>
        <v>0</v>
      </c>
      <c r="I54" s="143">
        <f>'Data Input Sheet'!G31</f>
        <v>110470</v>
      </c>
      <c r="J54" s="145">
        <f>(I54-I53)/INDEX($I$49:$I$62,Base!$C$6,1)</f>
        <v>1.9443826198778345E-2</v>
      </c>
      <c r="K54" s="148" t="str">
        <f>IF(Ratios!G44&gt;Ratios!G54*1000,"Assessment Required","")</f>
        <v>Assessment Required</v>
      </c>
      <c r="M54" s="148"/>
    </row>
    <row r="55" spans="1:13">
      <c r="A55" s="140">
        <f t="shared" si="0"/>
        <v>2019</v>
      </c>
      <c r="B55" s="146">
        <f>'Data Input Sheet'!H21</f>
        <v>1646</v>
      </c>
      <c r="C55" s="142">
        <f>(B55-B54)/Base!$C$14</f>
        <v>1.3435406698564594</v>
      </c>
      <c r="D55" s="147">
        <f>(B55-Base!$C$14)/Base!$C$14</f>
        <v>5.3004784688995219</v>
      </c>
      <c r="E55" s="143">
        <f>'Data Input Sheet'!H41</f>
        <v>14117459</v>
      </c>
      <c r="F55" s="144">
        <f>(E55-E54)/INDEX($E$49:$E$62,Base!$C$6,1)</f>
        <v>9.382002410391466E-3</v>
      </c>
      <c r="G55" s="141">
        <f>'Data Input Sheet'!H49</f>
        <v>10770</v>
      </c>
      <c r="H55" s="144">
        <f>(G55-G54)/INDEX($G$49:$G$62,Base!$C$6,1)</f>
        <v>0</v>
      </c>
      <c r="I55" s="143">
        <f>'Data Input Sheet'!H31</f>
        <v>113610</v>
      </c>
      <c r="J55" s="145">
        <f>(I55-I54)/INDEX($I$49:$I$62,Base!$C$6,1)</f>
        <v>1.9412913915473451E-2</v>
      </c>
      <c r="K55" s="148" t="str">
        <f>IF(Ratios!H44&gt;Ratios!H54*1000,"Assessment Required","")</f>
        <v>Assessment Required</v>
      </c>
      <c r="M55" s="148"/>
    </row>
    <row r="56" spans="1:13">
      <c r="A56" s="140">
        <f t="shared" si="0"/>
        <v>2020</v>
      </c>
      <c r="B56" s="146">
        <f>'Data Input Sheet'!I21</f>
        <v>799</v>
      </c>
      <c r="C56" s="142">
        <f>(B56-B55)/Base!$C$14</f>
        <v>-3.2421052631578946</v>
      </c>
      <c r="D56" s="147">
        <f>(B56-Base!$C$14)/Base!$C$14</f>
        <v>2.0583732057416269</v>
      </c>
      <c r="E56" s="143">
        <f>'Data Input Sheet'!I41</f>
        <v>14225679</v>
      </c>
      <c r="F56" s="144">
        <f>(E56-E55)/INDEX($E$49:$E$62,Base!$C$6,1)</f>
        <v>4.8306030442351469E-3</v>
      </c>
      <c r="G56" s="141">
        <f>'Data Input Sheet'!I49</f>
        <v>10770</v>
      </c>
      <c r="H56" s="144">
        <f>(G56-G55)/INDEX($G$49:$G$62,Base!$C$6,1)</f>
        <v>0</v>
      </c>
      <c r="I56" s="143">
        <f>'Data Input Sheet'!I31</f>
        <v>116833</v>
      </c>
      <c r="J56" s="145">
        <f>(I56-I55)/INDEX($I$49:$I$62,Base!$C$6,1)</f>
        <v>1.9926057818334692E-2</v>
      </c>
      <c r="K56" s="148" t="str">
        <f>IF(Ratios!I44&gt;Ratios!I54*1000,"Assessment Required","")</f>
        <v>Assessment Required</v>
      </c>
      <c r="M56" s="148"/>
    </row>
    <row r="57" spans="1:13">
      <c r="A57" s="140">
        <f t="shared" si="0"/>
        <v>2021</v>
      </c>
      <c r="B57" s="146">
        <f>'Data Input Sheet'!J21</f>
        <v>1623</v>
      </c>
      <c r="C57" s="142">
        <f>(B57-B56)/Base!$C$14</f>
        <v>3.1540669856459331</v>
      </c>
      <c r="D57" s="147">
        <f>(B57-Base!$C$14)/Base!$C$14</f>
        <v>5.21244019138756</v>
      </c>
      <c r="E57" s="143">
        <f>'Data Input Sheet'!J41</f>
        <v>14327232</v>
      </c>
      <c r="F57" s="144">
        <f>(E57-E56)/INDEX($E$49:$E$62,Base!$C$6,1)</f>
        <v>4.5330089720126768E-3</v>
      </c>
      <c r="G57" s="141">
        <f>'Data Input Sheet'!J49</f>
        <v>10770</v>
      </c>
      <c r="H57" s="144">
        <f>(G57-G56)/INDEX($G$49:$G$62,Base!$C$6,1)</f>
        <v>0</v>
      </c>
      <c r="I57" s="143">
        <f>'Data Input Sheet'!J31</f>
        <v>120096</v>
      </c>
      <c r="J57" s="145">
        <f>(I57-I56)/INDEX($I$49:$I$62,Base!$C$6,1)</f>
        <v>2.0173356084773844E-2</v>
      </c>
      <c r="K57" s="148" t="str">
        <f>IF(Ratios!J44&gt;Ratios!J54*1000,"Assessment Required","")</f>
        <v>Assessment Required</v>
      </c>
      <c r="M57" s="148"/>
    </row>
    <row r="58" spans="1:13">
      <c r="A58" s="140">
        <f t="shared" si="0"/>
        <v>2022</v>
      </c>
      <c r="B58" s="146">
        <f>'Data Input Sheet'!K21</f>
        <v>449</v>
      </c>
      <c r="C58" s="142">
        <f>(B58-B57)/Base!$C$14</f>
        <v>-4.4937799043062201</v>
      </c>
      <c r="D58" s="147">
        <f>(B58-Base!$C$14)/Base!$C$14</f>
        <v>0.71866028708133967</v>
      </c>
      <c r="E58" s="143">
        <f>'Data Input Sheet'!K41</f>
        <v>14327232</v>
      </c>
      <c r="F58" s="144">
        <f>(E58-E57)/INDEX($E$49:$E$62,Base!$C$6,1)</f>
        <v>0</v>
      </c>
      <c r="G58" s="141">
        <f>'Data Input Sheet'!K49</f>
        <v>10770</v>
      </c>
      <c r="H58" s="144">
        <f>(G58-G57)/INDEX($G$49:$G$62,Base!$C$6,1)</f>
        <v>0</v>
      </c>
      <c r="I58" s="143">
        <f>'Data Input Sheet'!K31</f>
        <v>120096</v>
      </c>
      <c r="J58" s="145">
        <f>(I58-I57)/INDEX($I$49:$I$62,Base!$C$6,1)</f>
        <v>0</v>
      </c>
      <c r="K58" s="148" t="str">
        <f>IF(Ratios!K44&gt;Ratios!BK54*1000,"Assessment Required","")</f>
        <v>Assessment Required</v>
      </c>
      <c r="M58" s="148"/>
    </row>
    <row r="59" spans="1:13">
      <c r="A59" s="140">
        <f t="shared" si="0"/>
        <v>2023</v>
      </c>
      <c r="B59" s="146">
        <f>'Data Input Sheet'!L21</f>
        <v>517</v>
      </c>
      <c r="C59" s="142">
        <f>(B59-B58)/Base!$C$14</f>
        <v>0.2602870813397129</v>
      </c>
      <c r="D59" s="147">
        <f>(B59-Base!$C$14)/Base!$C$14</f>
        <v>0.97894736842105268</v>
      </c>
      <c r="E59" s="143">
        <f>'Data Input Sheet'!L41</f>
        <v>14327232</v>
      </c>
      <c r="F59" s="144">
        <f>(E59-E58)/INDEX($E$49:$E$62,Base!$C$6,1)</f>
        <v>0</v>
      </c>
      <c r="G59" s="141">
        <f>'Data Input Sheet'!L49</f>
        <v>10770</v>
      </c>
      <c r="H59" s="144">
        <f>(G59-G58)/INDEX($G$49:$G$62,Base!$C$6,1)</f>
        <v>0</v>
      </c>
      <c r="I59" s="143">
        <f>'Data Input Sheet'!L31</f>
        <v>120096</v>
      </c>
      <c r="J59" s="145">
        <f>(I59-I58)/INDEX($I$49:$I$62,Base!$C$6,1)</f>
        <v>0</v>
      </c>
      <c r="K59" s="148" t="str">
        <f>IF(Ratios!L44&gt;Ratios!L54*1000,"Assessment Required","")</f>
        <v>Assessment Required</v>
      </c>
      <c r="M59" s="148"/>
    </row>
    <row r="60" spans="1:13">
      <c r="A60" s="140">
        <f t="shared" si="0"/>
        <v>2024</v>
      </c>
      <c r="B60" s="146">
        <f>'Data Input Sheet'!M21</f>
        <v>1093</v>
      </c>
      <c r="C60" s="142">
        <f>(B60-B59)/Base!$C$14</f>
        <v>2.2047846889952152</v>
      </c>
      <c r="D60" s="147">
        <f>(B60-Base!$C$14)/Base!$C$14</f>
        <v>3.1837320574162677</v>
      </c>
      <c r="E60" s="143">
        <f>'Data Input Sheet'!M41</f>
        <v>14327232</v>
      </c>
      <c r="F60" s="144">
        <f>(E60-E59)/INDEX($E$49:$E$62,Base!$C$6,1)</f>
        <v>0</v>
      </c>
      <c r="G60" s="141">
        <f>'Data Input Sheet'!M49</f>
        <v>10770</v>
      </c>
      <c r="H60" s="144">
        <f>(G60-G59)/INDEX($G$49:$G$62,Base!$C$6,1)</f>
        <v>0</v>
      </c>
      <c r="I60" s="143">
        <f>'Data Input Sheet'!M31</f>
        <v>120096</v>
      </c>
      <c r="J60" s="145">
        <f>(I60-I59)/INDEX($I$49:$I$62,Base!$C$6,1)</f>
        <v>0</v>
      </c>
      <c r="K60" s="148" t="str">
        <f>IF(Ratios!M44&gt;Ratios!M54*1000,"Assessment Required","")</f>
        <v>Assessment Required</v>
      </c>
      <c r="M60" s="148"/>
    </row>
    <row r="61" spans="1:13">
      <c r="A61" s="140">
        <f t="shared" si="0"/>
        <v>2025</v>
      </c>
      <c r="B61" s="146">
        <f>'Data Input Sheet'!N21</f>
        <v>1093</v>
      </c>
      <c r="C61" s="142">
        <f>(B61-B60)/Base!$C$14</f>
        <v>0</v>
      </c>
      <c r="D61" s="147">
        <f>(B61-Base!$C$14)/Base!$C$14</f>
        <v>3.1837320574162677</v>
      </c>
      <c r="E61" s="143">
        <f>'Data Input Sheet'!N41</f>
        <v>14327232</v>
      </c>
      <c r="F61" s="144">
        <f>(E61-E60)/INDEX($E$49:$E$62,Base!$C$6,1)</f>
        <v>0</v>
      </c>
      <c r="G61" s="141">
        <f>'Data Input Sheet'!N49</f>
        <v>10770</v>
      </c>
      <c r="H61" s="144">
        <f>(G61-G60)/INDEX($G$49:$G$62,Base!$C$6,1)</f>
        <v>0</v>
      </c>
      <c r="I61" s="143">
        <f>'Data Input Sheet'!N31</f>
        <v>120096</v>
      </c>
      <c r="J61" s="145">
        <f>(I61-I60)/INDEX($I$49:$I$62,Base!$C$6,1)</f>
        <v>0</v>
      </c>
      <c r="K61" s="148" t="str">
        <f>IF(Ratios!N44&gt;Ratios!N54*1000,"Assessment Required","")</f>
        <v>Assessment Required</v>
      </c>
      <c r="M61" s="148"/>
    </row>
    <row r="62" spans="1:13">
      <c r="A62" s="69" t="s">
        <v>322</v>
      </c>
      <c r="B62" s="146">
        <f>Base!C14</f>
        <v>261.25</v>
      </c>
      <c r="E62" s="207">
        <f>Base!D47*1000</f>
        <v>22403000</v>
      </c>
      <c r="G62" s="207">
        <f>SUM(Base!D68:D69)</f>
        <v>6091</v>
      </c>
      <c r="I62" s="207">
        <f>Base!C47</f>
        <v>161748</v>
      </c>
    </row>
    <row r="68" spans="1:13" s="73" customFormat="1">
      <c r="A68" s="72" t="s">
        <v>213</v>
      </c>
    </row>
    <row r="69" spans="1:13">
      <c r="A69" s="64" t="s">
        <v>214</v>
      </c>
      <c r="B69" s="133">
        <f>Base!Q3/100</f>
        <v>0.1</v>
      </c>
      <c r="C69" s="161">
        <f t="shared" ref="C69:L69" si="1">B69</f>
        <v>0.1</v>
      </c>
      <c r="D69" s="161">
        <f t="shared" si="1"/>
        <v>0.1</v>
      </c>
      <c r="E69" s="161">
        <f t="shared" si="1"/>
        <v>0.1</v>
      </c>
      <c r="F69" s="161">
        <f t="shared" si="1"/>
        <v>0.1</v>
      </c>
      <c r="G69" s="161">
        <f t="shared" si="1"/>
        <v>0.1</v>
      </c>
      <c r="H69" s="161">
        <f t="shared" si="1"/>
        <v>0.1</v>
      </c>
      <c r="I69" s="161">
        <f t="shared" si="1"/>
        <v>0.1</v>
      </c>
      <c r="J69" s="161">
        <f t="shared" si="1"/>
        <v>0.1</v>
      </c>
      <c r="K69" s="161">
        <f t="shared" si="1"/>
        <v>0.1</v>
      </c>
      <c r="L69" s="161">
        <f t="shared" si="1"/>
        <v>0.1</v>
      </c>
    </row>
    <row r="70" spans="1:13" ht="1" customHeight="1" thickBot="1">
      <c r="B70" s="133">
        <f>-1*B69</f>
        <v>-0.1</v>
      </c>
      <c r="C70" s="133">
        <f t="shared" ref="C70:L70" si="2">-1*C69</f>
        <v>-0.1</v>
      </c>
      <c r="D70" s="133">
        <f t="shared" si="2"/>
        <v>-0.1</v>
      </c>
      <c r="E70" s="133">
        <f t="shared" si="2"/>
        <v>-0.1</v>
      </c>
      <c r="F70" s="133">
        <f t="shared" si="2"/>
        <v>-0.1</v>
      </c>
      <c r="G70" s="133">
        <f t="shared" si="2"/>
        <v>-0.1</v>
      </c>
      <c r="H70" s="133">
        <f t="shared" si="2"/>
        <v>-0.1</v>
      </c>
      <c r="I70" s="133">
        <f t="shared" si="2"/>
        <v>-0.1</v>
      </c>
      <c r="J70" s="133">
        <f t="shared" si="2"/>
        <v>-0.1</v>
      </c>
      <c r="K70" s="133">
        <f t="shared" si="2"/>
        <v>-0.1</v>
      </c>
      <c r="L70" s="133">
        <f t="shared" si="2"/>
        <v>-0.1</v>
      </c>
    </row>
    <row r="71" spans="1:13" ht="16" thickBot="1">
      <c r="A71" s="77" t="str">
        <f>'Asset Forecast v AMP'!S52</f>
        <v>2013 to 2014 AMP Forecasts</v>
      </c>
      <c r="B71" s="74">
        <f>ABS('Asset Forecast v AMP'!T52)</f>
        <v>2014</v>
      </c>
      <c r="C71" s="74">
        <f>'Asset Forecast v AMP'!U52</f>
        <v>2015</v>
      </c>
      <c r="D71" s="74">
        <f>'Asset Forecast v AMP'!V52</f>
        <v>2016</v>
      </c>
      <c r="E71" s="74">
        <f>'Asset Forecast v AMP'!W52</f>
        <v>2017</v>
      </c>
      <c r="F71" s="74">
        <f>'Asset Forecast v AMP'!X52</f>
        <v>2018</v>
      </c>
      <c r="G71" s="74">
        <f>'Asset Forecast v AMP'!Y52</f>
        <v>2019</v>
      </c>
      <c r="H71" s="74">
        <f>'Asset Forecast v AMP'!Z52</f>
        <v>2020</v>
      </c>
      <c r="I71" s="74">
        <f>'Asset Forecast v AMP'!AA52</f>
        <v>2021</v>
      </c>
      <c r="J71" s="74">
        <f>'Asset Forecast v AMP'!AB52</f>
        <v>2022</v>
      </c>
      <c r="K71" s="74">
        <f>'Asset Forecast v AMP'!AC52</f>
        <v>2023</v>
      </c>
      <c r="L71" s="74">
        <f>'Asset Forecast v AMP'!AD52</f>
        <v>2024</v>
      </c>
      <c r="M71" s="74">
        <f>'Asset Forecast v AMP'!AE52</f>
        <v>2025</v>
      </c>
    </row>
    <row r="72" spans="1:13">
      <c r="A72" s="64" t="str">
        <f>'Asset Forecast v AMP'!S7</f>
        <v>Consumer connection</v>
      </c>
      <c r="B72" s="133">
        <f>'Asset Forecast v AMP'!T7</f>
        <v>0.48157220472170892</v>
      </c>
      <c r="C72" s="133">
        <f>'Asset Forecast v AMP'!U7</f>
        <v>0.59777680715480519</v>
      </c>
      <c r="D72" s="133">
        <f>'Asset Forecast v AMP'!V7</f>
        <v>0.36487671528162202</v>
      </c>
      <c r="E72" s="133">
        <f>'Asset Forecast v AMP'!W7</f>
        <v>0.36809223270023883</v>
      </c>
      <c r="F72" s="133">
        <f>'Asset Forecast v AMP'!X7</f>
        <v>0.42409486119488621</v>
      </c>
      <c r="G72" s="133">
        <f>'Asset Forecast v AMP'!Y7</f>
        <v>0.31434540185073478</v>
      </c>
      <c r="H72" s="133">
        <f>'Asset Forecast v AMP'!Z7</f>
        <v>0.33796631873379035</v>
      </c>
      <c r="I72" s="133">
        <f>'Asset Forecast v AMP'!AA7</f>
        <v>0.37042213211089653</v>
      </c>
      <c r="J72" s="133">
        <f>'Asset Forecast v AMP'!AB7</f>
        <v>0.38615837237285872</v>
      </c>
      <c r="K72" s="133">
        <f>'Asset Forecast v AMP'!AC7</f>
        <v>0.41154805961538066</v>
      </c>
      <c r="L72" s="133"/>
    </row>
    <row r="73" spans="1:13">
      <c r="A73" s="64" t="str">
        <f>'Asset Forecast v AMP'!S8</f>
        <v>System growth</v>
      </c>
      <c r="B73" s="133">
        <f>'Asset Forecast v AMP'!T8</f>
        <v>-0.54143074716549833</v>
      </c>
      <c r="C73" s="133">
        <f>'Asset Forecast v AMP'!U8</f>
        <v>-0.16568852631620007</v>
      </c>
      <c r="D73" s="133">
        <f>'Asset Forecast v AMP'!V8</f>
        <v>-1.2031544377923881E-2</v>
      </c>
      <c r="E73" s="133">
        <f>'Asset Forecast v AMP'!W8</f>
        <v>-3.3505500732011815E-3</v>
      </c>
      <c r="F73" s="133">
        <f>'Asset Forecast v AMP'!X8</f>
        <v>-3.4906963327292363E-3</v>
      </c>
      <c r="G73" s="133">
        <f>'Asset Forecast v AMP'!Y8</f>
        <v>-3.2037938711605729E-3</v>
      </c>
      <c r="H73" s="133">
        <f>'Asset Forecast v AMP'!Z8</f>
        <v>2.0943013338524621E-4</v>
      </c>
      <c r="I73" s="133">
        <f>'Asset Forecast v AMP'!AA8</f>
        <v>-3.358172334975376E-3</v>
      </c>
      <c r="J73" s="133">
        <f>'Asset Forecast v AMP'!AB8</f>
        <v>-3.3128788163988092E-3</v>
      </c>
      <c r="K73" s="133">
        <f>'Asset Forecast v AMP'!AC8</f>
        <v>-3.1426350826209036E-3</v>
      </c>
      <c r="L73" s="133"/>
    </row>
    <row r="74" spans="1:13">
      <c r="A74" s="64" t="str">
        <f>'Asset Forecast v AMP'!S9</f>
        <v>Asset replacement and renewal</v>
      </c>
      <c r="B74" s="133">
        <f>'Asset Forecast v AMP'!T9</f>
        <v>-8.8389302027163733E-2</v>
      </c>
      <c r="C74" s="133">
        <f>'Asset Forecast v AMP'!U9</f>
        <v>0.19929538966166535</v>
      </c>
      <c r="D74" s="133">
        <f>'Asset Forecast v AMP'!V9</f>
        <v>0.54447664805773299</v>
      </c>
      <c r="E74" s="133">
        <f>'Asset Forecast v AMP'!W9</f>
        <v>0.91365910784626836</v>
      </c>
      <c r="F74" s="133">
        <f>'Asset Forecast v AMP'!X9</f>
        <v>0.94198367205141575</v>
      </c>
      <c r="G74" s="133">
        <f>'Asset Forecast v AMP'!Y9</f>
        <v>2.0346629309202431</v>
      </c>
      <c r="H74" s="133">
        <f>'Asset Forecast v AMP'!Z9</f>
        <v>2.0346629309202431</v>
      </c>
      <c r="I74" s="133">
        <f>'Asset Forecast v AMP'!AA9</f>
        <v>2.0856954451566603</v>
      </c>
      <c r="J74" s="133">
        <f>'Asset Forecast v AMP'!AB9</f>
        <v>2.0856954451566603</v>
      </c>
      <c r="K74" s="133">
        <f>'Asset Forecast v AMP'!AC9</f>
        <v>2.0856954451566603</v>
      </c>
      <c r="L74" s="133"/>
    </row>
    <row r="75" spans="1:13">
      <c r="A75" s="64" t="str">
        <f>'Asset Forecast v AMP'!S10</f>
        <v>Asset relocations</v>
      </c>
      <c r="B75" s="133">
        <f>'Asset Forecast v AMP'!T10</f>
        <v>-0.44492127231298984</v>
      </c>
      <c r="C75" s="133">
        <f>'Asset Forecast v AMP'!U10</f>
        <v>7.3182453799214009E-2</v>
      </c>
      <c r="D75" s="133">
        <f>'Asset Forecast v AMP'!V10</f>
        <v>0.57753271015269836</v>
      </c>
      <c r="E75" s="133">
        <f>'Asset Forecast v AMP'!W10</f>
        <v>1.0417540878431102</v>
      </c>
      <c r="F75" s="133">
        <f>'Asset Forecast v AMP'!X10</f>
        <v>0.99065092320042802</v>
      </c>
      <c r="G75" s="133">
        <f>'Asset Forecast v AMP'!Y10</f>
        <v>0.38092756644085446</v>
      </c>
      <c r="H75" s="133">
        <f>'Asset Forecast v AMP'!Z10</f>
        <v>0.26382537721542698</v>
      </c>
      <c r="I75" s="133">
        <f>'Asset Forecast v AMP'!AA10</f>
        <v>0.31761267729826409</v>
      </c>
      <c r="J75" s="133">
        <f>'Asset Forecast v AMP'!AB10</f>
        <v>0.31761267729826409</v>
      </c>
      <c r="K75" s="133">
        <f>'Asset Forecast v AMP'!AC10</f>
        <v>0.31761267729826409</v>
      </c>
      <c r="L75" s="133"/>
    </row>
    <row r="76" spans="1:13">
      <c r="A76" s="64" t="str">
        <f>'Asset Forecast v AMP'!S11</f>
        <v>Total reliability, safety and environment</v>
      </c>
      <c r="B76" s="133">
        <f>'Asset Forecast v AMP'!T11</f>
        <v>3.1840114871520775E-2</v>
      </c>
      <c r="C76" s="133">
        <f>'Asset Forecast v AMP'!U11</f>
        <v>-0.12247389122473905</v>
      </c>
      <c r="D76" s="133">
        <f>'Asset Forecast v AMP'!V11</f>
        <v>-0.14469169689246164</v>
      </c>
      <c r="E76" s="133">
        <f>'Asset Forecast v AMP'!W11</f>
        <v>-1.7854244440838598E-3</v>
      </c>
      <c r="F76" s="133">
        <f>'Asset Forecast v AMP'!X11</f>
        <v>-1.2914334911753476E-3</v>
      </c>
      <c r="G76" s="133">
        <f>'Asset Forecast v AMP'!Y11</f>
        <v>-1.7520270545573768E-3</v>
      </c>
      <c r="H76" s="133">
        <f>'Asset Forecast v AMP'!Z11</f>
        <v>-1.2914334911753476E-3</v>
      </c>
      <c r="I76" s="133">
        <f>'Asset Forecast v AMP'!AA11</f>
        <v>2.9574386010028904E-3</v>
      </c>
      <c r="J76" s="133">
        <f>'Asset Forecast v AMP'!AB11</f>
        <v>-3.188454438664418E-3</v>
      </c>
      <c r="K76" s="133">
        <f>'Asset Forecast v AMP'!AC11</f>
        <v>2.9574386010028904E-3</v>
      </c>
      <c r="L76" s="133"/>
    </row>
    <row r="77" spans="1:13">
      <c r="A77" s="64" t="str">
        <f>'Asset Forecast v AMP'!S12</f>
        <v>Non network assets</v>
      </c>
      <c r="B77" s="133">
        <f>'Asset Forecast v AMP'!T12</f>
        <v>-0.28139908421834919</v>
      </c>
      <c r="C77" s="133">
        <f>'Asset Forecast v AMP'!U12</f>
        <v>-0.22068588223936161</v>
      </c>
      <c r="D77" s="133">
        <f>'Asset Forecast v AMP'!V12</f>
        <v>0.15211521152115201</v>
      </c>
      <c r="E77" s="133">
        <f>'Asset Forecast v AMP'!W12</f>
        <v>-0.44597121309089083</v>
      </c>
      <c r="F77" s="133">
        <f>'Asset Forecast v AMP'!X12</f>
        <v>-0.26411560074926421</v>
      </c>
      <c r="G77" s="133">
        <f>'Asset Forecast v AMP'!Y12</f>
        <v>-0.1964965727341966</v>
      </c>
      <c r="H77" s="133">
        <f>'Asset Forecast v AMP'!Z12</f>
        <v>0.13650084520647171</v>
      </c>
      <c r="I77" s="133">
        <f>'Asset Forecast v AMP'!AA12</f>
        <v>-0.35262757044935267</v>
      </c>
      <c r="J77" s="133">
        <f>'Asset Forecast v AMP'!AB12</f>
        <v>-0.27753969426793434</v>
      </c>
      <c r="K77" s="133">
        <f>'Asset Forecast v AMP'!AC12</f>
        <v>-0.18559020081112598</v>
      </c>
      <c r="L77" s="133"/>
    </row>
    <row r="78" spans="1:13">
      <c r="A78" s="64" t="str">
        <f>'Asset Forecast v AMP'!S13</f>
        <v>Value of capital contributions</v>
      </c>
      <c r="B78" s="133">
        <f>'Asset Forecast v AMP'!T13</f>
        <v>-0.18609945864615346</v>
      </c>
      <c r="C78" s="133">
        <f>'Asset Forecast v AMP'!U13</f>
        <v>0.19631654285119615</v>
      </c>
      <c r="D78" s="133">
        <f>'Asset Forecast v AMP'!V13</f>
        <v>0.45433731565038404</v>
      </c>
      <c r="E78" s="133">
        <f>'Asset Forecast v AMP'!W13</f>
        <v>0.65850231892310429</v>
      </c>
      <c r="F78" s="133">
        <f>'Asset Forecast v AMP'!X13</f>
        <v>0.66633893206189321</v>
      </c>
      <c r="G78" s="133">
        <f>'Asset Forecast v AMP'!Y13</f>
        <v>0.33905814189623212</v>
      </c>
      <c r="H78" s="133">
        <f>'Asset Forecast v AMP'!Z13</f>
        <v>0.29105510714603733</v>
      </c>
      <c r="I78" s="133">
        <f>'Asset Forecast v AMP'!AA13</f>
        <v>0.3371164881584649</v>
      </c>
      <c r="J78" s="133">
        <f>'Asset Forecast v AMP'!AB13</f>
        <v>0.34471036389353199</v>
      </c>
      <c r="K78" s="133">
        <f>'Asset Forecast v AMP'!AC13</f>
        <v>0.35626510582160964</v>
      </c>
      <c r="L78" s="133"/>
    </row>
    <row r="79" spans="1:13">
      <c r="A79" s="64" t="str">
        <f>'Asset Forecast v AMP'!S14</f>
        <v>Total capital expenditure (excl cost of funding and capital contributions)</v>
      </c>
      <c r="B79" s="133">
        <f>'Asset Forecast v AMP'!T14</f>
        <v>-1.042317801724043E-2</v>
      </c>
      <c r="C79" s="133">
        <f>'Asset Forecast v AMP'!U14</f>
        <v>0.22950757206262473</v>
      </c>
      <c r="D79" s="133">
        <f>'Asset Forecast v AMP'!V14</f>
        <v>0.31943521602952007</v>
      </c>
      <c r="E79" s="133">
        <f>'Asset Forecast v AMP'!W14</f>
        <v>0.36259779824136251</v>
      </c>
      <c r="F79" s="133">
        <f>'Asset Forecast v AMP'!X14</f>
        <v>0.40038603838613979</v>
      </c>
      <c r="G79" s="133">
        <f>'Asset Forecast v AMP'!Y14</f>
        <v>0.29329844202845246</v>
      </c>
      <c r="H79" s="133">
        <f>'Asset Forecast v AMP'!Z14</f>
        <v>0.27345888473226959</v>
      </c>
      <c r="I79" s="133">
        <f>'Asset Forecast v AMP'!AA14</f>
        <v>0.28247871309062667</v>
      </c>
      <c r="J79" s="133">
        <f>'Asset Forecast v AMP'!AB14</f>
        <v>0.3018901890189018</v>
      </c>
      <c r="K79" s="133">
        <f>'Asset Forecast v AMP'!AC14</f>
        <v>0.3754817946888574</v>
      </c>
      <c r="L79" s="133"/>
    </row>
    <row r="80" spans="1:13">
      <c r="B80" s="133"/>
      <c r="C80" s="161"/>
      <c r="D80" s="161"/>
      <c r="E80" s="161"/>
      <c r="F80" s="161"/>
      <c r="G80" s="161"/>
      <c r="H80" s="161"/>
      <c r="I80" s="161"/>
      <c r="J80" s="161"/>
      <c r="K80" s="161"/>
      <c r="L80" s="161"/>
    </row>
    <row r="81" spans="1:13" ht="16" thickBot="1">
      <c r="B81" s="133"/>
      <c r="C81" s="161"/>
      <c r="D81" s="161"/>
      <c r="E81" s="161"/>
      <c r="F81" s="161"/>
      <c r="G81" s="161"/>
      <c r="H81" s="161"/>
      <c r="I81" s="161"/>
      <c r="J81" s="161"/>
      <c r="K81" s="161"/>
      <c r="L81" s="161"/>
    </row>
    <row r="82" spans="1:13" ht="16" thickBot="1">
      <c r="A82" s="77" t="str">
        <f>'Asset Forecast v AMP'!S64</f>
        <v>2014 to 2015 AMP Forecasts</v>
      </c>
      <c r="B82" s="74">
        <f>B71</f>
        <v>2014</v>
      </c>
      <c r="C82" s="74">
        <f t="shared" ref="C82:M82" si="3">C71</f>
        <v>2015</v>
      </c>
      <c r="D82" s="74">
        <f t="shared" si="3"/>
        <v>2016</v>
      </c>
      <c r="E82" s="74">
        <f t="shared" si="3"/>
        <v>2017</v>
      </c>
      <c r="F82" s="74">
        <f t="shared" si="3"/>
        <v>2018</v>
      </c>
      <c r="G82" s="74">
        <f t="shared" si="3"/>
        <v>2019</v>
      </c>
      <c r="H82" s="74">
        <f t="shared" si="3"/>
        <v>2020</v>
      </c>
      <c r="I82" s="74">
        <f t="shared" si="3"/>
        <v>2021</v>
      </c>
      <c r="J82" s="74">
        <f t="shared" si="3"/>
        <v>2022</v>
      </c>
      <c r="K82" s="74">
        <f t="shared" si="3"/>
        <v>2023</v>
      </c>
      <c r="L82" s="74">
        <f t="shared" si="3"/>
        <v>2024</v>
      </c>
      <c r="M82" s="74">
        <f t="shared" si="3"/>
        <v>2025</v>
      </c>
    </row>
    <row r="83" spans="1:13">
      <c r="A83" s="64" t="str">
        <f>'Asset Forecast v AMP'!S18</f>
        <v>Consumer connection</v>
      </c>
      <c r="B83" s="133"/>
      <c r="C83" s="133">
        <f>'Asset Forecast v AMP'!U18</f>
        <v>4.7234385312088921E-2</v>
      </c>
      <c r="D83" s="133">
        <f>'Asset Forecast v AMP'!V18</f>
        <v>0.14336121293987539</v>
      </c>
      <c r="E83" s="133">
        <f>'Asset Forecast v AMP'!W18</f>
        <v>0.17771939849066951</v>
      </c>
      <c r="F83" s="133">
        <f>'Asset Forecast v AMP'!X18</f>
        <v>0.11659901869692063</v>
      </c>
      <c r="G83" s="133">
        <f>'Asset Forecast v AMP'!Y18</f>
        <v>0.12829755852951591</v>
      </c>
      <c r="H83" s="133">
        <f>'Asset Forecast v AMP'!Z18</f>
        <v>0.13574612873461636</v>
      </c>
      <c r="I83" s="133">
        <f>'Asset Forecast v AMP'!AA18</f>
        <v>0.12208328414398788</v>
      </c>
      <c r="J83" s="133">
        <f>'Asset Forecast v AMP'!AB18</f>
        <v>0.11777007716219232</v>
      </c>
      <c r="K83" s="133">
        <f>'Asset Forecast v AMP'!AC18</f>
        <v>0.12423826783375405</v>
      </c>
      <c r="L83" s="133">
        <f>'Asset Forecast v AMP'!AD18</f>
        <v>0.12595807813419158</v>
      </c>
    </row>
    <row r="84" spans="1:13">
      <c r="A84" s="64" t="str">
        <f>'Asset Forecast v AMP'!S19</f>
        <v>System growth</v>
      </c>
      <c r="B84" s="133"/>
      <c r="C84" s="133">
        <f>'Asset Forecast v AMP'!U19</f>
        <v>-0.56694152857886304</v>
      </c>
      <c r="D84" s="133">
        <f>'Asset Forecast v AMP'!V19</f>
        <v>0.85967010224084017</v>
      </c>
      <c r="E84" s="133">
        <f>'Asset Forecast v AMP'!W19</f>
        <v>0.5643624809680573</v>
      </c>
      <c r="F84" s="133">
        <f>'Asset Forecast v AMP'!X19</f>
        <v>-0.13722504815622236</v>
      </c>
      <c r="G84" s="133">
        <f>'Asset Forecast v AMP'!Y19</f>
        <v>-0.59850274834001838</v>
      </c>
      <c r="H84" s="133">
        <f>'Asset Forecast v AMP'!Z19</f>
        <v>-0.12132669700012111</v>
      </c>
      <c r="I84" s="133">
        <f>'Asset Forecast v AMP'!AA19</f>
        <v>-0.19607020198736172</v>
      </c>
      <c r="J84" s="133">
        <f>'Asset Forecast v AMP'!AB19</f>
        <v>-5.7420227609811351E-2</v>
      </c>
      <c r="K84" s="133">
        <f>'Asset Forecast v AMP'!AC19</f>
        <v>-0.1934184893767685</v>
      </c>
      <c r="L84" s="133">
        <f>'Asset Forecast v AMP'!AD19</f>
        <v>0.27239917747282721</v>
      </c>
    </row>
    <row r="85" spans="1:13">
      <c r="A85" s="64" t="str">
        <f>'Asset Forecast v AMP'!S20</f>
        <v>Asset replacement and renewal</v>
      </c>
      <c r="B85" s="133"/>
      <c r="C85" s="133">
        <f>'Asset Forecast v AMP'!U20</f>
        <v>0.18099444087475505</v>
      </c>
      <c r="D85" s="133">
        <f>'Asset Forecast v AMP'!V20</f>
        <v>0.60018349322747677</v>
      </c>
      <c r="E85" s="133">
        <f>'Asset Forecast v AMP'!W20</f>
        <v>0.17410495071776752</v>
      </c>
      <c r="F85" s="133">
        <f>'Asset Forecast v AMP'!X20</f>
        <v>4.6617480496660292E-2</v>
      </c>
      <c r="G85" s="133">
        <f>'Asset Forecast v AMP'!Y20</f>
        <v>-0.32233817017155947</v>
      </c>
      <c r="H85" s="133">
        <f>'Asset Forecast v AMP'!Z20</f>
        <v>-2.9802355297820608E-2</v>
      </c>
      <c r="I85" s="133">
        <f>'Asset Forecast v AMP'!AA20</f>
        <v>-7.2982022892577195E-3</v>
      </c>
      <c r="J85" s="133">
        <f>'Asset Forecast v AMP'!AB20</f>
        <v>-1.039748982503905E-2</v>
      </c>
      <c r="K85" s="133">
        <f>'Asset Forecast v AMP'!AC20</f>
        <v>-1.039748982503905E-2</v>
      </c>
      <c r="L85" s="133">
        <f>'Asset Forecast v AMP'!AD20</f>
        <v>-1.039748982503905E-2</v>
      </c>
    </row>
    <row r="86" spans="1:13">
      <c r="A86" s="64" t="str">
        <f>'Asset Forecast v AMP'!S21</f>
        <v>Asset relocations</v>
      </c>
      <c r="B86" s="133"/>
      <c r="C86" s="133">
        <f>'Asset Forecast v AMP'!U21</f>
        <v>-0.54543019922138181</v>
      </c>
      <c r="D86" s="133">
        <f>'Asset Forecast v AMP'!V21</f>
        <v>-0.18888323804472829</v>
      </c>
      <c r="E86" s="133">
        <f>'Asset Forecast v AMP'!W21</f>
        <v>-0.13336432199734508</v>
      </c>
      <c r="F86" s="133">
        <f>'Asset Forecast v AMP'!X21</f>
        <v>-0.17413302610336209</v>
      </c>
      <c r="G86" s="133">
        <f>'Asset Forecast v AMP'!Y21</f>
        <v>-0.15681205125278116</v>
      </c>
      <c r="H86" s="133">
        <f>'Asset Forecast v AMP'!Z21</f>
        <v>-8.7137270704919181E-2</v>
      </c>
      <c r="I86" s="133">
        <f>'Asset Forecast v AMP'!AA21</f>
        <v>-8.8996873597550333E-2</v>
      </c>
      <c r="J86" s="133">
        <f>'Asset Forecast v AMP'!AB21</f>
        <v>-8.8996873597550333E-2</v>
      </c>
      <c r="K86" s="133">
        <f>'Asset Forecast v AMP'!AC21</f>
        <v>-7.0611816971575841E-2</v>
      </c>
      <c r="L86" s="133">
        <f>'Asset Forecast v AMP'!AD21</f>
        <v>-7.0611816971575841E-2</v>
      </c>
    </row>
    <row r="87" spans="1:13">
      <c r="A87" s="64" t="str">
        <f>'Asset Forecast v AMP'!S22</f>
        <v>Total reliability, safety and environment</v>
      </c>
      <c r="B87" s="133"/>
      <c r="C87" s="133">
        <f>'Asset Forecast v AMP'!U22</f>
        <v>0.12642479780751098</v>
      </c>
      <c r="D87" s="133">
        <f>'Asset Forecast v AMP'!V22</f>
        <v>2.3174525129561494</v>
      </c>
      <c r="E87" s="133">
        <f>'Asset Forecast v AMP'!W22</f>
        <v>5.229855197960263</v>
      </c>
      <c r="F87" s="133">
        <f>'Asset Forecast v AMP'!X22</f>
        <v>2.1711215398218053</v>
      </c>
      <c r="G87" s="133">
        <f>'Asset Forecast v AMP'!Y22</f>
        <v>-0.17079257738598405</v>
      </c>
      <c r="H87" s="133">
        <f>'Asset Forecast v AMP'!Z22</f>
        <v>-0.34537169285179892</v>
      </c>
      <c r="I87" s="133">
        <f>'Asset Forecast v AMP'!AA22</f>
        <v>-2.6450209882162644E-2</v>
      </c>
      <c r="J87" s="133">
        <f>'Asset Forecast v AMP'!AB22</f>
        <v>-0.4388327721661055</v>
      </c>
      <c r="K87" s="133">
        <f>'Asset Forecast v AMP'!AC22</f>
        <v>-2.6450209882162644E-2</v>
      </c>
      <c r="L87" s="133">
        <f>'Asset Forecast v AMP'!AD22</f>
        <v>-2.6450209882162644E-2</v>
      </c>
    </row>
    <row r="88" spans="1:13">
      <c r="A88" s="64" t="str">
        <f>'Asset Forecast v AMP'!S23</f>
        <v>Non network assets</v>
      </c>
      <c r="B88" s="133"/>
      <c r="C88" s="133">
        <f>'Asset Forecast v AMP'!U23</f>
        <v>-0.27308119906986983</v>
      </c>
      <c r="D88" s="133">
        <f>'Asset Forecast v AMP'!V23</f>
        <v>-0.37070528726856272</v>
      </c>
      <c r="E88" s="133">
        <f>'Asset Forecast v AMP'!W23</f>
        <v>0.76018191524768741</v>
      </c>
      <c r="F88" s="133">
        <f>'Asset Forecast v AMP'!X23</f>
        <v>0.99770064023457683</v>
      </c>
      <c r="G88" s="133">
        <f>'Asset Forecast v AMP'!Y23</f>
        <v>0.39843143853351659</v>
      </c>
      <c r="H88" s="133">
        <f>'Asset Forecast v AMP'!Z23</f>
        <v>3.5961348557119292E-2</v>
      </c>
      <c r="I88" s="133">
        <f>'Asset Forecast v AMP'!AA23</f>
        <v>1.1893491124260354</v>
      </c>
      <c r="J88" s="133">
        <f>'Asset Forecast v AMP'!AB23</f>
        <v>0.88833602295140746</v>
      </c>
      <c r="K88" s="133">
        <f>'Asset Forecast v AMP'!AC23</f>
        <v>0.66420118343195267</v>
      </c>
      <c r="L88" s="133">
        <f>'Asset Forecast v AMP'!AD23</f>
        <v>1.0260641309816254</v>
      </c>
    </row>
    <row r="89" spans="1:13">
      <c r="A89" s="64" t="str">
        <f>'Asset Forecast v AMP'!S24</f>
        <v>Value of capital contributions</v>
      </c>
      <c r="B89" s="133"/>
      <c r="C89" s="133">
        <f>'Asset Forecast v AMP'!U24</f>
        <v>-0.12392841423689863</v>
      </c>
      <c r="D89" s="133">
        <f>'Asset Forecast v AMP'!V24</f>
        <v>0.10676289772691615</v>
      </c>
      <c r="E89" s="133">
        <f>'Asset Forecast v AMP'!W24</f>
        <v>0.15628117948274919</v>
      </c>
      <c r="F89" s="133">
        <f>'Asset Forecast v AMP'!X24</f>
        <v>0.10665245943760532</v>
      </c>
      <c r="G89" s="133">
        <f>'Asset Forecast v AMP'!Y24</f>
        <v>0.11973076404188474</v>
      </c>
      <c r="H89" s="133">
        <f>'Asset Forecast v AMP'!Z24</f>
        <v>0.16738447438943055</v>
      </c>
      <c r="I89" s="133">
        <f>'Asset Forecast v AMP'!AA24</f>
        <v>0.15803459616990889</v>
      </c>
      <c r="J89" s="133">
        <f>'Asset Forecast v AMP'!AB24</f>
        <v>0.15637904832126118</v>
      </c>
      <c r="K89" s="133">
        <f>'Asset Forecast v AMP'!AC24</f>
        <v>0.17163013090614887</v>
      </c>
      <c r="L89" s="133">
        <f>'Asset Forecast v AMP'!AD24</f>
        <v>0.17134544076948399</v>
      </c>
    </row>
    <row r="90" spans="1:13">
      <c r="A90" s="64" t="str">
        <f>'Asset Forecast v AMP'!S25</f>
        <v>Total capital expenditure (excl cost of funding and capital contributions)</v>
      </c>
      <c r="B90" s="133"/>
      <c r="C90" s="133">
        <f>'Asset Forecast v AMP'!U25</f>
        <v>-0.10369403612083068</v>
      </c>
      <c r="D90" s="133">
        <f>'Asset Forecast v AMP'!V25</f>
        <v>0.20437600488669744</v>
      </c>
      <c r="E90" s="133">
        <f>'Asset Forecast v AMP'!W25</f>
        <v>0.21042274942549136</v>
      </c>
      <c r="F90" s="133">
        <f>'Asset Forecast v AMP'!X25</f>
        <v>6.4783655269204612E-2</v>
      </c>
      <c r="G90" s="133">
        <f>'Asset Forecast v AMP'!Y25</f>
        <v>-0.10562143849811713</v>
      </c>
      <c r="H90" s="133">
        <f>'Asset Forecast v AMP'!Z25</f>
        <v>1.2261895394989456E-2</v>
      </c>
      <c r="I90" s="133">
        <f>'Asset Forecast v AMP'!AA25</f>
        <v>3.2171794298328608E-2</v>
      </c>
      <c r="J90" s="133">
        <f>'Asset Forecast v AMP'!AB25</f>
        <v>5.3012253233491992E-2</v>
      </c>
      <c r="K90" s="133">
        <f>'Asset Forecast v AMP'!AC25</f>
        <v>5.6828263527375071E-2</v>
      </c>
      <c r="L90" s="133">
        <f>'Asset Forecast v AMP'!AD25</f>
        <v>0.11549128827196135</v>
      </c>
    </row>
    <row r="91" spans="1:13">
      <c r="B91" s="133"/>
      <c r="C91" s="133"/>
      <c r="D91" s="133"/>
      <c r="E91" s="133"/>
      <c r="F91" s="133"/>
      <c r="G91" s="133"/>
      <c r="H91" s="133"/>
      <c r="I91" s="133"/>
      <c r="J91" s="133"/>
      <c r="K91" s="133"/>
      <c r="L91" s="133"/>
    </row>
    <row r="92" spans="1:13" ht="16" thickBot="1"/>
    <row r="93" spans="1:13" ht="16" thickBot="1">
      <c r="A93" s="77" t="str">
        <f>'Asset Forecast v AMP'!S73</f>
        <v>2015 to 2016 AMP Forecasts</v>
      </c>
      <c r="B93" s="74">
        <f>B82</f>
        <v>2014</v>
      </c>
      <c r="C93" s="74">
        <f t="shared" ref="C93:M93" si="4">C82</f>
        <v>2015</v>
      </c>
      <c r="D93" s="74">
        <f t="shared" si="4"/>
        <v>2016</v>
      </c>
      <c r="E93" s="74">
        <f t="shared" si="4"/>
        <v>2017</v>
      </c>
      <c r="F93" s="74">
        <f t="shared" si="4"/>
        <v>2018</v>
      </c>
      <c r="G93" s="74">
        <f t="shared" si="4"/>
        <v>2019</v>
      </c>
      <c r="H93" s="74">
        <f t="shared" si="4"/>
        <v>2020</v>
      </c>
      <c r="I93" s="74">
        <f t="shared" si="4"/>
        <v>2021</v>
      </c>
      <c r="J93" s="74">
        <f t="shared" si="4"/>
        <v>2022</v>
      </c>
      <c r="K93" s="74">
        <f t="shared" si="4"/>
        <v>2023</v>
      </c>
      <c r="L93" s="74">
        <f t="shared" si="4"/>
        <v>2024</v>
      </c>
      <c r="M93" s="74">
        <f t="shared" si="4"/>
        <v>2025</v>
      </c>
    </row>
    <row r="94" spans="1:13">
      <c r="A94" s="64" t="str">
        <f>'Asset Forecast v AMP'!S30</f>
        <v>Consumer connection</v>
      </c>
      <c r="C94" s="133"/>
      <c r="D94" s="133">
        <f>'Asset Forecast v AMP'!V30</f>
        <v>1.8683671426151092E-2</v>
      </c>
      <c r="E94" s="133">
        <f>'Asset Forecast v AMP'!W30</f>
        <v>9.4801535604486144E-3</v>
      </c>
      <c r="F94" s="133">
        <f>'Asset Forecast v AMP'!X30</f>
        <v>-0.14472648920845876</v>
      </c>
      <c r="G94" s="133">
        <f>'Asset Forecast v AMP'!Y30</f>
        <v>-7.5130478575034965E-2</v>
      </c>
      <c r="H94" s="133">
        <f>'Asset Forecast v AMP'!Z30</f>
        <v>-7.8076141282481401E-2</v>
      </c>
      <c r="I94" s="133">
        <f>'Asset Forecast v AMP'!AA30</f>
        <v>-8.0540278298177254E-2</v>
      </c>
      <c r="J94" s="133">
        <f>'Asset Forecast v AMP'!AB30</f>
        <v>-7.5176841692311744E-2</v>
      </c>
      <c r="K94" s="133">
        <f>'Asset Forecast v AMP'!AC30</f>
        <v>-9.3921355892443409E-2</v>
      </c>
      <c r="L94" s="133">
        <f>'Asset Forecast v AMP'!AD30</f>
        <v>-0.12920392037411976</v>
      </c>
      <c r="M94" s="133">
        <f>'Asset Forecast v AMP'!AE30</f>
        <v>-0.12493340594902884</v>
      </c>
    </row>
    <row r="95" spans="1:13">
      <c r="A95" s="64" t="str">
        <f>'Asset Forecast v AMP'!S31</f>
        <v>System growth</v>
      </c>
      <c r="C95" s="133"/>
      <c r="D95" s="133">
        <f>'Asset Forecast v AMP'!V31</f>
        <v>-0.95220759460335958</v>
      </c>
      <c r="E95" s="133">
        <f>'Asset Forecast v AMP'!W31</f>
        <v>-0.79509949733412899</v>
      </c>
      <c r="F95" s="133">
        <f>'Asset Forecast v AMP'!X31</f>
        <v>-0.56933248197515096</v>
      </c>
      <c r="G95" s="133">
        <f>'Asset Forecast v AMP'!Y31</f>
        <v>-0.26948664349971807</v>
      </c>
      <c r="H95" s="133">
        <f>'Asset Forecast v AMP'!Z31</f>
        <v>-0.89262224802513634</v>
      </c>
      <c r="I95" s="133">
        <f>'Asset Forecast v AMP'!AA31</f>
        <v>-0.71727496968936821</v>
      </c>
      <c r="J95" s="133">
        <f>'Asset Forecast v AMP'!AB31</f>
        <v>-0.92643402450943046</v>
      </c>
      <c r="K95" s="133">
        <f>'Asset Forecast v AMP'!AC31</f>
        <v>-0.80616885429671536</v>
      </c>
      <c r="L95" s="133">
        <f>'Asset Forecast v AMP'!AD31</f>
        <v>-0.28261069323566856</v>
      </c>
      <c r="M95" s="133">
        <f>'Asset Forecast v AMP'!AE31</f>
        <v>-0.28261069323566856</v>
      </c>
    </row>
    <row r="96" spans="1:13">
      <c r="A96" s="64" t="str">
        <f>'Asset Forecast v AMP'!S32</f>
        <v>Asset replacement and renewal</v>
      </c>
      <c r="C96" s="133"/>
      <c r="D96" s="133">
        <f>'Asset Forecast v AMP'!V32</f>
        <v>-0.64034935284766326</v>
      </c>
      <c r="E96" s="133">
        <f>'Asset Forecast v AMP'!W32</f>
        <v>-0.52224857023294735</v>
      </c>
      <c r="F96" s="133">
        <f>'Asset Forecast v AMP'!X32</f>
        <v>-0.46663647627853144</v>
      </c>
      <c r="G96" s="133">
        <f>'Asset Forecast v AMP'!Y32</f>
        <v>-0.45844992016765918</v>
      </c>
      <c r="H96" s="133">
        <f>'Asset Forecast v AMP'!Z32</f>
        <v>-0.46746924855746624</v>
      </c>
      <c r="I96" s="133">
        <f>'Asset Forecast v AMP'!AA32</f>
        <v>-0.47561598812058964</v>
      </c>
      <c r="J96" s="133">
        <f>'Asset Forecast v AMP'!AB32</f>
        <v>-0.47397369556850882</v>
      </c>
      <c r="K96" s="133">
        <f>'Asset Forecast v AMP'!AC32</f>
        <v>-0.47397369556850882</v>
      </c>
      <c r="L96" s="133">
        <f>'Asset Forecast v AMP'!AD32</f>
        <v>-0.47397369556850882</v>
      </c>
      <c r="M96" s="133">
        <f>'Asset Forecast v AMP'!AE32</f>
        <v>-0.47397369556850882</v>
      </c>
    </row>
    <row r="97" spans="1:13">
      <c r="A97" s="64" t="str">
        <f>'Asset Forecast v AMP'!S33</f>
        <v>Asset relocations</v>
      </c>
      <c r="C97" s="133"/>
      <c r="D97" s="133">
        <f>'Asset Forecast v AMP'!V33</f>
        <v>-0.39601806707447224</v>
      </c>
      <c r="E97" s="133">
        <f>'Asset Forecast v AMP'!W33</f>
        <v>-0.45572932630877983</v>
      </c>
      <c r="F97" s="133">
        <f>'Asset Forecast v AMP'!X33</f>
        <v>-0.26577296611998935</v>
      </c>
      <c r="G97" s="133">
        <f>'Asset Forecast v AMP'!Y33</f>
        <v>-0.43772335939938289</v>
      </c>
      <c r="H97" s="133">
        <f>'Asset Forecast v AMP'!Z33</f>
        <v>-0.28112191793783825</v>
      </c>
      <c r="I97" s="133">
        <f>'Asset Forecast v AMP'!AA33</f>
        <v>-0.47429733608799463</v>
      </c>
      <c r="J97" s="133">
        <f>'Asset Forecast v AMP'!AB33</f>
        <v>-0.6269622135120001</v>
      </c>
      <c r="K97" s="133">
        <f>'Asset Forecast v AMP'!AC33</f>
        <v>-0.5674682635516306</v>
      </c>
      <c r="L97" s="133">
        <f>'Asset Forecast v AMP'!AD33</f>
        <v>-0.5674682635516306</v>
      </c>
      <c r="M97" s="133">
        <f>'Asset Forecast v AMP'!AE33</f>
        <v>-0.5674682635516306</v>
      </c>
    </row>
    <row r="98" spans="1:13">
      <c r="A98" s="64" t="str">
        <f>'Asset Forecast v AMP'!S34</f>
        <v>Total reliability, safety and environment</v>
      </c>
      <c r="C98" s="133"/>
      <c r="D98" s="133">
        <f>'Asset Forecast v AMP'!V34</f>
        <v>-0.74234449558002147</v>
      </c>
      <c r="E98" s="133">
        <f>'Asset Forecast v AMP'!W34</f>
        <v>-0.36994563860235491</v>
      </c>
      <c r="F98" s="133">
        <f>'Asset Forecast v AMP'!X34</f>
        <v>0.55522654822402751</v>
      </c>
      <c r="G98" s="133">
        <f>'Asset Forecast v AMP'!Y34</f>
        <v>1.9222817949089508</v>
      </c>
      <c r="H98" s="133">
        <f>'Asset Forecast v AMP'!Z34</f>
        <v>5.6938037087290825</v>
      </c>
      <c r="I98" s="133">
        <f>'Asset Forecast v AMP'!AA34</f>
        <v>1.5457129934741878</v>
      </c>
      <c r="J98" s="133">
        <f>'Asset Forecast v AMP'!AB34</f>
        <v>-0.19338220141894066</v>
      </c>
      <c r="K98" s="133">
        <f>'Asset Forecast v AMP'!AC34</f>
        <v>-1</v>
      </c>
      <c r="L98" s="133">
        <f>'Asset Forecast v AMP'!AD34</f>
        <v>-1</v>
      </c>
      <c r="M98" s="133">
        <f>'Asset Forecast v AMP'!AE34</f>
        <v>-1</v>
      </c>
    </row>
    <row r="99" spans="1:13">
      <c r="A99" s="64" t="str">
        <f>'Asset Forecast v AMP'!S35</f>
        <v>Non network assets</v>
      </c>
      <c r="C99" s="133"/>
      <c r="D99" s="133">
        <f>'Asset Forecast v AMP'!V35</f>
        <v>-0.51034715836300326</v>
      </c>
      <c r="E99" s="133">
        <f>'Asset Forecast v AMP'!W35</f>
        <v>-0.22090057327575316</v>
      </c>
      <c r="F99" s="133">
        <f>'Asset Forecast v AMP'!X35</f>
        <v>-0.11424923954672248</v>
      </c>
      <c r="G99" s="133">
        <f>'Asset Forecast v AMP'!Y35</f>
        <v>-0.10806927927208863</v>
      </c>
      <c r="H99" s="133">
        <f>'Asset Forecast v AMP'!Z35</f>
        <v>-0.10812561717329904</v>
      </c>
      <c r="I99" s="133">
        <f>'Asset Forecast v AMP'!AA35</f>
        <v>-0.10674502421649028</v>
      </c>
      <c r="J99" s="133">
        <f>'Asset Forecast v AMP'!AB35</f>
        <v>-0.10713494840338353</v>
      </c>
      <c r="K99" s="133">
        <f>'Asset Forecast v AMP'!AC35</f>
        <v>-0.11018384778615875</v>
      </c>
      <c r="L99" s="133">
        <f>'Asset Forecast v AMP'!AD35</f>
        <v>-0.10887122827421325</v>
      </c>
      <c r="M99" s="133">
        <f>'Asset Forecast v AMP'!AE35</f>
        <v>-0.15505346197190828</v>
      </c>
    </row>
    <row r="100" spans="1:13">
      <c r="A100" s="64" t="str">
        <f>'Asset Forecast v AMP'!S36</f>
        <v>Value of capital contributions</v>
      </c>
      <c r="C100" s="133"/>
      <c r="D100" s="133">
        <f>'Asset Forecast v AMP'!V36</f>
        <v>-0.28591633683544659</v>
      </c>
      <c r="E100" s="133">
        <f>'Asset Forecast v AMP'!W36</f>
        <v>-0.46313860364297826</v>
      </c>
      <c r="F100" s="133">
        <f>'Asset Forecast v AMP'!X36</f>
        <v>-0.37895879792515158</v>
      </c>
      <c r="G100" s="133">
        <f>'Asset Forecast v AMP'!Y36</f>
        <v>-0.46336194182420321</v>
      </c>
      <c r="H100" s="133">
        <f>'Asset Forecast v AMP'!Z36</f>
        <v>-0.39845205175288956</v>
      </c>
      <c r="I100" s="133">
        <f>'Asset Forecast v AMP'!AA36</f>
        <v>-0.50743534356482434</v>
      </c>
      <c r="J100" s="133">
        <f>'Asset Forecast v AMP'!AB36</f>
        <v>-0.54153797779704937</v>
      </c>
      <c r="K100" s="133">
        <f>'Asset Forecast v AMP'!AC36</f>
        <v>-0.51689242352713316</v>
      </c>
      <c r="L100" s="133">
        <f>'Asset Forecast v AMP'!AD36</f>
        <v>-0.52815543857864267</v>
      </c>
      <c r="M100" s="133">
        <f>'Asset Forecast v AMP'!AE36</f>
        <v>-0.52813956967193298</v>
      </c>
    </row>
    <row r="101" spans="1:13">
      <c r="A101" s="64" t="str">
        <f>'Asset Forecast v AMP'!S37</f>
        <v>Total capital expenditure (excl cost of funding and capital contributions)</v>
      </c>
      <c r="C101" s="133"/>
      <c r="D101" s="133">
        <f>'Asset Forecast v AMP'!V37</f>
        <v>-0.34050212259167478</v>
      </c>
      <c r="E101" s="133">
        <f>'Asset Forecast v AMP'!W37</f>
        <v>-0.2544522380296218</v>
      </c>
      <c r="F101" s="133">
        <f>'Asset Forecast v AMP'!X37</f>
        <v>-0.2230656830250542</v>
      </c>
      <c r="G101" s="133">
        <f>'Asset Forecast v AMP'!Y37</f>
        <v>-0.1684334676570112</v>
      </c>
      <c r="H101" s="133">
        <f>'Asset Forecast v AMP'!Z37</f>
        <v>-0.31877625673389637</v>
      </c>
      <c r="I101" s="133">
        <f>'Asset Forecast v AMP'!AA37</f>
        <v>-0.28802292218884656</v>
      </c>
      <c r="J101" s="133">
        <f>'Asset Forecast v AMP'!AB37</f>
        <v>-0.35520532535457899</v>
      </c>
      <c r="K101" s="133">
        <f>'Asset Forecast v AMP'!AC37</f>
        <v>-0.27603350168557828</v>
      </c>
      <c r="L101" s="133">
        <f>'Asset Forecast v AMP'!AD37</f>
        <v>-0.24231081540383315</v>
      </c>
      <c r="M101" s="133">
        <f>'Asset Forecast v AMP'!AE37</f>
        <v>-0.24284694939130269</v>
      </c>
    </row>
    <row r="121" spans="1:14" ht="25.5" customHeight="1"/>
    <row r="122" spans="1:14" ht="1" customHeight="1">
      <c r="A122" s="64">
        <v>8</v>
      </c>
    </row>
    <row r="123" spans="1:14" ht="1" customHeight="1">
      <c r="A123" s="64" t="str">
        <f>A71&amp;" "&amp;INDEX(A72:A79,$A$122,1)</f>
        <v>2013 to 2014 AMP Forecasts Total capital expenditure (excl cost of funding and capital contributions)</v>
      </c>
      <c r="B123" s="162">
        <f t="shared" ref="B123:L123" si="5">INDEX(B72:B79,$A$122,1)</f>
        <v>-1.042317801724043E-2</v>
      </c>
      <c r="C123" s="162">
        <f t="shared" si="5"/>
        <v>0.22950757206262473</v>
      </c>
      <c r="D123" s="162">
        <f t="shared" si="5"/>
        <v>0.31943521602952007</v>
      </c>
      <c r="E123" s="162">
        <f t="shared" si="5"/>
        <v>0.36259779824136251</v>
      </c>
      <c r="F123" s="162">
        <f t="shared" si="5"/>
        <v>0.40038603838613979</v>
      </c>
      <c r="G123" s="162">
        <f t="shared" si="5"/>
        <v>0.29329844202845246</v>
      </c>
      <c r="H123" s="162">
        <f t="shared" si="5"/>
        <v>0.27345888473226959</v>
      </c>
      <c r="I123" s="162">
        <f t="shared" si="5"/>
        <v>0.28247871309062667</v>
      </c>
      <c r="J123" s="162">
        <f t="shared" si="5"/>
        <v>0.3018901890189018</v>
      </c>
      <c r="K123" s="162">
        <f t="shared" si="5"/>
        <v>0.3754817946888574</v>
      </c>
      <c r="L123" s="162">
        <f t="shared" si="5"/>
        <v>0</v>
      </c>
      <c r="M123" s="162">
        <f t="shared" ref="M123" si="6">INDEX(M72:M79,$A$122,1)</f>
        <v>0</v>
      </c>
    </row>
    <row r="124" spans="1:14" ht="1" customHeight="1">
      <c r="A124" s="64" t="str">
        <f>A82&amp;" "&amp;INDEX(A83:A90,$A$122,1)</f>
        <v>2014 to 2015 AMP Forecasts Total capital expenditure (excl cost of funding and capital contributions)</v>
      </c>
      <c r="B124" s="162">
        <f t="shared" ref="B124:L124" si="7">INDEX(B83:B90,$A$122,1)</f>
        <v>0</v>
      </c>
      <c r="C124" s="162">
        <f t="shared" si="7"/>
        <v>-0.10369403612083068</v>
      </c>
      <c r="D124" s="162">
        <f t="shared" si="7"/>
        <v>0.20437600488669744</v>
      </c>
      <c r="E124" s="162">
        <f t="shared" si="7"/>
        <v>0.21042274942549136</v>
      </c>
      <c r="F124" s="162">
        <f t="shared" si="7"/>
        <v>6.4783655269204612E-2</v>
      </c>
      <c r="G124" s="162">
        <f t="shared" si="7"/>
        <v>-0.10562143849811713</v>
      </c>
      <c r="H124" s="162">
        <f t="shared" si="7"/>
        <v>1.2261895394989456E-2</v>
      </c>
      <c r="I124" s="162">
        <f t="shared" si="7"/>
        <v>3.2171794298328608E-2</v>
      </c>
      <c r="J124" s="162">
        <f t="shared" si="7"/>
        <v>5.3012253233491992E-2</v>
      </c>
      <c r="K124" s="162">
        <f t="shared" si="7"/>
        <v>5.6828263527375071E-2</v>
      </c>
      <c r="L124" s="162">
        <f t="shared" si="7"/>
        <v>0.11549128827196135</v>
      </c>
      <c r="M124" s="162">
        <f t="shared" ref="M124" si="8">INDEX(M83:M90,$A$122,1)</f>
        <v>0</v>
      </c>
      <c r="N124" s="162"/>
    </row>
    <row r="125" spans="1:14" ht="1" customHeight="1">
      <c r="A125" s="64" t="str">
        <f>A93&amp;" "&amp;INDEX(A94:A101,$A$122,1)</f>
        <v>2015 to 2016 AMP Forecasts Total capital expenditure (excl cost of funding and capital contributions)</v>
      </c>
      <c r="B125" s="162"/>
      <c r="C125" s="162">
        <f t="shared" ref="C125:L125" si="9">INDEX(C94:C101,$A$122,1)</f>
        <v>0</v>
      </c>
      <c r="D125" s="162">
        <f t="shared" si="9"/>
        <v>-0.34050212259167478</v>
      </c>
      <c r="E125" s="162">
        <f t="shared" si="9"/>
        <v>-0.2544522380296218</v>
      </c>
      <c r="F125" s="162">
        <f t="shared" si="9"/>
        <v>-0.2230656830250542</v>
      </c>
      <c r="G125" s="162">
        <f t="shared" si="9"/>
        <v>-0.1684334676570112</v>
      </c>
      <c r="H125" s="162">
        <f t="shared" si="9"/>
        <v>-0.31877625673389637</v>
      </c>
      <c r="I125" s="162">
        <f t="shared" si="9"/>
        <v>-0.28802292218884656</v>
      </c>
      <c r="J125" s="162">
        <f t="shared" si="9"/>
        <v>-0.35520532535457899</v>
      </c>
      <c r="K125" s="162">
        <f t="shared" si="9"/>
        <v>-0.27603350168557828</v>
      </c>
      <c r="L125" s="162">
        <f t="shared" si="9"/>
        <v>-0.24231081540383315</v>
      </c>
      <c r="M125" s="162">
        <f t="shared" ref="M125" si="10">INDEX(M94:M101,$A$122,1)</f>
        <v>-0.24284694939130269</v>
      </c>
      <c r="N125" s="162"/>
    </row>
    <row r="126" spans="1:14" ht="25.5" customHeight="1"/>
  </sheetData>
  <phoneticPr fontId="9" type="noConversion"/>
  <conditionalFormatting sqref="C50:C61">
    <cfRule type="dataBar" priority="27">
      <dataBar>
        <cfvo type="min"/>
        <cfvo type="max"/>
        <color rgb="FF638EC6"/>
      </dataBar>
      <extLst>
        <ext xmlns:x14="http://schemas.microsoft.com/office/spreadsheetml/2009/9/main" uri="{B025F937-C7B1-47D3-B67F-A62EFF666E3E}">
          <x14:id>{0B128B5C-2AF5-4258-80E2-52B6EA3A238F}</x14:id>
        </ext>
      </extLst>
    </cfRule>
  </conditionalFormatting>
  <conditionalFormatting sqref="F50:F61">
    <cfRule type="dataBar" priority="26">
      <dataBar>
        <cfvo type="min"/>
        <cfvo type="max"/>
        <color rgb="FF638EC6"/>
      </dataBar>
      <extLst>
        <ext xmlns:x14="http://schemas.microsoft.com/office/spreadsheetml/2009/9/main" uri="{B025F937-C7B1-47D3-B67F-A62EFF666E3E}">
          <x14:id>{507AD773-AD1E-41BD-9D35-2FAB3FD3CE92}</x14:id>
        </ext>
      </extLst>
    </cfRule>
  </conditionalFormatting>
  <conditionalFormatting sqref="H50:H61">
    <cfRule type="dataBar" priority="25">
      <dataBar>
        <cfvo type="min"/>
        <cfvo type="max"/>
        <color rgb="FF638EC6"/>
      </dataBar>
      <extLst>
        <ext xmlns:x14="http://schemas.microsoft.com/office/spreadsheetml/2009/9/main" uri="{B025F937-C7B1-47D3-B67F-A62EFF666E3E}">
          <x14:id>{AB07A4B8-4D2A-4D72-9AC8-B84B68E8BEC6}</x14:id>
        </ext>
      </extLst>
    </cfRule>
  </conditionalFormatting>
  <conditionalFormatting sqref="J50:J61">
    <cfRule type="dataBar" priority="24">
      <dataBar>
        <cfvo type="min"/>
        <cfvo type="max"/>
        <color rgb="FF638EC6"/>
      </dataBar>
      <extLst>
        <ext xmlns:x14="http://schemas.microsoft.com/office/spreadsheetml/2009/9/main" uri="{B025F937-C7B1-47D3-B67F-A62EFF666E3E}">
          <x14:id>{77432346-18F9-4A1B-B475-07614911B55D}</x14:id>
        </ext>
      </extLst>
    </cfRule>
  </conditionalFormatting>
  <conditionalFormatting sqref="B49:B62">
    <cfRule type="dataBar" priority="22">
      <dataBar>
        <cfvo type="min"/>
        <cfvo type="max"/>
        <color rgb="FFFFB628"/>
      </dataBar>
      <extLst>
        <ext xmlns:x14="http://schemas.microsoft.com/office/spreadsheetml/2009/9/main" uri="{B025F937-C7B1-47D3-B67F-A62EFF666E3E}">
          <x14:id>{401BA68A-7A03-435B-9912-B5206A1A1E48}</x14:id>
        </ext>
      </extLst>
    </cfRule>
  </conditionalFormatting>
  <conditionalFormatting sqref="B28:B41">
    <cfRule type="dataBar" priority="20">
      <dataBar>
        <cfvo type="min"/>
        <cfvo type="max"/>
        <color theme="4"/>
      </dataBar>
      <extLst>
        <ext xmlns:x14="http://schemas.microsoft.com/office/spreadsheetml/2009/9/main" uri="{B025F937-C7B1-47D3-B67F-A62EFF666E3E}">
          <x14:id>{A1B0C4E2-72BD-4BF5-94F4-72C0A8F852C9}</x14:id>
        </ext>
      </extLst>
    </cfRule>
  </conditionalFormatting>
  <conditionalFormatting sqref="C28:C41">
    <cfRule type="dataBar" priority="19">
      <dataBar>
        <cfvo type="min"/>
        <cfvo type="max"/>
        <color theme="5"/>
      </dataBar>
      <extLst>
        <ext xmlns:x14="http://schemas.microsoft.com/office/spreadsheetml/2009/9/main" uri="{B025F937-C7B1-47D3-B67F-A62EFF666E3E}">
          <x14:id>{1BC47FE3-879B-40E0-BC98-147C637E3958}</x14:id>
        </ext>
      </extLst>
    </cfRule>
  </conditionalFormatting>
  <conditionalFormatting sqref="D28:D41">
    <cfRule type="dataBar" priority="18">
      <dataBar>
        <cfvo type="min"/>
        <cfvo type="max"/>
        <color theme="1" tint="0.499984740745262"/>
      </dataBar>
      <extLst>
        <ext xmlns:x14="http://schemas.microsoft.com/office/spreadsheetml/2009/9/main" uri="{B025F937-C7B1-47D3-B67F-A62EFF666E3E}">
          <x14:id>{946406AB-FF80-41D2-A349-5FE8F363A028}</x14:id>
        </ext>
      </extLst>
    </cfRule>
  </conditionalFormatting>
  <conditionalFormatting sqref="E28:E41">
    <cfRule type="dataBar" priority="17">
      <dataBar>
        <cfvo type="min"/>
        <cfvo type="max"/>
        <color rgb="FFFFB628"/>
      </dataBar>
      <extLst>
        <ext xmlns:x14="http://schemas.microsoft.com/office/spreadsheetml/2009/9/main" uri="{B025F937-C7B1-47D3-B67F-A62EFF666E3E}">
          <x14:id>{4A79943A-9E1B-4DA9-BE8A-E9AE7F1E9E14}</x14:id>
        </ext>
      </extLst>
    </cfRule>
  </conditionalFormatting>
  <conditionalFormatting sqref="F28:F41">
    <cfRule type="dataBar" priority="16">
      <dataBar>
        <cfvo type="min"/>
        <cfvo type="max"/>
        <color rgb="FF1438AC"/>
      </dataBar>
      <extLst>
        <ext xmlns:x14="http://schemas.microsoft.com/office/spreadsheetml/2009/9/main" uri="{B025F937-C7B1-47D3-B67F-A62EFF666E3E}">
          <x14:id>{499FCA3B-9BA8-4A0D-BC0D-5A2AAB887C42}</x14:id>
        </ext>
      </extLst>
    </cfRule>
  </conditionalFormatting>
  <conditionalFormatting sqref="B83:L91">
    <cfRule type="dataBar" priority="11">
      <dataBar>
        <cfvo type="min"/>
        <cfvo type="max"/>
        <color rgb="FF638EC6"/>
      </dataBar>
      <extLst>
        <ext xmlns:x14="http://schemas.microsoft.com/office/spreadsheetml/2009/9/main" uri="{B025F937-C7B1-47D3-B67F-A62EFF666E3E}">
          <x14:id>{920C2254-D8C4-42B7-89FF-5A350EC67FA8}</x14:id>
        </ext>
      </extLst>
    </cfRule>
    <cfRule type="cellIs" dxfId="2" priority="13" operator="notBetween">
      <formula>$B$69</formula>
      <formula>$B$69*-1</formula>
    </cfRule>
  </conditionalFormatting>
  <conditionalFormatting sqref="C94:M101">
    <cfRule type="dataBar" priority="10">
      <dataBar>
        <cfvo type="min"/>
        <cfvo type="max"/>
        <color rgb="FF638EC6"/>
      </dataBar>
      <extLst>
        <ext xmlns:x14="http://schemas.microsoft.com/office/spreadsheetml/2009/9/main" uri="{B025F937-C7B1-47D3-B67F-A62EFF666E3E}">
          <x14:id>{CE14C022-9385-4A82-BBD9-9DBDFFF62179}</x14:id>
        </ext>
      </extLst>
    </cfRule>
    <cfRule type="cellIs" dxfId="1" priority="12" operator="notBetween">
      <formula>$B$69</formula>
      <formula>$B$69*-1</formula>
    </cfRule>
  </conditionalFormatting>
  <conditionalFormatting sqref="C124:N124">
    <cfRule type="dataBar" priority="9">
      <dataBar>
        <cfvo type="min"/>
        <cfvo type="max"/>
        <color rgb="FF638EC6"/>
      </dataBar>
      <extLst>
        <ext xmlns:x14="http://schemas.microsoft.com/office/spreadsheetml/2009/9/main" uri="{B025F937-C7B1-47D3-B67F-A62EFF666E3E}">
          <x14:id>{3E41CDA9-577D-4136-B15A-78D70FC18D14}</x14:id>
        </ext>
      </extLst>
    </cfRule>
  </conditionalFormatting>
  <conditionalFormatting sqref="C125:N125">
    <cfRule type="dataBar" priority="8">
      <dataBar>
        <cfvo type="min"/>
        <cfvo type="max"/>
        <color rgb="FF638EC6"/>
      </dataBar>
      <extLst>
        <ext xmlns:x14="http://schemas.microsoft.com/office/spreadsheetml/2009/9/main" uri="{B025F937-C7B1-47D3-B67F-A62EFF666E3E}">
          <x14:id>{BD377001-05BF-4012-B967-9B015DF4EB66}</x14:id>
        </ext>
      </extLst>
    </cfRule>
  </conditionalFormatting>
  <conditionalFormatting sqref="B124">
    <cfRule type="dataBar" priority="7">
      <dataBar>
        <cfvo type="min"/>
        <cfvo type="max"/>
        <color rgb="FF638EC6"/>
      </dataBar>
      <extLst>
        <ext xmlns:x14="http://schemas.microsoft.com/office/spreadsheetml/2009/9/main" uri="{B025F937-C7B1-47D3-B67F-A62EFF666E3E}">
          <x14:id>{348C5614-5B62-46D6-A88C-9BB446664E3D}</x14:id>
        </ext>
      </extLst>
    </cfRule>
  </conditionalFormatting>
  <conditionalFormatting sqref="G28:G41">
    <cfRule type="dataBar" priority="6">
      <dataBar>
        <cfvo type="min"/>
        <cfvo type="max"/>
        <color rgb="FF33CCCC"/>
      </dataBar>
      <extLst>
        <ext xmlns:x14="http://schemas.microsoft.com/office/spreadsheetml/2009/9/main" uri="{B025F937-C7B1-47D3-B67F-A62EFF666E3E}">
          <x14:id>{9A0A007B-540F-4840-AD67-BB9284A4995B}</x14:id>
        </ext>
      </extLst>
    </cfRule>
  </conditionalFormatting>
  <conditionalFormatting sqref="D49:D61">
    <cfRule type="dataBar" priority="5">
      <dataBar>
        <cfvo type="min"/>
        <cfvo type="max"/>
        <color rgb="FF638EC6"/>
      </dataBar>
      <extLst>
        <ext xmlns:x14="http://schemas.microsoft.com/office/spreadsheetml/2009/9/main" uri="{B025F937-C7B1-47D3-B67F-A62EFF666E3E}">
          <x14:id>{73CE35E8-7B84-453D-BB79-E436ECB62F4C}</x14:id>
        </ext>
      </extLst>
    </cfRule>
  </conditionalFormatting>
  <conditionalFormatting sqref="B72:L79">
    <cfRule type="dataBar" priority="3">
      <dataBar>
        <cfvo type="min"/>
        <cfvo type="max"/>
        <color rgb="FF638EC6"/>
      </dataBar>
      <extLst>
        <ext xmlns:x14="http://schemas.microsoft.com/office/spreadsheetml/2009/9/main" uri="{B025F937-C7B1-47D3-B67F-A62EFF666E3E}">
          <x14:id>{89436AB5-5070-4A95-A831-3BF8D510080E}</x14:id>
        </ext>
      </extLst>
    </cfRule>
    <cfRule type="cellIs" dxfId="0" priority="4" operator="notBetween">
      <formula>$B$69</formula>
      <formula>$B$69*-1</formula>
    </cfRule>
  </conditionalFormatting>
  <conditionalFormatting sqref="C123:M123">
    <cfRule type="dataBar" priority="2">
      <dataBar>
        <cfvo type="min"/>
        <cfvo type="max"/>
        <color rgb="FF638EC6"/>
      </dataBar>
      <extLst>
        <ext xmlns:x14="http://schemas.microsoft.com/office/spreadsheetml/2009/9/main" uri="{B025F937-C7B1-47D3-B67F-A62EFF666E3E}">
          <x14:id>{3B1366A5-186C-4CC3-B2FA-8B000DDFB6CB}</x14:id>
        </ext>
      </extLst>
    </cfRule>
  </conditionalFormatting>
  <conditionalFormatting sqref="B123">
    <cfRule type="dataBar" priority="1">
      <dataBar>
        <cfvo type="min"/>
        <cfvo type="max"/>
        <color rgb="FF638EC6"/>
      </dataBar>
      <extLst>
        <ext xmlns:x14="http://schemas.microsoft.com/office/spreadsheetml/2009/9/main" uri="{B025F937-C7B1-47D3-B67F-A62EFF666E3E}">
          <x14:id>{47BDE8C1-619A-4080-A093-027143094764}</x14:id>
        </ext>
      </extLst>
    </cfRule>
  </conditionalFormatting>
  <pageMargins left="0.7" right="0.7" top="0.75" bottom="0.75" header="0.3" footer="0.3"/>
  <pageSetup paperSize="9" scale="82"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28673" r:id="rId3" name="Drop Down 1">
              <controlPr defaultSize="0" autoLine="0" autoPict="0">
                <anchor moveWithCells="1">
                  <from>
                    <xdr:col>8</xdr:col>
                    <xdr:colOff>609600</xdr:colOff>
                    <xdr:row>130</xdr:row>
                    <xdr:rowOff>50800</xdr:rowOff>
                  </from>
                  <to>
                    <xdr:col>11</xdr:col>
                    <xdr:colOff>381000</xdr:colOff>
                    <xdr:row>131</xdr:row>
                    <xdr:rowOff>165100</xdr:rowOff>
                  </to>
                </anchor>
              </controlPr>
            </control>
          </mc:Choice>
        </mc:AlternateContent>
        <mc:AlternateContent xmlns:mc="http://schemas.openxmlformats.org/markup-compatibility/2006">
          <mc:Choice Requires="x14">
            <control shapeId="28674" r:id="rId4" name="Drop Down 2">
              <controlPr defaultSize="0" autoLine="0" autoPict="0">
                <anchor moveWithCells="1">
                  <from>
                    <xdr:col>0</xdr:col>
                    <xdr:colOff>44450</xdr:colOff>
                    <xdr:row>22</xdr:row>
                    <xdr:rowOff>12700</xdr:rowOff>
                  </from>
                  <to>
                    <xdr:col>0</xdr:col>
                    <xdr:colOff>1765300</xdr:colOff>
                    <xdr:row>23</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B128B5C-2AF5-4258-80E2-52B6EA3A238F}">
            <x14:dataBar minLength="0" maxLength="100" border="1" negativeBarBorderColorSameAsPositive="0">
              <x14:cfvo type="autoMin"/>
              <x14:cfvo type="autoMax"/>
              <x14:borderColor rgb="FF638EC6"/>
              <x14:negativeFillColor theme="9"/>
              <x14:negativeBorderColor theme="9" tint="-0.499984740745262"/>
              <x14:axisColor rgb="FF000000"/>
            </x14:dataBar>
          </x14:cfRule>
          <xm:sqref>C50:C61</xm:sqref>
        </x14:conditionalFormatting>
        <x14:conditionalFormatting xmlns:xm="http://schemas.microsoft.com/office/excel/2006/main">
          <x14:cfRule type="dataBar" id="{507AD773-AD1E-41BD-9D35-2FAB3FD3CE92}">
            <x14:dataBar minLength="0" maxLength="100" border="1" negativeBarBorderColorSameAsPositive="0">
              <x14:cfvo type="autoMin"/>
              <x14:cfvo type="autoMax"/>
              <x14:borderColor rgb="FF638EC6"/>
              <x14:negativeFillColor theme="9"/>
              <x14:negativeBorderColor theme="9"/>
              <x14:axisColor rgb="FF000000"/>
            </x14:dataBar>
          </x14:cfRule>
          <xm:sqref>F50:F61</xm:sqref>
        </x14:conditionalFormatting>
        <x14:conditionalFormatting xmlns:xm="http://schemas.microsoft.com/office/excel/2006/main">
          <x14:cfRule type="dataBar" id="{AB07A4B8-4D2A-4D72-9AC8-B84B68E8BEC6}">
            <x14:dataBar minLength="0" maxLength="100" border="1" negativeBarBorderColorSameAsPositive="0">
              <x14:cfvo type="autoMin"/>
              <x14:cfvo type="autoMax"/>
              <x14:borderColor rgb="FF638EC6"/>
              <x14:negativeFillColor rgb="FFFF0000"/>
              <x14:negativeBorderColor rgb="FFFF0000"/>
              <x14:axisColor rgb="FF000000"/>
            </x14:dataBar>
          </x14:cfRule>
          <xm:sqref>H50:H61</xm:sqref>
        </x14:conditionalFormatting>
        <x14:conditionalFormatting xmlns:xm="http://schemas.microsoft.com/office/excel/2006/main">
          <x14:cfRule type="dataBar" id="{77432346-18F9-4A1B-B475-07614911B55D}">
            <x14:dataBar minLength="0" maxLength="100" border="1" negativeBarBorderColorSameAsPositive="0">
              <x14:cfvo type="autoMin"/>
              <x14:cfvo type="autoMax"/>
              <x14:borderColor rgb="FF638EC6"/>
              <x14:negativeFillColor rgb="FFFF0000"/>
              <x14:negativeBorderColor rgb="FFFF0000"/>
              <x14:axisColor rgb="FF000000"/>
            </x14:dataBar>
          </x14:cfRule>
          <xm:sqref>J50:J61</xm:sqref>
        </x14:conditionalFormatting>
        <x14:conditionalFormatting xmlns:xm="http://schemas.microsoft.com/office/excel/2006/main">
          <x14:cfRule type="dataBar" id="{401BA68A-7A03-435B-9912-B5206A1A1E48}">
            <x14:dataBar minLength="0" maxLength="100" border="1" negativeBarBorderColorSameAsPositive="0">
              <x14:cfvo type="autoMin"/>
              <x14:cfvo type="autoMax"/>
              <x14:borderColor rgb="FFFFB628"/>
              <x14:negativeFillColor rgb="FFFF0000"/>
              <x14:negativeBorderColor rgb="FFFF0000"/>
              <x14:axisColor rgb="FF000000"/>
            </x14:dataBar>
          </x14:cfRule>
          <xm:sqref>B49:B62</xm:sqref>
        </x14:conditionalFormatting>
        <x14:conditionalFormatting xmlns:xm="http://schemas.microsoft.com/office/excel/2006/main">
          <x14:cfRule type="dataBar" id="{A1B0C4E2-72BD-4BF5-94F4-72C0A8F852C9}">
            <x14:dataBar minLength="0" maxLength="100" border="1" negativeBarColorSameAsPositive="1">
              <x14:cfvo type="autoMin"/>
              <x14:cfvo type="autoMax"/>
              <x14:borderColor theme="4"/>
              <x14:axisColor rgb="FF000000"/>
            </x14:dataBar>
          </x14:cfRule>
          <xm:sqref>B28:B41</xm:sqref>
        </x14:conditionalFormatting>
        <x14:conditionalFormatting xmlns:xm="http://schemas.microsoft.com/office/excel/2006/main">
          <x14:cfRule type="dataBar" id="{1BC47FE3-879B-40E0-BC98-147C637E3958}">
            <x14:dataBar minLength="0" maxLength="100" border="1" negativeBarColorSameAsPositive="1">
              <x14:cfvo type="autoMin"/>
              <x14:cfvo type="autoMax"/>
              <x14:borderColor theme="7" tint="-0.499984740745262"/>
              <x14:axisColor rgb="FF000000"/>
            </x14:dataBar>
          </x14:cfRule>
          <xm:sqref>C28:C41</xm:sqref>
        </x14:conditionalFormatting>
        <x14:conditionalFormatting xmlns:xm="http://schemas.microsoft.com/office/excel/2006/main">
          <x14:cfRule type="dataBar" id="{946406AB-FF80-41D2-A349-5FE8F363A028}">
            <x14:dataBar minLength="0" maxLength="100" border="1" negativeBarColorSameAsPositive="1">
              <x14:cfvo type="autoMin"/>
              <x14:cfvo type="autoMax"/>
              <x14:borderColor theme="0" tint="-0.34998626667073579"/>
              <x14:axisColor rgb="FF000000"/>
            </x14:dataBar>
          </x14:cfRule>
          <xm:sqref>D28:D41</xm:sqref>
        </x14:conditionalFormatting>
        <x14:conditionalFormatting xmlns:xm="http://schemas.microsoft.com/office/excel/2006/main">
          <x14:cfRule type="dataBar" id="{4A79943A-9E1B-4DA9-BE8A-E9AE7F1E9E14}">
            <x14:dataBar minLength="0" maxLength="100" border="1" negativeBarColorSameAsPositive="1">
              <x14:cfvo type="autoMin"/>
              <x14:cfvo type="autoMax"/>
              <x14:borderColor rgb="FFFFB628"/>
              <x14:axisColor rgb="FF000000"/>
            </x14:dataBar>
          </x14:cfRule>
          <xm:sqref>E28:E41</xm:sqref>
        </x14:conditionalFormatting>
        <x14:conditionalFormatting xmlns:xm="http://schemas.microsoft.com/office/excel/2006/main">
          <x14:cfRule type="dataBar" id="{499FCA3B-9BA8-4A0D-BC0D-5A2AAB887C42}">
            <x14:dataBar minLength="0" maxLength="100" border="1" negativeBarColorSameAsPositive="1">
              <x14:cfvo type="autoMin"/>
              <x14:cfvo type="autoMax"/>
              <x14:borderColor rgb="FF002060"/>
              <x14:axisColor rgb="FF000000"/>
            </x14:dataBar>
          </x14:cfRule>
          <xm:sqref>F28:F41</xm:sqref>
        </x14:conditionalFormatting>
        <x14:conditionalFormatting xmlns:xm="http://schemas.microsoft.com/office/excel/2006/main">
          <x14:cfRule type="dataBar" id="{920C2254-D8C4-42B7-89FF-5A350EC67FA8}">
            <x14:dataBar minLength="0" maxLength="100" border="1" negativeBarColorSameAsPositive="1">
              <x14:cfvo type="autoMin"/>
              <x14:cfvo type="autoMax"/>
              <x14:borderColor rgb="FF638EC6"/>
              <x14:axisColor rgb="FF000000"/>
            </x14:dataBar>
          </x14:cfRule>
          <xm:sqref>B83:L91</xm:sqref>
        </x14:conditionalFormatting>
        <x14:conditionalFormatting xmlns:xm="http://schemas.microsoft.com/office/excel/2006/main">
          <x14:cfRule type="dataBar" id="{CE14C022-9385-4A82-BBD9-9DBDFFF62179}">
            <x14:dataBar minLength="0" maxLength="100" border="1" negativeBarColorSameAsPositive="1">
              <x14:cfvo type="autoMin"/>
              <x14:cfvo type="autoMax"/>
              <x14:borderColor rgb="FF638EC6"/>
              <x14:axisColor rgb="FF000000"/>
            </x14:dataBar>
          </x14:cfRule>
          <xm:sqref>C94:M101</xm:sqref>
        </x14:conditionalFormatting>
        <x14:conditionalFormatting xmlns:xm="http://schemas.microsoft.com/office/excel/2006/main">
          <x14:cfRule type="dataBar" id="{3E41CDA9-577D-4136-B15A-78D70FC18D14}">
            <x14:dataBar minLength="0" maxLength="100" border="1" negativeBarBorderColorSameAsPositive="0">
              <x14:cfvo type="autoMin"/>
              <x14:cfvo type="autoMax"/>
              <x14:borderColor rgb="FF638EC6"/>
              <x14:negativeFillColor rgb="FFFF0000"/>
              <x14:negativeBorderColor rgb="FFFF0000"/>
              <x14:axisColor rgb="FF000000"/>
            </x14:dataBar>
          </x14:cfRule>
          <xm:sqref>C124:N124</xm:sqref>
        </x14:conditionalFormatting>
        <x14:conditionalFormatting xmlns:xm="http://schemas.microsoft.com/office/excel/2006/main">
          <x14:cfRule type="dataBar" id="{BD377001-05BF-4012-B967-9B015DF4EB66}">
            <x14:dataBar minLength="0" maxLength="100" border="1" negativeBarBorderColorSameAsPositive="0">
              <x14:cfvo type="autoMin"/>
              <x14:cfvo type="autoMax"/>
              <x14:borderColor rgb="FF638EC6"/>
              <x14:negativeFillColor rgb="FFFF0000"/>
              <x14:negativeBorderColor rgb="FFFF0000"/>
              <x14:axisColor rgb="FF000000"/>
            </x14:dataBar>
          </x14:cfRule>
          <xm:sqref>C125:N125</xm:sqref>
        </x14:conditionalFormatting>
        <x14:conditionalFormatting xmlns:xm="http://schemas.microsoft.com/office/excel/2006/main">
          <x14:cfRule type="dataBar" id="{348C5614-5B62-46D6-A88C-9BB446664E3D}">
            <x14:dataBar minLength="0" maxLength="100" border="1" negativeBarBorderColorSameAsPositive="0">
              <x14:cfvo type="autoMin"/>
              <x14:cfvo type="autoMax"/>
              <x14:borderColor rgb="FF638EC6"/>
              <x14:negativeFillColor rgb="FFFF0000"/>
              <x14:negativeBorderColor rgb="FFFF0000"/>
              <x14:axisColor rgb="FF000000"/>
            </x14:dataBar>
          </x14:cfRule>
          <xm:sqref>B124</xm:sqref>
        </x14:conditionalFormatting>
        <x14:conditionalFormatting xmlns:xm="http://schemas.microsoft.com/office/excel/2006/main">
          <x14:cfRule type="dataBar" id="{9A0A007B-540F-4840-AD67-BB9284A4995B}">
            <x14:dataBar minLength="0" maxLength="100" border="1" negativeBarColorSameAsPositive="1">
              <x14:cfvo type="autoMin"/>
              <x14:cfvo type="autoMax"/>
              <x14:borderColor rgb="FF33CCCC"/>
              <x14:axisColor rgb="FF000000"/>
            </x14:dataBar>
          </x14:cfRule>
          <xm:sqref>G28:G41</xm:sqref>
        </x14:conditionalFormatting>
        <x14:conditionalFormatting xmlns:xm="http://schemas.microsoft.com/office/excel/2006/main">
          <x14:cfRule type="dataBar" id="{73CE35E8-7B84-453D-BB79-E436ECB62F4C}">
            <x14:dataBar minLength="0" maxLength="100" border="1" negativeBarBorderColorSameAsPositive="0">
              <x14:cfvo type="autoMin"/>
              <x14:cfvo type="autoMax"/>
              <x14:borderColor rgb="FF638EC6"/>
              <x14:negativeFillColor theme="9"/>
              <x14:negativeBorderColor theme="9" tint="-0.499984740745262"/>
              <x14:axisColor rgb="FF000000"/>
            </x14:dataBar>
          </x14:cfRule>
          <xm:sqref>D49:D61</xm:sqref>
        </x14:conditionalFormatting>
        <x14:conditionalFormatting xmlns:xm="http://schemas.microsoft.com/office/excel/2006/main">
          <x14:cfRule type="dataBar" id="{89436AB5-5070-4A95-A831-3BF8D510080E}">
            <x14:dataBar minLength="0" maxLength="100" border="1" negativeBarColorSameAsPositive="1">
              <x14:cfvo type="autoMin"/>
              <x14:cfvo type="autoMax"/>
              <x14:borderColor rgb="FF638EC6"/>
              <x14:axisColor rgb="FF000000"/>
            </x14:dataBar>
          </x14:cfRule>
          <xm:sqref>B72:L79</xm:sqref>
        </x14:conditionalFormatting>
        <x14:conditionalFormatting xmlns:xm="http://schemas.microsoft.com/office/excel/2006/main">
          <x14:cfRule type="dataBar" id="{3B1366A5-186C-4CC3-B2FA-8B000DDFB6CB}">
            <x14:dataBar minLength="0" maxLength="100" border="1" negativeBarBorderColorSameAsPositive="0">
              <x14:cfvo type="autoMin"/>
              <x14:cfvo type="autoMax"/>
              <x14:borderColor rgb="FF638EC6"/>
              <x14:negativeFillColor rgb="FFFF0000"/>
              <x14:negativeBorderColor rgb="FFFF0000"/>
              <x14:axisColor rgb="FF000000"/>
            </x14:dataBar>
          </x14:cfRule>
          <xm:sqref>C123:M123</xm:sqref>
        </x14:conditionalFormatting>
        <x14:conditionalFormatting xmlns:xm="http://schemas.microsoft.com/office/excel/2006/main">
          <x14:cfRule type="dataBar" id="{47BDE8C1-619A-4080-A093-027143094764}">
            <x14:dataBar minLength="0" maxLength="100" border="1" negativeBarBorderColorSameAsPositive="0">
              <x14:cfvo type="autoMin"/>
              <x14:cfvo type="autoMax"/>
              <x14:borderColor rgb="FF638EC6"/>
              <x14:negativeFillColor rgb="FFFF0000"/>
              <x14:negativeBorderColor rgb="FFFF0000"/>
              <x14:axisColor rgb="FF000000"/>
            </x14:dataBar>
          </x14:cfRule>
          <xm:sqref>B123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C00000"/>
  </sheetPr>
  <dimension ref="A1:XFD87"/>
  <sheetViews>
    <sheetView zoomScale="70" zoomScaleNormal="70" zoomScalePageLayoutView="70" workbookViewId="0">
      <selection activeCell="D43" sqref="D43"/>
    </sheetView>
  </sheetViews>
  <sheetFormatPr defaultColWidth="8.83203125" defaultRowHeight="15.5"/>
  <cols>
    <col min="1" max="1" width="16.5" customWidth="1"/>
    <col min="2" max="2" width="61.5" bestFit="1" customWidth="1"/>
    <col min="3" max="3" width="15.5" bestFit="1" customWidth="1"/>
    <col min="4" max="4" width="20.5" bestFit="1" customWidth="1"/>
    <col min="5" max="5" width="16.33203125" bestFit="1" customWidth="1"/>
    <col min="6" max="6" width="23.33203125" bestFit="1" customWidth="1"/>
    <col min="7" max="7" width="11.5" bestFit="1" customWidth="1"/>
    <col min="8" max="8" width="16" customWidth="1"/>
    <col min="11" max="11" width="9.5" bestFit="1" customWidth="1"/>
    <col min="12" max="12" width="8" bestFit="1" customWidth="1"/>
    <col min="14" max="14" width="11.5" bestFit="1" customWidth="1"/>
    <col min="19" max="19" width="8.83203125" bestFit="1" customWidth="1"/>
  </cols>
  <sheetData>
    <row r="1" spans="1:16384" s="158" customFormat="1">
      <c r="A1" s="201" t="s">
        <v>319</v>
      </c>
    </row>
    <row r="2" spans="1:16384" s="64" customForma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s="64" customFormat="1">
      <c r="A3"/>
      <c r="B3"/>
      <c r="C3" s="130">
        <f>'Data Input Sheet'!B5</f>
        <v>2013</v>
      </c>
      <c r="D3" s="130">
        <f>'Data Input Sheet'!C5</f>
        <v>2014</v>
      </c>
      <c r="E3" s="130">
        <f>'Data Input Sheet'!D5</f>
        <v>2015</v>
      </c>
      <c r="F3" s="130">
        <f>'Data Input Sheet'!E5</f>
        <v>2016</v>
      </c>
      <c r="G3" s="130">
        <f>'Data Input Sheet'!F5</f>
        <v>2017</v>
      </c>
      <c r="H3" s="130">
        <f>'Data Input Sheet'!G5</f>
        <v>2018</v>
      </c>
      <c r="I3" s="130">
        <f>'Data Input Sheet'!H5</f>
        <v>2019</v>
      </c>
      <c r="J3" s="130">
        <f>'Data Input Sheet'!I5</f>
        <v>2020</v>
      </c>
      <c r="K3" s="130">
        <f>'Data Input Sheet'!J5</f>
        <v>2021</v>
      </c>
      <c r="L3" s="130">
        <f>'Data Input Sheet'!K5</f>
        <v>2022</v>
      </c>
      <c r="M3" s="130">
        <f>'Data Input Sheet'!L5</f>
        <v>2023</v>
      </c>
      <c r="N3" s="130">
        <f>'Data Input Sheet'!M5</f>
        <v>2024</v>
      </c>
      <c r="O3" s="130">
        <f>'Data Input Sheet'!N5</f>
        <v>2025</v>
      </c>
      <c r="P3" s="130" t="s">
        <v>175</v>
      </c>
      <c r="Q3">
        <v>10</v>
      </c>
      <c r="R3">
        <v>3</v>
      </c>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4" spans="1:16384" s="64" customFormat="1">
      <c r="A4"/>
      <c r="B4" t="s">
        <v>327</v>
      </c>
      <c r="C4" s="202">
        <f>INDEX(Scenarios!B16:B26,$R$3,1)</f>
        <v>15279.666666666666</v>
      </c>
      <c r="D4" s="203">
        <f>INDEX(Scenarios!C16:C26,$R$3,1)</f>
        <v>15279.666666666666</v>
      </c>
      <c r="E4" s="203">
        <f>INDEX(Scenarios!D16:D26,$R$3,1)</f>
        <v>15279.666666666666</v>
      </c>
      <c r="F4" s="203">
        <f>INDEX(Scenarios!E16:E26,$R$3,1)</f>
        <v>15279.666666666666</v>
      </c>
      <c r="G4" s="203">
        <f>INDEX(Scenarios!F16:F26,$R$3,1)</f>
        <v>15279.666666666666</v>
      </c>
      <c r="H4" s="203">
        <f>INDEX(Scenarios!G16:G26,$R$3,1)</f>
        <v>15279.666666666666</v>
      </c>
      <c r="I4" s="203">
        <f>INDEX(Scenarios!H16:H26,$R$3,1)</f>
        <v>15279.666666666666</v>
      </c>
      <c r="J4" s="203">
        <f>INDEX(Scenarios!I16:I26,$R$3,1)</f>
        <v>15279.666666666666</v>
      </c>
      <c r="K4" s="203">
        <f>INDEX(Scenarios!J16:J26,$R$3,1)</f>
        <v>15279.666666666666</v>
      </c>
      <c r="L4" s="203">
        <f>INDEX(Scenarios!K16:K26,$R$3,1)</f>
        <v>15279.666666666666</v>
      </c>
      <c r="M4" s="203">
        <f>INDEX(Scenarios!L16:L26,$R$3,1)</f>
        <v>15279.666666666666</v>
      </c>
      <c r="N4" s="203">
        <f>INDEX(Scenarios!M16:M26,$R$3,1)</f>
        <v>15279.666666666666</v>
      </c>
      <c r="O4" s="203">
        <f>INDEX(Scenarios!N16:N26,$R$3,1)</f>
        <v>15279.666666666666</v>
      </c>
      <c r="P4" s="204">
        <f>IF($C$6=14,D23,INDEX(C4:O4,1,$C$6))*($Q$3/100)</f>
        <v>1771.0500000000002</v>
      </c>
      <c r="Q4">
        <v>5</v>
      </c>
      <c r="R4">
        <v>4</v>
      </c>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row>
    <row r="5" spans="1:16384" s="64" customFormat="1">
      <c r="A5"/>
      <c r="B5" t="s">
        <v>328</v>
      </c>
      <c r="C5" s="202">
        <f>INDEX(Scenarios!B2:B10,$R$4,1)</f>
        <v>10801.333333333334</v>
      </c>
      <c r="D5" s="203">
        <f>INDEX(Scenarios!C2:C10,$R$4,1)</f>
        <v>10801.333333333334</v>
      </c>
      <c r="E5" s="203">
        <f>INDEX(Scenarios!D2:D10,$R$4,1)</f>
        <v>10801.333333333334</v>
      </c>
      <c r="F5" s="203">
        <f>INDEX(Scenarios!E2:E10,$R$4,1)</f>
        <v>10801.333333333334</v>
      </c>
      <c r="G5" s="203">
        <f>INDEX(Scenarios!F2:F10,$R$4,1)</f>
        <v>10801.333333333334</v>
      </c>
      <c r="H5" s="203">
        <f>INDEX(Scenarios!G2:G10,$R$4,1)</f>
        <v>10801.333333333334</v>
      </c>
      <c r="I5" s="203">
        <f>INDEX(Scenarios!H2:H10,$R$4,1)</f>
        <v>10801.333333333334</v>
      </c>
      <c r="J5" s="203">
        <f>INDEX(Scenarios!I2:I10,$R$4,1)</f>
        <v>10801.333333333334</v>
      </c>
      <c r="K5" s="203">
        <f>INDEX(Scenarios!J2:J10,$R$4,1)</f>
        <v>10801.333333333334</v>
      </c>
      <c r="L5" s="203">
        <f>INDEX(Scenarios!K2:K10,$R$4,1)</f>
        <v>10801.333333333334</v>
      </c>
      <c r="M5" s="203">
        <f>INDEX(Scenarios!L2:L10,$R$4,1)</f>
        <v>10801.333333333334</v>
      </c>
      <c r="N5" s="203">
        <f>INDEX(Scenarios!M2:M10,$R$4,1)</f>
        <v>10801.333333333334</v>
      </c>
      <c r="O5" s="203">
        <f>INDEX(Scenarios!N2:N10,$R$4,1)</f>
        <v>10801.333333333334</v>
      </c>
      <c r="P5" s="204">
        <f>IF($C$6=14,D38,INDEX(C5:O5,1,$C$6))*($Q$4/100)</f>
        <v>536.5625</v>
      </c>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c r="XFD5"/>
    </row>
    <row r="6" spans="1:16384" s="64" customFormat="1">
      <c r="A6"/>
      <c r="B6" s="9" t="s">
        <v>395</v>
      </c>
      <c r="C6" s="9">
        <v>14</v>
      </c>
      <c r="D6" s="9"/>
      <c r="E6" s="9"/>
      <c r="F6" s="9"/>
      <c r="G6" s="9"/>
      <c r="H6" s="9"/>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c r="XFD6"/>
    </row>
    <row r="7" spans="1:16384" s="64" customFormat="1" ht="16" thickBot="1">
      <c r="A7"/>
      <c r="B7" s="263" t="s">
        <v>396</v>
      </c>
      <c r="C7" s="9">
        <v>14</v>
      </c>
      <c r="D7" s="9"/>
      <c r="E7" s="274" t="s">
        <v>389</v>
      </c>
      <c r="F7" s="273" t="s">
        <v>390</v>
      </c>
      <c r="G7" s="9"/>
      <c r="H7" s="9"/>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row>
    <row r="8" spans="1:16384" ht="16" thickBot="1">
      <c r="B8" s="9" t="s">
        <v>385</v>
      </c>
      <c r="C8" s="9"/>
      <c r="D8" s="9"/>
      <c r="E8" s="275" t="s">
        <v>391</v>
      </c>
      <c r="F8" s="276">
        <v>1.001570450313946</v>
      </c>
      <c r="G8" s="9"/>
      <c r="H8" s="9"/>
    </row>
    <row r="9" spans="1:16384" ht="16" thickBot="1">
      <c r="B9" s="263" t="s">
        <v>386</v>
      </c>
      <c r="C9" s="9"/>
      <c r="D9" s="9"/>
      <c r="E9" s="275" t="s">
        <v>392</v>
      </c>
      <c r="F9" s="276">
        <v>1.0220106635856592</v>
      </c>
      <c r="G9" s="9"/>
      <c r="H9" s="9"/>
    </row>
    <row r="10" spans="1:16384" ht="16" thickBot="1">
      <c r="E10" s="6" t="s">
        <v>393</v>
      </c>
      <c r="F10" s="276">
        <v>1.0424508768573724</v>
      </c>
    </row>
    <row r="11" spans="1:16384" s="158" customFormat="1">
      <c r="A11" s="201" t="s">
        <v>242</v>
      </c>
    </row>
    <row r="12" spans="1:16384" ht="16" thickBot="1">
      <c r="B12" s="130" t="s">
        <v>244</v>
      </c>
      <c r="C12" s="130" t="s">
        <v>245</v>
      </c>
      <c r="D12" s="198" t="s">
        <v>322</v>
      </c>
    </row>
    <row r="13" spans="1:16384" ht="16" thickBot="1">
      <c r="B13" s="172" t="s">
        <v>10</v>
      </c>
      <c r="C13" s="127">
        <f>IF($C$6=14,D13,INDEX('Data Input Sheet'!B20:N20,1,Base!$C$6))</f>
        <v>14741.25</v>
      </c>
      <c r="D13" s="200">
        <f>AVERAGE('Data Input Sheet'!B20:E20)</f>
        <v>14741.25</v>
      </c>
    </row>
    <row r="14" spans="1:16384" ht="16" thickBot="1">
      <c r="B14" s="183" t="s">
        <v>11</v>
      </c>
      <c r="C14" s="127">
        <f>IF($C$6=14,D14,INDEX('Data Input Sheet'!B21:N21,1,Base!$C$6))</f>
        <v>261.25</v>
      </c>
      <c r="D14" s="200">
        <f>AVERAGE('Data Input Sheet'!B21:E21)</f>
        <v>261.25</v>
      </c>
    </row>
    <row r="15" spans="1:16384" ht="16" thickBot="1">
      <c r="B15" s="183" t="s">
        <v>12</v>
      </c>
      <c r="C15" s="127">
        <f>IF($C$6=14,D15,INDEX('Data Input Sheet'!B22:N22,1,Base!$C$6))</f>
        <v>1241</v>
      </c>
      <c r="D15" s="200">
        <f>AVERAGE('Data Input Sheet'!B22:E22)</f>
        <v>1241</v>
      </c>
      <c r="N15" s="308"/>
      <c r="O15" s="308"/>
      <c r="R15" s="308"/>
      <c r="S15" s="308"/>
    </row>
    <row r="16" spans="1:16384" ht="16" thickBot="1">
      <c r="B16" s="183" t="s">
        <v>13</v>
      </c>
      <c r="C16" s="127">
        <f>IF($C$6=14,D16,INDEX('Data Input Sheet'!B23:N23,1,Base!$C$6))</f>
        <v>463.25</v>
      </c>
      <c r="D16" s="200">
        <f>AVERAGE('Data Input Sheet'!B23:E23)</f>
        <v>463.25</v>
      </c>
    </row>
    <row r="17" spans="1:21" ht="16" thickBot="1">
      <c r="B17" s="183" t="s">
        <v>14</v>
      </c>
      <c r="C17" s="127">
        <f>IF($C$6=14,D17,INDEX('Data Input Sheet'!B24:N24,1,Base!$C$6))</f>
        <v>269.75</v>
      </c>
      <c r="D17" s="200">
        <f>AVERAGE('Data Input Sheet'!B24:E24)</f>
        <v>269.75</v>
      </c>
      <c r="M17" s="6"/>
      <c r="N17" s="18"/>
      <c r="O17" s="18"/>
      <c r="P17" s="23"/>
      <c r="T17" s="23"/>
    </row>
    <row r="18" spans="1:21">
      <c r="B18" s="182" t="s">
        <v>274</v>
      </c>
      <c r="C18" s="127"/>
      <c r="M18" s="6"/>
      <c r="N18" s="18"/>
      <c r="O18" s="18"/>
      <c r="P18" s="23"/>
      <c r="T18" s="23"/>
    </row>
    <row r="19" spans="1:21">
      <c r="B19" s="182" t="s">
        <v>275</v>
      </c>
      <c r="C19" s="127"/>
      <c r="M19" s="6"/>
      <c r="N19" s="70"/>
      <c r="O19" s="18"/>
      <c r="P19" s="23"/>
      <c r="Q19" s="186"/>
      <c r="T19" s="23"/>
      <c r="U19" s="186"/>
    </row>
    <row r="20" spans="1:21" ht="16" thickBot="1">
      <c r="B20" s="182" t="s">
        <v>276</v>
      </c>
      <c r="C20" s="127"/>
      <c r="M20" s="6"/>
      <c r="N20" s="18"/>
      <c r="O20" s="185"/>
      <c r="P20" s="16"/>
      <c r="Q20" s="186"/>
      <c r="S20" s="185"/>
      <c r="T20" s="16"/>
      <c r="U20" s="186"/>
    </row>
    <row r="21" spans="1:21" ht="16" thickBot="1">
      <c r="B21" t="s">
        <v>277</v>
      </c>
      <c r="C21" s="127">
        <f>IF($C$6=14,D21,INDEX('Data Input Sheet'!B26:N26,1,Base!$C$6))</f>
        <v>734</v>
      </c>
      <c r="D21" s="200">
        <v>734</v>
      </c>
    </row>
    <row r="22" spans="1:21" ht="16" thickBot="1">
      <c r="B22" s="183" t="s">
        <v>16</v>
      </c>
      <c r="C22" s="127">
        <f>IF($C$6=14,D22,INDEX('Data Input Sheet'!B27:N27,1,Base!$C$6))</f>
        <v>3362.25</v>
      </c>
      <c r="D22" s="200">
        <f>AVERAGE('Data Input Sheet'!B27:E27)</f>
        <v>3362.25</v>
      </c>
      <c r="M22" s="172"/>
    </row>
    <row r="23" spans="1:21" ht="16.5" customHeight="1" thickBot="1">
      <c r="B23" s="168" t="s">
        <v>326</v>
      </c>
      <c r="C23" s="169">
        <f>SUM(C21,C13:C17)</f>
        <v>17710.5</v>
      </c>
      <c r="D23" s="200">
        <f>SUM(D13:E21)</f>
        <v>17710.5</v>
      </c>
      <c r="M23" s="172"/>
    </row>
    <row r="24" spans="1:21" ht="16.5" customHeight="1" thickBot="1">
      <c r="B24" s="168" t="s">
        <v>17</v>
      </c>
      <c r="C24" s="169">
        <f>C23-C22</f>
        <v>14348.25</v>
      </c>
      <c r="D24" s="200">
        <f>D23-D22</f>
        <v>14348.25</v>
      </c>
      <c r="M24" s="187"/>
    </row>
    <row r="28" spans="1:21" s="158" customFormat="1">
      <c r="A28" s="201" t="s">
        <v>243</v>
      </c>
    </row>
    <row r="29" spans="1:21" ht="16" thickBot="1">
      <c r="B29" s="172" t="s">
        <v>246</v>
      </c>
      <c r="C29" s="130" t="s">
        <v>245</v>
      </c>
      <c r="D29" s="198" t="s">
        <v>322</v>
      </c>
    </row>
    <row r="30" spans="1:21" ht="16" thickBot="1">
      <c r="B30" s="172" t="s">
        <v>336</v>
      </c>
      <c r="C30" s="127">
        <f>IF($C$7=14,D30,INDEX('Data Input Sheet'!B14:N14,1,Base!$C$7))</f>
        <v>10731.25</v>
      </c>
      <c r="D30" s="200">
        <f>D38</f>
        <v>10731.25</v>
      </c>
    </row>
    <row r="31" spans="1:21" ht="16" thickBot="1">
      <c r="B31" s="172" t="s">
        <v>2</v>
      </c>
      <c r="C31" s="127">
        <f>IF($C$7=14,D31,INDEX('Data Input Sheet'!B7:N7,1,Base!$C$7))</f>
        <v>1998.25</v>
      </c>
      <c r="D31" s="200">
        <f>AVERAGE('Data Input Sheet'!B7:E7)</f>
        <v>1998.25</v>
      </c>
    </row>
    <row r="32" spans="1:21" ht="16" thickBot="1">
      <c r="B32" s="172" t="s">
        <v>3</v>
      </c>
      <c r="C32" s="127">
        <f>IF($C$7=14,D32,INDEX('Data Input Sheet'!B8:N8,1,$C$7))</f>
        <v>2554</v>
      </c>
      <c r="D32" s="200">
        <f>AVERAGE('Data Input Sheet'!B8:E8)</f>
        <v>2554</v>
      </c>
    </row>
    <row r="33" spans="1:9" ht="16" thickBot="1">
      <c r="B33" s="172" t="s">
        <v>4</v>
      </c>
      <c r="C33" s="127">
        <f>IF($C$7=14,D33,INDEX('Data Input Sheet'!B9:N9,1,Base!$C$7))</f>
        <v>0</v>
      </c>
      <c r="D33" s="200">
        <f>AVERAGE('Data Input Sheet'!B9:E9)</f>
        <v>0</v>
      </c>
    </row>
    <row r="34" spans="1:9" ht="16" thickBot="1">
      <c r="B34" s="184" t="s">
        <v>5</v>
      </c>
      <c r="C34" s="169">
        <f>SUM(C31:C33)</f>
        <v>4552.25</v>
      </c>
      <c r="D34" s="200">
        <f>SUM(D31:D33)</f>
        <v>4552.25</v>
      </c>
    </row>
    <row r="35" spans="1:9" ht="16" thickBot="1">
      <c r="B35" s="172" t="s">
        <v>6</v>
      </c>
      <c r="C35" s="127">
        <f>IF($C$7=14,D35,INDEX('Data Input Sheet'!B11:N11,1,Base!$C$7))</f>
        <v>1962.5</v>
      </c>
      <c r="D35" s="200">
        <f>AVERAGE('Data Input Sheet'!B11:E11)</f>
        <v>1962.5</v>
      </c>
    </row>
    <row r="36" spans="1:9" ht="16" thickBot="1">
      <c r="B36" s="172" t="s">
        <v>7</v>
      </c>
      <c r="C36" s="127">
        <f>IF($C$7=14,D36,INDEX('Data Input Sheet'!B12:N12,1,Base!$C$7))</f>
        <v>4216.5</v>
      </c>
      <c r="D36" s="200">
        <f>AVERAGE('Data Input Sheet'!B12:E12)</f>
        <v>4216.5</v>
      </c>
    </row>
    <row r="37" spans="1:9" ht="16" thickBot="1">
      <c r="B37" s="184" t="s">
        <v>8</v>
      </c>
      <c r="C37" s="169">
        <f>SUM(C35:C36)</f>
        <v>6179</v>
      </c>
      <c r="D37" s="200">
        <f>SUM(D35:D36)</f>
        <v>6179</v>
      </c>
    </row>
    <row r="38" spans="1:9" ht="16" thickBot="1">
      <c r="B38" s="184" t="s">
        <v>9</v>
      </c>
      <c r="C38" s="169">
        <f>C37+C34</f>
        <v>10731.25</v>
      </c>
      <c r="D38" s="200">
        <f>D37+D34</f>
        <v>10731.25</v>
      </c>
    </row>
    <row r="40" spans="1:9" s="158" customFormat="1">
      <c r="A40" s="201" t="s">
        <v>324</v>
      </c>
    </row>
    <row r="41" spans="1:9">
      <c r="A41" t="s">
        <v>278</v>
      </c>
      <c r="B41" s="3" t="s">
        <v>231</v>
      </c>
    </row>
    <row r="42" spans="1:9" ht="16" thickBot="1">
      <c r="B42" t="s">
        <v>228</v>
      </c>
      <c r="C42" s="130" t="s">
        <v>229</v>
      </c>
      <c r="D42" s="130" t="s">
        <v>230</v>
      </c>
      <c r="E42" s="173" t="s">
        <v>338</v>
      </c>
      <c r="G42" t="s">
        <v>232</v>
      </c>
      <c r="H42" t="s">
        <v>233</v>
      </c>
      <c r="I42" t="s">
        <v>340</v>
      </c>
    </row>
    <row r="43" spans="1:9" ht="16" thickBot="1">
      <c r="B43" s="6" t="s">
        <v>227</v>
      </c>
      <c r="C43" s="200">
        <v>151735</v>
      </c>
      <c r="D43" s="200">
        <v>3508</v>
      </c>
      <c r="E43" s="257">
        <v>1029718904</v>
      </c>
      <c r="F43">
        <f>IFERROR(E43/E47,0)</f>
        <v>0.16391897528832156</v>
      </c>
      <c r="G43" s="129">
        <f>IFERROR(E43/C43,E43)</f>
        <v>6786.2978482222297</v>
      </c>
      <c r="H43" s="129">
        <f>IFERROR(E43/D43,E43)</f>
        <v>293534.46522234892</v>
      </c>
      <c r="I43" s="66">
        <f>IFERROR(D43/C43,D43)</f>
        <v>2.3119253962500412E-2</v>
      </c>
    </row>
    <row r="44" spans="1:9" ht="16" thickBot="1">
      <c r="B44" s="6" t="s">
        <v>225</v>
      </c>
      <c r="C44" s="200">
        <v>10013</v>
      </c>
      <c r="D44" s="200">
        <v>18895</v>
      </c>
      <c r="E44" s="257">
        <v>5252158482</v>
      </c>
      <c r="F44">
        <f>IFERROR(C43/C47,0)</f>
        <v>0.93809506145361921</v>
      </c>
      <c r="G44" s="129">
        <f t="shared" ref="G44:G45" si="0">IFERROR(E44/C44,E44)</f>
        <v>524533.95405972237</v>
      </c>
      <c r="H44" s="129">
        <f t="shared" ref="H44:H45" si="1">IFERROR(E44/D44,E44)</f>
        <v>277965.51902619743</v>
      </c>
      <c r="I44" s="66">
        <f t="shared" ref="I44:I45" si="2">IFERROR(D44/C44,D44)</f>
        <v>1.8870468391091582</v>
      </c>
    </row>
    <row r="45" spans="1:9" ht="16" thickBot="1">
      <c r="B45" s="6" t="s">
        <v>226</v>
      </c>
      <c r="C45" s="200">
        <v>0</v>
      </c>
      <c r="D45" s="200">
        <v>0</v>
      </c>
      <c r="E45" s="257">
        <v>0</v>
      </c>
      <c r="G45" s="171">
        <f t="shared" si="0"/>
        <v>0</v>
      </c>
      <c r="H45" s="171">
        <f t="shared" si="1"/>
        <v>0</v>
      </c>
      <c r="I45" s="66">
        <f t="shared" si="2"/>
        <v>0</v>
      </c>
    </row>
    <row r="46" spans="1:9">
      <c r="G46" s="129"/>
      <c r="H46" s="129"/>
    </row>
    <row r="47" spans="1:9">
      <c r="B47" s="6" t="s">
        <v>22</v>
      </c>
      <c r="C47" s="166">
        <f>SUM(C43:C45)</f>
        <v>161748</v>
      </c>
      <c r="D47" s="166">
        <f t="shared" ref="D47:E47" si="3">SUM(D43:D45)</f>
        <v>22403</v>
      </c>
      <c r="E47" s="170">
        <f t="shared" si="3"/>
        <v>6281877386</v>
      </c>
      <c r="G47" s="171">
        <f>IFERROR(E47/C47,E47)</f>
        <v>38837.434688527836</v>
      </c>
      <c r="H47" s="171">
        <f>IFERROR(E47/D47,E47)</f>
        <v>280403.40070526267</v>
      </c>
      <c r="I47" s="66">
        <f>IFERROR(D47/C47,D47)</f>
        <v>0.1385055765759082</v>
      </c>
    </row>
    <row r="48" spans="1:9">
      <c r="B48" s="6"/>
      <c r="C48" s="166"/>
      <c r="D48" s="166"/>
      <c r="E48" s="170"/>
      <c r="G48" s="171"/>
      <c r="H48" s="171"/>
    </row>
    <row r="49" spans="2:8">
      <c r="B49" s="181" t="s">
        <v>270</v>
      </c>
      <c r="C49" s="166"/>
      <c r="D49" s="166"/>
      <c r="E49" s="170"/>
      <c r="G49" s="171"/>
      <c r="H49" s="171"/>
    </row>
    <row r="50" spans="2:8">
      <c r="B50" s="181" t="s">
        <v>271</v>
      </c>
      <c r="C50" s="166">
        <f>IF(C$6=14,SUM(C68:C69),INDEX('Data Input Sheet'!B49:N49,1,Base!$C$6))</f>
        <v>465248.66999999993</v>
      </c>
      <c r="D50" s="166"/>
      <c r="E50" s="170"/>
      <c r="G50" s="171"/>
      <c r="H50" s="171"/>
    </row>
    <row r="51" spans="2:8">
      <c r="B51" s="181" t="s">
        <v>329</v>
      </c>
      <c r="C51" s="208">
        <f>C38/C50</f>
        <v>2.3065622089795554E-2</v>
      </c>
      <c r="D51" s="199"/>
      <c r="E51" s="170"/>
      <c r="G51" s="171"/>
      <c r="H51" s="171"/>
    </row>
    <row r="52" spans="2:8">
      <c r="B52" s="6"/>
      <c r="C52" s="166"/>
      <c r="D52" s="166"/>
      <c r="E52" s="170"/>
      <c r="G52" s="171"/>
      <c r="H52" s="171"/>
    </row>
    <row r="53" spans="2:8" ht="16" thickBot="1">
      <c r="B53" s="178" t="s">
        <v>255</v>
      </c>
      <c r="C53" s="179" t="s">
        <v>257</v>
      </c>
      <c r="D53" s="3" t="s">
        <v>325</v>
      </c>
      <c r="E53" s="179" t="s">
        <v>258</v>
      </c>
      <c r="G53" s="171"/>
      <c r="H53" s="171"/>
    </row>
    <row r="54" spans="2:8" ht="16" thickBot="1">
      <c r="B54" s="6" t="s">
        <v>227</v>
      </c>
      <c r="C54" s="166">
        <f>IF($C$6=14,D54,INDEX('Data Input Sheet'!B35:N35,1,Base!$C$6))</f>
        <v>3487</v>
      </c>
      <c r="D54" s="212">
        <f>AVERAGE('Data Input Sheet'!B35:D35)</f>
        <v>3487</v>
      </c>
      <c r="E54" s="166">
        <f>D43</f>
        <v>3508</v>
      </c>
      <c r="G54" s="171"/>
      <c r="H54" s="171"/>
    </row>
    <row r="55" spans="2:8" ht="16" thickBot="1">
      <c r="B55" s="6" t="s">
        <v>225</v>
      </c>
      <c r="C55" s="166">
        <f>IF($C$6=14,D55,INDEX('Data Input Sheet'!B36:N36,1,Base!$C$6))</f>
        <v>306</v>
      </c>
      <c r="D55" s="212">
        <f>AVERAGE('Data Input Sheet'!B36:D36)</f>
        <v>306</v>
      </c>
      <c r="E55" s="166">
        <f>D44</f>
        <v>18895</v>
      </c>
      <c r="G55" s="171"/>
      <c r="H55" s="171"/>
    </row>
    <row r="56" spans="2:8" ht="16" thickBot="1">
      <c r="B56" s="6" t="s">
        <v>226</v>
      </c>
      <c r="C56" s="166">
        <f>IF($C$6=14,D56,INDEX('Data Input Sheet'!B37:N37,1,Base!$C$6))</f>
        <v>0</v>
      </c>
      <c r="D56" s="212">
        <v>0</v>
      </c>
      <c r="E56" s="166">
        <f>D45</f>
        <v>0</v>
      </c>
    </row>
    <row r="57" spans="2:8" ht="16" thickBot="1">
      <c r="B57" s="6" t="s">
        <v>268</v>
      </c>
      <c r="C57" s="166">
        <f>IF($C$6=14,D57,INDEX('Data Input Sheet'!B31:N31,1,Base!$C$6))</f>
        <v>163243</v>
      </c>
      <c r="D57" s="212">
        <v>163243</v>
      </c>
      <c r="E57" s="166"/>
    </row>
    <row r="58" spans="2:8">
      <c r="B58" s="6" t="s">
        <v>265</v>
      </c>
      <c r="C58" s="130">
        <f>C13</f>
        <v>14741.25</v>
      </c>
    </row>
    <row r="59" spans="2:8">
      <c r="B59" s="6" t="s">
        <v>256</v>
      </c>
      <c r="C59" s="239">
        <f>C58/SUM(C54:C56)</f>
        <v>3.8864355391510679</v>
      </c>
    </row>
    <row r="60" spans="2:8">
      <c r="B60" s="6" t="s">
        <v>269</v>
      </c>
      <c r="C60" s="180">
        <f>(SUM(C16:C17,C35:C36,C32,C30)/C57)</f>
        <v>0.12372506018634796</v>
      </c>
    </row>
    <row r="61" spans="2:8">
      <c r="B61" s="6" t="s">
        <v>266</v>
      </c>
      <c r="E61" s="129">
        <f>C14+C30</f>
        <v>10992.5</v>
      </c>
    </row>
    <row r="62" spans="2:8">
      <c r="B62" s="6" t="s">
        <v>267</v>
      </c>
      <c r="E62" s="239">
        <f>(E61)/SUM(E54:E56)</f>
        <v>0.49067089229121102</v>
      </c>
    </row>
    <row r="63" spans="2:8">
      <c r="B63" s="6"/>
    </row>
    <row r="64" spans="2:8">
      <c r="B64" s="6"/>
    </row>
    <row r="65" spans="1:6" s="158" customFormat="1">
      <c r="A65" s="201" t="s">
        <v>323</v>
      </c>
    </row>
    <row r="67" spans="1:6" ht="16" thickBot="1">
      <c r="B67" s="167" t="s">
        <v>247</v>
      </c>
      <c r="C67" s="167" t="s">
        <v>253</v>
      </c>
      <c r="D67" s="167" t="s">
        <v>248</v>
      </c>
      <c r="E67" s="167" t="s">
        <v>252</v>
      </c>
      <c r="F67" s="167" t="s">
        <v>236</v>
      </c>
    </row>
    <row r="68" spans="1:6" ht="16" thickBot="1">
      <c r="B68" s="6" t="s">
        <v>125</v>
      </c>
      <c r="C68" s="212">
        <f>SUM('Asset Data Input Sheet'!C68:C70)</f>
        <v>391709.80499999993</v>
      </c>
      <c r="D68" s="212">
        <f>SUM('Main Dashboard'!E84:E86,'Main Dashboard'!E93:E95,'Main Dashboard'!E102:E104)</f>
        <v>3834</v>
      </c>
      <c r="E68" s="171">
        <f>C68/D68</f>
        <v>102.16739827856023</v>
      </c>
      <c r="F68" t="s">
        <v>237</v>
      </c>
    </row>
    <row r="69" spans="1:6" ht="16" thickBot="1">
      <c r="B69" s="6" t="s">
        <v>126</v>
      </c>
      <c r="C69" s="212">
        <f>'Asset Data Input Sheet'!C71</f>
        <v>73538.864999999991</v>
      </c>
      <c r="D69" s="212">
        <f>SUM('Main Dashboard'!E87:E89,'Main Dashboard'!E96:E98,'Main Dashboard'!E105:E107)</f>
        <v>2257</v>
      </c>
      <c r="E69" s="171">
        <f t="shared" ref="E69:E73" si="4">C69/D69</f>
        <v>32.582571998227735</v>
      </c>
      <c r="F69" t="s">
        <v>237</v>
      </c>
    </row>
    <row r="70" spans="1:6" ht="16" thickBot="1">
      <c r="B70" s="6" t="s">
        <v>83</v>
      </c>
      <c r="C70" s="212">
        <f>'Asset Data Input Sheet'!C72</f>
        <v>7833.9749999999995</v>
      </c>
      <c r="D70" s="212">
        <f>SUM('Main Dashboard'!E90,'Main Dashboard'!E99)</f>
        <v>303</v>
      </c>
      <c r="E70" s="171">
        <f t="shared" si="4"/>
        <v>25.854702970297026</v>
      </c>
      <c r="F70" t="s">
        <v>238</v>
      </c>
    </row>
    <row r="71" spans="1:6" ht="16" thickBot="1">
      <c r="B71" s="6" t="s">
        <v>127</v>
      </c>
      <c r="C71" s="212">
        <f>'Asset Data Input Sheet'!C73</f>
        <v>4827.0149999999994</v>
      </c>
      <c r="D71" s="212">
        <f>SUM('Main Dashboard'!E91,'Main Dashboard'!E100,'Main Dashboard'!E108)</f>
        <v>3464</v>
      </c>
      <c r="E71" s="171">
        <f t="shared" si="4"/>
        <v>1.3934800808314085</v>
      </c>
      <c r="F71" t="s">
        <v>239</v>
      </c>
    </row>
    <row r="72" spans="1:6" ht="16" thickBot="1">
      <c r="B72" s="6" t="s">
        <v>128</v>
      </c>
      <c r="C72" s="212">
        <f>'Asset Data Input Sheet'!C74</f>
        <v>4650.1349999999993</v>
      </c>
      <c r="D72" s="212">
        <f>SUM('Main Dashboard'!E92,'Main Dashboard'!E101,'Main Dashboard'!E109)</f>
        <v>80</v>
      </c>
      <c r="E72" s="171">
        <f t="shared" si="4"/>
        <v>58.126687499999989</v>
      </c>
      <c r="F72" t="s">
        <v>240</v>
      </c>
    </row>
    <row r="73" spans="1:6" ht="16" thickBot="1">
      <c r="B73" s="6" t="s">
        <v>234</v>
      </c>
      <c r="C73" s="212">
        <f>'Asset Data Input Sheet'!C75</f>
        <v>12004.724999999999</v>
      </c>
      <c r="D73" s="212">
        <f>SUM('Main Dashboard'!E84:E110)-SUM(D68:D72)</f>
        <v>71</v>
      </c>
      <c r="E73" s="171">
        <f t="shared" si="4"/>
        <v>169.08063380281689</v>
      </c>
      <c r="F73" t="s">
        <v>241</v>
      </c>
    </row>
    <row r="74" spans="1:6" ht="16" thickBot="1">
      <c r="B74" s="6" t="s">
        <v>235</v>
      </c>
      <c r="C74" s="212">
        <f>'Asset Data Input Sheet'!C76</f>
        <v>4666.2149999999992</v>
      </c>
      <c r="D74" s="212"/>
    </row>
    <row r="76" spans="1:6">
      <c r="B76" s="6" t="s">
        <v>22</v>
      </c>
      <c r="C76" s="129">
        <f>SUM(C68:C74)</f>
        <v>499230.73499999993</v>
      </c>
      <c r="D76" s="166">
        <f>SUM(D68:D73)</f>
        <v>10009</v>
      </c>
      <c r="E76" s="239">
        <f>C76/D76</f>
        <v>49.878183135178332</v>
      </c>
      <c r="F76" t="s">
        <v>356</v>
      </c>
    </row>
    <row r="78" spans="1:6">
      <c r="B78" s="167" t="s">
        <v>359</v>
      </c>
      <c r="C78" s="167" t="s">
        <v>360</v>
      </c>
      <c r="D78" s="167" t="s">
        <v>361</v>
      </c>
      <c r="E78" s="167" t="s">
        <v>362</v>
      </c>
    </row>
    <row r="79" spans="1:6">
      <c r="C79" s="6" t="s">
        <v>366</v>
      </c>
      <c r="D79">
        <v>100</v>
      </c>
      <c r="E79" s="256">
        <f>IF(D79=101,0,D79/100)</f>
        <v>1</v>
      </c>
    </row>
    <row r="80" spans="1:6">
      <c r="C80" s="6" t="s">
        <v>367</v>
      </c>
      <c r="D80">
        <v>80</v>
      </c>
      <c r="E80" s="256">
        <f t="shared" ref="E80:E83" si="5">IF(D80=101,0,D80/100)</f>
        <v>0.8</v>
      </c>
    </row>
    <row r="81" spans="3:5">
      <c r="C81" s="6" t="s">
        <v>368</v>
      </c>
      <c r="D81">
        <v>101</v>
      </c>
      <c r="E81" s="256">
        <f t="shared" si="5"/>
        <v>0</v>
      </c>
    </row>
    <row r="82" spans="3:5">
      <c r="C82" s="6" t="s">
        <v>369</v>
      </c>
      <c r="D82">
        <v>101</v>
      </c>
      <c r="E82" s="256">
        <f t="shared" si="5"/>
        <v>0</v>
      </c>
    </row>
    <row r="83" spans="3:5">
      <c r="C83" s="6" t="s">
        <v>365</v>
      </c>
      <c r="D83">
        <v>50</v>
      </c>
      <c r="E83" s="256">
        <f t="shared" si="5"/>
        <v>0.5</v>
      </c>
    </row>
    <row r="85" spans="3:5">
      <c r="C85" s="6" t="s">
        <v>363</v>
      </c>
      <c r="D85" s="254">
        <v>50</v>
      </c>
    </row>
    <row r="87" spans="3:5">
      <c r="C87" s="6" t="s">
        <v>364</v>
      </c>
      <c r="D87" s="254">
        <v>0.5</v>
      </c>
    </row>
  </sheetData>
  <mergeCells count="2">
    <mergeCell ref="N15:O15"/>
    <mergeCell ref="R15:S1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1" r:id="rId4" name="Drop Down 5">
              <controlPr defaultSize="0" autoLine="0" autoPict="0">
                <anchor moveWithCells="1">
                  <from>
                    <xdr:col>16</xdr:col>
                    <xdr:colOff>38100</xdr:colOff>
                    <xdr:row>4</xdr:row>
                    <xdr:rowOff>12700</xdr:rowOff>
                  </from>
                  <to>
                    <xdr:col>19</xdr:col>
                    <xdr:colOff>546100</xdr:colOff>
                    <xdr:row>6</xdr:row>
                    <xdr:rowOff>0</xdr:rowOff>
                  </to>
                </anchor>
              </controlPr>
            </control>
          </mc:Choice>
        </mc:AlternateContent>
        <mc:AlternateContent xmlns:mc="http://schemas.openxmlformats.org/markup-compatibility/2006">
          <mc:Choice Requires="x14">
            <control shapeId="19462" r:id="rId5" name="Drop Down 6">
              <controlPr defaultSize="0" autoLine="0" autoPict="0">
                <anchor moveWithCells="1">
                  <from>
                    <xdr:col>16</xdr:col>
                    <xdr:colOff>38100</xdr:colOff>
                    <xdr:row>2</xdr:row>
                    <xdr:rowOff>12700</xdr:rowOff>
                  </from>
                  <to>
                    <xdr:col>19</xdr:col>
                    <xdr:colOff>546100</xdr:colOff>
                    <xdr:row>4</xdr:row>
                    <xdr:rowOff>0</xdr:rowOff>
                  </to>
                </anchor>
              </controlPr>
            </control>
          </mc:Choice>
        </mc:AlternateContent>
        <mc:AlternateContent xmlns:mc="http://schemas.openxmlformats.org/markup-compatibility/2006">
          <mc:Choice Requires="x14">
            <control shapeId="19463" r:id="rId6" name="Drop Down 7">
              <controlPr defaultSize="0" autoLine="0" autoPict="0">
                <anchor moveWithCells="1">
                  <from>
                    <xdr:col>2</xdr:col>
                    <xdr:colOff>12700</xdr:colOff>
                    <xdr:row>5</xdr:row>
                    <xdr:rowOff>12700</xdr:rowOff>
                  </from>
                  <to>
                    <xdr:col>3</xdr:col>
                    <xdr:colOff>88900</xdr:colOff>
                    <xdr:row>6</xdr:row>
                    <xdr:rowOff>38100</xdr:rowOff>
                  </to>
                </anchor>
              </controlPr>
            </control>
          </mc:Choice>
        </mc:AlternateContent>
        <mc:AlternateContent xmlns:mc="http://schemas.openxmlformats.org/markup-compatibility/2006">
          <mc:Choice Requires="x14">
            <control shapeId="19464" r:id="rId7" name="Drop Down 8">
              <controlPr defaultSize="0" autoLine="0" autoPict="0">
                <anchor moveWithCells="1">
                  <from>
                    <xdr:col>1</xdr:col>
                    <xdr:colOff>4686300</xdr:colOff>
                    <xdr:row>7</xdr:row>
                    <xdr:rowOff>38100</xdr:rowOff>
                  </from>
                  <to>
                    <xdr:col>3</xdr:col>
                    <xdr:colOff>88900</xdr:colOff>
                    <xdr:row>8</xdr:row>
                    <xdr:rowOff>38100</xdr:rowOff>
                  </to>
                </anchor>
              </controlPr>
            </control>
          </mc:Choice>
        </mc:AlternateContent>
        <mc:AlternateContent xmlns:mc="http://schemas.openxmlformats.org/markup-compatibility/2006">
          <mc:Choice Requires="x14">
            <control shapeId="19465" r:id="rId8" name="Drop Down 9">
              <controlPr defaultSize="0" autoLine="0" autoPict="0">
                <anchor moveWithCells="1">
                  <from>
                    <xdr:col>3</xdr:col>
                    <xdr:colOff>0</xdr:colOff>
                    <xdr:row>78</xdr:row>
                    <xdr:rowOff>38100</xdr:rowOff>
                  </from>
                  <to>
                    <xdr:col>3</xdr:col>
                    <xdr:colOff>1562100</xdr:colOff>
                    <xdr:row>79</xdr:row>
                    <xdr:rowOff>38100</xdr:rowOff>
                  </to>
                </anchor>
              </controlPr>
            </control>
          </mc:Choice>
        </mc:AlternateContent>
        <mc:AlternateContent xmlns:mc="http://schemas.openxmlformats.org/markup-compatibility/2006">
          <mc:Choice Requires="x14">
            <control shapeId="19469" r:id="rId9" name="Drop Down 13">
              <controlPr defaultSize="0" autoLine="0" autoPict="0">
                <anchor moveWithCells="1">
                  <from>
                    <xdr:col>3</xdr:col>
                    <xdr:colOff>0</xdr:colOff>
                    <xdr:row>79</xdr:row>
                    <xdr:rowOff>38100</xdr:rowOff>
                  </from>
                  <to>
                    <xdr:col>4</xdr:col>
                    <xdr:colOff>0</xdr:colOff>
                    <xdr:row>80</xdr:row>
                    <xdr:rowOff>38100</xdr:rowOff>
                  </to>
                </anchor>
              </controlPr>
            </control>
          </mc:Choice>
        </mc:AlternateContent>
        <mc:AlternateContent xmlns:mc="http://schemas.openxmlformats.org/markup-compatibility/2006">
          <mc:Choice Requires="x14">
            <control shapeId="19470" r:id="rId10" name="Drop Down 14">
              <controlPr defaultSize="0" autoLine="0" autoPict="0">
                <anchor moveWithCells="1">
                  <from>
                    <xdr:col>3</xdr:col>
                    <xdr:colOff>0</xdr:colOff>
                    <xdr:row>80</xdr:row>
                    <xdr:rowOff>38100</xdr:rowOff>
                  </from>
                  <to>
                    <xdr:col>4</xdr:col>
                    <xdr:colOff>0</xdr:colOff>
                    <xdr:row>81</xdr:row>
                    <xdr:rowOff>38100</xdr:rowOff>
                  </to>
                </anchor>
              </controlPr>
            </control>
          </mc:Choice>
        </mc:AlternateContent>
        <mc:AlternateContent xmlns:mc="http://schemas.openxmlformats.org/markup-compatibility/2006">
          <mc:Choice Requires="x14">
            <control shapeId="19471" r:id="rId11" name="Drop Down 15">
              <controlPr defaultSize="0" autoLine="0" autoPict="0">
                <anchor moveWithCells="1">
                  <from>
                    <xdr:col>3</xdr:col>
                    <xdr:colOff>0</xdr:colOff>
                    <xdr:row>81</xdr:row>
                    <xdr:rowOff>38100</xdr:rowOff>
                  </from>
                  <to>
                    <xdr:col>4</xdr:col>
                    <xdr:colOff>0</xdr:colOff>
                    <xdr:row>82</xdr:row>
                    <xdr:rowOff>38100</xdr:rowOff>
                  </to>
                </anchor>
              </controlPr>
            </control>
          </mc:Choice>
        </mc:AlternateContent>
        <mc:AlternateContent xmlns:mc="http://schemas.openxmlformats.org/markup-compatibility/2006">
          <mc:Choice Requires="x14">
            <control shapeId="19472" r:id="rId12" name="Drop Down 16">
              <controlPr defaultSize="0" autoLine="0" autoPict="0">
                <anchor moveWithCells="1">
                  <from>
                    <xdr:col>3</xdr:col>
                    <xdr:colOff>0</xdr:colOff>
                    <xdr:row>82</xdr:row>
                    <xdr:rowOff>38100</xdr:rowOff>
                  </from>
                  <to>
                    <xdr:col>4</xdr:col>
                    <xdr:colOff>0</xdr:colOff>
                    <xdr:row>83</xdr:row>
                    <xdr:rowOff>38100</xdr:rowOff>
                  </to>
                </anchor>
              </controlPr>
            </control>
          </mc:Choice>
        </mc:AlternateContent>
        <mc:AlternateContent xmlns:mc="http://schemas.openxmlformats.org/markup-compatibility/2006">
          <mc:Choice Requires="x14">
            <control shapeId="19473" r:id="rId13" name="Drop Down 17">
              <controlPr defaultSize="0" autoLine="0" autoPict="0">
                <anchor moveWithCells="1">
                  <from>
                    <xdr:col>2</xdr:col>
                    <xdr:colOff>0</xdr:colOff>
                    <xdr:row>8</xdr:row>
                    <xdr:rowOff>38100</xdr:rowOff>
                  </from>
                  <to>
                    <xdr:col>3</xdr:col>
                    <xdr:colOff>88900</xdr:colOff>
                    <xdr:row>9</xdr:row>
                    <xdr:rowOff>38100</xdr:rowOff>
                  </to>
                </anchor>
              </controlPr>
            </control>
          </mc:Choice>
        </mc:AlternateContent>
        <mc:AlternateContent xmlns:mc="http://schemas.openxmlformats.org/markup-compatibility/2006">
          <mc:Choice Requires="x14">
            <control shapeId="19474" r:id="rId14" name="Drop Down 18">
              <controlPr defaultSize="0" autoLine="0" autoPict="0">
                <anchor moveWithCells="1">
                  <from>
                    <xdr:col>2</xdr:col>
                    <xdr:colOff>12700</xdr:colOff>
                    <xdr:row>6</xdr:row>
                    <xdr:rowOff>12700</xdr:rowOff>
                  </from>
                  <to>
                    <xdr:col>3</xdr:col>
                    <xdr:colOff>114300</xdr:colOff>
                    <xdr:row>7</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5" tint="-0.499984740745262"/>
  </sheetPr>
  <dimension ref="A1:AB130"/>
  <sheetViews>
    <sheetView topLeftCell="A30" workbookViewId="0">
      <selection activeCell="B46" sqref="B46"/>
    </sheetView>
  </sheetViews>
  <sheetFormatPr defaultColWidth="8.83203125" defaultRowHeight="15.5"/>
  <cols>
    <col min="1" max="1" width="48" customWidth="1"/>
    <col min="2" max="2" width="9.83203125" bestFit="1" customWidth="1"/>
  </cols>
  <sheetData>
    <row r="1" spans="1:28">
      <c r="A1" s="3" t="s">
        <v>349</v>
      </c>
      <c r="B1">
        <f>B15</f>
        <v>2013</v>
      </c>
      <c r="C1">
        <f t="shared" ref="C1:N1" si="0">C15</f>
        <v>2014</v>
      </c>
      <c r="D1">
        <f t="shared" si="0"/>
        <v>2015</v>
      </c>
      <c r="E1">
        <f t="shared" si="0"/>
        <v>2016</v>
      </c>
      <c r="F1">
        <f t="shared" si="0"/>
        <v>2017</v>
      </c>
      <c r="G1">
        <f t="shared" si="0"/>
        <v>2018</v>
      </c>
      <c r="H1">
        <f t="shared" si="0"/>
        <v>2019</v>
      </c>
      <c r="I1">
        <f t="shared" si="0"/>
        <v>2020</v>
      </c>
      <c r="J1">
        <f t="shared" si="0"/>
        <v>2021</v>
      </c>
      <c r="K1">
        <f t="shared" si="0"/>
        <v>2022</v>
      </c>
      <c r="L1">
        <f t="shared" si="0"/>
        <v>2023</v>
      </c>
      <c r="M1">
        <f t="shared" si="0"/>
        <v>2024</v>
      </c>
      <c r="N1">
        <f t="shared" si="0"/>
        <v>2025</v>
      </c>
    </row>
    <row r="2" spans="1:28">
      <c r="A2" s="64" t="s">
        <v>333</v>
      </c>
      <c r="B2" s="64">
        <f>B3</f>
        <v>10763</v>
      </c>
      <c r="C2" s="64">
        <f>Q2*1.2</f>
        <v>13173.912</v>
      </c>
      <c r="D2" s="64">
        <f t="shared" ref="D2:N2" si="1">R2*1.2</f>
        <v>13437.390240000001</v>
      </c>
      <c r="E2" s="64">
        <f t="shared" si="1"/>
        <v>13706.1380448</v>
      </c>
      <c r="F2" s="64">
        <f t="shared" si="1"/>
        <v>13980.260805696002</v>
      </c>
      <c r="G2" s="64">
        <f t="shared" si="1"/>
        <v>14259.866021809921</v>
      </c>
      <c r="H2" s="64">
        <f t="shared" si="1"/>
        <v>14545.06334224612</v>
      </c>
      <c r="I2" s="64">
        <f t="shared" si="1"/>
        <v>14835.964609091043</v>
      </c>
      <c r="J2" s="64">
        <f t="shared" si="1"/>
        <v>15132.683901272863</v>
      </c>
      <c r="K2" s="64">
        <f t="shared" si="1"/>
        <v>15435.337579298321</v>
      </c>
      <c r="L2" s="64">
        <f t="shared" si="1"/>
        <v>15744.044330884288</v>
      </c>
      <c r="M2" s="64">
        <f t="shared" si="1"/>
        <v>16058.925217501974</v>
      </c>
      <c r="N2" s="64">
        <f t="shared" si="1"/>
        <v>16380.103721852014</v>
      </c>
      <c r="P2" s="64">
        <f>B3</f>
        <v>10763</v>
      </c>
      <c r="Q2">
        <f>P2*1.02</f>
        <v>10978.26</v>
      </c>
      <c r="R2">
        <f t="shared" ref="R2:AB2" si="2">Q2*1.02</f>
        <v>11197.825200000001</v>
      </c>
      <c r="S2">
        <f t="shared" si="2"/>
        <v>11421.781704000001</v>
      </c>
      <c r="T2">
        <f t="shared" si="2"/>
        <v>11650.217338080001</v>
      </c>
      <c r="U2">
        <f t="shared" si="2"/>
        <v>11883.221684841601</v>
      </c>
      <c r="V2">
        <f t="shared" si="2"/>
        <v>12120.886118538434</v>
      </c>
      <c r="W2">
        <f t="shared" si="2"/>
        <v>12363.303840909202</v>
      </c>
      <c r="X2">
        <f t="shared" si="2"/>
        <v>12610.569917727387</v>
      </c>
      <c r="Y2">
        <f t="shared" si="2"/>
        <v>12862.781316081935</v>
      </c>
      <c r="Z2">
        <f t="shared" si="2"/>
        <v>13120.036942403574</v>
      </c>
      <c r="AA2">
        <f t="shared" si="2"/>
        <v>13382.437681251646</v>
      </c>
      <c r="AB2">
        <f t="shared" si="2"/>
        <v>13650.086434876679</v>
      </c>
    </row>
    <row r="3" spans="1:28">
      <c r="A3" t="s">
        <v>330</v>
      </c>
      <c r="B3" s="69">
        <f>'Data Input Sheet'!B14</f>
        <v>10763</v>
      </c>
      <c r="C3" s="69">
        <f>B3</f>
        <v>10763</v>
      </c>
      <c r="D3" s="69">
        <f t="shared" ref="D3:N3" si="3">C3</f>
        <v>10763</v>
      </c>
      <c r="E3" s="69">
        <f t="shared" si="3"/>
        <v>10763</v>
      </c>
      <c r="F3" s="69">
        <f t="shared" si="3"/>
        <v>10763</v>
      </c>
      <c r="G3" s="69">
        <f t="shared" si="3"/>
        <v>10763</v>
      </c>
      <c r="H3" s="69">
        <f t="shared" si="3"/>
        <v>10763</v>
      </c>
      <c r="I3" s="69">
        <f t="shared" si="3"/>
        <v>10763</v>
      </c>
      <c r="J3" s="69">
        <f t="shared" si="3"/>
        <v>10763</v>
      </c>
      <c r="K3" s="69">
        <f t="shared" si="3"/>
        <v>10763</v>
      </c>
      <c r="L3" s="69">
        <f t="shared" si="3"/>
        <v>10763</v>
      </c>
      <c r="M3" s="69">
        <f t="shared" si="3"/>
        <v>10763</v>
      </c>
      <c r="N3" s="69">
        <f t="shared" si="3"/>
        <v>10763</v>
      </c>
    </row>
    <row r="4" spans="1:28">
      <c r="A4" s="64" t="s">
        <v>331</v>
      </c>
      <c r="B4" s="206">
        <f>Base!C5</f>
        <v>10801.333333333334</v>
      </c>
      <c r="C4" s="10">
        <f>B4</f>
        <v>10801.333333333334</v>
      </c>
      <c r="D4" s="10">
        <f t="shared" ref="D4:N4" si="4">C4</f>
        <v>10801.333333333334</v>
      </c>
      <c r="E4" s="10">
        <f t="shared" si="4"/>
        <v>10801.333333333334</v>
      </c>
      <c r="F4" s="10">
        <f t="shared" si="4"/>
        <v>10801.333333333334</v>
      </c>
      <c r="G4" s="10">
        <f t="shared" si="4"/>
        <v>10801.333333333334</v>
      </c>
      <c r="H4" s="10">
        <f t="shared" si="4"/>
        <v>10801.333333333334</v>
      </c>
      <c r="I4" s="10">
        <f t="shared" si="4"/>
        <v>10801.333333333334</v>
      </c>
      <c r="J4" s="10">
        <f t="shared" si="4"/>
        <v>10801.333333333334</v>
      </c>
      <c r="K4" s="10">
        <f t="shared" si="4"/>
        <v>10801.333333333334</v>
      </c>
      <c r="L4" s="10">
        <f t="shared" si="4"/>
        <v>10801.333333333334</v>
      </c>
      <c r="M4" s="10">
        <f t="shared" si="4"/>
        <v>10801.333333333334</v>
      </c>
      <c r="N4" s="10">
        <f t="shared" si="4"/>
        <v>10801.333333333334</v>
      </c>
    </row>
    <row r="5" spans="1:28">
      <c r="A5" t="s">
        <v>401</v>
      </c>
      <c r="B5" s="75">
        <f>AVERAGE('Data Input Sheet'!B14:D14)</f>
        <v>10801.333333333334</v>
      </c>
      <c r="C5" s="14">
        <f>B5</f>
        <v>10801.333333333334</v>
      </c>
      <c r="D5" s="14">
        <f t="shared" ref="D5:N5" si="5">C5</f>
        <v>10801.333333333334</v>
      </c>
      <c r="E5" s="14">
        <f t="shared" si="5"/>
        <v>10801.333333333334</v>
      </c>
      <c r="F5" s="14">
        <f t="shared" si="5"/>
        <v>10801.333333333334</v>
      </c>
      <c r="G5" s="14">
        <f t="shared" si="5"/>
        <v>10801.333333333334</v>
      </c>
      <c r="H5" s="14">
        <f t="shared" si="5"/>
        <v>10801.333333333334</v>
      </c>
      <c r="I5" s="14">
        <f t="shared" si="5"/>
        <v>10801.333333333334</v>
      </c>
      <c r="J5" s="14">
        <f t="shared" si="5"/>
        <v>10801.333333333334</v>
      </c>
      <c r="K5" s="14">
        <f t="shared" si="5"/>
        <v>10801.333333333334</v>
      </c>
      <c r="L5" s="14">
        <f t="shared" si="5"/>
        <v>10801.333333333334</v>
      </c>
      <c r="M5" s="14">
        <f t="shared" si="5"/>
        <v>10801.333333333334</v>
      </c>
      <c r="N5" s="14">
        <f t="shared" si="5"/>
        <v>10801.333333333334</v>
      </c>
    </row>
    <row r="6" spans="1:28">
      <c r="A6" t="s">
        <v>334</v>
      </c>
      <c r="B6" s="69">
        <f>'Data Input Sheet'!D14</f>
        <v>10825</v>
      </c>
      <c r="C6" s="69">
        <f>B6</f>
        <v>10825</v>
      </c>
      <c r="D6" s="69">
        <f t="shared" ref="D6:N7" si="6">C6</f>
        <v>10825</v>
      </c>
      <c r="E6" s="69">
        <f t="shared" si="6"/>
        <v>10825</v>
      </c>
      <c r="F6" s="69">
        <f t="shared" si="6"/>
        <v>10825</v>
      </c>
      <c r="G6" s="69">
        <f t="shared" si="6"/>
        <v>10825</v>
      </c>
      <c r="H6" s="69">
        <f t="shared" si="6"/>
        <v>10825</v>
      </c>
      <c r="I6" s="69">
        <f t="shared" si="6"/>
        <v>10825</v>
      </c>
      <c r="J6" s="69">
        <f t="shared" si="6"/>
        <v>10825</v>
      </c>
      <c r="K6" s="69">
        <f t="shared" si="6"/>
        <v>10825</v>
      </c>
      <c r="L6" s="69">
        <f t="shared" si="6"/>
        <v>10825</v>
      </c>
      <c r="M6" s="69">
        <f t="shared" si="6"/>
        <v>10825</v>
      </c>
      <c r="N6" s="69">
        <f t="shared" si="6"/>
        <v>10825</v>
      </c>
    </row>
    <row r="7" spans="1:28">
      <c r="A7" t="s">
        <v>374</v>
      </c>
      <c r="B7" s="64">
        <f>'Data Input Sheet'!E14</f>
        <v>10521</v>
      </c>
      <c r="C7" s="64">
        <f>B7</f>
        <v>10521</v>
      </c>
      <c r="D7" s="64">
        <f t="shared" si="6"/>
        <v>10521</v>
      </c>
      <c r="E7" s="64">
        <f t="shared" si="6"/>
        <v>10521</v>
      </c>
      <c r="F7" s="64">
        <f t="shared" si="6"/>
        <v>10521</v>
      </c>
      <c r="G7" s="64">
        <f t="shared" si="6"/>
        <v>10521</v>
      </c>
      <c r="H7" s="64">
        <f t="shared" si="6"/>
        <v>10521</v>
      </c>
      <c r="I7" s="64">
        <f t="shared" si="6"/>
        <v>10521</v>
      </c>
      <c r="J7" s="64">
        <f t="shared" si="6"/>
        <v>10521</v>
      </c>
      <c r="K7" s="64">
        <f t="shared" si="6"/>
        <v>10521</v>
      </c>
      <c r="L7" s="64">
        <f t="shared" si="6"/>
        <v>10521</v>
      </c>
      <c r="M7" s="64">
        <f t="shared" si="6"/>
        <v>10521</v>
      </c>
      <c r="N7" s="64">
        <f t="shared" si="6"/>
        <v>10521</v>
      </c>
    </row>
    <row r="15" spans="1:28">
      <c r="A15" s="3" t="s">
        <v>350</v>
      </c>
      <c r="B15">
        <f>Base!C3</f>
        <v>2013</v>
      </c>
      <c r="C15">
        <f>Base!D3</f>
        <v>2014</v>
      </c>
      <c r="D15">
        <f>Base!E3</f>
        <v>2015</v>
      </c>
      <c r="E15">
        <f>Base!F3</f>
        <v>2016</v>
      </c>
      <c r="F15">
        <f>Base!G3</f>
        <v>2017</v>
      </c>
      <c r="G15">
        <f>Base!H3</f>
        <v>2018</v>
      </c>
      <c r="H15">
        <f>Base!I3</f>
        <v>2019</v>
      </c>
      <c r="I15">
        <f>Base!J3</f>
        <v>2020</v>
      </c>
      <c r="J15">
        <f>Base!K3</f>
        <v>2021</v>
      </c>
      <c r="K15">
        <f>Base!L3</f>
        <v>2022</v>
      </c>
      <c r="L15">
        <f>Base!M3</f>
        <v>2023</v>
      </c>
      <c r="M15">
        <f>Base!N3</f>
        <v>2024</v>
      </c>
      <c r="N15">
        <f>Base!O3</f>
        <v>2025</v>
      </c>
    </row>
    <row r="16" spans="1:28">
      <c r="A16" s="64" t="s">
        <v>333</v>
      </c>
      <c r="B16">
        <f>B17</f>
        <v>13694</v>
      </c>
      <c r="C16">
        <f>P16*1.2</f>
        <v>16432.8</v>
      </c>
      <c r="D16">
        <f t="shared" ref="D16:N16" si="7">Q16*1.2</f>
        <v>16761.456000000002</v>
      </c>
      <c r="E16">
        <f t="shared" si="7"/>
        <v>17096.685119999998</v>
      </c>
      <c r="F16">
        <f t="shared" si="7"/>
        <v>17438.6188224</v>
      </c>
      <c r="G16">
        <f t="shared" si="7"/>
        <v>17787.391198847999</v>
      </c>
      <c r="H16">
        <f t="shared" si="7"/>
        <v>18143.139022824958</v>
      </c>
      <c r="I16">
        <f t="shared" si="7"/>
        <v>18506.001803281459</v>
      </c>
      <c r="J16">
        <f t="shared" si="7"/>
        <v>18876.121839347088</v>
      </c>
      <c r="K16">
        <f t="shared" si="7"/>
        <v>19253.644276134033</v>
      </c>
      <c r="L16">
        <f t="shared" si="7"/>
        <v>19638.717161656714</v>
      </c>
      <c r="M16">
        <f t="shared" si="7"/>
        <v>20031.491504889844</v>
      </c>
      <c r="N16">
        <f t="shared" si="7"/>
        <v>20432.121334987642</v>
      </c>
      <c r="P16">
        <f>B17</f>
        <v>13694</v>
      </c>
      <c r="Q16">
        <f>P16*1.02</f>
        <v>13967.880000000001</v>
      </c>
      <c r="R16">
        <f t="shared" ref="R16:AB16" si="8">Q16*1.02</f>
        <v>14247.2376</v>
      </c>
      <c r="S16">
        <f t="shared" si="8"/>
        <v>14532.182352</v>
      </c>
      <c r="T16">
        <f t="shared" si="8"/>
        <v>14822.82599904</v>
      </c>
      <c r="U16">
        <f t="shared" si="8"/>
        <v>15119.2825190208</v>
      </c>
      <c r="V16">
        <f t="shared" si="8"/>
        <v>15421.668169401217</v>
      </c>
      <c r="W16">
        <f t="shared" si="8"/>
        <v>15730.101532789242</v>
      </c>
      <c r="X16">
        <f t="shared" si="8"/>
        <v>16044.703563445028</v>
      </c>
      <c r="Y16">
        <f t="shared" si="8"/>
        <v>16365.597634713928</v>
      </c>
      <c r="Z16">
        <f t="shared" si="8"/>
        <v>16692.909587408205</v>
      </c>
      <c r="AA16">
        <f t="shared" si="8"/>
        <v>17026.767779156369</v>
      </c>
      <c r="AB16">
        <f t="shared" si="8"/>
        <v>17367.303134739497</v>
      </c>
    </row>
    <row r="17" spans="1:14">
      <c r="A17" t="s">
        <v>330</v>
      </c>
      <c r="B17">
        <f>CHOOSE(Calculations!$A$35,'Data Input Sheet'!B28,'Data Input Sheet'!B29)</f>
        <v>13694</v>
      </c>
      <c r="C17">
        <f>B17</f>
        <v>13694</v>
      </c>
      <c r="D17">
        <f t="shared" ref="D17:N17" si="9">C17</f>
        <v>13694</v>
      </c>
      <c r="E17">
        <f t="shared" si="9"/>
        <v>13694</v>
      </c>
      <c r="F17">
        <f t="shared" si="9"/>
        <v>13694</v>
      </c>
      <c r="G17">
        <f t="shared" si="9"/>
        <v>13694</v>
      </c>
      <c r="H17">
        <f t="shared" si="9"/>
        <v>13694</v>
      </c>
      <c r="I17">
        <f t="shared" si="9"/>
        <v>13694</v>
      </c>
      <c r="J17">
        <f t="shared" si="9"/>
        <v>13694</v>
      </c>
      <c r="K17">
        <f t="shared" si="9"/>
        <v>13694</v>
      </c>
      <c r="L17">
        <f t="shared" si="9"/>
        <v>13694</v>
      </c>
      <c r="M17">
        <f t="shared" si="9"/>
        <v>13694</v>
      </c>
      <c r="N17">
        <f t="shared" si="9"/>
        <v>13694</v>
      </c>
    </row>
    <row r="18" spans="1:14">
      <c r="A18" s="64" t="s">
        <v>401</v>
      </c>
      <c r="B18" s="10">
        <f>CHOOSE(Calculations!$A$35,AVERAGE('Data Input Sheet'!B28:D28),AVERAGE('Data Input Sheet'!B29:D29))</f>
        <v>15279.666666666666</v>
      </c>
      <c r="C18" s="10">
        <f>B18</f>
        <v>15279.666666666666</v>
      </c>
      <c r="D18" s="10">
        <f t="shared" ref="D18:N18" si="10">C18</f>
        <v>15279.666666666666</v>
      </c>
      <c r="E18" s="10">
        <f t="shared" si="10"/>
        <v>15279.666666666666</v>
      </c>
      <c r="F18" s="10">
        <f t="shared" si="10"/>
        <v>15279.666666666666</v>
      </c>
      <c r="G18" s="10">
        <f t="shared" si="10"/>
        <v>15279.666666666666</v>
      </c>
      <c r="H18" s="10">
        <f t="shared" si="10"/>
        <v>15279.666666666666</v>
      </c>
      <c r="I18" s="10">
        <f t="shared" si="10"/>
        <v>15279.666666666666</v>
      </c>
      <c r="J18" s="10">
        <f t="shared" si="10"/>
        <v>15279.666666666666</v>
      </c>
      <c r="K18" s="10">
        <f t="shared" si="10"/>
        <v>15279.666666666666</v>
      </c>
      <c r="L18" s="10">
        <f t="shared" si="10"/>
        <v>15279.666666666666</v>
      </c>
      <c r="M18" s="10">
        <f t="shared" si="10"/>
        <v>15279.666666666666</v>
      </c>
      <c r="N18" s="10">
        <f t="shared" si="10"/>
        <v>15279.666666666666</v>
      </c>
    </row>
    <row r="19" spans="1:14">
      <c r="A19" t="s">
        <v>332</v>
      </c>
      <c r="B19" s="14">
        <f>Base!C24</f>
        <v>14348.25</v>
      </c>
      <c r="C19" s="14">
        <f>B19</f>
        <v>14348.25</v>
      </c>
      <c r="D19" s="14">
        <f t="shared" ref="D19:N19" si="11">C19</f>
        <v>14348.25</v>
      </c>
      <c r="E19" s="14">
        <f t="shared" si="11"/>
        <v>14348.25</v>
      </c>
      <c r="F19" s="14">
        <f t="shared" si="11"/>
        <v>14348.25</v>
      </c>
      <c r="G19" s="14">
        <f t="shared" si="11"/>
        <v>14348.25</v>
      </c>
      <c r="H19" s="14">
        <f t="shared" si="11"/>
        <v>14348.25</v>
      </c>
      <c r="I19" s="14">
        <f t="shared" si="11"/>
        <v>14348.25</v>
      </c>
      <c r="J19" s="14">
        <f t="shared" si="11"/>
        <v>14348.25</v>
      </c>
      <c r="K19" s="14">
        <f t="shared" si="11"/>
        <v>14348.25</v>
      </c>
      <c r="L19" s="14">
        <f t="shared" si="11"/>
        <v>14348.25</v>
      </c>
      <c r="M19" s="14">
        <f t="shared" si="11"/>
        <v>14348.25</v>
      </c>
      <c r="N19" s="14">
        <f t="shared" si="11"/>
        <v>14348.25</v>
      </c>
    </row>
    <row r="20" spans="1:14">
      <c r="A20" t="s">
        <v>374</v>
      </c>
      <c r="B20">
        <f>CHOOSE(Calculations!$A$35,'Data Input Sheet'!E28,'Data Input Sheet'!E29)</f>
        <v>17491</v>
      </c>
      <c r="C20">
        <f>B20</f>
        <v>17491</v>
      </c>
      <c r="D20">
        <f t="shared" ref="D20:N20" si="12">C20</f>
        <v>17491</v>
      </c>
      <c r="E20">
        <f t="shared" si="12"/>
        <v>17491</v>
      </c>
      <c r="F20">
        <f t="shared" si="12"/>
        <v>17491</v>
      </c>
      <c r="G20">
        <f t="shared" si="12"/>
        <v>17491</v>
      </c>
      <c r="H20">
        <f t="shared" si="12"/>
        <v>17491</v>
      </c>
      <c r="I20">
        <f t="shared" si="12"/>
        <v>17491</v>
      </c>
      <c r="J20">
        <f t="shared" si="12"/>
        <v>17491</v>
      </c>
      <c r="K20">
        <f t="shared" si="12"/>
        <v>17491</v>
      </c>
      <c r="L20">
        <f t="shared" si="12"/>
        <v>17491</v>
      </c>
      <c r="M20">
        <f t="shared" si="12"/>
        <v>17491</v>
      </c>
      <c r="N20">
        <f t="shared" si="12"/>
        <v>17491</v>
      </c>
    </row>
    <row r="30" spans="1:14">
      <c r="A30" s="23">
        <v>0.01</v>
      </c>
      <c r="B30" t="s">
        <v>263</v>
      </c>
    </row>
    <row r="31" spans="1:14">
      <c r="A31" s="23">
        <v>0.02</v>
      </c>
      <c r="B31" t="s">
        <v>262</v>
      </c>
    </row>
    <row r="32" spans="1:14">
      <c r="A32" s="23">
        <v>0.03</v>
      </c>
      <c r="B32" t="s">
        <v>264</v>
      </c>
    </row>
    <row r="33" spans="1:2">
      <c r="A33" s="23">
        <v>0.04</v>
      </c>
      <c r="B33" t="s">
        <v>272</v>
      </c>
    </row>
    <row r="34" spans="1:2">
      <c r="A34" s="23">
        <v>0.05</v>
      </c>
      <c r="B34" t="s">
        <v>254</v>
      </c>
    </row>
    <row r="35" spans="1:2" ht="16" thickBot="1">
      <c r="A35" s="23">
        <v>0.06</v>
      </c>
      <c r="B35" t="s">
        <v>23</v>
      </c>
    </row>
    <row r="36" spans="1:2" ht="16" thickBot="1">
      <c r="A36" s="23">
        <v>7.0000000000000007E-2</v>
      </c>
      <c r="B36" s="109" t="s">
        <v>30</v>
      </c>
    </row>
    <row r="37" spans="1:2">
      <c r="A37" s="23">
        <v>0.08</v>
      </c>
    </row>
    <row r="38" spans="1:2">
      <c r="A38" s="23">
        <v>0.09</v>
      </c>
      <c r="B38" t="s">
        <v>259</v>
      </c>
    </row>
    <row r="39" spans="1:2">
      <c r="A39" s="23">
        <v>0.1</v>
      </c>
      <c r="B39" t="s">
        <v>260</v>
      </c>
    </row>
    <row r="40" spans="1:2">
      <c r="A40" s="23">
        <v>0.11</v>
      </c>
      <c r="B40" t="s">
        <v>261</v>
      </c>
    </row>
    <row r="41" spans="1:2">
      <c r="A41" s="23">
        <v>0.12</v>
      </c>
      <c r="B41" t="s">
        <v>273</v>
      </c>
    </row>
    <row r="42" spans="1:2">
      <c r="A42" s="23">
        <v>0.13</v>
      </c>
    </row>
    <row r="43" spans="1:2">
      <c r="A43" s="23">
        <v>0.14000000000000001</v>
      </c>
      <c r="B43" t="s">
        <v>413</v>
      </c>
    </row>
    <row r="44" spans="1:2">
      <c r="A44" s="23">
        <v>0.15</v>
      </c>
      <c r="B44" t="s">
        <v>414</v>
      </c>
    </row>
    <row r="45" spans="1:2">
      <c r="A45" s="23">
        <v>0.16</v>
      </c>
    </row>
    <row r="46" spans="1:2">
      <c r="A46" s="23">
        <v>0.17</v>
      </c>
    </row>
    <row r="47" spans="1:2">
      <c r="A47" s="23">
        <v>0.18</v>
      </c>
    </row>
    <row r="48" spans="1:2">
      <c r="A48" s="23">
        <v>0.19</v>
      </c>
    </row>
    <row r="49" spans="1:1">
      <c r="A49" s="23">
        <v>0.2</v>
      </c>
    </row>
    <row r="50" spans="1:1">
      <c r="A50" s="23">
        <v>0.21</v>
      </c>
    </row>
    <row r="51" spans="1:1">
      <c r="A51" s="23">
        <v>0.22</v>
      </c>
    </row>
    <row r="52" spans="1:1">
      <c r="A52" s="23">
        <v>0.23</v>
      </c>
    </row>
    <row r="53" spans="1:1">
      <c r="A53" s="23">
        <v>0.24</v>
      </c>
    </row>
    <row r="54" spans="1:1">
      <c r="A54" s="23">
        <v>0.25</v>
      </c>
    </row>
    <row r="55" spans="1:1">
      <c r="A55" s="23">
        <v>0.26</v>
      </c>
    </row>
    <row r="56" spans="1:1">
      <c r="A56" s="23">
        <v>0.27</v>
      </c>
    </row>
    <row r="57" spans="1:1">
      <c r="A57" s="23">
        <v>0.28000000000000003</v>
      </c>
    </row>
    <row r="58" spans="1:1">
      <c r="A58" s="23">
        <v>0.28999999999999998</v>
      </c>
    </row>
    <row r="59" spans="1:1">
      <c r="A59" s="23">
        <v>0.3</v>
      </c>
    </row>
    <row r="60" spans="1:1">
      <c r="A60" s="23">
        <v>0.31</v>
      </c>
    </row>
    <row r="61" spans="1:1">
      <c r="A61" s="23">
        <v>0.32</v>
      </c>
    </row>
    <row r="62" spans="1:1">
      <c r="A62" s="23">
        <v>0.33</v>
      </c>
    </row>
    <row r="63" spans="1:1">
      <c r="A63" s="23">
        <v>0.34</v>
      </c>
    </row>
    <row r="64" spans="1:1">
      <c r="A64" s="23">
        <v>0.35</v>
      </c>
    </row>
    <row r="65" spans="1:1">
      <c r="A65" s="23">
        <v>0.36</v>
      </c>
    </row>
    <row r="66" spans="1:1">
      <c r="A66" s="23">
        <v>0.37</v>
      </c>
    </row>
    <row r="67" spans="1:1">
      <c r="A67" s="23">
        <v>0.38</v>
      </c>
    </row>
    <row r="68" spans="1:1">
      <c r="A68" s="23">
        <v>0.39</v>
      </c>
    </row>
    <row r="69" spans="1:1">
      <c r="A69" s="23">
        <v>0.4</v>
      </c>
    </row>
    <row r="70" spans="1:1">
      <c r="A70" s="23">
        <v>0.41</v>
      </c>
    </row>
    <row r="71" spans="1:1">
      <c r="A71" s="23">
        <v>0.42</v>
      </c>
    </row>
    <row r="72" spans="1:1">
      <c r="A72" s="23">
        <v>0.43</v>
      </c>
    </row>
    <row r="73" spans="1:1">
      <c r="A73" s="23">
        <v>0.44</v>
      </c>
    </row>
    <row r="74" spans="1:1">
      <c r="A74" s="23">
        <v>0.45</v>
      </c>
    </row>
    <row r="75" spans="1:1">
      <c r="A75" s="23">
        <v>0.46</v>
      </c>
    </row>
    <row r="76" spans="1:1">
      <c r="A76" s="23">
        <v>0.47</v>
      </c>
    </row>
    <row r="77" spans="1:1">
      <c r="A77" s="23">
        <v>0.48</v>
      </c>
    </row>
    <row r="78" spans="1:1">
      <c r="A78" s="23">
        <v>0.49</v>
      </c>
    </row>
    <row r="79" spans="1:1">
      <c r="A79" s="23">
        <v>0.5</v>
      </c>
    </row>
    <row r="80" spans="1:1">
      <c r="A80" s="23">
        <v>0.51</v>
      </c>
    </row>
    <row r="81" spans="1:1">
      <c r="A81" s="23">
        <v>0.52</v>
      </c>
    </row>
    <row r="82" spans="1:1">
      <c r="A82" s="23">
        <v>0.53</v>
      </c>
    </row>
    <row r="83" spans="1:1">
      <c r="A83" s="23">
        <v>0.54</v>
      </c>
    </row>
    <row r="84" spans="1:1">
      <c r="A84" s="23">
        <v>0.55000000000000004</v>
      </c>
    </row>
    <row r="85" spans="1:1">
      <c r="A85" s="23">
        <v>0.56000000000000005</v>
      </c>
    </row>
    <row r="86" spans="1:1">
      <c r="A86" s="23">
        <v>0.56999999999999995</v>
      </c>
    </row>
    <row r="87" spans="1:1">
      <c r="A87" s="23">
        <v>0.57999999999999996</v>
      </c>
    </row>
    <row r="88" spans="1:1">
      <c r="A88" s="23">
        <v>0.59</v>
      </c>
    </row>
    <row r="89" spans="1:1">
      <c r="A89" s="23">
        <v>0.6</v>
      </c>
    </row>
    <row r="90" spans="1:1">
      <c r="A90" s="23">
        <v>0.61</v>
      </c>
    </row>
    <row r="91" spans="1:1">
      <c r="A91" s="23">
        <v>0.62</v>
      </c>
    </row>
    <row r="92" spans="1:1">
      <c r="A92" s="23">
        <v>0.63</v>
      </c>
    </row>
    <row r="93" spans="1:1">
      <c r="A93" s="23">
        <v>0.64</v>
      </c>
    </row>
    <row r="94" spans="1:1">
      <c r="A94" s="23">
        <v>0.65</v>
      </c>
    </row>
    <row r="95" spans="1:1">
      <c r="A95" s="23">
        <v>0.66</v>
      </c>
    </row>
    <row r="96" spans="1:1">
      <c r="A96" s="23">
        <v>0.67</v>
      </c>
    </row>
    <row r="97" spans="1:1">
      <c r="A97" s="23">
        <v>0.68</v>
      </c>
    </row>
    <row r="98" spans="1:1">
      <c r="A98" s="23">
        <v>0.69</v>
      </c>
    </row>
    <row r="99" spans="1:1">
      <c r="A99" s="23">
        <v>0.7</v>
      </c>
    </row>
    <row r="100" spans="1:1">
      <c r="A100" s="23">
        <v>0.71</v>
      </c>
    </row>
    <row r="101" spans="1:1">
      <c r="A101" s="23">
        <v>0.72</v>
      </c>
    </row>
    <row r="102" spans="1:1">
      <c r="A102" s="23">
        <v>0.73</v>
      </c>
    </row>
    <row r="103" spans="1:1">
      <c r="A103" s="23">
        <v>0.74</v>
      </c>
    </row>
    <row r="104" spans="1:1">
      <c r="A104" s="23">
        <v>0.75</v>
      </c>
    </row>
    <row r="105" spans="1:1">
      <c r="A105" s="23">
        <v>0.76</v>
      </c>
    </row>
    <row r="106" spans="1:1">
      <c r="A106" s="23">
        <v>0.77</v>
      </c>
    </row>
    <row r="107" spans="1:1">
      <c r="A107" s="23">
        <v>0.78</v>
      </c>
    </row>
    <row r="108" spans="1:1">
      <c r="A108" s="23">
        <v>0.79</v>
      </c>
    </row>
    <row r="109" spans="1:1">
      <c r="A109" s="23">
        <v>0.8</v>
      </c>
    </row>
    <row r="110" spans="1:1">
      <c r="A110" s="23">
        <v>0.81</v>
      </c>
    </row>
    <row r="111" spans="1:1">
      <c r="A111" s="23">
        <v>0.82</v>
      </c>
    </row>
    <row r="112" spans="1:1">
      <c r="A112" s="23">
        <v>0.83</v>
      </c>
    </row>
    <row r="113" spans="1:1">
      <c r="A113" s="23">
        <v>0.84</v>
      </c>
    </row>
    <row r="114" spans="1:1">
      <c r="A114" s="23">
        <v>0.85</v>
      </c>
    </row>
    <row r="115" spans="1:1">
      <c r="A115" s="23">
        <v>0.86</v>
      </c>
    </row>
    <row r="116" spans="1:1">
      <c r="A116" s="23">
        <v>0.87</v>
      </c>
    </row>
    <row r="117" spans="1:1">
      <c r="A117" s="23">
        <v>0.88</v>
      </c>
    </row>
    <row r="118" spans="1:1">
      <c r="A118" s="23">
        <v>0.89</v>
      </c>
    </row>
    <row r="119" spans="1:1">
      <c r="A119" s="23">
        <v>0.9</v>
      </c>
    </row>
    <row r="120" spans="1:1">
      <c r="A120" s="23">
        <v>0.91</v>
      </c>
    </row>
    <row r="121" spans="1:1">
      <c r="A121" s="23">
        <v>0.92</v>
      </c>
    </row>
    <row r="122" spans="1:1">
      <c r="A122" s="23">
        <v>0.93</v>
      </c>
    </row>
    <row r="123" spans="1:1">
      <c r="A123" s="23">
        <v>0.94</v>
      </c>
    </row>
    <row r="124" spans="1:1">
      <c r="A124" s="23">
        <v>0.95</v>
      </c>
    </row>
    <row r="125" spans="1:1">
      <c r="A125" s="23">
        <v>0.96</v>
      </c>
    </row>
    <row r="126" spans="1:1">
      <c r="A126" s="23">
        <v>0.97</v>
      </c>
    </row>
    <row r="127" spans="1:1">
      <c r="A127" s="23">
        <v>0.98</v>
      </c>
    </row>
    <row r="128" spans="1:1">
      <c r="A128" s="23">
        <v>0.99</v>
      </c>
    </row>
    <row r="129" spans="1:1">
      <c r="A129" s="23">
        <v>1</v>
      </c>
    </row>
    <row r="130" spans="1:1">
      <c r="A130" s="23">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O132"/>
  <sheetViews>
    <sheetView topLeftCell="A22" zoomScale="85" zoomScaleNormal="85" zoomScalePageLayoutView="85" workbookViewId="0">
      <selection activeCell="J31" sqref="J31:N31"/>
    </sheetView>
  </sheetViews>
  <sheetFormatPr defaultColWidth="11" defaultRowHeight="15.5"/>
  <cols>
    <col min="1" max="1" width="75" customWidth="1"/>
    <col min="2" max="14" width="14.33203125" bestFit="1" customWidth="1"/>
  </cols>
  <sheetData>
    <row r="1" spans="1:14" ht="26">
      <c r="A1" s="27" t="s">
        <v>37</v>
      </c>
    </row>
    <row r="2" spans="1:14">
      <c r="B2" s="309"/>
      <c r="C2" s="309"/>
      <c r="D2" s="309"/>
      <c r="E2" s="310" t="s">
        <v>1</v>
      </c>
      <c r="F2" s="310"/>
      <c r="G2" s="310"/>
      <c r="H2" s="310"/>
      <c r="I2" s="310"/>
      <c r="J2" s="310"/>
      <c r="K2" s="310"/>
      <c r="L2" s="310"/>
      <c r="M2" s="310"/>
      <c r="N2" s="310"/>
    </row>
    <row r="3" spans="1:14">
      <c r="A3" s="3" t="s">
        <v>38</v>
      </c>
      <c r="B3" s="2">
        <f>'Data Input Sheet'!B5</f>
        <v>2013</v>
      </c>
      <c r="C3" s="2">
        <f>'Data Input Sheet'!C5</f>
        <v>2014</v>
      </c>
      <c r="D3" s="2">
        <f>'Data Input Sheet'!D5</f>
        <v>2015</v>
      </c>
      <c r="E3" s="2">
        <f>'Data Input Sheet'!E5</f>
        <v>2016</v>
      </c>
      <c r="F3" s="2">
        <f>'Data Input Sheet'!F5</f>
        <v>2017</v>
      </c>
      <c r="G3" s="2">
        <f>'Data Input Sheet'!G5</f>
        <v>2018</v>
      </c>
      <c r="H3" s="2">
        <f>'Data Input Sheet'!H5</f>
        <v>2019</v>
      </c>
      <c r="I3" s="2">
        <f>'Data Input Sheet'!I5</f>
        <v>2020</v>
      </c>
      <c r="J3" s="2">
        <f>'Data Input Sheet'!J5</f>
        <v>2021</v>
      </c>
      <c r="K3" s="2">
        <f>'Data Input Sheet'!K5</f>
        <v>2022</v>
      </c>
      <c r="L3" s="2">
        <f>'Data Input Sheet'!L5</f>
        <v>2023</v>
      </c>
      <c r="M3" s="2">
        <f>'Data Input Sheet'!M5</f>
        <v>2024</v>
      </c>
      <c r="N3" s="2">
        <f>'Data Input Sheet'!N5</f>
        <v>2025</v>
      </c>
    </row>
    <row r="4" spans="1:14">
      <c r="A4" s="17" t="s">
        <v>39</v>
      </c>
      <c r="I4" s="10"/>
      <c r="M4" s="10"/>
    </row>
    <row r="5" spans="1:14">
      <c r="A5" s="5" t="s">
        <v>40</v>
      </c>
      <c r="B5" s="49">
        <f>('Data Input Sheet'!B10*1000)/('Data Input Sheet'!B$41/1000)</f>
        <v>211.49541991521656</v>
      </c>
      <c r="C5" s="49">
        <f>('Data Input Sheet'!C10*1000)/('Data Input Sheet'!C$41/1000)</f>
        <v>209.16657468899353</v>
      </c>
      <c r="D5" s="49">
        <f>('Data Input Sheet'!D10*1000)/('Data Input Sheet'!D$41/1000)</f>
        <v>201.50631234320949</v>
      </c>
      <c r="E5" s="49">
        <f>('Data Input Sheet'!E10*1000)/('Data Input Sheet'!E$41/1000)</f>
        <v>319.83406180443882</v>
      </c>
      <c r="F5" s="49">
        <f>('Data Input Sheet'!F10*1000)/('Data Input Sheet'!F$41/1000)</f>
        <v>319.74369461446486</v>
      </c>
      <c r="G5" s="49">
        <f>('Data Input Sheet'!G10*1000)/('Data Input Sheet'!G$41/1000)</f>
        <v>317.31595997892902</v>
      </c>
      <c r="H5" s="49">
        <f>('Data Input Sheet'!H10*1000)/('Data Input Sheet'!H$41/1000)</f>
        <v>312.73333253526715</v>
      </c>
      <c r="I5" s="49">
        <f>('Data Input Sheet'!I10*1000)/('Data Input Sheet'!I$41/1000)</f>
        <v>310.565140686782</v>
      </c>
      <c r="J5" s="24">
        <f>('Data Input Sheet'!J10*1000)/('Data Input Sheet'!J$41/1000)</f>
        <v>308.57321218781129</v>
      </c>
      <c r="K5" s="24">
        <f>('Data Input Sheet'!K10*1000)/('Data Input Sheet'!K$41/1000)</f>
        <v>308.71280649325706</v>
      </c>
      <c r="L5" s="24">
        <f>('Data Input Sheet'!L10*1000)/('Data Input Sheet'!L$41/1000)</f>
        <v>308.92219795142563</v>
      </c>
      <c r="M5" s="24">
        <f>('Data Input Sheet'!M10*1000)/('Data Input Sheet'!M$41/1000)</f>
        <v>309.13158940959426</v>
      </c>
      <c r="N5" s="24">
        <f>('Data Input Sheet'!N10*1000)/('Data Input Sheet'!N$41/1000)</f>
        <v>309.34098086776288</v>
      </c>
    </row>
    <row r="6" spans="1:14">
      <c r="A6" s="5" t="s">
        <v>41</v>
      </c>
      <c r="B6" s="49">
        <f>('Data Input Sheet'!B13*1000)/('Data Input Sheet'!B$41/1000)</f>
        <v>287.04273263569797</v>
      </c>
      <c r="C6" s="49">
        <f>('Data Input Sheet'!C13*1000)/('Data Input Sheet'!C$41/1000)</f>
        <v>283.93405125611412</v>
      </c>
      <c r="D6" s="49">
        <f>('Data Input Sheet'!D13*1000)/('Data Input Sheet'!D$41/1000)</f>
        <v>273.51673450244442</v>
      </c>
      <c r="E6" s="49">
        <f>('Data Input Sheet'!E13*1000)/('Data Input Sheet'!E$41/1000)</f>
        <v>434.13729473701329</v>
      </c>
      <c r="F6" s="49">
        <f>('Data Input Sheet'!F13*1000)/('Data Input Sheet'!F41/1000)</f>
        <v>533.41368736476602</v>
      </c>
      <c r="G6" s="49">
        <f>('Data Input Sheet'!G13*1000)/('Data Input Sheet'!G41/1000)</f>
        <v>529.00374293337427</v>
      </c>
      <c r="H6" s="49">
        <f>('Data Input Sheet'!H13*1000)/('Data Input Sheet'!H41/1000)</f>
        <v>521.12777518957193</v>
      </c>
      <c r="I6" s="49">
        <f>('Data Input Sheet'!I13*1000)/('Data Input Sheet'!I41/1000)</f>
        <v>517.16336352029316</v>
      </c>
      <c r="J6" s="24">
        <f>('Data Input Sheet'!J13*1000)/('Data Input Sheet'!J41/1000)</f>
        <v>513.49765258215962</v>
      </c>
      <c r="K6" s="24">
        <f>('Data Input Sheet'!K13*1000)/('Data Input Sheet'!K41/1000)</f>
        <v>513.49765258215962</v>
      </c>
      <c r="L6" s="24">
        <f>('Data Input Sheet'!L13*1000)/('Data Input Sheet'!L41/1000)</f>
        <v>513.49765258215962</v>
      </c>
      <c r="M6" s="24">
        <f>('Data Input Sheet'!M13*1000)/('Data Input Sheet'!M41/1000)</f>
        <v>513.49765258215962</v>
      </c>
      <c r="N6" s="24">
        <f>('Data Input Sheet'!N13*1000)/('Data Input Sheet'!N41/1000)</f>
        <v>513.49765258215962</v>
      </c>
    </row>
    <row r="7" spans="1:14" ht="29.25" customHeight="1">
      <c r="A7" s="17" t="s">
        <v>124</v>
      </c>
      <c r="B7" s="18"/>
      <c r="C7" s="18"/>
      <c r="D7" s="18"/>
      <c r="E7" s="24"/>
      <c r="F7" s="24"/>
      <c r="G7" s="24"/>
      <c r="H7" s="24"/>
      <c r="I7" s="24"/>
      <c r="J7" s="24"/>
      <c r="K7" s="24"/>
      <c r="L7" s="24"/>
      <c r="M7" s="24"/>
      <c r="N7" s="24"/>
    </row>
    <row r="8" spans="1:14">
      <c r="A8" s="5" t="s">
        <v>40</v>
      </c>
      <c r="B8" s="49">
        <f>'Data Input Sheet'!B10*1000/'Data Input Sheet'!B31</f>
        <v>29.091696824506855</v>
      </c>
      <c r="C8" s="49">
        <f>'Data Input Sheet'!C10*1000/'Data Input Sheet'!C31</f>
        <v>28.722032327936997</v>
      </c>
      <c r="D8" s="49">
        <f>'Data Input Sheet'!D10*1000/'Data Input Sheet'!D31</f>
        <v>28.129843239832642</v>
      </c>
      <c r="E8" s="49">
        <f>'Data Input Sheet'!E10*1000/'Data Input Sheet'!E31</f>
        <v>42.771984972782334</v>
      </c>
      <c r="F8" s="49">
        <f>'Data Input Sheet'!F10*1000/'Data Input Sheet'!F31</f>
        <v>41.090146750524106</v>
      </c>
      <c r="G8" s="49">
        <f>'Data Input Sheet'!G10*1000/'Data Input Sheet'!G31</f>
        <v>39.947497058024801</v>
      </c>
      <c r="H8" s="49">
        <f>'Data Input Sheet'!H10*1000/'Data Input Sheet'!H31</f>
        <v>38.861015755655309</v>
      </c>
      <c r="I8" s="49">
        <f>'Data Input Sheet'!I10*1000/'Data Input Sheet'!I31</f>
        <v>37.814658529696231</v>
      </c>
      <c r="J8" s="24">
        <f>'Data Input Sheet'!J10*1000/'Data Input Sheet'!J31</f>
        <v>36.812216893152147</v>
      </c>
      <c r="K8" s="24">
        <f>'Data Input Sheet'!K10*1000/'Data Input Sheet'!K31</f>
        <v>36.828870237143619</v>
      </c>
      <c r="L8" s="24">
        <f>'Data Input Sheet'!L10*1000/'Data Input Sheet'!L31</f>
        <v>36.85385025313083</v>
      </c>
      <c r="M8" s="24">
        <f>'Data Input Sheet'!M10*1000/'Data Input Sheet'!M31</f>
        <v>36.878830269118041</v>
      </c>
      <c r="N8" s="24">
        <f>'Data Input Sheet'!N10*1000/'Data Input Sheet'!N31</f>
        <v>36.903810285105251</v>
      </c>
    </row>
    <row r="9" spans="1:14">
      <c r="A9" s="5" t="s">
        <v>41</v>
      </c>
      <c r="B9" s="49">
        <f>'Data Input Sheet'!B13*1000/'Data Input Sheet'!B31</f>
        <v>39.483408940312962</v>
      </c>
      <c r="C9" s="49">
        <f>'Data Input Sheet'!C13*1000/'Data Input Sheet'!C31</f>
        <v>38.988844232430608</v>
      </c>
      <c r="D9" s="49">
        <f>'Data Input Sheet'!D13*1000/'Data Input Sheet'!D31</f>
        <v>38.182341662429629</v>
      </c>
      <c r="E9" s="49">
        <f>'Data Input Sheet'!E13*1000/'Data Input Sheet'!E31</f>
        <v>58.057962125277925</v>
      </c>
      <c r="F9" s="49">
        <f>'Data Input Sheet'!F13*1000/'Data Input Sheet'!F31</f>
        <v>68.548800372699745</v>
      </c>
      <c r="G9" s="49">
        <f>'Data Input Sheet'!G13*1000/'Data Input Sheet'!G31</f>
        <v>66.597266226124745</v>
      </c>
      <c r="H9" s="49">
        <f>'Data Input Sheet'!H13*1000/'Data Input Sheet'!H31</f>
        <v>64.756623536660499</v>
      </c>
      <c r="I9" s="49">
        <f>'Data Input Sheet'!I13*1000/'Data Input Sheet'!I31</f>
        <v>62.970222454272339</v>
      </c>
      <c r="J9" s="24">
        <f>'Data Input Sheet'!J13*1000/'Data Input Sheet'!J31</f>
        <v>61.259325872635223</v>
      </c>
      <c r="K9" s="24">
        <f>'Data Input Sheet'!K13*1000/'Data Input Sheet'!K31</f>
        <v>61.259325872635223</v>
      </c>
      <c r="L9" s="24">
        <f>'Data Input Sheet'!L13*1000/'Data Input Sheet'!L31</f>
        <v>61.259325872635223</v>
      </c>
      <c r="M9" s="24">
        <f>'Data Input Sheet'!M13*1000/'Data Input Sheet'!M31</f>
        <v>61.259325872635223</v>
      </c>
      <c r="N9" s="24">
        <f>'Data Input Sheet'!N13*1000/'Data Input Sheet'!N31</f>
        <v>61.259325872635223</v>
      </c>
    </row>
    <row r="10" spans="1:14" ht="44.25" customHeight="1">
      <c r="A10" s="17" t="s">
        <v>42</v>
      </c>
      <c r="B10" s="18"/>
      <c r="C10" s="18"/>
      <c r="E10" s="24"/>
      <c r="F10" s="24"/>
      <c r="G10" s="24"/>
      <c r="H10" s="24"/>
      <c r="I10" s="24"/>
      <c r="J10" s="24"/>
      <c r="K10" s="24"/>
      <c r="L10" s="24"/>
      <c r="M10" s="24"/>
      <c r="N10" s="24"/>
    </row>
    <row r="11" spans="1:14">
      <c r="A11" s="5" t="s">
        <v>40</v>
      </c>
      <c r="B11" s="50">
        <f>'Data Input Sheet'!B10*1000/'Data Input Sheet'!B43</f>
        <v>2.1016671108429175</v>
      </c>
      <c r="C11" s="50">
        <f>'Data Input Sheet'!C10*1000/'Data Input Sheet'!C43</f>
        <v>2.1337272140442782</v>
      </c>
      <c r="D11" s="50">
        <f>'Data Input Sheet'!D10*1000/'Data Input Sheet'!D43</f>
        <v>1.9692721498087764</v>
      </c>
      <c r="E11" s="50">
        <f>'Data Input Sheet'!E10*1000/'Data Input Sheet'!E43</f>
        <v>3.0070841323251774</v>
      </c>
      <c r="F11" s="50">
        <f>'Data Input Sheet'!F10*1000/'Data Input Sheet'!F43</f>
        <v>2.9472561446280743</v>
      </c>
      <c r="G11" s="50">
        <f>'Data Input Sheet'!G10*1000/'Data Input Sheet'!G43</f>
        <v>2.925321765507586</v>
      </c>
      <c r="H11" s="50">
        <f>'Data Input Sheet'!H10*1000/'Data Input Sheet'!H43</f>
        <v>2.9028902661453957</v>
      </c>
      <c r="I11" s="50">
        <f>'Data Input Sheet'!I10*1000/'Data Input Sheet'!I43</f>
        <v>2.8812843041091889</v>
      </c>
      <c r="J11" s="22">
        <f>'Data Input Sheet'!J10*1000/'Data Input Sheet'!J43</f>
        <v>2.8598375565692815</v>
      </c>
      <c r="K11" s="22">
        <f>'Data Input Sheet'!K10*1000/'Data Input Sheet'!K43</f>
        <v>2.8611313080085803</v>
      </c>
      <c r="L11" s="22">
        <f>'Data Input Sheet'!L10*1000/'Data Input Sheet'!L43</f>
        <v>2.863071935167528</v>
      </c>
      <c r="M11" s="22">
        <f>'Data Input Sheet'!M10*1000/'Data Input Sheet'!M43</f>
        <v>2.8650125623264757</v>
      </c>
      <c r="N11" s="22">
        <f>'Data Input Sheet'!N10*1000/'Data Input Sheet'!N43</f>
        <v>2.8669531894854234</v>
      </c>
    </row>
    <row r="12" spans="1:14">
      <c r="A12" s="5" t="s">
        <v>41</v>
      </c>
      <c r="B12" s="50">
        <f>'Data Input Sheet'!B13*1000/'Data Input Sheet'!B43</f>
        <v>2.8523940179355147</v>
      </c>
      <c r="C12" s="50">
        <f>'Data Input Sheet'!C13*1000/'Data Input Sheet'!C43</f>
        <v>2.8964370290034358</v>
      </c>
      <c r="D12" s="50">
        <f>'Data Input Sheet'!D13*1000/'Data Input Sheet'!D43</f>
        <v>2.6730124803480191</v>
      </c>
      <c r="E12" s="50">
        <f>'Data Input Sheet'!E13*1000/'Data Input Sheet'!E43</f>
        <v>4.0817646591140324</v>
      </c>
      <c r="F12" s="50">
        <f>'Data Input Sheet'!F13*1000/'Data Input Sheet'!F43</f>
        <v>4.9167717587366759</v>
      </c>
      <c r="G12" s="50">
        <f>'Data Input Sheet'!G13*1000/'Data Input Sheet'!G43</f>
        <v>4.8768620504961051</v>
      </c>
      <c r="H12" s="50">
        <f>'Data Input Sheet'!H13*1000/'Data Input Sheet'!H43</f>
        <v>4.8372737685235956</v>
      </c>
      <c r="I12" s="50">
        <f>'Data Input Sheet'!I13*1000/'Data Input Sheet'!I43</f>
        <v>4.7980101007992983</v>
      </c>
      <c r="J12" s="22">
        <f>'Data Input Sheet'!J13*1000/'Data Input Sheet'!J43</f>
        <v>4.7590646694594447</v>
      </c>
      <c r="K12" s="22">
        <f>'Data Input Sheet'!K13*1000/'Data Input Sheet'!K43</f>
        <v>4.7590646694594447</v>
      </c>
      <c r="L12" s="22">
        <f>'Data Input Sheet'!L13*1000/'Data Input Sheet'!L43</f>
        <v>4.7590646694594447</v>
      </c>
      <c r="M12" s="22">
        <f>'Data Input Sheet'!M13*1000/'Data Input Sheet'!M43</f>
        <v>4.7590646694594447</v>
      </c>
      <c r="N12" s="22">
        <f>'Data Input Sheet'!N13*1000/'Data Input Sheet'!N43</f>
        <v>4.7590646694594447</v>
      </c>
    </row>
    <row r="13" spans="1:14">
      <c r="A13" s="17" t="s">
        <v>43</v>
      </c>
      <c r="B13" s="18"/>
      <c r="C13" s="18"/>
      <c r="D13" s="18"/>
      <c r="E13" s="24"/>
      <c r="F13" s="24"/>
      <c r="G13" s="24"/>
      <c r="H13" s="24"/>
      <c r="I13" s="24"/>
      <c r="J13" s="24"/>
      <c r="K13" s="24"/>
      <c r="L13" s="24"/>
      <c r="M13" s="24"/>
      <c r="N13" s="24"/>
    </row>
    <row r="14" spans="1:14">
      <c r="A14" s="5" t="s">
        <v>40</v>
      </c>
      <c r="B14" s="24">
        <f>('Data Input Sheet'!B10/'Data Input Sheet'!B49)*1000</f>
        <v>435.77018514983774</v>
      </c>
      <c r="C14" s="24">
        <f>('Data Input Sheet'!C10/'Data Input Sheet'!C49)*1000</f>
        <v>431.89306222347733</v>
      </c>
      <c r="D14" s="24">
        <f>('Data Input Sheet'!D10/'Data Input Sheet'!D49)*1000</f>
        <v>426.36954503249768</v>
      </c>
      <c r="E14" s="24">
        <f>('Data Input Sheet'!E10/'Data Input Sheet'!E49)*1000</f>
        <v>414.39182915506035</v>
      </c>
      <c r="F14" s="24">
        <f>('Data Input Sheet'!F10/'Data Input Sheet'!F49)*1000</f>
        <v>409.47075208913645</v>
      </c>
      <c r="G14" s="24">
        <f>('Data Input Sheet'!G10/'Data Input Sheet'!G49)*1000</f>
        <v>409.74930362116993</v>
      </c>
      <c r="H14" s="24">
        <f>('Data Input Sheet'!H10/'Data Input Sheet'!H49)*1000</f>
        <v>409.93500464252554</v>
      </c>
      <c r="I14" s="24">
        <f>('Data Input Sheet'!I10/'Data Input Sheet'!I49)*1000</f>
        <v>410.21355617455896</v>
      </c>
      <c r="J14" s="24">
        <f>('Data Input Sheet'!J10/'Data Input Sheet'!J49)*1000</f>
        <v>410.49210770659238</v>
      </c>
      <c r="K14" s="24">
        <f>('Data Input Sheet'!K10/'Data Input Sheet'!K49)*1000</f>
        <v>410.67780872794799</v>
      </c>
      <c r="L14" s="24">
        <f>('Data Input Sheet'!L10/'Data Input Sheet'!L49)*1000</f>
        <v>410.95636025998147</v>
      </c>
      <c r="M14" s="24">
        <f>('Data Input Sheet'!M10/'Data Input Sheet'!M49)*1000</f>
        <v>411.23491179201488</v>
      </c>
      <c r="N14" s="24">
        <f>('Data Input Sheet'!N10/'Data Input Sheet'!N49)*1000</f>
        <v>411.51346332404825</v>
      </c>
    </row>
    <row r="15" spans="1:14">
      <c r="A15" s="5" t="s">
        <v>41</v>
      </c>
      <c r="B15" s="24">
        <f>'Data Input Sheet'!B13/'Data Input Sheet'!B49*1000</f>
        <v>591.42966214926514</v>
      </c>
      <c r="C15" s="24">
        <f>'Data Input Sheet'!C13/'Data Input Sheet'!C49*1000</f>
        <v>586.27506354137245</v>
      </c>
      <c r="D15" s="24">
        <f>'Data Input Sheet'!D13/'Data Input Sheet'!D49*1000</f>
        <v>578.73723305478177</v>
      </c>
      <c r="E15" s="24">
        <f>'Data Input Sheet'!E13/'Data Input Sheet'!E49*1000</f>
        <v>562.4883936861653</v>
      </c>
      <c r="F15" s="24">
        <f>'Data Input Sheet'!F13/'Data Input Sheet'!F49*1000</f>
        <v>683.10120705663883</v>
      </c>
      <c r="G15" s="24">
        <f>'Data Input Sheet'!G13/'Data Input Sheet'!G49*1000</f>
        <v>683.10120705663883</v>
      </c>
      <c r="H15" s="24">
        <f>'Data Input Sheet'!H13/'Data Input Sheet'!H49*1000</f>
        <v>683.10120705663883</v>
      </c>
      <c r="I15" s="24">
        <f>'Data Input Sheet'!I13/'Data Input Sheet'!I49*1000</f>
        <v>683.10120705663883</v>
      </c>
      <c r="J15" s="24">
        <f>'Data Input Sheet'!J13/'Data Input Sheet'!J49*1000</f>
        <v>683.10120705663883</v>
      </c>
      <c r="K15" s="24">
        <f>'Data Input Sheet'!K13/'Data Input Sheet'!K49*1000</f>
        <v>683.10120705663883</v>
      </c>
      <c r="L15" s="24">
        <f>'Data Input Sheet'!L13/'Data Input Sheet'!L49*1000</f>
        <v>683.10120705663883</v>
      </c>
      <c r="M15" s="24">
        <f>'Data Input Sheet'!M13/'Data Input Sheet'!M49*1000</f>
        <v>683.10120705663883</v>
      </c>
      <c r="N15" s="24">
        <f>'Data Input Sheet'!N13/'Data Input Sheet'!N49*1000</f>
        <v>683.10120705663883</v>
      </c>
    </row>
    <row r="16" spans="1:14">
      <c r="A16" s="5"/>
      <c r="B16" s="24"/>
      <c r="C16" s="24"/>
      <c r="D16" s="24"/>
      <c r="E16" s="24"/>
      <c r="F16" s="24"/>
      <c r="G16" s="24"/>
      <c r="H16" s="24"/>
      <c r="I16" s="24"/>
      <c r="J16" s="24"/>
      <c r="K16" s="24"/>
      <c r="L16" s="24"/>
      <c r="M16" s="24"/>
      <c r="N16" s="24"/>
    </row>
    <row r="17" spans="1:14">
      <c r="A17" t="s">
        <v>357</v>
      </c>
      <c r="B17" s="127">
        <f>Base!C5*(Base!$C$34/Base!$C$38)</f>
        <v>4581.9797010289267</v>
      </c>
      <c r="C17" s="127">
        <f>Base!D5*(Base!$C$34/Base!$C$38)</f>
        <v>4581.9797010289267</v>
      </c>
      <c r="D17" s="127">
        <f>Base!E5*(Base!$C$34/Base!$C$38)</f>
        <v>4581.9797010289267</v>
      </c>
      <c r="E17" s="127">
        <f>Base!F5*(Base!$C$34/Base!$C$38)</f>
        <v>4581.9797010289267</v>
      </c>
      <c r="F17" s="127">
        <f>Base!G5*(Base!$C$34/Base!$C$38)</f>
        <v>4581.9797010289267</v>
      </c>
      <c r="G17" s="127">
        <f>Base!H5*(Base!$C$34/Base!$C$38)</f>
        <v>4581.9797010289267</v>
      </c>
      <c r="H17" s="127">
        <f>Base!I5*(Base!$C$34/Base!$C$38)</f>
        <v>4581.9797010289267</v>
      </c>
      <c r="I17" s="127">
        <f>Base!J5*(Base!$C$34/Base!$C$38)</f>
        <v>4581.9797010289267</v>
      </c>
      <c r="J17" s="127">
        <f>Base!K5*(Base!$C$34/Base!$C$38)</f>
        <v>4581.9797010289267</v>
      </c>
      <c r="K17" s="127">
        <f>Base!L5*(Base!$C$34/Base!$C$38)</f>
        <v>4581.9797010289267</v>
      </c>
      <c r="L17" s="127">
        <f>Base!M5*(Base!$C$34/Base!$C$38)</f>
        <v>4581.9797010289267</v>
      </c>
      <c r="M17" s="127">
        <f>Base!N5*(Base!$C$34/Base!$C$38)</f>
        <v>4581.9797010289267</v>
      </c>
      <c r="N17" s="127">
        <f>Base!O5*(Base!$C$34/Base!$C$38)</f>
        <v>4581.9797010289267</v>
      </c>
    </row>
    <row r="18" spans="1:14">
      <c r="A18" t="s">
        <v>358</v>
      </c>
      <c r="B18" s="127">
        <f>B17</f>
        <v>4581.9797010289267</v>
      </c>
      <c r="C18" s="127">
        <f>C17</f>
        <v>4581.9797010289267</v>
      </c>
      <c r="D18" s="127">
        <f>D17</f>
        <v>4581.9797010289267</v>
      </c>
      <c r="E18" s="127">
        <f>E17*(1+(((Base!$Q$3/100)*COLUMN(A17))/10))</f>
        <v>4627.7994980392159</v>
      </c>
      <c r="F18" s="127">
        <f>F17*(1+(((Base!$Q$3/100)*COLUMN(B17))/10))</f>
        <v>4673.6192950495051</v>
      </c>
      <c r="G18" s="127">
        <f>G17*(1+(((Base!$Q$3/100)*COLUMN(C17))/10))</f>
        <v>4719.4390920597943</v>
      </c>
      <c r="H18" s="127">
        <f>H17*(1+(((Base!$Q$3/100)*COLUMN(D17))/10))</f>
        <v>4765.2588890700836</v>
      </c>
      <c r="I18" s="127">
        <f>I17*(1+(((Base!$Q$3/100)*COLUMN(E17))/10))</f>
        <v>4811.0786860803728</v>
      </c>
      <c r="J18" s="127">
        <f>J17*(1+(((Base!$Q$3/100)*COLUMN(F17))/10))</f>
        <v>4856.8984830906629</v>
      </c>
      <c r="K18" s="127">
        <f>K17*(1+(((Base!$Q$3/100)*COLUMN(G17))/10))</f>
        <v>4902.7182801009521</v>
      </c>
      <c r="L18" s="127">
        <f>L17*(1+(((Base!$Q$3/100)*COLUMN(H17))/10))</f>
        <v>4948.5380771112414</v>
      </c>
      <c r="M18" s="127">
        <f>M17*(1+(((Base!$Q$3/100)*COLUMN(I17))/10))</f>
        <v>4994.3578741215306</v>
      </c>
      <c r="N18" s="127">
        <f>N17*(1+(((Base!$Q$3/100)*COLUMN(J17))/10))</f>
        <v>5040.1776711318198</v>
      </c>
    </row>
    <row r="19" spans="1:14">
      <c r="A19" s="3" t="s">
        <v>377</v>
      </c>
      <c r="B19" s="18"/>
      <c r="C19" s="18"/>
      <c r="D19" s="18"/>
      <c r="E19" s="24"/>
      <c r="F19" s="24"/>
      <c r="G19" s="24"/>
      <c r="H19" s="24"/>
      <c r="I19" s="24"/>
      <c r="J19" s="24"/>
      <c r="K19" s="24"/>
      <c r="L19" s="24"/>
      <c r="M19" s="24"/>
      <c r="N19" s="24"/>
    </row>
    <row r="20" spans="1:14" ht="37" customHeight="1">
      <c r="A20" s="17" t="s">
        <v>375</v>
      </c>
      <c r="B20" s="18"/>
      <c r="C20" s="18"/>
      <c r="D20" s="18"/>
      <c r="E20" s="24"/>
      <c r="F20" s="24"/>
      <c r="G20" s="24"/>
      <c r="H20" s="24"/>
      <c r="I20" s="24"/>
      <c r="J20" s="24"/>
      <c r="K20" s="24"/>
      <c r="L20" s="24"/>
      <c r="M20" s="24"/>
      <c r="N20" s="24"/>
    </row>
    <row r="21" spans="1:14">
      <c r="A21" s="5" t="s">
        <v>40</v>
      </c>
      <c r="B21" s="49">
        <f>('Data Input Sheet'!B25*1000)/('Data Input Sheet'!B$41/1000)</f>
        <v>679.74053597367561</v>
      </c>
      <c r="C21" s="49">
        <f>('Data Input Sheet'!C25*1000)/('Data Input Sheet'!C$41/1000)</f>
        <v>953.01178668237151</v>
      </c>
      <c r="D21" s="49">
        <f>('Data Input Sheet'!D25*1000)/('Data Input Sheet'!D$41/1000)</f>
        <v>678.37240472858787</v>
      </c>
      <c r="E21" s="49">
        <f>('Data Input Sheet'!E25*1000)/('Data Input Sheet'!E$41/1000)</f>
        <v>1208.8193937972831</v>
      </c>
      <c r="F21" s="49">
        <f>('Data Input Sheet'!F25*1000)/('Data Input Sheet'!F$41/1000)</f>
        <v>1330.5252924875385</v>
      </c>
      <c r="G21" s="49">
        <f>('Data Input Sheet'!G25*1000)/('Data Input Sheet'!G$41/1000)</f>
        <v>1125.5261095740259</v>
      </c>
      <c r="H21" s="49">
        <f>('Data Input Sheet'!H25*1000)/('Data Input Sheet'!H$41/1000)</f>
        <v>1134.9776188476976</v>
      </c>
      <c r="I21" s="49">
        <f>('Data Input Sheet'!I25*1000)/('Data Input Sheet'!I$41/1000)</f>
        <v>1113.6902498643474</v>
      </c>
      <c r="J21" s="24">
        <f>('Data Input Sheet'!J25*1000)/('Data Input Sheet'!J$41/1000)</f>
        <v>1145.859856251368</v>
      </c>
      <c r="K21" s="24">
        <f>('Data Input Sheet'!K25*1000)/('Data Input Sheet'!K$41/1000)</f>
        <v>1291.5265139839992</v>
      </c>
      <c r="L21" s="24">
        <f>('Data Input Sheet'!L25*1000)/('Data Input Sheet'!L$41/1000)</f>
        <v>1308.7664107065482</v>
      </c>
      <c r="M21" s="24">
        <f>('Data Input Sheet'!M25*1000)/('Data Input Sheet'!M$41/1000)</f>
        <v>1331.3806881887583</v>
      </c>
      <c r="N21" s="24">
        <f>('Data Input Sheet'!N25*1000)/('Data Input Sheet'!N$41/1000)</f>
        <v>1343.2462041516462</v>
      </c>
    </row>
    <row r="22" spans="1:14">
      <c r="A22" s="5" t="s">
        <v>41</v>
      </c>
      <c r="B22" s="49">
        <f>('Data Input Sheet'!B26*1000)/('Data Input Sheet'!B$41/1000)</f>
        <v>67.395058251563754</v>
      </c>
      <c r="C22" s="49">
        <f>('Data Input Sheet'!C26*1000)/('Data Input Sheet'!C$41/1000)</f>
        <v>43.72073782187114</v>
      </c>
      <c r="D22" s="49">
        <f>('Data Input Sheet'!D26*1000)/('Data Input Sheet'!D$41/1000)</f>
        <v>45.066851649929475</v>
      </c>
      <c r="E22" s="49">
        <f>('Data Input Sheet'!E26*1000)/('Data Input Sheet'!E$41/1000)</f>
        <v>44.646341139181132</v>
      </c>
      <c r="F22" s="49">
        <f>('Data Input Sheet'!F26*1000)/('Data Input Sheet'!F$41/1000)</f>
        <v>89.470231100736882</v>
      </c>
      <c r="G22" s="49">
        <f>('Data Input Sheet'!G26*1000)/('Data Input Sheet'!G$41/1000)</f>
        <v>121.23152243926452</v>
      </c>
      <c r="H22" s="49">
        <f>('Data Input Sheet'!H26*1000)/('Data Input Sheet'!H$41/1000)</f>
        <v>94.988765329511494</v>
      </c>
      <c r="I22" s="49">
        <f>('Data Input Sheet'!I26*1000)/('Data Input Sheet'!I$41/1000)</f>
        <v>99.678897576699157</v>
      </c>
      <c r="J22" s="24">
        <f>('Data Input Sheet'!J26*1000)/('Data Input Sheet'!J$41/1000)</f>
        <v>118.23637671254293</v>
      </c>
      <c r="K22" s="24">
        <f>('Data Input Sheet'!K26*1000)/('Data Input Sheet'!K$41/1000)</f>
        <v>105.53329491698048</v>
      </c>
      <c r="L22" s="24">
        <f>('Data Input Sheet'!L26*1000)/('Data Input Sheet'!L$41/1000)</f>
        <v>104.48633762613741</v>
      </c>
      <c r="M22" s="24">
        <f>('Data Input Sheet'!M26*1000)/('Data Input Sheet'!M$41/1000)</f>
        <v>120.33029129422906</v>
      </c>
      <c r="N22" s="24">
        <f>('Data Input Sheet'!N26*1000)/('Data Input Sheet'!N$41/1000)</f>
        <v>107.27822373505224</v>
      </c>
    </row>
    <row r="23" spans="1:14" ht="35.25" customHeight="1">
      <c r="A23" s="17" t="s">
        <v>376</v>
      </c>
      <c r="B23" s="18"/>
      <c r="C23" s="18"/>
      <c r="D23" s="18"/>
      <c r="E23" s="24"/>
      <c r="F23" s="24"/>
      <c r="G23" s="24"/>
      <c r="H23" s="24"/>
      <c r="I23" s="24"/>
      <c r="J23" s="24"/>
      <c r="K23" s="24"/>
      <c r="L23" s="24"/>
      <c r="M23" s="24"/>
      <c r="N23" s="24"/>
    </row>
    <row r="24" spans="1:14">
      <c r="A24" s="5" t="s">
        <v>40</v>
      </c>
      <c r="B24" s="51">
        <f>'Data Input Sheet'!B$25*1000/'Data Input Sheet'!B31</f>
        <v>93.499923543503741</v>
      </c>
      <c r="C24" s="51">
        <f>'Data Input Sheet'!C$25*1000/'Data Input Sheet'!C31</f>
        <v>130.86429027532586</v>
      </c>
      <c r="D24" s="51">
        <f>'Data Input Sheet'!D$25*1000/'Data Input Sheet'!D31</f>
        <v>94.699313293678742</v>
      </c>
      <c r="E24" s="51">
        <f>'Data Input Sheet'!E$25*1000/'Data Input Sheet'!E31</f>
        <v>161.65759411178411</v>
      </c>
      <c r="F24" s="51">
        <f>'Data Input Sheet'!F25*1000/'Data Input Sheet'!F31</f>
        <v>170.98532494758911</v>
      </c>
      <c r="G24" s="51">
        <f>'Data Input Sheet'!G25*1000/'Data Input Sheet'!G31</f>
        <v>141.69457771340635</v>
      </c>
      <c r="H24" s="51">
        <f>'Data Input Sheet'!H25*1000/'Data Input Sheet'!H31</f>
        <v>141.0351201478743</v>
      </c>
      <c r="I24" s="51">
        <f>'Data Input Sheet'!I25*1000/'Data Input Sheet'!I31</f>
        <v>135.60381056721988</v>
      </c>
      <c r="J24" s="25">
        <f>'Data Input Sheet'!J25*1000/'Data Input Sheet'!J31</f>
        <v>136.69897415401013</v>
      </c>
      <c r="K24" s="25">
        <f>'Data Input Sheet'!K25*1000/'Data Input Sheet'!K31</f>
        <v>154.07673860911271</v>
      </c>
      <c r="L24" s="25">
        <f>'Data Input Sheet'!L25*1000/'Data Input Sheet'!L31</f>
        <v>156.13342659205969</v>
      </c>
      <c r="M24" s="25">
        <f>'Data Input Sheet'!M25*1000/'Data Input Sheet'!M31</f>
        <v>158.83126831867838</v>
      </c>
      <c r="N24" s="25">
        <f>'Data Input Sheet'!N25*1000/'Data Input Sheet'!N31</f>
        <v>160.24680255795363</v>
      </c>
    </row>
    <row r="25" spans="1:14">
      <c r="A25" s="5" t="s">
        <v>41</v>
      </c>
      <c r="B25" s="49">
        <f>'Data Input Sheet'!B$26*1000/'Data Input Sheet'!B31</f>
        <v>9.2703501707528417</v>
      </c>
      <c r="C25" s="49">
        <f>'Data Input Sheet'!C$26*1000/'Data Input Sheet'!C31</f>
        <v>6.0035808636642498</v>
      </c>
      <c r="D25" s="49">
        <f>'Data Input Sheet'!D$26*1000/'Data Input Sheet'!D31</f>
        <v>6.2912345399190164</v>
      </c>
      <c r="E25" s="49">
        <f>'Data Input Sheet'!E$26*1000/'Data Input Sheet'!E31</f>
        <v>5.9706355899716321</v>
      </c>
      <c r="F25" s="49">
        <f>'Data Input Sheet'!F26*1000/'Data Input Sheet'!F31</f>
        <v>11.497787095271372</v>
      </c>
      <c r="G25" s="49">
        <f>'Data Input Sheet'!G26*1000/'Data Input Sheet'!G31</f>
        <v>15.262062098307233</v>
      </c>
      <c r="H25" s="49">
        <f>'Data Input Sheet'!H26*1000/'Data Input Sheet'!H31</f>
        <v>11.803538420913652</v>
      </c>
      <c r="I25" s="49">
        <f>'Data Input Sheet'!I26*1000/'Data Input Sheet'!I31</f>
        <v>12.136981845882584</v>
      </c>
      <c r="J25" s="24">
        <f>'Data Input Sheet'!J26*1000/'Data Input Sheet'!J31</f>
        <v>14.105382360778044</v>
      </c>
      <c r="K25" s="24">
        <f>'Data Input Sheet'!K26*1000/'Data Input Sheet'!K31</f>
        <v>12.589928057553957</v>
      </c>
      <c r="L25" s="24">
        <f>'Data Input Sheet'!L26*1000/'Data Input Sheet'!L31</f>
        <v>12.465027977617906</v>
      </c>
      <c r="M25" s="24">
        <f>'Data Input Sheet'!M26*1000/'Data Input Sheet'!M31</f>
        <v>14.355182520650146</v>
      </c>
      <c r="N25" s="24">
        <f>'Data Input Sheet'!N26*1000/'Data Input Sheet'!N31</f>
        <v>12.798094857447376</v>
      </c>
    </row>
    <row r="26" spans="1:14" ht="51" customHeight="1">
      <c r="A26" s="17" t="s">
        <v>42</v>
      </c>
      <c r="B26" s="18"/>
      <c r="C26" s="19"/>
      <c r="D26" s="18"/>
      <c r="E26" s="24"/>
      <c r="F26" s="24"/>
      <c r="G26" s="24"/>
      <c r="H26" s="24"/>
      <c r="I26" s="24"/>
      <c r="J26" s="24"/>
      <c r="K26" s="24"/>
      <c r="L26" s="24"/>
      <c r="M26" s="24"/>
      <c r="N26" s="24"/>
    </row>
    <row r="27" spans="1:14">
      <c r="A27" s="5" t="s">
        <v>40</v>
      </c>
      <c r="B27" s="51">
        <f>'Data Input Sheet'!B$25*1000/'Data Input Sheet'!B43</f>
        <v>6.7547010187516028</v>
      </c>
      <c r="C27" s="51">
        <f>'Data Input Sheet'!C$25*1000/'Data Input Sheet'!C43</f>
        <v>9.7217597389672168</v>
      </c>
      <c r="D27" s="51">
        <f>'Data Input Sheet'!D$25*1000/'Data Input Sheet'!D43</f>
        <v>6.6295684154821162</v>
      </c>
      <c r="E27" s="51">
        <f>'Data Input Sheet'!E$25*1000/'Data Input Sheet'!E43</f>
        <v>11.365336129074858</v>
      </c>
      <c r="F27" s="51">
        <f>'Data Input Sheet'!F$25*1000/'Data Input Sheet'!F43</f>
        <v>12.264194446727844</v>
      </c>
      <c r="G27" s="51">
        <f>'Data Input Sheet'!G$25*1000/'Data Input Sheet'!G43</f>
        <v>10.376175299227338</v>
      </c>
      <c r="H27" s="51">
        <f>'Data Input Sheet'!H$25*1000/'Data Input Sheet'!H43</f>
        <v>10.535223269410572</v>
      </c>
      <c r="I27" s="51">
        <f>'Data Input Sheet'!I$25*1000/'Data Input Sheet'!I43</f>
        <v>10.332319427343114</v>
      </c>
      <c r="J27" s="25">
        <f>'Data Input Sheet'!J$25*1000/'Data Input Sheet'!J43</f>
        <v>10.619758689481541</v>
      </c>
      <c r="K27" s="25">
        <f>'Data Input Sheet'!K$25*1000/'Data Input Sheet'!K43</f>
        <v>11.969788316389502</v>
      </c>
      <c r="L27" s="25">
        <f>'Data Input Sheet'!L$25*1000/'Data Input Sheet'!L43</f>
        <v>12.129566619142864</v>
      </c>
      <c r="M27" s="25">
        <f>'Data Input Sheet'!M$25*1000/'Data Input Sheet'!M43</f>
        <v>12.339154352309217</v>
      </c>
      <c r="N27" s="25">
        <f>'Data Input Sheet'!N$25*1000/'Data Input Sheet'!N43</f>
        <v>12.449123224649588</v>
      </c>
    </row>
    <row r="28" spans="1:14">
      <c r="A28" s="5" t="s">
        <v>41</v>
      </c>
      <c r="B28" s="50">
        <f>'Data Input Sheet'!B$26*1000/'Data Input Sheet'!B43</f>
        <v>0.6697165234946223</v>
      </c>
      <c r="C28" s="50">
        <f>'Data Input Sheet'!C$26*1000/'Data Input Sheet'!C43</f>
        <v>0.44599921496697092</v>
      </c>
      <c r="D28" s="50">
        <f>'Data Input Sheet'!D$26*1000/'Data Input Sheet'!D43</f>
        <v>0.44042737322596109</v>
      </c>
      <c r="E28" s="50">
        <f>'Data Input Sheet'!E$26*1000/'Data Input Sheet'!E43</f>
        <v>0.41976549729746482</v>
      </c>
      <c r="F28" s="50">
        <f>'Data Input Sheet'!F$26*1000/'Data Input Sheet'!F43</f>
        <v>0.8246970708551119</v>
      </c>
      <c r="G28" s="50">
        <f>'Data Input Sheet'!G$26*1000/'Data Input Sheet'!G43</f>
        <v>1.1176280300579629</v>
      </c>
      <c r="H28" s="50">
        <f>'Data Input Sheet'!H$26*1000/'Data Input Sheet'!H43</f>
        <v>0.88171593361290501</v>
      </c>
      <c r="I28" s="50">
        <f>'Data Input Sheet'!I$26*1000/'Data Input Sheet'!I43</f>
        <v>0.92477617547008373</v>
      </c>
      <c r="J28" s="22">
        <f>'Data Input Sheet'!J$26*1000/'Data Input Sheet'!J43</f>
        <v>1.0958074690858093</v>
      </c>
      <c r="K28" s="22">
        <f>'Data Input Sheet'!K$26*1000/'Data Input Sheet'!K43</f>
        <v>0.97807608810964797</v>
      </c>
      <c r="L28" s="22">
        <f>'Data Input Sheet'!L$26*1000/'Data Input Sheet'!L43</f>
        <v>0.9683729523149095</v>
      </c>
      <c r="M28" s="22">
        <f>'Data Input Sheet'!M$26*1000/'Data Input Sheet'!M43</f>
        <v>1.1152137406752864</v>
      </c>
      <c r="N28" s="22">
        <f>'Data Input Sheet'!N$26*1000/'Data Input Sheet'!N43</f>
        <v>0.99424798110087897</v>
      </c>
    </row>
    <row r="29" spans="1:14">
      <c r="A29" s="5"/>
      <c r="B29" s="50"/>
      <c r="C29" s="50"/>
      <c r="D29" s="50"/>
      <c r="E29" s="50"/>
      <c r="F29" s="50"/>
      <c r="G29" s="50"/>
      <c r="H29" s="50"/>
      <c r="I29" s="50"/>
      <c r="J29" s="22"/>
      <c r="K29" s="22"/>
      <c r="L29" s="22"/>
      <c r="M29" s="22"/>
      <c r="N29" s="22"/>
    </row>
    <row r="30" spans="1:14">
      <c r="A30" s="3" t="s">
        <v>195</v>
      </c>
      <c r="B30" s="50"/>
      <c r="C30" s="50"/>
      <c r="D30" s="50"/>
      <c r="E30" s="50"/>
      <c r="F30" s="50"/>
      <c r="G30" s="50"/>
      <c r="H30" s="50"/>
      <c r="I30" s="50"/>
      <c r="J30" s="22"/>
      <c r="K30" s="22"/>
      <c r="L30" s="22"/>
      <c r="M30" s="22"/>
      <c r="N30" s="22"/>
    </row>
    <row r="31" spans="1:14">
      <c r="A31" s="5" t="s">
        <v>195</v>
      </c>
      <c r="B31" s="50">
        <f>'Data Input Sheet'!B14+CHOOSE(Calculations!$A$35,'Data Input Sheet'!B28,'Data Input Sheet'!B29)</f>
        <v>24457</v>
      </c>
      <c r="C31" s="50">
        <f>'Data Input Sheet'!C14+CHOOSE(Calculations!$A$35,'Data Input Sheet'!C28,'Data Input Sheet'!C29)</f>
        <v>29622</v>
      </c>
      <c r="D31" s="50">
        <f>'Data Input Sheet'!D14+CHOOSE(Calculations!$A$35,'Data Input Sheet'!D28,'Data Input Sheet'!D29)</f>
        <v>24164</v>
      </c>
      <c r="E31" s="50">
        <f>'Data Input Sheet'!E14+CHOOSE(Calculations!$A$35,'Data Input Sheet'!E28,'Data Input Sheet'!E29)</f>
        <v>28012</v>
      </c>
      <c r="F31" s="50">
        <f>'Data Input Sheet'!F14+CHOOSE(Calculations!$A$35,'Data Input Sheet'!F28,'Data Input Sheet'!F29)</f>
        <v>31352</v>
      </c>
      <c r="G31" s="50">
        <f>'Data Input Sheet'!G14+CHOOSE(Calculations!$A$35,'Data Input Sheet'!G28,'Data Input Sheet'!G29)</f>
        <v>29109</v>
      </c>
      <c r="H31" s="50">
        <f>'Data Input Sheet'!H14+CHOOSE(Calculations!$A$35,'Data Input Sheet'!H28,'Data Input Sheet'!H29)</f>
        <v>29136</v>
      </c>
      <c r="I31" s="50">
        <f>'Data Input Sheet'!I14+CHOOSE(Calculations!$A$35,'Data Input Sheet'!I28,'Data Input Sheet'!I29)</f>
        <v>29036</v>
      </c>
      <c r="J31" s="22">
        <f>'Data Input Sheet'!J14+CHOOSE(Calculations!$A$35,'Data Input Sheet'!J28,'Data Input Sheet'!J29)</f>
        <v>29889</v>
      </c>
      <c r="K31" s="22">
        <f>'Data Input Sheet'!K14+CHOOSE(Calculations!$A$35,'Data Input Sheet'!K28,'Data Input Sheet'!K29)</f>
        <v>28180</v>
      </c>
      <c r="L31" s="22">
        <f>'Data Input Sheet'!L14+CHOOSE(Calculations!$A$35,'Data Input Sheet'!L28,'Data Input Sheet'!L29)</f>
        <v>28040</v>
      </c>
      <c r="M31" s="22">
        <f>'Data Input Sheet'!M14+CHOOSE(Calculations!$A$35,'Data Input Sheet'!M28,'Data Input Sheet'!M29)</f>
        <v>28550</v>
      </c>
      <c r="N31" s="22">
        <f>'Data Input Sheet'!N14+CHOOSE(Calculations!$A$35,'Data Input Sheet'!N28,'Data Input Sheet'!N29)</f>
        <v>28423</v>
      </c>
    </row>
    <row r="32" spans="1:14">
      <c r="A32" s="5" t="s">
        <v>196</v>
      </c>
      <c r="B32" s="50">
        <f>B31/'Data Input Sheet'!B43*1000</f>
        <v>11.257221316225413</v>
      </c>
      <c r="C32" s="50">
        <f>C31/'Data Input Sheet'!C43*1000</f>
        <v>13.776213499219617</v>
      </c>
      <c r="D32" s="50">
        <f>D31/'Data Input Sheet'!D43*1000</f>
        <v>10.362694300518134</v>
      </c>
      <c r="E32" s="50">
        <f>E31/'Data Input Sheet'!E43*1000</f>
        <v>18.873950417811532</v>
      </c>
      <c r="F32" s="50">
        <f>F31/'Data Input Sheet'!F43*1000</f>
        <v>20.952919420947708</v>
      </c>
      <c r="G32" s="50">
        <f>G31/'Data Input Sheet'!G43*1000</f>
        <v>19.295987145288994</v>
      </c>
      <c r="H32" s="50">
        <f>H31/'Data Input Sheet'!H43*1000</f>
        <v>19.157103237692468</v>
      </c>
      <c r="I32" s="50">
        <f>I31/'Data Input Sheet'!I43*1000</f>
        <v>18.936390007721684</v>
      </c>
      <c r="J32" s="22">
        <f>J31/'Data Input Sheet'!J43*1000</f>
        <v>19.334468384596079</v>
      </c>
      <c r="K32" s="22">
        <f>K31/'Data Input Sheet'!K43*1000</f>
        <v>18.228957779715529</v>
      </c>
      <c r="L32" s="22">
        <f>L31/'Data Input Sheet'!L43*1000</f>
        <v>18.138395178964636</v>
      </c>
      <c r="M32" s="22">
        <f>M31/'Data Input Sheet'!M43*1000</f>
        <v>18.468301795985749</v>
      </c>
      <c r="N32" s="22">
        <f>N31/'Data Input Sheet'!N43*1000</f>
        <v>18.386148579590294</v>
      </c>
    </row>
    <row r="33" spans="1:14">
      <c r="A33" s="5" t="s">
        <v>343</v>
      </c>
      <c r="B33" s="50">
        <f>(Base!C4+Base!C5)</f>
        <v>26081</v>
      </c>
      <c r="C33" s="50">
        <f>(Base!D4+Base!D5)</f>
        <v>26081</v>
      </c>
      <c r="D33" s="50">
        <f>(Base!E4+Base!E5)</f>
        <v>26081</v>
      </c>
      <c r="E33" s="50">
        <f>(Base!F4+Base!F5)</f>
        <v>26081</v>
      </c>
      <c r="F33" s="50">
        <f>(Base!G4+Base!G5)</f>
        <v>26081</v>
      </c>
      <c r="G33" s="50">
        <f>(Base!H4+Base!H5)</f>
        <v>26081</v>
      </c>
      <c r="H33" s="50">
        <f>(Base!I4+Base!I5)</f>
        <v>26081</v>
      </c>
      <c r="I33" s="50">
        <f>(Base!J4+Base!J5)</f>
        <v>26081</v>
      </c>
      <c r="J33" s="22">
        <f>(Base!K4+Base!K5)</f>
        <v>26081</v>
      </c>
      <c r="K33" s="22">
        <f>(Base!L4+Base!L5)</f>
        <v>26081</v>
      </c>
      <c r="L33" s="22">
        <f>(Base!M4+Base!M5)</f>
        <v>26081</v>
      </c>
      <c r="M33" s="22">
        <f>(Base!N4+Base!N5)</f>
        <v>26081</v>
      </c>
      <c r="N33" s="22">
        <f>(Base!O4+Base!O5)</f>
        <v>26081</v>
      </c>
    </row>
    <row r="34" spans="1:14">
      <c r="A34" s="5" t="s">
        <v>197</v>
      </c>
      <c r="B34" s="50">
        <f>(Base!C4+Base!C5)/'Data Input Sheet'!B43*1000</f>
        <v>12.004726219424908</v>
      </c>
      <c r="C34" s="50">
        <f>(Base!D4+Base!D5)/'Data Input Sheet'!C43*1000</f>
        <v>12.129411392652315</v>
      </c>
      <c r="D34" s="50">
        <f>(Base!E4+Base!E5)/'Data Input Sheet'!D43*1000</f>
        <v>11.184796807308951</v>
      </c>
      <c r="E34" s="50">
        <f>(Base!F4+Base!F5)/'Data Input Sheet'!E43*1000</f>
        <v>17.572879510457753</v>
      </c>
      <c r="F34" s="50">
        <f>(Base!G4+Base!G5)/'Data Input Sheet'!F43*1000</f>
        <v>17.430246600463676</v>
      </c>
      <c r="G34" s="50">
        <f>(Base!H4+Base!H5)/'Data Input Sheet'!G43*1000</f>
        <v>17.288764324995096</v>
      </c>
      <c r="H34" s="50">
        <f>(Base!I4+Base!I5)/'Data Input Sheet'!H43*1000</f>
        <v>17.148421524651884</v>
      </c>
      <c r="I34" s="50">
        <f>(Base!J4+Base!J5)/'Data Input Sheet'!I43*1000</f>
        <v>17.009229501012168</v>
      </c>
      <c r="J34" s="22">
        <f>(Base!K4+Base!K5)/'Data Input Sheet'!J43*1000</f>
        <v>16.871165644171779</v>
      </c>
      <c r="K34" s="22">
        <f>(Base!L4+Base!L5)/'Data Input Sheet'!K43*1000</f>
        <v>16.871165644171779</v>
      </c>
      <c r="L34" s="22">
        <f>(Base!M4+Base!M5)/'Data Input Sheet'!L43*1000</f>
        <v>16.871165644171779</v>
      </c>
      <c r="M34" s="22">
        <f>(Base!N4+Base!N5)/'Data Input Sheet'!M43*1000</f>
        <v>16.871165644171779</v>
      </c>
      <c r="N34" s="22">
        <f>(Base!O4+Base!O5)/'Data Input Sheet'!N43*1000</f>
        <v>16.871165644171779</v>
      </c>
    </row>
    <row r="35" spans="1:14">
      <c r="B35" s="18"/>
      <c r="C35" s="18"/>
      <c r="D35" s="18"/>
      <c r="E35" s="24"/>
      <c r="F35" s="24"/>
      <c r="G35" s="24"/>
      <c r="H35" s="24"/>
      <c r="I35" s="24"/>
      <c r="J35" s="24"/>
      <c r="K35" s="24"/>
      <c r="L35" s="24"/>
      <c r="M35" s="22"/>
      <c r="N35" s="22"/>
    </row>
    <row r="36" spans="1:14">
      <c r="A36" s="224" t="s">
        <v>176</v>
      </c>
      <c r="B36" s="18"/>
      <c r="C36" s="18"/>
      <c r="D36" s="18"/>
      <c r="E36" s="24"/>
      <c r="F36" s="24"/>
      <c r="G36" s="24"/>
      <c r="H36" s="24"/>
      <c r="I36" s="24"/>
      <c r="J36" s="24"/>
      <c r="K36" s="24"/>
      <c r="L36" s="24"/>
      <c r="M36" s="22"/>
      <c r="N36" s="22"/>
    </row>
    <row r="37" spans="1:14">
      <c r="A37" s="5" t="str">
        <f>"$000 per "&amp;'Data Input Sheet'!A35&amp;" ICPs"</f>
        <v>$000 per Residential ICPs</v>
      </c>
      <c r="B37" s="18">
        <f>IFERROR('Data Input Sheet'!B$20/'Data Input Sheet'!B35,"")</f>
        <v>4.0867052023121389</v>
      </c>
      <c r="C37" s="18">
        <f>IFERROR('Data Input Sheet'!C$20/'Data Input Sheet'!C35,"")</f>
        <v>4.8262486716259296</v>
      </c>
      <c r="D37" s="18">
        <f>IFERROR('Data Input Sheet'!D$20/'Data Input Sheet'!D35,"")</f>
        <v>3.7747697460228857</v>
      </c>
      <c r="E37" s="18">
        <f>IFERROR('Data Input Sheet'!E$20/'Data Input Sheet'!E35,"")</f>
        <v>4.7418513689700132</v>
      </c>
      <c r="F37" s="18">
        <f>IFERROR('Data Input Sheet'!F$20/'Data Input Sheet'!F35,"")</f>
        <v>4.7394034536891683</v>
      </c>
      <c r="G37" s="18">
        <f>IFERROR('Data Input Sheet'!G$20/'Data Input Sheet'!G35,"")</f>
        <v>3.694311377245509</v>
      </c>
      <c r="H37" s="18">
        <f>IFERROR('Data Input Sheet'!H$20/'Data Input Sheet'!H35,"")</f>
        <v>3.696762696762697</v>
      </c>
      <c r="I37" s="18">
        <f>IFERROR('Data Input Sheet'!I$20/'Data Input Sheet'!I35,"")</f>
        <v>3.6726535341830822</v>
      </c>
      <c r="J37" s="18">
        <f>IFERROR('Data Input Sheet'!J$20/'Data Input Sheet'!J35,"")</f>
        <v>3.6640893470790377</v>
      </c>
      <c r="K37" s="18">
        <f>IFERROR('Data Input Sheet'!K$20/'Data Input Sheet'!K35,"")</f>
        <v>4.2328178694158076</v>
      </c>
      <c r="L37" s="18">
        <f>IFERROR('Data Input Sheet'!L$20/'Data Input Sheet'!L35,"")</f>
        <v>4.2474226804123711</v>
      </c>
      <c r="M37" s="18">
        <f>IFERROR('Data Input Sheet'!M$20/'Data Input Sheet'!M35,"")</f>
        <v>4.1752577319587632</v>
      </c>
      <c r="N37" s="18">
        <f>IFERROR('Data Input Sheet'!N$20/'Data Input Sheet'!N35,"")</f>
        <v>4.2239404352806416</v>
      </c>
    </row>
    <row r="38" spans="1:14">
      <c r="A38" s="5" t="str">
        <f>"$000 per "&amp;'Data Input Sheet'!A36&amp;" ICPs"</f>
        <v>$000 per Commercial ICPs</v>
      </c>
      <c r="B38" s="18">
        <f>IFERROR('Data Input Sheet'!B$20/'Data Input Sheet'!B36,"")</f>
        <v>41.861842105263158</v>
      </c>
      <c r="C38" s="18">
        <f>IFERROR('Data Input Sheet'!C$20/'Data Input Sheet'!C36,"")</f>
        <v>64.418439716312051</v>
      </c>
      <c r="D38" s="18">
        <f>IFERROR('Data Input Sheet'!D$20/'Data Input Sheet'!D36,"")</f>
        <v>40.737951807228917</v>
      </c>
      <c r="E38" s="18">
        <f>IFERROR('Data Input Sheet'!E$20/'Data Input Sheet'!E36,"")</f>
        <v>83.609195402298852</v>
      </c>
      <c r="F38" s="18">
        <f>IFERROR('Data Input Sheet'!F$20/'Data Input Sheet'!F36,"")</f>
        <v>77.015306122448976</v>
      </c>
      <c r="G38" s="18">
        <f>IFERROR('Data Input Sheet'!G$20/'Data Input Sheet'!G36,"")</f>
        <v>60.190243902439022</v>
      </c>
      <c r="H38" s="18">
        <f>IFERROR('Data Input Sheet'!H$20/'Data Input Sheet'!H36,"")</f>
        <v>61.92537313432836</v>
      </c>
      <c r="I38" s="18">
        <f>IFERROR('Data Input Sheet'!I$20/'Data Input Sheet'!I36,"")</f>
        <v>63.39</v>
      </c>
      <c r="J38" s="18">
        <f>IFERROR('Data Input Sheet'!J$20/'Data Input Sheet'!J36,"")</f>
        <v>63.975000000000001</v>
      </c>
      <c r="K38" s="18">
        <f>IFERROR('Data Input Sheet'!K$20/'Data Input Sheet'!K36,"")</f>
        <v>73.905000000000001</v>
      </c>
      <c r="L38" s="18">
        <f>IFERROR('Data Input Sheet'!L$20/'Data Input Sheet'!L36,"")</f>
        <v>74.16</v>
      </c>
      <c r="M38" s="18">
        <f>IFERROR('Data Input Sheet'!M$20/'Data Input Sheet'!M36,"")</f>
        <v>72.900000000000006</v>
      </c>
      <c r="N38" s="18">
        <f>IFERROR('Data Input Sheet'!N$20/'Data Input Sheet'!N36,"")</f>
        <v>73.75</v>
      </c>
    </row>
    <row r="39" spans="1:14">
      <c r="A39" s="5" t="str">
        <f>"$000 per "&amp;'Data Input Sheet'!A37&amp;" ICPs"</f>
        <v>$000 per  ICPs</v>
      </c>
      <c r="B39" s="18" t="str">
        <f>IFERROR('Data Input Sheet'!B$20/'Data Input Sheet'!B37,"")</f>
        <v/>
      </c>
      <c r="C39" s="18" t="str">
        <f>IFERROR('Data Input Sheet'!C$20/'Data Input Sheet'!C37,"")</f>
        <v/>
      </c>
      <c r="D39" s="18" t="str">
        <f>IFERROR('Data Input Sheet'!D$20/'Data Input Sheet'!D37,"")</f>
        <v/>
      </c>
      <c r="E39" s="18" t="str">
        <f>IFERROR('Data Input Sheet'!E$20/'Data Input Sheet'!E37,"")</f>
        <v/>
      </c>
      <c r="F39" s="18" t="str">
        <f>IFERROR('Data Input Sheet'!F$20/'Data Input Sheet'!F37,"")</f>
        <v/>
      </c>
      <c r="G39" s="18" t="str">
        <f>IFERROR('Data Input Sheet'!G$20/'Data Input Sheet'!G37,"")</f>
        <v/>
      </c>
      <c r="H39" s="18" t="str">
        <f>IFERROR('Data Input Sheet'!H$20/'Data Input Sheet'!H37,"")</f>
        <v/>
      </c>
      <c r="I39" s="18" t="str">
        <f>IFERROR('Data Input Sheet'!I$20/'Data Input Sheet'!I37,"")</f>
        <v/>
      </c>
      <c r="J39" s="18" t="str">
        <f>IFERROR('Data Input Sheet'!J$20/'Data Input Sheet'!J37,"")</f>
        <v/>
      </c>
      <c r="K39" s="18" t="str">
        <f>IFERROR('Data Input Sheet'!K$20/'Data Input Sheet'!K37,"")</f>
        <v/>
      </c>
      <c r="L39" s="18" t="str">
        <f>IFERROR('Data Input Sheet'!L$20/'Data Input Sheet'!L37,"")</f>
        <v/>
      </c>
      <c r="M39" s="18" t="str">
        <f>IFERROR('Data Input Sheet'!M$20/'Data Input Sheet'!M37,"")</f>
        <v/>
      </c>
      <c r="N39" s="18" t="str">
        <f>IFERROR('Data Input Sheet'!N$20/'Data Input Sheet'!N37,"")</f>
        <v/>
      </c>
    </row>
    <row r="40" spans="1:14">
      <c r="A40" s="5" t="s">
        <v>223</v>
      </c>
      <c r="B40" s="70">
        <f>IFERROR('Data Input Sheet'!B20/'Data Input Sheet'!B39,'Data Input Sheet'!B20)</f>
        <v>3.7232299590403746</v>
      </c>
      <c r="C40" s="70">
        <f>IFERROR('Data Input Sheet'!C20/'Data Input Sheet'!C39,'Data Input Sheet'!C20)</f>
        <v>4.4898665348492335</v>
      </c>
      <c r="D40" s="70">
        <f>IFERROR('Data Input Sheet'!D20/'Data Input Sheet'!D39,'Data Input Sheet'!D20)</f>
        <v>3.4546615581098341</v>
      </c>
      <c r="E40" s="70">
        <f>IFERROR('Data Input Sheet'!E20/'Data Input Sheet'!E39,'Data Input Sheet'!E20)</f>
        <v>4.4873534855027764</v>
      </c>
      <c r="F40" s="70">
        <f>IFERROR('Data Input Sheet'!F20/'Data Input Sheet'!F39,'Data Input Sheet'!F20)</f>
        <v>4.4646554273883465</v>
      </c>
      <c r="G40" s="70">
        <f>IFERROR('Data Input Sheet'!G20/'Data Input Sheet'!G39,'Data Input Sheet'!G20)</f>
        <v>3.4806770098730606</v>
      </c>
      <c r="H40" s="70">
        <f>IFERROR('Data Input Sheet'!H20/'Data Input Sheet'!H39,'Data Input Sheet'!H20)</f>
        <v>3.4885089686098656</v>
      </c>
      <c r="I40" s="70">
        <f>IFERROR('Data Input Sheet'!I20/'Data Input Sheet'!I39,'Data Input Sheet'!I20)</f>
        <v>3.4715224534501643</v>
      </c>
      <c r="J40" s="70">
        <f>IFERROR('Data Input Sheet'!J20/'Data Input Sheet'!J39,'Data Input Sheet'!J20)</f>
        <v>3.4656013001083426</v>
      </c>
      <c r="K40" s="70">
        <f>IFERROR('Data Input Sheet'!K20/'Data Input Sheet'!K39,'Data Input Sheet'!K20)</f>
        <v>4.003521126760563</v>
      </c>
      <c r="L40" s="70">
        <f>IFERROR('Data Input Sheet'!L20/'Data Input Sheet'!L39,'Data Input Sheet'!L20)</f>
        <v>4.0173347778981583</v>
      </c>
      <c r="M40" s="70">
        <f>IFERROR('Data Input Sheet'!M20/'Data Input Sheet'!M39,'Data Input Sheet'!M20)</f>
        <v>3.9490790899241603</v>
      </c>
      <c r="N40" s="70">
        <f>IFERROR('Data Input Sheet'!N20/'Data Input Sheet'!N39,'Data Input Sheet'!N20)</f>
        <v>3.995124593716143</v>
      </c>
    </row>
    <row r="41" spans="1:14">
      <c r="A41" s="5" t="s">
        <v>222</v>
      </c>
      <c r="B41" s="70">
        <f>IFERROR(B53/'Data Input Sheet'!B39,B53)</f>
        <v>3.7208769739511633</v>
      </c>
      <c r="C41" s="70">
        <f>IFERROR(C53/'Data Input Sheet'!C39,C53)</f>
        <v>3.1433409532785657</v>
      </c>
      <c r="D41" s="70">
        <f>IFERROR(D53/'Data Input Sheet'!D39,D53)</f>
        <v>3.2485204334521267</v>
      </c>
      <c r="E41" s="70">
        <f>IFERROR(E53/'Data Input Sheet'!E39,E53)</f>
        <v>3.9228739965962607</v>
      </c>
      <c r="F41" s="70">
        <f>IFERROR(F53/'Data Input Sheet'!F39,F53)</f>
        <v>3.7615964202795258</v>
      </c>
      <c r="G41" s="70">
        <f>IFERROR(G53/'Data Input Sheet'!G39,G53)</f>
        <v>3.5875761627546057</v>
      </c>
      <c r="H41" s="70">
        <f>IFERROR(H53/'Data Input Sheet'!H39,H53)</f>
        <v>3.5644499711224991</v>
      </c>
      <c r="I41" s="70">
        <f>IFERROR(I53/'Data Input Sheet'!I39,I53)</f>
        <v>3.4824637176793747</v>
      </c>
      <c r="J41" s="70">
        <f>IFERROR(J53/'Data Input Sheet'!J39,J53)</f>
        <v>3.4447338832516459</v>
      </c>
      <c r="K41" s="70">
        <f>IFERROR(K53/'Data Input Sheet'!K39,K53)</f>
        <v>3.4447338832516459</v>
      </c>
      <c r="L41" s="70">
        <f>IFERROR(L53/'Data Input Sheet'!L39,L53)</f>
        <v>3.4447338832516459</v>
      </c>
      <c r="M41" s="70">
        <f>IFERROR(M53/'Data Input Sheet'!M39,M53)</f>
        <v>3.4447338832516459</v>
      </c>
      <c r="N41" s="70">
        <f>IFERROR(N53/'Data Input Sheet'!N39,N53)</f>
        <v>3.4447338832516459</v>
      </c>
    </row>
    <row r="42" spans="1:14">
      <c r="B42" s="18"/>
      <c r="C42" s="18"/>
      <c r="D42" s="18"/>
      <c r="E42" s="18"/>
      <c r="F42" s="18"/>
      <c r="G42" s="18"/>
      <c r="H42" s="18"/>
      <c r="I42" s="18"/>
      <c r="J42" s="18"/>
      <c r="K42" s="18"/>
      <c r="L42" s="18"/>
      <c r="M42" s="18"/>
      <c r="N42" s="18"/>
    </row>
    <row r="43" spans="1:14">
      <c r="A43" s="5"/>
      <c r="B43" s="18"/>
      <c r="C43" s="18"/>
      <c r="D43" s="18"/>
      <c r="E43" s="24"/>
      <c r="F43" s="24"/>
      <c r="G43" s="24"/>
      <c r="H43" s="24"/>
      <c r="I43" s="24"/>
      <c r="J43" s="24"/>
      <c r="K43" s="24"/>
      <c r="L43" s="24"/>
      <c r="M43" s="22"/>
      <c r="N43" s="22"/>
    </row>
    <row r="44" spans="1:14">
      <c r="A44" s="20" t="s">
        <v>177</v>
      </c>
      <c r="B44" s="18">
        <f>'Data Input Sheet'!B$21*1000</f>
        <v>215000</v>
      </c>
      <c r="C44" s="18">
        <f>'Data Input Sheet'!C$21*1000</f>
        <v>307000</v>
      </c>
      <c r="D44" s="18">
        <f>'Data Input Sheet'!D$21*1000</f>
        <v>229000</v>
      </c>
      <c r="E44" s="18">
        <f>'Data Input Sheet'!E$21*1000</f>
        <v>294000</v>
      </c>
      <c r="F44" s="18">
        <f>'Data Input Sheet'!F$21*1000</f>
        <v>994000</v>
      </c>
      <c r="G44" s="18">
        <f>'Data Input Sheet'!G$21*1000</f>
        <v>1295000</v>
      </c>
      <c r="H44" s="18">
        <f>'Data Input Sheet'!H$21*1000</f>
        <v>1646000</v>
      </c>
      <c r="I44" s="18">
        <f>'Data Input Sheet'!I$21*1000</f>
        <v>799000</v>
      </c>
      <c r="J44" s="18">
        <f>'Data Input Sheet'!J$21*1000</f>
        <v>1623000</v>
      </c>
      <c r="K44" s="18">
        <f>'Data Input Sheet'!K$21*1000</f>
        <v>449000</v>
      </c>
      <c r="L44" s="18">
        <f>'Data Input Sheet'!L$21*1000</f>
        <v>517000</v>
      </c>
      <c r="M44" s="18">
        <f>'Data Input Sheet'!M$21*1000</f>
        <v>1093000</v>
      </c>
      <c r="N44" s="18">
        <f>'Data Input Sheet'!N$21*1000</f>
        <v>1093000</v>
      </c>
    </row>
    <row r="45" spans="1:14">
      <c r="A45" s="5" t="s">
        <v>185</v>
      </c>
      <c r="B45" s="130"/>
      <c r="C45" s="131">
        <f>('Data Input Sheet'!C49-'Data Input Sheet'!B49)/'Data Input Sheet'!B49</f>
        <v>1.3838518801297958E-2</v>
      </c>
      <c r="D45" s="131">
        <f>('Data Input Sheet'!D49-'Data Input Sheet'!C49)/'Data Input Sheet'!C49</f>
        <v>1.383789889861621E-2</v>
      </c>
      <c r="E45" s="131">
        <f>('Data Input Sheet'!E49-'Data Input Sheet'!D49)/'Data Input Sheet'!D49</f>
        <v>0</v>
      </c>
      <c r="F45" s="131">
        <f>('Data Input Sheet'!F49-'Data Input Sheet'!E49)/'Data Input Sheet'!E49</f>
        <v>0</v>
      </c>
      <c r="G45" s="131">
        <f>('Data Input Sheet'!G49-'Data Input Sheet'!F49)/'Data Input Sheet'!F49</f>
        <v>0</v>
      </c>
      <c r="H45" s="131">
        <f>('Data Input Sheet'!H49-'Data Input Sheet'!G49)/'Data Input Sheet'!G49</f>
        <v>0</v>
      </c>
      <c r="I45" s="131">
        <f>('Data Input Sheet'!I49-'Data Input Sheet'!H49)/'Data Input Sheet'!H49</f>
        <v>0</v>
      </c>
      <c r="J45" s="131">
        <f>('Data Input Sheet'!J49-'Data Input Sheet'!I49)/'Data Input Sheet'!I49</f>
        <v>0</v>
      </c>
      <c r="K45" s="131">
        <f>('Data Input Sheet'!K49-'Data Input Sheet'!J49)/'Data Input Sheet'!J49</f>
        <v>0</v>
      </c>
      <c r="L45" s="131">
        <f>('Data Input Sheet'!L49-'Data Input Sheet'!K49)/'Data Input Sheet'!K49</f>
        <v>0</v>
      </c>
      <c r="M45" s="131">
        <f>('Data Input Sheet'!M49-'Data Input Sheet'!L49)/'Data Input Sheet'!L49</f>
        <v>0</v>
      </c>
      <c r="N45" s="131">
        <f>('Data Input Sheet'!N49-'Data Input Sheet'!M49)/'Data Input Sheet'!M49</f>
        <v>0</v>
      </c>
    </row>
    <row r="46" spans="1:14">
      <c r="A46" s="5" t="s">
        <v>178</v>
      </c>
      <c r="B46" s="129"/>
      <c r="C46" s="131">
        <f>('Data Input Sheet'!C41-'Data Input Sheet'!B41)/'Data Input Sheet'!B41</f>
        <v>1.6005793659028253E-2</v>
      </c>
      <c r="D46" s="131">
        <f>('Data Input Sheet'!D41-'Data Input Sheet'!C41)/'Data Input Sheet'!C41</f>
        <v>3.8919981977390952E-2</v>
      </c>
      <c r="E46" s="131">
        <f>('Data Input Sheet'!E41-'Data Input Sheet'!D41)/'Data Input Sheet'!D41</f>
        <v>-0.3876651895388033</v>
      </c>
      <c r="F46" s="131">
        <f>('Data Input Sheet'!F41-'Data Input Sheet'!E41)/'Data Input Sheet'!E41</f>
        <v>-1.1596152560345836E-2</v>
      </c>
      <c r="G46" s="131">
        <f>('Data Input Sheet'!G41-'Data Input Sheet'!F41)/'Data Input Sheet'!F41</f>
        <v>8.3363199037839748E-3</v>
      </c>
      <c r="H46" s="131">
        <f>('Data Input Sheet'!H41-'Data Input Sheet'!G41)/'Data Input Sheet'!G41</f>
        <v>1.511331408297557E-2</v>
      </c>
      <c r="I46" s="131">
        <f>('Data Input Sheet'!I41-'Data Input Sheet'!H41)/'Data Input Sheet'!H41</f>
        <v>7.6656854466515536E-3</v>
      </c>
      <c r="J46" s="131">
        <f>('Data Input Sheet'!J41-'Data Input Sheet'!I41)/'Data Input Sheet'!I41</f>
        <v>7.1387102155194134E-3</v>
      </c>
      <c r="K46" s="131">
        <f>('Data Input Sheet'!K41-'Data Input Sheet'!J41)/'Data Input Sheet'!J41</f>
        <v>0</v>
      </c>
      <c r="L46" s="131">
        <f>('Data Input Sheet'!L41-'Data Input Sheet'!K41)/'Data Input Sheet'!K41</f>
        <v>0</v>
      </c>
      <c r="M46" s="131">
        <f>('Data Input Sheet'!M41-'Data Input Sheet'!L41)/'Data Input Sheet'!L41</f>
        <v>0</v>
      </c>
      <c r="N46" s="131">
        <f>('Data Input Sheet'!N41-'Data Input Sheet'!M41)/'Data Input Sheet'!M41</f>
        <v>0</v>
      </c>
    </row>
    <row r="47" spans="1:14">
      <c r="A47" s="5" t="s">
        <v>179</v>
      </c>
      <c r="B47" s="127"/>
      <c r="C47" s="131">
        <f>('Data Input Sheet'!C31-'Data Input Sheet'!B31)/'Data Input Sheet'!B31</f>
        <v>1.7750649880218156E-2</v>
      </c>
      <c r="D47" s="131">
        <f>('Data Input Sheet'!D31-'Data Input Sheet'!C31)/'Data Input Sheet'!C31</f>
        <v>2.1942180320274448E-2</v>
      </c>
      <c r="E47" s="131">
        <f>('Data Input Sheet'!E31-'Data Input Sheet'!D31)/'Data Input Sheet'!D31</f>
        <v>-0.36080567007467396</v>
      </c>
      <c r="F47" s="131">
        <f>('Data Input Sheet'!F31-'Data Input Sheet'!E31)/'Data Input Sheet'!E31</f>
        <v>2.8568964195353829E-2</v>
      </c>
      <c r="G47" s="131">
        <f>('Data Input Sheet'!G31-'Data Input Sheet'!F31)/'Data Input Sheet'!F31</f>
        <v>2.9303517353831819E-2</v>
      </c>
      <c r="H47" s="131">
        <f>('Data Input Sheet'!H31-'Data Input Sheet'!G31)/'Data Input Sheet'!G31</f>
        <v>2.8424006517606591E-2</v>
      </c>
      <c r="I47" s="131">
        <f>('Data Input Sheet'!I31-'Data Input Sheet'!H31)/'Data Input Sheet'!H31</f>
        <v>2.8368981603732066E-2</v>
      </c>
      <c r="J47" s="131">
        <f>('Data Input Sheet'!J31-'Data Input Sheet'!I31)/'Data Input Sheet'!I31</f>
        <v>2.7928753006427977E-2</v>
      </c>
      <c r="K47" s="131">
        <f>('Data Input Sheet'!K31-'Data Input Sheet'!J31)/'Data Input Sheet'!J31</f>
        <v>0</v>
      </c>
      <c r="L47" s="131">
        <f>('Data Input Sheet'!L31-'Data Input Sheet'!K31)/'Data Input Sheet'!K31</f>
        <v>0</v>
      </c>
      <c r="M47" s="131">
        <f>('Data Input Sheet'!M31-'Data Input Sheet'!L31)/'Data Input Sheet'!L31</f>
        <v>0</v>
      </c>
      <c r="N47" s="131">
        <f>('Data Input Sheet'!N31-'Data Input Sheet'!M31)/'Data Input Sheet'!M31</f>
        <v>0</v>
      </c>
    </row>
    <row r="48" spans="1:14">
      <c r="A48" s="5" t="s">
        <v>186</v>
      </c>
      <c r="B48" s="127"/>
      <c r="C48" s="131">
        <f>('Data Input Sheet'!C21-'Data Input Sheet'!B21)/'Data Input Sheet'!C21</f>
        <v>0.29967426710097722</v>
      </c>
      <c r="D48" s="131">
        <f>('Data Input Sheet'!D21-'Data Input Sheet'!C21)/'Data Input Sheet'!D21</f>
        <v>-0.34061135371179041</v>
      </c>
      <c r="E48" s="131">
        <f>('Data Input Sheet'!E21-'Data Input Sheet'!D21)/'Data Input Sheet'!E21</f>
        <v>0.22108843537414966</v>
      </c>
      <c r="F48" s="131">
        <f>('Data Input Sheet'!F21-'Data Input Sheet'!E21)/'Data Input Sheet'!F21</f>
        <v>0.70422535211267601</v>
      </c>
      <c r="G48" s="131">
        <f>('Data Input Sheet'!G21-'Data Input Sheet'!F21)/'Data Input Sheet'!G21</f>
        <v>0.23243243243243245</v>
      </c>
      <c r="H48" s="131">
        <f>('Data Input Sheet'!H21-'Data Input Sheet'!G21)/'Data Input Sheet'!H21</f>
        <v>0.2132442284325638</v>
      </c>
      <c r="I48" s="131">
        <f>('Data Input Sheet'!I21-'Data Input Sheet'!H21)/'Data Input Sheet'!I21</f>
        <v>-1.0600750938673342</v>
      </c>
      <c r="J48" s="131">
        <f>('Data Input Sheet'!J21-'Data Input Sheet'!I21)/'Data Input Sheet'!J21</f>
        <v>0.50770178681454092</v>
      </c>
      <c r="K48" s="131">
        <f>('Data Input Sheet'!K21-'Data Input Sheet'!J21)/'Data Input Sheet'!K21</f>
        <v>-2.6146993318485525</v>
      </c>
      <c r="L48" s="131">
        <f>('Data Input Sheet'!L21-'Data Input Sheet'!K21)/'Data Input Sheet'!L21</f>
        <v>0.13152804642166344</v>
      </c>
      <c r="M48" s="131">
        <f>('Data Input Sheet'!M21-'Data Input Sheet'!L21)/'Data Input Sheet'!M21</f>
        <v>0.52698993595608412</v>
      </c>
      <c r="N48" s="131">
        <f>('Data Input Sheet'!N21-'Data Input Sheet'!M21)/'Data Input Sheet'!N21</f>
        <v>0</v>
      </c>
    </row>
    <row r="49" spans="1:15">
      <c r="A49" s="5" t="s">
        <v>187</v>
      </c>
      <c r="B49" s="129"/>
      <c r="C49" s="132">
        <f>IFERROR(ABS(C$48/C45),"")</f>
        <v>21.655082556441648</v>
      </c>
      <c r="D49" s="132">
        <f t="shared" ref="D49:N49" si="0">IFERROR(ABS(D$48/D45),"")</f>
        <v>24.614383744764282</v>
      </c>
      <c r="E49" s="132" t="str">
        <f t="shared" si="0"/>
        <v/>
      </c>
      <c r="F49" s="132" t="str">
        <f t="shared" si="0"/>
        <v/>
      </c>
      <c r="G49" s="132" t="str">
        <f t="shared" si="0"/>
        <v/>
      </c>
      <c r="H49" s="132" t="str">
        <f t="shared" si="0"/>
        <v/>
      </c>
      <c r="I49" s="132" t="str">
        <f t="shared" si="0"/>
        <v/>
      </c>
      <c r="J49" s="132" t="str">
        <f t="shared" si="0"/>
        <v/>
      </c>
      <c r="K49" s="132" t="str">
        <f t="shared" si="0"/>
        <v/>
      </c>
      <c r="L49" s="132" t="str">
        <f t="shared" si="0"/>
        <v/>
      </c>
      <c r="M49" s="132" t="str">
        <f t="shared" si="0"/>
        <v/>
      </c>
      <c r="N49" s="132" t="str">
        <f t="shared" si="0"/>
        <v/>
      </c>
    </row>
    <row r="50" spans="1:15">
      <c r="A50" s="5" t="s">
        <v>188</v>
      </c>
      <c r="B50" s="129"/>
      <c r="C50" s="132">
        <f t="shared" ref="C50:N51" si="1">IFERROR(ABS(C$48/C46),"")</f>
        <v>18.722862076379606</v>
      </c>
      <c r="D50" s="132">
        <f t="shared" si="1"/>
        <v>8.7515804583274299</v>
      </c>
      <c r="E50" s="132">
        <f t="shared" si="1"/>
        <v>0.57030768131947485</v>
      </c>
      <c r="F50" s="132">
        <f t="shared" si="1"/>
        <v>60.729224494755499</v>
      </c>
      <c r="G50" s="132">
        <f t="shared" si="1"/>
        <v>27.88189934109031</v>
      </c>
      <c r="H50" s="132">
        <f t="shared" si="1"/>
        <v>14.109693430693225</v>
      </c>
      <c r="I50" s="132">
        <f t="shared" si="1"/>
        <v>138.28836328398856</v>
      </c>
      <c r="J50" s="132">
        <f t="shared" si="1"/>
        <v>71.11954001309752</v>
      </c>
      <c r="K50" s="132" t="str">
        <f t="shared" si="1"/>
        <v/>
      </c>
      <c r="L50" s="132" t="str">
        <f t="shared" si="1"/>
        <v/>
      </c>
      <c r="M50" s="132" t="str">
        <f t="shared" si="1"/>
        <v/>
      </c>
      <c r="N50" s="132" t="str">
        <f t="shared" si="1"/>
        <v/>
      </c>
    </row>
    <row r="51" spans="1:15">
      <c r="A51" s="5" t="s">
        <v>189</v>
      </c>
      <c r="B51" s="129"/>
      <c r="C51" s="132">
        <f t="shared" si="1"/>
        <v>16.882439185223465</v>
      </c>
      <c r="D51" s="132">
        <f t="shared" si="1"/>
        <v>15.523131645995429</v>
      </c>
      <c r="E51" s="132">
        <f t="shared" si="1"/>
        <v>0.6127631955683851</v>
      </c>
      <c r="F51" s="132">
        <f t="shared" si="1"/>
        <v>24.650013465563593</v>
      </c>
      <c r="G51" s="132">
        <f t="shared" si="1"/>
        <v>7.9318953293516099</v>
      </c>
      <c r="H51" s="132">
        <f t="shared" si="1"/>
        <v>7.5022579346959626</v>
      </c>
      <c r="I51" s="132">
        <f t="shared" si="1"/>
        <v>37.367400376750801</v>
      </c>
      <c r="J51" s="132">
        <f t="shared" si="1"/>
        <v>18.17846241461945</v>
      </c>
      <c r="K51" s="132" t="str">
        <f t="shared" si="1"/>
        <v/>
      </c>
      <c r="L51" s="132" t="str">
        <f t="shared" si="1"/>
        <v/>
      </c>
      <c r="M51" s="132" t="str">
        <f t="shared" si="1"/>
        <v/>
      </c>
      <c r="N51" s="132" t="str">
        <f t="shared" si="1"/>
        <v/>
      </c>
    </row>
    <row r="52" spans="1:15">
      <c r="A52" s="20" t="s">
        <v>320</v>
      </c>
      <c r="B52" s="129"/>
      <c r="C52" s="132"/>
      <c r="D52" s="132"/>
      <c r="E52" s="132"/>
      <c r="F52" s="132"/>
      <c r="G52" s="132"/>
      <c r="H52" s="132"/>
      <c r="I52" s="132"/>
      <c r="J52" s="132"/>
      <c r="K52" s="132"/>
      <c r="L52" s="132"/>
      <c r="M52" s="132"/>
      <c r="N52" s="132"/>
    </row>
    <row r="53" spans="1:15">
      <c r="A53" s="5" t="s">
        <v>321</v>
      </c>
      <c r="B53" s="18">
        <f>Base!C$4*Ratios!$O$53</f>
        <v>12717.957496965077</v>
      </c>
      <c r="C53" s="18">
        <f>Base!D$4*Ratios!$O$53</f>
        <v>12717.957496965077</v>
      </c>
      <c r="D53" s="18">
        <f>Base!E$4*Ratios!$O$53</f>
        <v>12717.957496965077</v>
      </c>
      <c r="E53" s="18">
        <f>Base!F$4*Ratios!$O$53</f>
        <v>12717.957496965077</v>
      </c>
      <c r="F53" s="18">
        <f>Base!G$4*Ratios!$O$53</f>
        <v>12717.957496965077</v>
      </c>
      <c r="G53" s="18">
        <f>Base!H$4*Ratios!$O$53</f>
        <v>12717.957496965077</v>
      </c>
      <c r="H53" s="18">
        <f>Base!I$4*Ratios!$O$53</f>
        <v>12717.957496965077</v>
      </c>
      <c r="I53" s="18">
        <f>Base!J$4*Ratios!$O$53</f>
        <v>12717.957496965077</v>
      </c>
      <c r="J53" s="18">
        <f>Base!K$4*Ratios!$O$53</f>
        <v>12717.957496965077</v>
      </c>
      <c r="K53" s="18">
        <f>Base!L$4*Ratios!$O$53</f>
        <v>12717.957496965077</v>
      </c>
      <c r="L53" s="18">
        <f>Base!M$4*Ratios!$O$53</f>
        <v>12717.957496965077</v>
      </c>
      <c r="M53" s="18">
        <f>Base!N$4*Ratios!$O$53</f>
        <v>12717.957496965077</v>
      </c>
      <c r="N53" s="18">
        <f>Base!O$4*Ratios!$O$53</f>
        <v>12717.957496965077</v>
      </c>
      <c r="O53">
        <f>IF(Base!$C$6=14,Base!D13/Base!D23,INDEX('Data Input Sheet'!B20:N20,1,Base!$C$6)/INDEX('Data Input Sheet'!B28:N28,1,Base!$C$6))</f>
        <v>0.83234521893791813</v>
      </c>
    </row>
    <row r="54" spans="1:15">
      <c r="A54" s="5" t="s">
        <v>194</v>
      </c>
      <c r="B54" s="18">
        <f>Base!C$4*Ratios!$O$54</f>
        <v>225.39244610071239</v>
      </c>
      <c r="C54" s="18">
        <f>Base!D$4*Ratios!$O$54</f>
        <v>225.39244610071239</v>
      </c>
      <c r="D54" s="18">
        <f>Base!E$4*Ratios!$O$54</f>
        <v>225.39244610071239</v>
      </c>
      <c r="E54" s="18">
        <f>Base!F$4*Ratios!$O$54</f>
        <v>225.39244610071239</v>
      </c>
      <c r="F54" s="18">
        <f>Base!G$4*Ratios!$O$54</f>
        <v>225.39244610071239</v>
      </c>
      <c r="G54" s="18">
        <f>Base!H$4*Ratios!$O$54</f>
        <v>225.39244610071239</v>
      </c>
      <c r="H54" s="18">
        <f>Base!I$4*Ratios!$O$54</f>
        <v>225.39244610071239</v>
      </c>
      <c r="I54" s="18">
        <f>Base!J$4*Ratios!$O$54</f>
        <v>225.39244610071239</v>
      </c>
      <c r="J54" s="18">
        <f>Base!K$4*Ratios!$O$54</f>
        <v>225.39244610071239</v>
      </c>
      <c r="K54" s="18">
        <f>Base!L$4*Ratios!$O$54</f>
        <v>225.39244610071239</v>
      </c>
      <c r="L54" s="18">
        <f>Base!M$4*Ratios!$O$54</f>
        <v>225.39244610071239</v>
      </c>
      <c r="M54" s="18">
        <f>Base!N$4*Ratios!$O$54</f>
        <v>225.39244610071239</v>
      </c>
      <c r="N54" s="18">
        <f>Base!O$4*Ratios!$O$54</f>
        <v>225.39244610071239</v>
      </c>
      <c r="O54">
        <f>IF(Base!$C$6=14,Base!D14/Base!D23,INDEX('Data Input Sheet'!B21:N21,1,Base!$C$6)/INDEX('Data Input Sheet'!B28:N28,1,Base!$C$6))</f>
        <v>1.4751136331554728E-2</v>
      </c>
    </row>
    <row r="55" spans="1:15">
      <c r="A55" s="5" t="s">
        <v>305</v>
      </c>
      <c r="B55" s="18">
        <f>Base!C$4*Ratios!$O$55</f>
        <v>1070.6680406162068</v>
      </c>
      <c r="C55" s="18">
        <f>Base!D$4*Ratios!$O$55</f>
        <v>1070.6680406162068</v>
      </c>
      <c r="D55" s="18">
        <f>Base!E$4*Ratios!$O$55</f>
        <v>1070.6680406162068</v>
      </c>
      <c r="E55" s="18">
        <f>Base!F$4*Ratios!$O$55</f>
        <v>1070.6680406162068</v>
      </c>
      <c r="F55" s="18">
        <f>Base!G$4*Ratios!$O$55</f>
        <v>1070.6680406162068</v>
      </c>
      <c r="G55" s="18">
        <f>Base!H$4*Ratios!$O$55</f>
        <v>1070.6680406162068</v>
      </c>
      <c r="H55" s="18">
        <f>Base!I$4*Ratios!$O$55</f>
        <v>1070.6680406162068</v>
      </c>
      <c r="I55" s="18">
        <f>Base!J$4*Ratios!$O$55</f>
        <v>1070.6680406162068</v>
      </c>
      <c r="J55" s="18">
        <f>Base!K$4*Ratios!$O$55</f>
        <v>1070.6680406162068</v>
      </c>
      <c r="K55" s="18">
        <f>Base!L$4*Ratios!$O$55</f>
        <v>1070.6680406162068</v>
      </c>
      <c r="L55" s="18">
        <f>Base!M$4*Ratios!$O$55</f>
        <v>1070.6680406162068</v>
      </c>
      <c r="M55" s="18">
        <f>Base!N$4*Ratios!$O$55</f>
        <v>1070.6680406162068</v>
      </c>
      <c r="N55" s="18">
        <f>Base!O$4*Ratios!$O$55</f>
        <v>1070.6680406162068</v>
      </c>
      <c r="O55">
        <f>IF(Base!$C$6=14,Base!D15/Base!D23,INDEX('Data Input Sheet'!B22:N22,1,Base!$C$6)/INDEX('Data Input Sheet'!B28:N28,1,Base!$C$6))</f>
        <v>7.0071426554868574E-2</v>
      </c>
    </row>
    <row r="56" spans="1:15">
      <c r="A56" s="5" t="s">
        <v>306</v>
      </c>
      <c r="B56" s="18">
        <f>Base!C$4*Ratios!$O$56</f>
        <v>399.66717954509096</v>
      </c>
      <c r="C56" s="18">
        <f>Base!D$4*Ratios!$O$56</f>
        <v>399.66717954509096</v>
      </c>
      <c r="D56" s="18">
        <f>Base!E$4*Ratios!$O$56</f>
        <v>399.66717954509096</v>
      </c>
      <c r="E56" s="18">
        <f>Base!F$4*Ratios!$O$56</f>
        <v>399.66717954509096</v>
      </c>
      <c r="F56" s="18">
        <f>Base!G$4*Ratios!$O$56</f>
        <v>399.66717954509096</v>
      </c>
      <c r="G56" s="18">
        <f>Base!H$4*Ratios!$O$56</f>
        <v>399.66717954509096</v>
      </c>
      <c r="H56" s="18">
        <f>Base!I$4*Ratios!$O$56</f>
        <v>399.66717954509096</v>
      </c>
      <c r="I56" s="18">
        <f>Base!J$4*Ratios!$O$56</f>
        <v>399.66717954509096</v>
      </c>
      <c r="J56" s="18">
        <f>Base!K$4*Ratios!$O$56</f>
        <v>399.66717954509096</v>
      </c>
      <c r="K56" s="18">
        <f>Base!L$4*Ratios!$O$56</f>
        <v>399.66717954509096</v>
      </c>
      <c r="L56" s="18">
        <f>Base!M$4*Ratios!$O$56</f>
        <v>399.66717954509096</v>
      </c>
      <c r="M56" s="18">
        <f>Base!N$4*Ratios!$O$56</f>
        <v>399.66717954509096</v>
      </c>
      <c r="N56" s="18">
        <f>Base!O$4*Ratios!$O$56</f>
        <v>399.66717954509096</v>
      </c>
      <c r="O56">
        <f>IF(Base!$C$6=14,Base!D16/Base!D23,INDEX('Data Input Sheet'!B23:N23,1,Base!$C$6)/INDEX('Data Input Sheet'!B28:N28,1,Base!$C$6))</f>
        <v>2.615679963863245E-2</v>
      </c>
    </row>
    <row r="57" spans="1:15">
      <c r="A57" s="5" t="s">
        <v>307</v>
      </c>
      <c r="B57" s="18">
        <f>Base!C$4*Ratios!$O$57</f>
        <v>232.72578884465898</v>
      </c>
      <c r="C57" s="18">
        <f>Base!D$4*Ratios!$O$57</f>
        <v>232.72578884465898</v>
      </c>
      <c r="D57" s="18">
        <f>Base!E$4*Ratios!$O$57</f>
        <v>232.72578884465898</v>
      </c>
      <c r="E57" s="18">
        <f>Base!F$4*Ratios!$O$57</f>
        <v>232.72578884465898</v>
      </c>
      <c r="F57" s="18">
        <f>Base!G$4*Ratios!$O$57</f>
        <v>232.72578884465898</v>
      </c>
      <c r="G57" s="18">
        <f>Base!H$4*Ratios!$O$57</f>
        <v>232.72578884465898</v>
      </c>
      <c r="H57" s="18">
        <f>Base!I$4*Ratios!$O$57</f>
        <v>232.72578884465898</v>
      </c>
      <c r="I57" s="18">
        <f>Base!J$4*Ratios!$O$57</f>
        <v>232.72578884465898</v>
      </c>
      <c r="J57" s="18">
        <f>Base!K$4*Ratios!$O$57</f>
        <v>232.72578884465898</v>
      </c>
      <c r="K57" s="18">
        <f>Base!L$4*Ratios!$O$57</f>
        <v>232.72578884465898</v>
      </c>
      <c r="L57" s="18">
        <f>Base!M$4*Ratios!$O$57</f>
        <v>232.72578884465898</v>
      </c>
      <c r="M57" s="18">
        <f>Base!N$4*Ratios!$O$57</f>
        <v>232.72578884465898</v>
      </c>
      <c r="N57" s="18">
        <f>Base!O$4*Ratios!$O$57</f>
        <v>232.72578884465898</v>
      </c>
      <c r="O57">
        <f>IF(Base!$C$6=14,Base!D17/Base!D23,INDEX('Data Input Sheet'!B24:N24,1,Base!$C$6)/INDEX('Data Input Sheet'!B28:N28,1,Base!$C$6))</f>
        <v>1.5231077609327799E-2</v>
      </c>
    </row>
    <row r="58" spans="1:15">
      <c r="A58" s="5" t="s">
        <v>308</v>
      </c>
      <c r="B58" s="18">
        <f>Base!C$4*Ratios!$O$58</f>
        <v>633.25571459492005</v>
      </c>
      <c r="C58" s="18">
        <f>Base!D$4*Ratios!$O$58</f>
        <v>633.25571459492005</v>
      </c>
      <c r="D58" s="18">
        <f>Base!E$4*Ratios!$O$58</f>
        <v>633.25571459492005</v>
      </c>
      <c r="E58" s="18">
        <f>Base!F$4*Ratios!$O$58</f>
        <v>633.25571459492005</v>
      </c>
      <c r="F58" s="18">
        <f>Base!G$4*Ratios!$O$58</f>
        <v>633.25571459492005</v>
      </c>
      <c r="G58" s="18">
        <f>Base!H$4*Ratios!$O$58</f>
        <v>633.25571459492005</v>
      </c>
      <c r="H58" s="18">
        <f>Base!I$4*Ratios!$O$58</f>
        <v>633.25571459492005</v>
      </c>
      <c r="I58" s="18">
        <f>Base!J$4*Ratios!$O$58</f>
        <v>633.25571459492005</v>
      </c>
      <c r="J58" s="18">
        <f>Base!K$4*Ratios!$O$58</f>
        <v>633.25571459492005</v>
      </c>
      <c r="K58" s="18">
        <f>Base!L$4*Ratios!$O$58</f>
        <v>633.25571459492005</v>
      </c>
      <c r="L58" s="18">
        <f>Base!M$4*Ratios!$O$58</f>
        <v>633.25571459492005</v>
      </c>
      <c r="M58" s="18">
        <f>Base!N$4*Ratios!$O$58</f>
        <v>633.25571459492005</v>
      </c>
      <c r="N58" s="18">
        <f>Base!O$4*Ratios!$O$58</f>
        <v>633.25571459492005</v>
      </c>
      <c r="O58">
        <f>IF(Base!$C$6=14,Base!D21/Base!D23,INDEX('Data Input Sheet'!B26:N26,1,Base!$C$6)/INDEX('Data Input Sheet'!B28:N28,1,Base!$C$6))</f>
        <v>4.1444340927698255E-2</v>
      </c>
    </row>
    <row r="59" spans="1:15">
      <c r="A59" s="5"/>
      <c r="B59" s="18"/>
      <c r="C59" s="18"/>
      <c r="D59" s="18"/>
      <c r="E59" s="18"/>
      <c r="F59" s="18"/>
      <c r="G59" s="18"/>
      <c r="H59" s="18"/>
      <c r="I59" s="18"/>
      <c r="J59" s="18"/>
      <c r="K59" s="18"/>
      <c r="L59" s="18"/>
      <c r="M59" s="18"/>
      <c r="N59" s="18"/>
    </row>
    <row r="60" spans="1:15">
      <c r="A60" s="5"/>
      <c r="B60" s="18"/>
      <c r="C60" s="18"/>
      <c r="D60" s="18"/>
      <c r="E60" s="18"/>
      <c r="F60" s="18"/>
      <c r="G60" s="18"/>
      <c r="H60" s="18"/>
      <c r="I60" s="18"/>
      <c r="J60" s="18"/>
      <c r="K60" s="18"/>
      <c r="L60" s="18"/>
      <c r="M60" s="18"/>
      <c r="N60" s="18"/>
    </row>
    <row r="61" spans="1:15">
      <c r="A61" s="5"/>
      <c r="B61" s="18"/>
      <c r="C61" s="18"/>
      <c r="D61" s="18"/>
      <c r="E61" s="18"/>
      <c r="F61" s="18"/>
      <c r="G61" s="18"/>
      <c r="H61" s="18"/>
      <c r="I61" s="18"/>
      <c r="J61" s="18"/>
      <c r="K61" s="18"/>
      <c r="L61" s="18"/>
      <c r="M61" s="18"/>
      <c r="N61" s="18"/>
    </row>
    <row r="62" spans="1:15">
      <c r="A62" s="5" t="s">
        <v>181</v>
      </c>
      <c r="B62" s="127">
        <f>'Data Input Sheet'!B52+'Data Input Sheet'!B53</f>
        <v>2622</v>
      </c>
      <c r="C62" s="127">
        <f>'Data Input Sheet'!C52+'Data Input Sheet'!C53</f>
        <v>1529</v>
      </c>
      <c r="D62" s="127">
        <f>'Data Input Sheet'!D52+'Data Input Sheet'!D53</f>
        <v>870</v>
      </c>
      <c r="E62" s="127">
        <f>'Data Input Sheet'!E52+'Data Input Sheet'!E53</f>
        <v>407</v>
      </c>
      <c r="F62" s="127">
        <f>'Data Input Sheet'!F52+'Data Input Sheet'!F53</f>
        <v>407</v>
      </c>
      <c r="G62" s="127">
        <f>'Data Input Sheet'!G52+'Data Input Sheet'!G53</f>
        <v>407</v>
      </c>
      <c r="H62" s="127">
        <f>'Data Input Sheet'!H52+'Data Input Sheet'!H53</f>
        <v>407</v>
      </c>
      <c r="I62" s="127">
        <f>'Data Input Sheet'!I52+'Data Input Sheet'!I53</f>
        <v>407</v>
      </c>
      <c r="J62" s="127">
        <f>'Data Input Sheet'!J52+'Data Input Sheet'!J53</f>
        <v>407</v>
      </c>
      <c r="K62" s="127">
        <f>'Data Input Sheet'!K52+'Data Input Sheet'!K53</f>
        <v>407</v>
      </c>
      <c r="L62" s="127">
        <f>'Data Input Sheet'!L52+'Data Input Sheet'!L53</f>
        <v>407</v>
      </c>
      <c r="M62" s="127">
        <f>'Data Input Sheet'!M52+'Data Input Sheet'!M53</f>
        <v>407</v>
      </c>
      <c r="N62" s="127">
        <f>'Data Input Sheet'!N52+'Data Input Sheet'!N53</f>
        <v>407</v>
      </c>
    </row>
    <row r="63" spans="1:15">
      <c r="A63" s="5" t="s">
        <v>182</v>
      </c>
      <c r="B63" s="127">
        <f>'Data Input Sheet'!B54+'Data Input Sheet'!B55+'Data Input Sheet'!B56</f>
        <v>668</v>
      </c>
      <c r="C63" s="127">
        <f>'Data Input Sheet'!C54+'Data Input Sheet'!C55+'Data Input Sheet'!C56</f>
        <v>546</v>
      </c>
      <c r="D63" s="127">
        <f>'Data Input Sheet'!D54+'Data Input Sheet'!D55+'Data Input Sheet'!D56</f>
        <v>611</v>
      </c>
      <c r="E63" s="127">
        <f>'Data Input Sheet'!E54+'Data Input Sheet'!E55+'Data Input Sheet'!E56</f>
        <v>354</v>
      </c>
      <c r="F63" s="127">
        <f>'Data Input Sheet'!F54+'Data Input Sheet'!F55+'Data Input Sheet'!F56</f>
        <v>354</v>
      </c>
      <c r="G63" s="127">
        <f>'Data Input Sheet'!G54+'Data Input Sheet'!G55+'Data Input Sheet'!G56</f>
        <v>354</v>
      </c>
      <c r="H63" s="127">
        <f>'Data Input Sheet'!H54+'Data Input Sheet'!H55+'Data Input Sheet'!H56</f>
        <v>354</v>
      </c>
      <c r="I63" s="127">
        <f>'Data Input Sheet'!I54+'Data Input Sheet'!I55+'Data Input Sheet'!I56</f>
        <v>354</v>
      </c>
      <c r="J63" s="127">
        <f>'Data Input Sheet'!J54+'Data Input Sheet'!J55+'Data Input Sheet'!J56</f>
        <v>354</v>
      </c>
      <c r="K63" s="127">
        <f>'Data Input Sheet'!K54+'Data Input Sheet'!K55+'Data Input Sheet'!K56</f>
        <v>354</v>
      </c>
      <c r="L63" s="127">
        <f>'Data Input Sheet'!L54+'Data Input Sheet'!L55+'Data Input Sheet'!L56</f>
        <v>354</v>
      </c>
      <c r="M63" s="127">
        <f>'Data Input Sheet'!M54+'Data Input Sheet'!M55+'Data Input Sheet'!M56</f>
        <v>354</v>
      </c>
      <c r="N63" s="127">
        <f>'Data Input Sheet'!N54+'Data Input Sheet'!N55+'Data Input Sheet'!N56</f>
        <v>354</v>
      </c>
    </row>
    <row r="64" spans="1:15">
      <c r="A64" s="5" t="s">
        <v>183</v>
      </c>
      <c r="B64" s="127">
        <f>'Data Input Sheet'!B57</f>
        <v>3290</v>
      </c>
      <c r="C64" s="127">
        <f>'Data Input Sheet'!C57</f>
        <v>2075</v>
      </c>
      <c r="D64" s="127">
        <f>'Data Input Sheet'!D57</f>
        <v>1481</v>
      </c>
      <c r="E64" s="127">
        <f>'Data Input Sheet'!E57</f>
        <v>761</v>
      </c>
      <c r="F64" s="127">
        <f>'Data Input Sheet'!F57</f>
        <v>761</v>
      </c>
      <c r="G64" s="127">
        <f>'Data Input Sheet'!G57</f>
        <v>761</v>
      </c>
      <c r="H64" s="127">
        <f>'Data Input Sheet'!H57</f>
        <v>761</v>
      </c>
      <c r="I64" s="127">
        <f>'Data Input Sheet'!I57</f>
        <v>761</v>
      </c>
      <c r="J64" s="127">
        <f>'Data Input Sheet'!J57</f>
        <v>761</v>
      </c>
      <c r="K64" s="127">
        <f>'Data Input Sheet'!K57</f>
        <v>761</v>
      </c>
      <c r="L64" s="127">
        <f>'Data Input Sheet'!L57</f>
        <v>761</v>
      </c>
      <c r="M64" s="127">
        <f>'Data Input Sheet'!M57</f>
        <v>761</v>
      </c>
      <c r="N64" s="127">
        <f>'Data Input Sheet'!N57</f>
        <v>761</v>
      </c>
    </row>
    <row r="65" spans="1:15">
      <c r="A65" s="5" t="s">
        <v>201</v>
      </c>
      <c r="B65" s="70">
        <f>'Data Input Sheet'!B7/Ratios!B64*1000</f>
        <v>609.11854103343467</v>
      </c>
      <c r="C65" s="70">
        <f>'Data Input Sheet'!C7/Ratios!C64*1000</f>
        <v>970.60240963855426</v>
      </c>
      <c r="D65" s="70">
        <f>'Data Input Sheet'!D7/Ratios!D64*1000</f>
        <v>1361.2424037812289</v>
      </c>
      <c r="E65" s="70">
        <f>'Data Input Sheet'!E7/Ratios!E64*1000</f>
        <v>2574.2444152431008</v>
      </c>
      <c r="F65" s="70">
        <f>'Data Input Sheet'!F7/Ratios!F64*1000</f>
        <v>2571.6162943495401</v>
      </c>
      <c r="G65" s="70">
        <f>'Data Input Sheet'!G7/Ratios!G64*1000</f>
        <v>2571.6162943495401</v>
      </c>
      <c r="H65" s="70">
        <f>'Data Input Sheet'!H7/Ratios!H64*1000</f>
        <v>2571.6162943495401</v>
      </c>
      <c r="I65" s="70">
        <f>'Data Input Sheet'!I7/Ratios!I64*1000</f>
        <v>2571.6162943495401</v>
      </c>
      <c r="J65" s="70">
        <f>'Data Input Sheet'!J7/Ratios!J64*1000</f>
        <v>2571.6162943495401</v>
      </c>
      <c r="K65" s="70">
        <f>'Data Input Sheet'!K7/Ratios!K64*1000</f>
        <v>2571.6162943495401</v>
      </c>
      <c r="L65" s="70">
        <f>'Data Input Sheet'!L7/Ratios!L64*1000</f>
        <v>2571.6162943495401</v>
      </c>
      <c r="M65" s="70">
        <f>'Data Input Sheet'!M7/Ratios!M64*1000</f>
        <v>2571.6162943495401</v>
      </c>
      <c r="N65" s="70">
        <f>'Data Input Sheet'!N7/Ratios!N64*1000</f>
        <v>2571.6162943495401</v>
      </c>
    </row>
    <row r="66" spans="1:15">
      <c r="A66" s="5" t="s">
        <v>202</v>
      </c>
      <c r="B66" s="18">
        <f>(Base!$C$5*Ratios!$O$66*1000)/B64</f>
        <v>611.33742024300773</v>
      </c>
      <c r="C66" s="18">
        <f>(Base!$C$5*Ratios!$O$66*1000)/C64</f>
        <v>969.30125908409423</v>
      </c>
      <c r="D66" s="18">
        <f>(Base!$C$5*Ratios!$O$66*1000)/D64</f>
        <v>1358.0689484128936</v>
      </c>
      <c r="E66" s="18">
        <f>(Base!$C$5*Ratios!$O$66*1000)/E64</f>
        <v>2642.9699245722677</v>
      </c>
      <c r="F66" s="18">
        <f>(Base!$C$5*Ratios!$O$66*1000)/F64</f>
        <v>2642.9699245722677</v>
      </c>
      <c r="G66" s="18">
        <f>(Base!$C$5*Ratios!$O$66*1000)/G64</f>
        <v>2642.9699245722677</v>
      </c>
      <c r="H66" s="18">
        <f>(Base!$C$5*Ratios!$O$66*1000)/H64</f>
        <v>2642.9699245722677</v>
      </c>
      <c r="I66" s="18">
        <f>(Base!$C$5*Ratios!$O$66*1000)/I64</f>
        <v>2642.9699245722677</v>
      </c>
      <c r="J66" s="18">
        <f>(Base!$C$5*Ratios!$O$66*1000)/J64</f>
        <v>2642.9699245722677</v>
      </c>
      <c r="K66" s="18">
        <f>(Base!$C$5*Ratios!$O$66*1000)/K64</f>
        <v>2642.9699245722677</v>
      </c>
      <c r="L66" s="18">
        <f>(Base!$C$5*Ratios!$O$66*1000)/L64</f>
        <v>2642.9699245722677</v>
      </c>
      <c r="M66" s="18">
        <f>(Base!$C$5*Ratios!$O$66*1000)/M64</f>
        <v>2642.9699245722677</v>
      </c>
      <c r="N66" s="18">
        <f>(Base!$C$5*Ratios!$O$66*1000)/N64</f>
        <v>2642.9699245722677</v>
      </c>
      <c r="O66">
        <f>IF(Base!$C$6=14,Base!C31/Base!C38,INDEX('Data Input Sheet'!B7:N7,1,Base!$C$6)/INDEX('Data Input Sheet'!B14:N14,1,Base!$C$6))</f>
        <v>0.18620850320326152</v>
      </c>
    </row>
    <row r="67" spans="1:15">
      <c r="A67" s="5"/>
      <c r="B67" s="18"/>
      <c r="C67" s="18"/>
      <c r="D67" s="18"/>
      <c r="E67" s="24"/>
      <c r="F67" s="24"/>
      <c r="G67" s="24"/>
      <c r="H67" s="24"/>
      <c r="I67" s="24"/>
      <c r="J67" s="24"/>
      <c r="K67" s="24"/>
      <c r="L67" s="24"/>
      <c r="M67" s="22"/>
      <c r="N67" s="22"/>
    </row>
    <row r="68" spans="1:15" ht="36" customHeight="1">
      <c r="A68" s="224" t="s">
        <v>43</v>
      </c>
      <c r="B68" s="18"/>
      <c r="C68" s="18"/>
      <c r="D68" s="18"/>
      <c r="E68" s="24"/>
      <c r="F68" s="24"/>
      <c r="G68" s="24"/>
      <c r="H68" s="24"/>
      <c r="I68" s="24"/>
      <c r="J68" s="24"/>
      <c r="K68" s="24"/>
      <c r="L68" s="24"/>
      <c r="M68" s="24"/>
      <c r="N68" s="24"/>
    </row>
    <row r="69" spans="1:15">
      <c r="A69" s="5" t="s">
        <v>40</v>
      </c>
      <c r="B69" s="25">
        <f>'Data Input Sheet'!B$25*1000/'Data Input Sheet'!B49</f>
        <v>1400.553540752052</v>
      </c>
      <c r="C69" s="25">
        <f>'Data Input Sheet'!C$25*1000/'Data Input Sheet'!C49</f>
        <v>1967.8057046032195</v>
      </c>
      <c r="D69" s="25">
        <f>'Data Input Sheet'!D$25*1000/'Data Input Sheet'!D49</f>
        <v>1435.3760445682451</v>
      </c>
      <c r="E69" s="25">
        <f>'Data Input Sheet'!E$25*1000/'Data Input Sheet'!E49</f>
        <v>1566.2024141132777</v>
      </c>
      <c r="F69" s="25">
        <f>'Data Input Sheet'!F$25*1000/'Data Input Sheet'!F49</f>
        <v>1703.899721448468</v>
      </c>
      <c r="G69" s="25">
        <f>'Data Input Sheet'!G$25*1000/'Data Input Sheet'!G49</f>
        <v>1453.3890436397401</v>
      </c>
      <c r="H69" s="25">
        <f>'Data Input Sheet'!H$25*1000/'Data Input Sheet'!H49</f>
        <v>1487.7437325905291</v>
      </c>
      <c r="I69" s="25">
        <f>'Data Input Sheet'!I$25*1000/'Data Input Sheet'!I49</f>
        <v>1471.0306406685236</v>
      </c>
      <c r="J69" s="25">
        <f>'Data Input Sheet'!J$25*1000/'Data Input Sheet'!J49</f>
        <v>1524.3268337975858</v>
      </c>
      <c r="K69" s="25">
        <f>'Data Input Sheet'!K$25*1000/'Data Input Sheet'!K49</f>
        <v>1718.1058495821726</v>
      </c>
      <c r="L69" s="25">
        <f>'Data Input Sheet'!L$25*1000/'Data Input Sheet'!L49</f>
        <v>1741.0399257195916</v>
      </c>
      <c r="M69" s="25">
        <f>'Data Input Sheet'!M$25*1000/'Data Input Sheet'!M49</f>
        <v>1771.1234911792014</v>
      </c>
      <c r="N69" s="25">
        <f>'Data Input Sheet'!N$25*1000/'Data Input Sheet'!N49</f>
        <v>1786.908077994429</v>
      </c>
    </row>
    <row r="70" spans="1:15">
      <c r="A70" s="5" t="s">
        <v>41</v>
      </c>
      <c r="B70" s="22">
        <f>'Data Input Sheet'!B$26*1000/'Data Input Sheet'!B49</f>
        <v>138.86237831647261</v>
      </c>
      <c r="C70" s="22">
        <f>'Data Input Sheet'!C$26*1000/'Data Input Sheet'!C49</f>
        <v>90.275816624305747</v>
      </c>
      <c r="D70" s="22">
        <f>'Data Input Sheet'!D$26*1000/'Data Input Sheet'!D49</f>
        <v>95.357474466109565</v>
      </c>
      <c r="E70" s="22">
        <f>'Data Input Sheet'!E$26*1000/'Data Input Sheet'!E49</f>
        <v>57.845868152274839</v>
      </c>
      <c r="F70" s="22">
        <f>'Data Input Sheet'!F$26*1000/'Data Input Sheet'!F49</f>
        <v>114.57753017641598</v>
      </c>
      <c r="G70" s="22">
        <f>'Data Input Sheet'!G$26*1000/'Data Input Sheet'!G49</f>
        <v>156.5459610027855</v>
      </c>
      <c r="H70" s="22">
        <f>'Data Input Sheet'!H$26*1000/'Data Input Sheet'!H49</f>
        <v>124.5125348189415</v>
      </c>
      <c r="I70" s="22">
        <f>'Data Input Sheet'!I$26*1000/'Data Input Sheet'!I49</f>
        <v>131.66202414113278</v>
      </c>
      <c r="J70" s="22">
        <f>'Data Input Sheet'!J$26*1000/'Data Input Sheet'!J49</f>
        <v>157.28876508820798</v>
      </c>
      <c r="K70" s="22">
        <f>'Data Input Sheet'!K$26*1000/'Data Input Sheet'!K49</f>
        <v>140.38997214484681</v>
      </c>
      <c r="L70" s="22">
        <f>'Data Input Sheet'!L$26*1000/'Data Input Sheet'!L49</f>
        <v>138.99721448467966</v>
      </c>
      <c r="M70" s="22">
        <f>'Data Input Sheet'!M$26*1000/'Data Input Sheet'!M49</f>
        <v>160.07428040854225</v>
      </c>
      <c r="N70" s="22">
        <f>'Data Input Sheet'!N$26*1000/'Data Input Sheet'!N49</f>
        <v>142.71123491179202</v>
      </c>
    </row>
    <row r="71" spans="1:15">
      <c r="A71" s="20" t="s">
        <v>249</v>
      </c>
      <c r="B71" s="18"/>
      <c r="C71" s="18"/>
      <c r="D71" s="18"/>
      <c r="E71" s="24"/>
      <c r="F71" s="24"/>
      <c r="G71" s="24"/>
      <c r="H71" s="24"/>
      <c r="I71" s="24"/>
      <c r="J71" s="24"/>
      <c r="K71" s="24"/>
      <c r="L71" s="24"/>
      <c r="M71" s="24"/>
      <c r="N71" s="24"/>
    </row>
    <row r="72" spans="1:15" ht="16" thickBot="1">
      <c r="A72" s="5" t="s">
        <v>251</v>
      </c>
      <c r="B72" s="44">
        <f>Base!$H$47*'Data Input Sheet'!B41/1000</f>
        <v>6053662666.2340002</v>
      </c>
      <c r="C72" s="44">
        <f>Base!$H$47*'Data Input Sheet'!C41/1000</f>
        <v>6150556341.7511044</v>
      </c>
      <c r="D72" s="44">
        <f>Base!$H$47*'Data Input Sheet'!D41/1000</f>
        <v>6389935883.7229853</v>
      </c>
      <c r="E72" s="18">
        <f>Base!$H$47*'Data Input Sheet'!E41/1000</f>
        <v>3912780178.2187133</v>
      </c>
      <c r="F72" s="18">
        <f>Base!$H$47*'Data Input Sheet'!F41/1000</f>
        <v>3867406982.3369923</v>
      </c>
      <c r="G72" s="18">
        <f>Base!$H$47*'Data Input Sheet'!G41/1000</f>
        <v>3899646924.1398811</v>
      </c>
      <c r="H72" s="18">
        <f>Base!$H$47*'Data Input Sheet'!H41/1000</f>
        <v>3958583512.9171166</v>
      </c>
      <c r="I72" s="18">
        <f>Base!$H$47*'Data Input Sheet'!I41/1000</f>
        <v>3988928768.9414406</v>
      </c>
      <c r="J72" s="18">
        <f>Base!$H$47*'Data Input Sheet'!J41/1000</f>
        <v>4017404575.4932618</v>
      </c>
      <c r="K72" s="18">
        <f>Base!$H$47*'Data Input Sheet'!K41/1000</f>
        <v>4017404575.4932618</v>
      </c>
      <c r="L72" s="18">
        <f>Base!$H$47*'Data Input Sheet'!L41/1000</f>
        <v>4017404575.4932618</v>
      </c>
      <c r="M72" s="18">
        <f>Base!$H$47*'Data Input Sheet'!M41/1000</f>
        <v>4017404575.4932618</v>
      </c>
      <c r="N72" s="18">
        <f>Base!$H$47*'Data Input Sheet'!N41/1000</f>
        <v>4017404575.4932618</v>
      </c>
      <c r="O72" s="18"/>
    </row>
    <row r="73" spans="1:15">
      <c r="A73" s="5" t="s">
        <v>250</v>
      </c>
      <c r="B73" s="62">
        <f>Base!$G$47*'Data Input Sheet'!B31/1000</f>
        <v>6095613.0492338212</v>
      </c>
      <c r="C73" s="62">
        <f>Base!$G$47*'Data Input Sheet'!C31/1000</f>
        <v>6203814.1422760589</v>
      </c>
      <c r="D73" s="62">
        <f>Base!$G$47*'Data Input Sheet'!D31/1000</f>
        <v>6339939.3508593496</v>
      </c>
      <c r="E73" s="18">
        <f>Base!$G$47*'Data Input Sheet'!E31/1000</f>
        <v>4052453.2851397484</v>
      </c>
      <c r="F73" s="18">
        <f>Base!$G$47*'Data Input Sheet'!F31/1000</f>
        <v>4168227.67794625</v>
      </c>
      <c r="G73" s="18">
        <f>Base!$G$47*'Data Input Sheet'!G31/1000</f>
        <v>4290371.4100416694</v>
      </c>
      <c r="H73" s="18">
        <f>Base!$G$47*'Data Input Sheet'!H31/1000</f>
        <v>4412320.9549636478</v>
      </c>
      <c r="I73" s="18">
        <f>Base!$G$47*'Data Input Sheet'!I31/1000</f>
        <v>4537494.006964772</v>
      </c>
      <c r="J73" s="18">
        <f>Base!$G$47*'Data Input Sheet'!J31/1000</f>
        <v>4664220.5563534396</v>
      </c>
      <c r="K73" s="18">
        <f>Base!$G$47*'Data Input Sheet'!K31/1000</f>
        <v>4664220.5563534396</v>
      </c>
      <c r="L73" s="18">
        <f>Base!$G$47*'Data Input Sheet'!L31/1000</f>
        <v>4664220.5563534396</v>
      </c>
      <c r="M73" s="18">
        <f>Base!$G$47*'Data Input Sheet'!M31/1000</f>
        <v>4664220.5563534396</v>
      </c>
      <c r="N73" s="18">
        <f>Base!$G$47*'Data Input Sheet'!N31/1000</f>
        <v>4664220.5563534396</v>
      </c>
    </row>
    <row r="74" spans="1:15">
      <c r="A74" s="21"/>
      <c r="B74" s="18"/>
      <c r="C74" s="18"/>
      <c r="D74" s="22"/>
      <c r="E74" s="22"/>
      <c r="F74" s="22"/>
      <c r="G74" s="22"/>
      <c r="H74" s="22"/>
      <c r="I74" s="22"/>
      <c r="J74" s="22"/>
      <c r="K74" s="22"/>
      <c r="L74" s="22"/>
      <c r="M74" s="22"/>
      <c r="N74" s="22"/>
    </row>
    <row r="76" spans="1:15" ht="16" thickBot="1">
      <c r="A76" s="5"/>
      <c r="B76" s="63"/>
      <c r="C76" s="44"/>
      <c r="D76" s="44"/>
      <c r="E76" s="24"/>
      <c r="F76" s="24"/>
      <c r="G76" s="24"/>
      <c r="H76" s="24"/>
      <c r="I76" s="24"/>
      <c r="J76" s="24"/>
      <c r="K76" s="24"/>
      <c r="L76" s="24"/>
      <c r="M76" s="24"/>
      <c r="N76" s="24"/>
    </row>
    <row r="77" spans="1:15">
      <c r="A77" s="20" t="s">
        <v>45</v>
      </c>
      <c r="B77" s="44"/>
      <c r="C77" s="44"/>
      <c r="D77" s="44"/>
      <c r="E77" s="24"/>
      <c r="F77" s="24"/>
      <c r="G77" s="24"/>
      <c r="H77" s="24"/>
      <c r="I77" s="24"/>
      <c r="J77" s="24"/>
      <c r="K77" s="24"/>
      <c r="L77" s="24"/>
      <c r="M77" s="24"/>
      <c r="N77" s="24"/>
    </row>
    <row r="78" spans="1:15">
      <c r="A78" s="3" t="s">
        <v>46</v>
      </c>
      <c r="E78" s="26"/>
      <c r="F78" s="26"/>
      <c r="G78" s="26"/>
      <c r="H78" s="13"/>
      <c r="I78" s="26"/>
      <c r="J78" s="26"/>
      <c r="K78" s="26"/>
      <c r="L78" s="26"/>
      <c r="M78" s="26"/>
      <c r="N78" s="26"/>
    </row>
    <row r="79" spans="1:15">
      <c r="A79" t="s">
        <v>47</v>
      </c>
      <c r="B79" s="45"/>
      <c r="C79" s="47"/>
      <c r="D79" s="47"/>
      <c r="E79" s="52"/>
      <c r="F79" s="52"/>
      <c r="G79" s="52"/>
      <c r="H79" s="52"/>
      <c r="I79" s="52"/>
      <c r="J79" s="52"/>
      <c r="K79" s="52"/>
      <c r="L79" s="52"/>
      <c r="M79" s="52"/>
      <c r="N79" s="52"/>
    </row>
    <row r="80" spans="1:15">
      <c r="A80" t="s">
        <v>48</v>
      </c>
      <c r="B80" s="45"/>
      <c r="C80" s="47"/>
      <c r="D80" s="47"/>
      <c r="E80" s="52"/>
      <c r="F80" s="52"/>
      <c r="G80" s="52"/>
      <c r="H80" s="52"/>
      <c r="I80" s="52"/>
      <c r="J80" s="52"/>
      <c r="K80" s="52"/>
      <c r="L80" s="52"/>
      <c r="M80" s="52"/>
      <c r="N80" s="52"/>
    </row>
    <row r="81" spans="1:14">
      <c r="A81" t="s">
        <v>49</v>
      </c>
      <c r="B81" s="45"/>
      <c r="C81" s="47"/>
      <c r="D81" s="47"/>
      <c r="E81" s="52"/>
      <c r="F81" s="52"/>
      <c r="G81" s="52"/>
      <c r="H81" s="52"/>
      <c r="I81" s="52"/>
      <c r="J81" s="52"/>
      <c r="K81" s="52"/>
      <c r="L81" s="52"/>
      <c r="M81" s="52"/>
      <c r="N81" s="52"/>
    </row>
    <row r="82" spans="1:14">
      <c r="A82" t="s">
        <v>50</v>
      </c>
      <c r="B82" s="45"/>
      <c r="C82" s="47"/>
      <c r="D82" s="47"/>
      <c r="E82" s="52"/>
      <c r="F82" s="52"/>
      <c r="G82" s="52"/>
      <c r="H82" s="52"/>
      <c r="I82" s="52"/>
      <c r="J82" s="52"/>
      <c r="K82" s="52"/>
      <c r="L82" s="52"/>
      <c r="M82" s="52"/>
      <c r="N82" s="52"/>
    </row>
    <row r="83" spans="1:14">
      <c r="A83" t="s">
        <v>51</v>
      </c>
      <c r="B83" s="45"/>
      <c r="C83" s="47"/>
      <c r="D83" s="47"/>
      <c r="E83" s="52"/>
      <c r="F83" s="52"/>
      <c r="G83" s="52"/>
      <c r="H83" s="52"/>
      <c r="I83" s="52"/>
      <c r="J83" s="52"/>
      <c r="K83" s="52"/>
      <c r="L83" s="52"/>
      <c r="M83" s="52"/>
      <c r="N83" s="52"/>
    </row>
    <row r="84" spans="1:14">
      <c r="A84" t="s">
        <v>52</v>
      </c>
      <c r="B84" s="45"/>
      <c r="C84" s="47"/>
      <c r="D84" s="47"/>
      <c r="E84" s="52"/>
      <c r="F84" s="52"/>
      <c r="G84" s="52"/>
      <c r="H84" s="52"/>
      <c r="I84" s="52"/>
      <c r="J84" s="52"/>
      <c r="K84" s="52"/>
      <c r="L84" s="52"/>
      <c r="M84" s="52"/>
      <c r="N84" s="52"/>
    </row>
    <row r="85" spans="1:14">
      <c r="A85" s="3" t="s">
        <v>53</v>
      </c>
    </row>
    <row r="86" spans="1:14">
      <c r="A86" s="5" t="s">
        <v>54</v>
      </c>
      <c r="B86" s="46"/>
      <c r="C86" s="46"/>
      <c r="D86" s="48"/>
      <c r="E86" s="61"/>
      <c r="F86" s="61"/>
      <c r="G86" s="61"/>
      <c r="H86" s="61"/>
      <c r="I86" s="61"/>
      <c r="J86" s="61"/>
      <c r="K86" s="61"/>
      <c r="L86" s="61"/>
      <c r="M86" s="61"/>
      <c r="N86" s="61"/>
    </row>
    <row r="87" spans="1:14">
      <c r="A87" s="5" t="s">
        <v>55</v>
      </c>
      <c r="B87" s="46"/>
      <c r="C87" s="46"/>
      <c r="D87" s="48"/>
      <c r="E87" s="14"/>
      <c r="F87" s="14"/>
      <c r="G87" s="14"/>
      <c r="H87" s="14"/>
      <c r="I87" s="14"/>
      <c r="J87" s="14"/>
      <c r="K87" s="14"/>
      <c r="L87" s="14"/>
      <c r="M87" s="14"/>
      <c r="N87" s="14"/>
    </row>
    <row r="88" spans="1:14">
      <c r="A88" s="5" t="s">
        <v>56</v>
      </c>
      <c r="B88" s="46"/>
      <c r="C88" s="46"/>
      <c r="D88" s="48"/>
      <c r="E88" s="14"/>
      <c r="F88" s="14"/>
      <c r="G88" s="14"/>
      <c r="H88" s="14"/>
      <c r="I88" s="14"/>
      <c r="J88" s="14"/>
      <c r="K88" s="14"/>
      <c r="L88" s="14"/>
      <c r="M88" s="14"/>
      <c r="N88" s="14"/>
    </row>
    <row r="89" spans="1:14">
      <c r="A89" s="5" t="s">
        <v>57</v>
      </c>
      <c r="B89" s="46"/>
      <c r="C89" s="46"/>
      <c r="D89" s="48"/>
      <c r="E89" s="14"/>
      <c r="F89" s="14"/>
      <c r="G89" s="14"/>
      <c r="H89" s="14"/>
      <c r="I89" s="14"/>
      <c r="J89" s="14"/>
      <c r="K89" s="14"/>
      <c r="L89" s="14"/>
      <c r="M89" s="14"/>
      <c r="N89" s="14"/>
    </row>
    <row r="90" spans="1:14">
      <c r="A90" s="21" t="s">
        <v>58</v>
      </c>
      <c r="B90" s="46"/>
      <c r="C90" s="46"/>
      <c r="D90" s="48"/>
      <c r="E90" s="60"/>
      <c r="F90" s="60"/>
      <c r="G90" s="60"/>
      <c r="H90" s="60"/>
      <c r="I90" s="60"/>
      <c r="J90" s="60"/>
      <c r="K90" s="60"/>
      <c r="L90" s="60"/>
      <c r="M90" s="60"/>
      <c r="N90" s="60"/>
    </row>
    <row r="91" spans="1:14">
      <c r="A91" s="20" t="s">
        <v>120</v>
      </c>
      <c r="G91" s="10"/>
    </row>
    <row r="92" spans="1:14">
      <c r="A92" s="39" t="s">
        <v>59</v>
      </c>
      <c r="G92" s="10"/>
    </row>
    <row r="93" spans="1:14">
      <c r="A93" s="39" t="s">
        <v>113</v>
      </c>
      <c r="G93" s="10"/>
    </row>
    <row r="94" spans="1:14">
      <c r="A94" s="39" t="s">
        <v>60</v>
      </c>
      <c r="L94" s="19"/>
    </row>
    <row r="95" spans="1:14">
      <c r="L95" s="19"/>
    </row>
    <row r="96" spans="1:14">
      <c r="H96" s="10"/>
      <c r="L96" s="19"/>
    </row>
    <row r="97" spans="1:15">
      <c r="A97" t="s">
        <v>61</v>
      </c>
      <c r="B97" s="46">
        <f>'Data Input Sheet'!B41/100</f>
        <v>215891.20000000001</v>
      </c>
      <c r="C97" s="46">
        <f>'Data Input Sheet'!C41/100</f>
        <v>219346.71</v>
      </c>
      <c r="D97" s="46">
        <f>'Data Input Sheet'!D41/100</f>
        <v>227883.68</v>
      </c>
      <c r="E97" s="46">
        <f>'Data Input Sheet'!E41/100</f>
        <v>139541.10999999999</v>
      </c>
      <c r="F97" s="46">
        <f>'Data Input Sheet'!F41/100</f>
        <v>137922.97</v>
      </c>
      <c r="G97" s="46">
        <f>'Data Input Sheet'!G41/100</f>
        <v>139072.74</v>
      </c>
      <c r="H97" s="46">
        <f>'Data Input Sheet'!H41/100</f>
        <v>141174.59</v>
      </c>
      <c r="I97" s="46">
        <f>'Data Input Sheet'!I41/100</f>
        <v>142256.79</v>
      </c>
      <c r="J97" s="14">
        <f>'Data Input Sheet'!J41/100</f>
        <v>143272.32000000001</v>
      </c>
      <c r="K97" s="14">
        <f>'Data Input Sheet'!K41/100</f>
        <v>143272.32000000001</v>
      </c>
      <c r="L97" s="14">
        <f>'Data Input Sheet'!L41/100</f>
        <v>143272.32000000001</v>
      </c>
      <c r="M97" s="14">
        <f>'Data Input Sheet'!M41/100</f>
        <v>143272.32000000001</v>
      </c>
      <c r="N97" s="14">
        <f>'Data Input Sheet'!N41/100</f>
        <v>143272.32000000001</v>
      </c>
    </row>
    <row r="98" spans="1:15">
      <c r="A98" t="s">
        <v>62</v>
      </c>
      <c r="B98" s="46">
        <f>'Data Input Sheet'!B43/10</f>
        <v>217256.1</v>
      </c>
      <c r="C98" s="46">
        <f>'Data Input Sheet'!C43/10</f>
        <v>215022.8</v>
      </c>
      <c r="D98" s="46">
        <f>'Data Input Sheet'!D43/10</f>
        <v>233182.6</v>
      </c>
      <c r="E98" s="46">
        <f>'Data Input Sheet'!E43/10</f>
        <v>148416.20000000001</v>
      </c>
      <c r="F98" s="46">
        <f>'Data Input Sheet'!F43/10</f>
        <v>149630.70000000001</v>
      </c>
      <c r="G98" s="46">
        <f>'Data Input Sheet'!G43/10</f>
        <v>150855.20000000001</v>
      </c>
      <c r="H98" s="46">
        <f>'Data Input Sheet'!H43/10</f>
        <v>152089.79999999999</v>
      </c>
      <c r="I98" s="46">
        <f>'Data Input Sheet'!I43/10</f>
        <v>153334.39999999999</v>
      </c>
      <c r="J98" s="14">
        <f>'Data Input Sheet'!J43/10</f>
        <v>154589.20000000001</v>
      </c>
      <c r="K98" s="14">
        <f>'Data Input Sheet'!K43/10</f>
        <v>154589.20000000001</v>
      </c>
      <c r="L98" s="14">
        <f>'Data Input Sheet'!L43/10</f>
        <v>154589.20000000001</v>
      </c>
      <c r="M98" s="14">
        <f>'Data Input Sheet'!M43/10</f>
        <v>154589.20000000001</v>
      </c>
      <c r="N98" s="14">
        <f>'Data Input Sheet'!N43/10</f>
        <v>154589.20000000001</v>
      </c>
    </row>
    <row r="99" spans="1:15">
      <c r="H99" s="10"/>
      <c r="L99" s="19"/>
    </row>
    <row r="100" spans="1:15">
      <c r="A100" s="3" t="s">
        <v>63</v>
      </c>
      <c r="C100" s="53">
        <f>('Data Input Sheet'!C31-'Data Input Sheet'!B31)/'Data Input Sheet'!B31</f>
        <v>1.7750649880218156E-2</v>
      </c>
      <c r="D100" s="53">
        <f>('Data Input Sheet'!D31-'Data Input Sheet'!C31)/'Data Input Sheet'!C31</f>
        <v>2.1942180320274448E-2</v>
      </c>
      <c r="E100" s="53">
        <f>('Data Input Sheet'!E31-'Data Input Sheet'!D31)/'Data Input Sheet'!D31</f>
        <v>-0.36080567007467396</v>
      </c>
      <c r="F100" s="53">
        <f>('Data Input Sheet'!F31-'Data Input Sheet'!E31)/'Data Input Sheet'!E31</f>
        <v>2.8568964195353829E-2</v>
      </c>
      <c r="G100" s="53">
        <f>('Data Input Sheet'!G31-'Data Input Sheet'!F31)/'Data Input Sheet'!F31</f>
        <v>2.9303517353831819E-2</v>
      </c>
      <c r="H100" s="53">
        <f>('Data Input Sheet'!H31-'Data Input Sheet'!G31)/'Data Input Sheet'!G31</f>
        <v>2.8424006517606591E-2</v>
      </c>
      <c r="I100" s="53">
        <f>('Data Input Sheet'!I31-'Data Input Sheet'!H31)/'Data Input Sheet'!H31</f>
        <v>2.8368981603732066E-2</v>
      </c>
      <c r="J100" s="19">
        <f>('Data Input Sheet'!J31-'Data Input Sheet'!I31)/'Data Input Sheet'!I31</f>
        <v>2.7928753006427977E-2</v>
      </c>
      <c r="K100" s="19">
        <f>('Data Input Sheet'!K31-'Data Input Sheet'!J31)/'Data Input Sheet'!J31</f>
        <v>0</v>
      </c>
      <c r="L100" s="19">
        <f>('Data Input Sheet'!L31-'Data Input Sheet'!K31)/'Data Input Sheet'!K31</f>
        <v>0</v>
      </c>
      <c r="M100" s="19">
        <f>('Data Input Sheet'!M31-'Data Input Sheet'!L31)/'Data Input Sheet'!L31</f>
        <v>0</v>
      </c>
      <c r="N100" s="19">
        <f>('Data Input Sheet'!N31-'Data Input Sheet'!M31)/'Data Input Sheet'!M31</f>
        <v>0</v>
      </c>
    </row>
    <row r="101" spans="1:15">
      <c r="A101" s="3" t="s">
        <v>341</v>
      </c>
      <c r="C101" s="53"/>
      <c r="D101" s="53"/>
      <c r="E101" s="53"/>
      <c r="F101" s="53"/>
      <c r="G101" s="53"/>
      <c r="H101" s="53"/>
      <c r="I101" s="53"/>
      <c r="J101" s="19"/>
      <c r="K101" s="19"/>
      <c r="L101" s="19"/>
      <c r="M101" s="19"/>
      <c r="N101" s="19"/>
      <c r="O101" s="3" t="s">
        <v>37</v>
      </c>
    </row>
    <row r="102" spans="1:15">
      <c r="A102" s="225" t="s">
        <v>227</v>
      </c>
      <c r="B102" s="225">
        <f>Base!C43</f>
        <v>151735</v>
      </c>
      <c r="C102" s="42">
        <f>B102+'Data Input Sheet'!C35-ROUND('Data Input Sheet'!C$38*Ratios!$O102,0)</f>
        <v>154317</v>
      </c>
      <c r="D102" s="42">
        <f>C102+'Data Input Sheet'!D35-ROUND('Data Input Sheet'!D$38*Ratios!$O102,0)</f>
        <v>157515</v>
      </c>
      <c r="E102" s="42">
        <f>D102+'Data Input Sheet'!E35-ROUND('Data Input Sheet'!E$38*Ratios!$O102,0)</f>
        <v>102289</v>
      </c>
      <c r="F102" s="42">
        <f>E102+'Data Input Sheet'!F35-ROUND('Data Input Sheet'!F$38*Ratios!$O102,0)</f>
        <v>105099</v>
      </c>
      <c r="G102" s="42">
        <f>F102+'Data Input Sheet'!G35-ROUND('Data Input Sheet'!G$38*Ratios!$O102,0)</f>
        <v>108064</v>
      </c>
      <c r="H102" s="42">
        <f>G102+'Data Input Sheet'!H35-ROUND('Data Input Sheet'!H$38*Ratios!$O102,0)</f>
        <v>111029</v>
      </c>
      <c r="I102" s="42">
        <f>H102+'Data Input Sheet'!I35-ROUND('Data Input Sheet'!I$38*Ratios!$O102,0)</f>
        <v>114079</v>
      </c>
      <c r="J102" s="10">
        <f>I102+'Data Input Sheet'!J35-ROUND('Data Input Sheet'!J$38*Ratios!$O102,0)</f>
        <v>117169</v>
      </c>
      <c r="K102" s="10">
        <f>J102+'Data Input Sheet'!K35-ROUND('Data Input Sheet'!K$38*Ratios!$O102,0)</f>
        <v>117198</v>
      </c>
      <c r="L102" s="10">
        <f>K102+'Data Input Sheet'!L35-ROUND('Data Input Sheet'!L$38*Ratios!$O102,0)</f>
        <v>117227</v>
      </c>
      <c r="M102" s="10">
        <f>L102+'Data Input Sheet'!M35-ROUND('Data Input Sheet'!M$38*Ratios!$O102,0)</f>
        <v>117256</v>
      </c>
      <c r="N102" s="10">
        <f>M102+'Data Input Sheet'!N35-ROUND('Data Input Sheet'!N$38*Ratios!$O102,0)</f>
        <v>117285</v>
      </c>
      <c r="O102" s="149">
        <f>B102/SUM(B102:B104)</f>
        <v>0.93809506145361921</v>
      </c>
    </row>
    <row r="103" spans="1:15">
      <c r="A103" s="225" t="s">
        <v>225</v>
      </c>
      <c r="B103" s="225">
        <f>Base!C44</f>
        <v>10013</v>
      </c>
      <c r="C103" s="42">
        <f>B103+'Data Input Sheet'!C36-ROUND('Data Input Sheet'!C$38*Ratios!$O103,0)</f>
        <v>10217</v>
      </c>
      <c r="D103" s="42">
        <f>C103+'Data Input Sheet'!D36-ROUND('Data Input Sheet'!D$38*Ratios!$O103,0)</f>
        <v>10524</v>
      </c>
      <c r="E103" s="42">
        <f>D103+'Data Input Sheet'!E36-ROUND('Data Input Sheet'!E$38*Ratios!$O103,0)</f>
        <v>6851</v>
      </c>
      <c r="F103" s="42">
        <f>E103+'Data Input Sheet'!F36-ROUND('Data Input Sheet'!F$38*Ratios!$O103,0)</f>
        <v>7022</v>
      </c>
      <c r="G103" s="42">
        <f>F103+'Data Input Sheet'!G36-ROUND('Data Input Sheet'!G$38*Ratios!$O103,0)</f>
        <v>7202</v>
      </c>
      <c r="H103" s="42">
        <f>G103+'Data Input Sheet'!H36-ROUND('Data Input Sheet'!H$38*Ratios!$O103,0)</f>
        <v>7377</v>
      </c>
      <c r="I103" s="42">
        <f>H103+'Data Input Sheet'!I36-ROUND('Data Input Sheet'!I$38*Ratios!$O103,0)</f>
        <v>7550</v>
      </c>
      <c r="J103" s="10">
        <f>I103+'Data Input Sheet'!J36-ROUND('Data Input Sheet'!J$38*Ratios!$O103,0)</f>
        <v>7723</v>
      </c>
      <c r="K103" s="10">
        <f>J103+'Data Input Sheet'!K36-ROUND('Data Input Sheet'!K$38*Ratios!$O103,0)</f>
        <v>7694</v>
      </c>
      <c r="L103" s="10">
        <f>K103+'Data Input Sheet'!L36-ROUND('Data Input Sheet'!L$38*Ratios!$O103,0)</f>
        <v>7665</v>
      </c>
      <c r="M103" s="10">
        <f>L103+'Data Input Sheet'!M36-ROUND('Data Input Sheet'!M$38*Ratios!$O103,0)</f>
        <v>7636</v>
      </c>
      <c r="N103" s="10">
        <f>M103+'Data Input Sheet'!N36-ROUND('Data Input Sheet'!N$38*Ratios!$O103,0)</f>
        <v>7607</v>
      </c>
      <c r="O103" s="149">
        <f>1-O102</f>
        <v>6.1904938546380794E-2</v>
      </c>
    </row>
    <row r="104" spans="1:15">
      <c r="A104" s="225" t="s">
        <v>226</v>
      </c>
      <c r="B104" s="225">
        <f>Base!C45</f>
        <v>0</v>
      </c>
      <c r="C104" s="42">
        <f>B104+'Data Input Sheet'!C37</f>
        <v>0</v>
      </c>
      <c r="D104" s="42">
        <f>C104+'Data Input Sheet'!D37</f>
        <v>0</v>
      </c>
      <c r="E104" s="42">
        <f>D104+'Data Input Sheet'!E37</f>
        <v>0</v>
      </c>
      <c r="F104" s="42">
        <f>E104+'Data Input Sheet'!F37</f>
        <v>0</v>
      </c>
      <c r="G104" s="42">
        <f>F104+'Data Input Sheet'!G37</f>
        <v>0</v>
      </c>
      <c r="H104" s="42">
        <f>G104+'Data Input Sheet'!H37</f>
        <v>0</v>
      </c>
      <c r="I104" s="42">
        <f>H104+'Data Input Sheet'!I37</f>
        <v>0</v>
      </c>
      <c r="J104" s="10">
        <f>I104+'Data Input Sheet'!J37</f>
        <v>0</v>
      </c>
      <c r="K104" s="10">
        <f>J104+'Data Input Sheet'!K37</f>
        <v>0</v>
      </c>
      <c r="L104" s="10">
        <f>K104+'Data Input Sheet'!L37</f>
        <v>0</v>
      </c>
      <c r="M104" s="10">
        <f>L104+'Data Input Sheet'!M37</f>
        <v>0</v>
      </c>
      <c r="N104" s="10">
        <f>M104+'Data Input Sheet'!N37</f>
        <v>0</v>
      </c>
      <c r="O104" s="149"/>
    </row>
    <row r="105" spans="1:15">
      <c r="A105" s="3" t="s">
        <v>344</v>
      </c>
      <c r="H105" s="10"/>
      <c r="L105" s="19"/>
    </row>
    <row r="106" spans="1:15">
      <c r="A106" s="225" t="s">
        <v>227</v>
      </c>
      <c r="B106" s="235">
        <f>B102*Base!$G43/1000</f>
        <v>1029718.904</v>
      </c>
      <c r="C106" s="226">
        <f>C102*Base!$G43/1000</f>
        <v>1047241.1250441098</v>
      </c>
      <c r="D106" s="226">
        <f>D102*Base!$G43/1000</f>
        <v>1068943.7055627245</v>
      </c>
      <c r="E106" s="226">
        <f>E102*Base!$G43/1000</f>
        <v>694163.62059680361</v>
      </c>
      <c r="F106" s="226">
        <f>F102*Base!$G43/1000</f>
        <v>713233.11755030812</v>
      </c>
      <c r="G106" s="226">
        <f>G102*Base!$G43/1000</f>
        <v>733354.49067028705</v>
      </c>
      <c r="H106" s="226">
        <f>H102*Base!$G43/1000</f>
        <v>753475.86379026587</v>
      </c>
      <c r="I106" s="226">
        <f>I102*Base!$G43/1000</f>
        <v>774174.0722273438</v>
      </c>
      <c r="J106" s="70">
        <f>J102*Base!$G43/1000</f>
        <v>795143.73257835046</v>
      </c>
      <c r="K106" s="70">
        <f>K102*Base!$G43/1000</f>
        <v>795340.53521594894</v>
      </c>
      <c r="L106" s="70">
        <f>L102*Base!$G43/1000</f>
        <v>795537.3378535473</v>
      </c>
      <c r="M106" s="70">
        <f>M102*Base!$G43/1000</f>
        <v>795734.14049114578</v>
      </c>
      <c r="N106" s="70">
        <f>N102*Base!$G43/1000</f>
        <v>795930.94312874426</v>
      </c>
      <c r="O106" s="149"/>
    </row>
    <row r="107" spans="1:15">
      <c r="A107" s="225" t="s">
        <v>225</v>
      </c>
      <c r="B107" s="235">
        <f>B103*Base!$G44/1000</f>
        <v>5252158.4819999998</v>
      </c>
      <c r="C107" s="226">
        <f>C103*Base!$G44/1000</f>
        <v>5359163.4086281834</v>
      </c>
      <c r="D107" s="226">
        <f>D103*Base!$G44/1000</f>
        <v>5520195.3325245176</v>
      </c>
      <c r="E107" s="226">
        <f>E103*Base!$G44/1000</f>
        <v>3593582.1192631577</v>
      </c>
      <c r="F107" s="226">
        <f>F103*Base!$G44/1000</f>
        <v>3683277.4254073706</v>
      </c>
      <c r="G107" s="226">
        <f>G103*Base!$G44/1000</f>
        <v>3777693.5371381207</v>
      </c>
      <c r="H107" s="226">
        <f>H103*Base!$G44/1000</f>
        <v>3869486.9790985719</v>
      </c>
      <c r="I107" s="226">
        <f>I103*Base!$G44/1000</f>
        <v>3960231.3531509037</v>
      </c>
      <c r="J107" s="70">
        <f>J103*Base!$G44/1000</f>
        <v>4050975.7272032355</v>
      </c>
      <c r="K107" s="70">
        <f>K103*Base!$G44/1000</f>
        <v>4035764.242535504</v>
      </c>
      <c r="L107" s="70">
        <f>L103*Base!$G44/1000</f>
        <v>4020552.7578677721</v>
      </c>
      <c r="M107" s="70">
        <f>M103*Base!$G44/1000</f>
        <v>4005341.2732000398</v>
      </c>
      <c r="N107" s="70">
        <f>N103*Base!$G44/1000</f>
        <v>3990129.7885323083</v>
      </c>
      <c r="O107" s="149"/>
    </row>
    <row r="108" spans="1:15" ht="16" thickBot="1">
      <c r="A108" s="225" t="s">
        <v>226</v>
      </c>
      <c r="B108" s="235">
        <f>B104*Base!$G45/1000</f>
        <v>0</v>
      </c>
      <c r="C108" s="226">
        <f>C104*Base!$G45/1000</f>
        <v>0</v>
      </c>
      <c r="D108" s="226">
        <f>D104*Base!$G45/1000</f>
        <v>0</v>
      </c>
      <c r="E108" s="226">
        <f>E104*Base!$G45/1000</f>
        <v>0</v>
      </c>
      <c r="F108" s="226">
        <f>F104*Base!$G45/1000</f>
        <v>0</v>
      </c>
      <c r="G108" s="226">
        <f>G104*Base!$G45/1000</f>
        <v>0</v>
      </c>
      <c r="H108" s="226">
        <f>H104*Base!$G45/1000</f>
        <v>0</v>
      </c>
      <c r="I108" s="226">
        <f>I104*Base!$G45/1000</f>
        <v>0</v>
      </c>
      <c r="J108" s="70">
        <f>J104*Base!$G45/1000</f>
        <v>0</v>
      </c>
      <c r="K108" s="70">
        <f>K104*Base!$G45/1000</f>
        <v>0</v>
      </c>
      <c r="L108" s="70">
        <f>L104*Base!$G45/1000</f>
        <v>0</v>
      </c>
      <c r="M108" s="70">
        <f>M104*Base!$G45/1000</f>
        <v>0</v>
      </c>
      <c r="N108" s="70">
        <f>N104*Base!$G45/1000</f>
        <v>0</v>
      </c>
      <c r="O108" s="149"/>
    </row>
    <row r="109" spans="1:15" s="9" customFormat="1" ht="16" thickBot="1">
      <c r="A109" s="227" t="s">
        <v>22</v>
      </c>
      <c r="B109" s="228">
        <f>SUM(B106:B108)</f>
        <v>6281877.3859999999</v>
      </c>
      <c r="C109" s="228">
        <f t="shared" ref="C109:I109" si="2">SUM(C106:C108)</f>
        <v>6406404.5336722936</v>
      </c>
      <c r="D109" s="228">
        <f t="shared" si="2"/>
        <v>6589139.0380872423</v>
      </c>
      <c r="E109" s="228">
        <f t="shared" si="2"/>
        <v>4287745.739859961</v>
      </c>
      <c r="F109" s="228">
        <f t="shared" si="2"/>
        <v>4396510.5429576784</v>
      </c>
      <c r="G109" s="228">
        <f t="shared" si="2"/>
        <v>4511048.0278084073</v>
      </c>
      <c r="H109" s="228">
        <f t="shared" si="2"/>
        <v>4622962.8428888377</v>
      </c>
      <c r="I109" s="228">
        <f t="shared" si="2"/>
        <v>4734405.4253782472</v>
      </c>
      <c r="J109" s="228">
        <f>SUM(J106:J108)</f>
        <v>4846119.4597815862</v>
      </c>
      <c r="K109" s="228">
        <f t="shared" ref="K109:N109" si="3">SUM(K106:K108)</f>
        <v>4831104.7777514532</v>
      </c>
      <c r="L109" s="228">
        <f t="shared" si="3"/>
        <v>4816090.0957213193</v>
      </c>
      <c r="M109" s="228">
        <f t="shared" si="3"/>
        <v>4801075.4136911854</v>
      </c>
      <c r="N109" s="229">
        <f t="shared" si="3"/>
        <v>4786060.7316610524</v>
      </c>
      <c r="O109" s="230"/>
    </row>
    <row r="110" spans="1:15" s="9" customFormat="1">
      <c r="A110" s="231" t="s">
        <v>342</v>
      </c>
      <c r="B110" s="232"/>
      <c r="C110" s="232"/>
      <c r="D110" s="232"/>
      <c r="E110" s="232"/>
      <c r="F110" s="232"/>
      <c r="G110" s="232"/>
      <c r="H110" s="232"/>
      <c r="I110" s="232"/>
      <c r="J110" s="232"/>
      <c r="K110" s="232"/>
      <c r="L110" s="232"/>
      <c r="M110" s="232"/>
      <c r="N110" s="232"/>
      <c r="O110" s="230"/>
    </row>
    <row r="111" spans="1:15">
      <c r="A111" s="225" t="s">
        <v>227</v>
      </c>
      <c r="B111" s="225">
        <f>B102*Base!$I43</f>
        <v>3508</v>
      </c>
      <c r="C111" s="42">
        <f>C102*Base!$I43</f>
        <v>3567.6939137311761</v>
      </c>
      <c r="D111" s="42">
        <f>D102*Base!$I43</f>
        <v>3641.6292879032526</v>
      </c>
      <c r="E111" s="42">
        <f>E102*Base!$I43</f>
        <v>2364.8453685702048</v>
      </c>
      <c r="F111" s="42">
        <f>F102*Base!$I43</f>
        <v>2429.8104722048306</v>
      </c>
      <c r="G111" s="42">
        <f>G102*Base!$I43</f>
        <v>2498.3590602036447</v>
      </c>
      <c r="H111" s="42">
        <f>H102*Base!$I43</f>
        <v>2566.9076482024584</v>
      </c>
      <c r="I111" s="42">
        <f>I102*Base!$I43</f>
        <v>2637.4213727880847</v>
      </c>
      <c r="J111" s="10">
        <f>J102*Base!$I43</f>
        <v>2708.859867532211</v>
      </c>
      <c r="K111" s="10">
        <f>K102*Base!$I43</f>
        <v>2709.5303258971235</v>
      </c>
      <c r="L111" s="10">
        <f>L102*Base!$I43</f>
        <v>2710.200784262036</v>
      </c>
      <c r="M111" s="10">
        <f>M102*Base!$I43</f>
        <v>2710.8712426269485</v>
      </c>
      <c r="N111" s="10">
        <f>N102*Base!$I43</f>
        <v>2711.541700991861</v>
      </c>
      <c r="O111" s="149"/>
    </row>
    <row r="112" spans="1:15">
      <c r="A112" s="225" t="s">
        <v>225</v>
      </c>
      <c r="B112" s="225">
        <f>B103*Base!$I44</f>
        <v>18895</v>
      </c>
      <c r="C112" s="42">
        <f>C103*Base!$I44</f>
        <v>19279.957555178269</v>
      </c>
      <c r="D112" s="42">
        <f>D103*Base!$I44</f>
        <v>19859.28093478478</v>
      </c>
      <c r="E112" s="42">
        <f>E103*Base!$I44</f>
        <v>12928.157894736843</v>
      </c>
      <c r="F112" s="42">
        <f>F103*Base!$I44</f>
        <v>13250.842904224508</v>
      </c>
      <c r="G112" s="42">
        <f>G103*Base!$I44</f>
        <v>13590.511335264157</v>
      </c>
      <c r="H112" s="42">
        <f>H103*Base!$I44</f>
        <v>13920.74453210826</v>
      </c>
      <c r="I112" s="42">
        <f>I103*Base!$I44</f>
        <v>14247.203635274143</v>
      </c>
      <c r="J112" s="10">
        <f>J103*Base!$I44</f>
        <v>14573.662738440029</v>
      </c>
      <c r="K112" s="10">
        <f>K103*Base!$I44</f>
        <v>14518.938380105863</v>
      </c>
      <c r="L112" s="10">
        <f>L103*Base!$I44</f>
        <v>14464.214021771697</v>
      </c>
      <c r="M112" s="10">
        <f>M103*Base!$I44</f>
        <v>14409.489663437531</v>
      </c>
      <c r="N112" s="10">
        <f>N103*Base!$I44</f>
        <v>14354.765305103367</v>
      </c>
      <c r="O112" s="149"/>
    </row>
    <row r="113" spans="1:15" ht="16" thickBot="1">
      <c r="A113" s="225" t="s">
        <v>226</v>
      </c>
      <c r="B113" s="225">
        <f>B104*Base!$I45</f>
        <v>0</v>
      </c>
      <c r="C113" s="42">
        <f>C104*Base!$I45</f>
        <v>0</v>
      </c>
      <c r="D113" s="42">
        <f>D104*Base!$I45</f>
        <v>0</v>
      </c>
      <c r="E113" s="42">
        <f>E104*Base!$I45</f>
        <v>0</v>
      </c>
      <c r="F113" s="42">
        <f>F104*Base!$I45</f>
        <v>0</v>
      </c>
      <c r="G113" s="42">
        <f>G104*Base!$I45</f>
        <v>0</v>
      </c>
      <c r="H113" s="42">
        <f>H104*Base!$I45</f>
        <v>0</v>
      </c>
      <c r="I113" s="42">
        <f>I104*Base!$I45</f>
        <v>0</v>
      </c>
      <c r="J113" s="10">
        <f>J104*Base!$I45</f>
        <v>0</v>
      </c>
      <c r="K113" s="10">
        <f>K104*Base!$I45</f>
        <v>0</v>
      </c>
      <c r="L113" s="10">
        <f>L104*Base!$I45</f>
        <v>0</v>
      </c>
      <c r="M113" s="10">
        <f>M104*Base!$I45</f>
        <v>0</v>
      </c>
      <c r="N113" s="10">
        <f>N104*Base!$I45</f>
        <v>0</v>
      </c>
      <c r="O113" s="149"/>
    </row>
    <row r="114" spans="1:15" s="9" customFormat="1" ht="16" thickBot="1">
      <c r="A114" s="227" t="s">
        <v>22</v>
      </c>
      <c r="B114" s="233">
        <f>SUM(B111:B113)</f>
        <v>22403</v>
      </c>
      <c r="C114" s="233">
        <f t="shared" ref="C114" si="4">SUM(C111:C113)</f>
        <v>22847.651468909444</v>
      </c>
      <c r="D114" s="233">
        <f t="shared" ref="D114" si="5">SUM(D111:D113)</f>
        <v>23500.910222688031</v>
      </c>
      <c r="E114" s="233">
        <f t="shared" ref="E114" si="6">SUM(E111:E113)</f>
        <v>15293.003263307048</v>
      </c>
      <c r="F114" s="233">
        <f t="shared" ref="F114" si="7">SUM(F111:F113)</f>
        <v>15680.653376429338</v>
      </c>
      <c r="G114" s="233">
        <f t="shared" ref="G114" si="8">SUM(G111:G113)</f>
        <v>16088.870395467802</v>
      </c>
      <c r="H114" s="233">
        <f t="shared" ref="H114" si="9">SUM(H111:H113)</f>
        <v>16487.652180310717</v>
      </c>
      <c r="I114" s="233">
        <f t="shared" ref="I114" si="10">SUM(I111:I113)</f>
        <v>16884.625008062227</v>
      </c>
      <c r="J114" s="233">
        <f>SUM(J111:J113)</f>
        <v>17282.522605972241</v>
      </c>
      <c r="K114" s="233">
        <f t="shared" ref="K114" si="11">SUM(K111:K113)</f>
        <v>17228.468706002986</v>
      </c>
      <c r="L114" s="233">
        <f t="shared" ref="L114" si="12">SUM(L111:L113)</f>
        <v>17174.414806033732</v>
      </c>
      <c r="M114" s="233">
        <f t="shared" ref="M114" si="13">SUM(M111:M113)</f>
        <v>17120.360906064481</v>
      </c>
      <c r="N114" s="234">
        <f t="shared" ref="N114" si="14">SUM(N111:N113)</f>
        <v>17066.307006095227</v>
      </c>
      <c r="O114" s="230"/>
    </row>
    <row r="115" spans="1:15" s="9" customFormat="1">
      <c r="A115" s="231" t="s">
        <v>345</v>
      </c>
      <c r="B115" s="236"/>
      <c r="C115" s="236">
        <f>'Data Input Sheet'!C41-'Data Input Sheet'!B41</f>
        <v>345551</v>
      </c>
      <c r="D115" s="236">
        <f>'Data Input Sheet'!D41-'Data Input Sheet'!C41</f>
        <v>853697</v>
      </c>
      <c r="E115" s="236">
        <f>'Data Input Sheet'!E41-'Data Input Sheet'!D41</f>
        <v>-8834257</v>
      </c>
      <c r="F115" s="236">
        <f>'Data Input Sheet'!F41-'Data Input Sheet'!E41</f>
        <v>-161814</v>
      </c>
      <c r="G115" s="236">
        <f>'Data Input Sheet'!G41-'Data Input Sheet'!F41</f>
        <v>114977</v>
      </c>
      <c r="H115" s="236">
        <f>'Data Input Sheet'!H41-'Data Input Sheet'!G41</f>
        <v>210185</v>
      </c>
      <c r="I115" s="236">
        <f>'Data Input Sheet'!I41-'Data Input Sheet'!H41</f>
        <v>108220</v>
      </c>
      <c r="J115" s="236">
        <f>'Data Input Sheet'!J41-'Data Input Sheet'!I41</f>
        <v>101553</v>
      </c>
      <c r="K115" s="236">
        <f>'Data Input Sheet'!K41-'Data Input Sheet'!J41</f>
        <v>0</v>
      </c>
      <c r="L115" s="236">
        <f>'Data Input Sheet'!L41-'Data Input Sheet'!K41</f>
        <v>0</v>
      </c>
      <c r="M115" s="236">
        <f>'Data Input Sheet'!M41-'Data Input Sheet'!L41</f>
        <v>0</v>
      </c>
      <c r="N115" s="236">
        <f>'Data Input Sheet'!N41-'Data Input Sheet'!M41</f>
        <v>0</v>
      </c>
      <c r="O115" s="230"/>
    </row>
    <row r="116" spans="1:15" s="9" customFormat="1">
      <c r="A116" s="231"/>
      <c r="B116" s="232"/>
      <c r="C116" s="232"/>
      <c r="D116" s="232"/>
      <c r="E116" s="232"/>
      <c r="F116" s="232"/>
      <c r="G116" s="232"/>
      <c r="H116" s="232"/>
      <c r="I116" s="232"/>
      <c r="J116" s="232"/>
      <c r="K116" s="232"/>
      <c r="L116" s="232"/>
      <c r="M116" s="232"/>
      <c r="N116" s="232"/>
      <c r="O116" s="230"/>
    </row>
    <row r="117" spans="1:15">
      <c r="A117" s="3" t="s">
        <v>64</v>
      </c>
    </row>
    <row r="118" spans="1:15">
      <c r="A118" t="s">
        <v>65</v>
      </c>
    </row>
    <row r="119" spans="1:15">
      <c r="A119" s="5" t="s">
        <v>40</v>
      </c>
      <c r="C119" s="47">
        <f>(C8-B8)/B8</f>
        <v>-1.2706872988530939E-2</v>
      </c>
      <c r="D119" s="47">
        <f t="shared" ref="D119:N119" si="15">(D8-C8)/C8</f>
        <v>-2.0617938220491173E-2</v>
      </c>
      <c r="E119" s="47">
        <f t="shared" si="15"/>
        <v>0.52051984819510166</v>
      </c>
      <c r="F119" s="47">
        <f t="shared" si="15"/>
        <v>-3.9321023406523103E-2</v>
      </c>
      <c r="G119" s="47">
        <f t="shared" si="15"/>
        <v>-2.7808362414396343E-2</v>
      </c>
      <c r="H119" s="47">
        <f t="shared" si="15"/>
        <v>-2.7197731582315386E-2</v>
      </c>
      <c r="I119" s="47">
        <f t="shared" si="15"/>
        <v>-2.6925627280002452E-2</v>
      </c>
      <c r="J119" s="23">
        <f t="shared" si="15"/>
        <v>-2.650933990999434E-2</v>
      </c>
      <c r="K119" s="23">
        <f t="shared" si="15"/>
        <v>4.5238633793254202E-4</v>
      </c>
      <c r="L119" s="23">
        <f t="shared" si="15"/>
        <v>6.7827266561159378E-4</v>
      </c>
      <c r="M119" s="23">
        <f t="shared" si="15"/>
        <v>6.778129236330951E-4</v>
      </c>
      <c r="N119" s="23">
        <f t="shared" si="15"/>
        <v>6.7735380447055289E-4</v>
      </c>
    </row>
    <row r="120" spans="1:15">
      <c r="A120" s="5" t="s">
        <v>41</v>
      </c>
      <c r="C120" s="47">
        <f t="shared" ref="C120:N120" si="16">(C9-B9)/C9</f>
        <v>-1.2684774776446929E-2</v>
      </c>
      <c r="D120" s="47">
        <f t="shared" si="16"/>
        <v>-2.1122396764747305E-2</v>
      </c>
      <c r="E120" s="47">
        <f t="shared" si="16"/>
        <v>0.34234099398736262</v>
      </c>
      <c r="F120" s="47">
        <f t="shared" si="16"/>
        <v>0.15304189410147434</v>
      </c>
      <c r="G120" s="47">
        <f t="shared" si="16"/>
        <v>-2.9303517353831753E-2</v>
      </c>
      <c r="H120" s="47">
        <f t="shared" si="16"/>
        <v>-2.8424006517606779E-2</v>
      </c>
      <c r="I120" s="47">
        <f t="shared" si="16"/>
        <v>-2.8368981603731941E-2</v>
      </c>
      <c r="J120" s="23">
        <f t="shared" si="16"/>
        <v>-2.7928753006428029E-2</v>
      </c>
      <c r="K120" s="23">
        <f t="shared" si="16"/>
        <v>0</v>
      </c>
      <c r="L120" s="23">
        <f t="shared" si="16"/>
        <v>0</v>
      </c>
      <c r="M120" s="23">
        <f t="shared" si="16"/>
        <v>0</v>
      </c>
      <c r="N120" s="23">
        <f t="shared" si="16"/>
        <v>0</v>
      </c>
    </row>
    <row r="121" spans="1:15">
      <c r="A121" t="s">
        <v>66</v>
      </c>
    </row>
    <row r="122" spans="1:15">
      <c r="A122" s="5" t="s">
        <v>40</v>
      </c>
      <c r="C122" s="54">
        <f>(C24-B24)/B24</f>
        <v>0.39961922230275604</v>
      </c>
      <c r="D122" s="54">
        <f t="shared" ref="C122:I123" si="17">(D24-C24)/C24</f>
        <v>-0.27635481692950375</v>
      </c>
      <c r="E122" s="54">
        <f t="shared" si="17"/>
        <v>0.70706194680056766</v>
      </c>
      <c r="F122" s="54">
        <f t="shared" si="17"/>
        <v>5.7700542229738964E-2</v>
      </c>
      <c r="G122" s="54">
        <f t="shared" si="17"/>
        <v>-0.17130562077863137</v>
      </c>
      <c r="H122" s="54">
        <f t="shared" si="17"/>
        <v>-4.6540776377899246E-3</v>
      </c>
      <c r="I122" s="54">
        <f t="shared" si="17"/>
        <v>-3.8510333986029335E-2</v>
      </c>
      <c r="J122" s="23">
        <f t="shared" ref="J122:N123" si="18">(J24-I24)/J24</f>
        <v>8.0114982103406118E-3</v>
      </c>
      <c r="K122" s="23">
        <f t="shared" si="18"/>
        <v>0.11278642455685253</v>
      </c>
      <c r="L122" s="23">
        <f t="shared" si="18"/>
        <v>1.3172630793024416E-2</v>
      </c>
      <c r="M122" s="23">
        <f t="shared" si="18"/>
        <v>1.6985583224115246E-2</v>
      </c>
      <c r="N122" s="23">
        <f t="shared" si="18"/>
        <v>8.8334632372044659E-3</v>
      </c>
    </row>
    <row r="123" spans="1:15">
      <c r="A123" s="5" t="s">
        <v>41</v>
      </c>
      <c r="C123" s="54">
        <f t="shared" si="17"/>
        <v>-0.35238898713826028</v>
      </c>
      <c r="D123" s="54">
        <f t="shared" si="17"/>
        <v>4.7913683980796561E-2</v>
      </c>
      <c r="E123" s="54">
        <f t="shared" si="17"/>
        <v>-5.0959624524109882E-2</v>
      </c>
      <c r="F123" s="54">
        <f t="shared" si="17"/>
        <v>0.92572246656339652</v>
      </c>
      <c r="G123" s="54">
        <f t="shared" si="17"/>
        <v>0.3273912598872154</v>
      </c>
      <c r="H123" s="54">
        <f t="shared" si="17"/>
        <v>-0.22660919966884274</v>
      </c>
      <c r="I123" s="54">
        <f t="shared" si="17"/>
        <v>2.8249446316719138E-2</v>
      </c>
      <c r="J123" s="23">
        <f t="shared" si="18"/>
        <v>0.13954960344562292</v>
      </c>
      <c r="K123" s="23">
        <f t="shared" si="18"/>
        <v>-0.12037037037037039</v>
      </c>
      <c r="L123" s="23">
        <f t="shared" si="18"/>
        <v>-1.0020040080160299E-2</v>
      </c>
      <c r="M123" s="23">
        <f t="shared" si="18"/>
        <v>0.13167053364269138</v>
      </c>
      <c r="N123" s="23">
        <f t="shared" si="18"/>
        <v>-0.12166558230318794</v>
      </c>
    </row>
    <row r="124" spans="1:15">
      <c r="H124" s="10"/>
    </row>
    <row r="125" spans="1:15">
      <c r="A125" t="s">
        <v>67</v>
      </c>
      <c r="H125" s="10"/>
    </row>
    <row r="126" spans="1:15">
      <c r="A126" s="5" t="s">
        <v>40</v>
      </c>
      <c r="H126" s="10"/>
    </row>
    <row r="127" spans="1:15">
      <c r="A127" s="5" t="s">
        <v>41</v>
      </c>
      <c r="H127" s="10"/>
    </row>
    <row r="128" spans="1:15">
      <c r="A128" t="s">
        <v>66</v>
      </c>
    </row>
    <row r="129" spans="1:15">
      <c r="A129" s="5" t="s">
        <v>40</v>
      </c>
    </row>
    <row r="130" spans="1:15">
      <c r="A130" s="5" t="s">
        <v>41</v>
      </c>
    </row>
    <row r="132" spans="1:15">
      <c r="B132" s="8"/>
      <c r="C132" s="8"/>
      <c r="D132" s="8"/>
      <c r="E132" s="8"/>
      <c r="F132" s="8"/>
      <c r="G132" s="8"/>
      <c r="H132" s="8"/>
      <c r="I132" s="8"/>
      <c r="J132" s="8"/>
      <c r="K132" s="8"/>
      <c r="L132" s="8"/>
      <c r="M132" s="8"/>
      <c r="N132" s="8"/>
      <c r="O132" s="8"/>
    </row>
  </sheetData>
  <mergeCells count="2">
    <mergeCell ref="B2:D2"/>
    <mergeCell ref="E2:N2"/>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P89"/>
  <sheetViews>
    <sheetView zoomScale="85" zoomScaleNormal="85" workbookViewId="0"/>
  </sheetViews>
  <sheetFormatPr defaultColWidth="8.83203125" defaultRowHeight="15.5"/>
  <cols>
    <col min="1" max="1" width="66.5" bestFit="1" customWidth="1"/>
    <col min="2" max="2" width="13.33203125" bestFit="1" customWidth="1"/>
    <col min="3" max="3" width="12.33203125" bestFit="1" customWidth="1"/>
    <col min="4" max="5" width="11.5" bestFit="1" customWidth="1"/>
    <col min="6" max="8" width="12.33203125" bestFit="1" customWidth="1"/>
    <col min="9" max="14" width="11.5" bestFit="1" customWidth="1"/>
  </cols>
  <sheetData>
    <row r="1" spans="1:14">
      <c r="A1" t="s">
        <v>153</v>
      </c>
    </row>
    <row r="3" spans="1:14">
      <c r="B3" s="2">
        <f t="shared" ref="B3:N3" si="0">B26</f>
        <v>2013</v>
      </c>
      <c r="C3" s="2">
        <f t="shared" si="0"/>
        <v>2014</v>
      </c>
      <c r="D3" s="2">
        <f t="shared" si="0"/>
        <v>2015</v>
      </c>
      <c r="E3" s="2">
        <f t="shared" si="0"/>
        <v>2016</v>
      </c>
      <c r="F3" s="2">
        <f t="shared" si="0"/>
        <v>2017</v>
      </c>
      <c r="G3" s="2">
        <f t="shared" si="0"/>
        <v>2018</v>
      </c>
      <c r="H3" s="2">
        <f t="shared" si="0"/>
        <v>2019</v>
      </c>
      <c r="I3" s="2">
        <f t="shared" si="0"/>
        <v>2020</v>
      </c>
      <c r="J3" s="2">
        <f t="shared" si="0"/>
        <v>2021</v>
      </c>
      <c r="K3" s="2">
        <f t="shared" si="0"/>
        <v>2022</v>
      </c>
      <c r="L3" s="2">
        <f t="shared" si="0"/>
        <v>2023</v>
      </c>
      <c r="M3" s="2">
        <f t="shared" si="0"/>
        <v>2024</v>
      </c>
      <c r="N3" s="2">
        <f t="shared" si="0"/>
        <v>2025</v>
      </c>
    </row>
    <row r="4" spans="1:14">
      <c r="A4" t="s">
        <v>146</v>
      </c>
      <c r="C4" s="16">
        <f>(Ratios!C5-Ratios!B5)/Ratios!B5</f>
        <v>-1.1011326993069646E-2</v>
      </c>
      <c r="D4" s="16">
        <f>(Ratios!D5-Ratios!C5)/Ratios!C5</f>
        <v>-3.6622784291294966E-2</v>
      </c>
      <c r="E4" s="16">
        <f>(Ratios!E5-Ratios!D5)/Ratios!D5</f>
        <v>0.5872160930606044</v>
      </c>
      <c r="F4" s="16">
        <f>(Ratios!F5-Ratios!E5)/Ratios!E5</f>
        <v>-2.8254398378999197E-4</v>
      </c>
      <c r="G4" s="16">
        <f>(Ratios!G5-Ratios!F5)/Ratios!F5</f>
        <v>-7.5927521837861871E-3</v>
      </c>
      <c r="H4" s="16">
        <f>(Ratios!H5-Ratios!G5)/Ratios!G5</f>
        <v>-1.4441843530234555E-2</v>
      </c>
      <c r="I4" s="16">
        <f>(Ratios!I5-Ratios!H5)/Ratios!H5</f>
        <v>-6.9330372650335962E-3</v>
      </c>
      <c r="J4" s="16">
        <f>(Ratios!J5-Ratios!I5)/Ratios!I5</f>
        <v>-6.4138830731799729E-3</v>
      </c>
      <c r="K4" s="16">
        <f>(Ratios!K5-Ratios!J5)/Ratios!J5</f>
        <v>4.5238633793268367E-4</v>
      </c>
      <c r="L4" s="16">
        <f>(Ratios!L5-Ratios!K5)/Ratios!K5</f>
        <v>6.7827266561143332E-4</v>
      </c>
      <c r="M4" s="16">
        <f>(Ratios!M5-Ratios!L5)/Ratios!L5</f>
        <v>6.7781292363311896E-4</v>
      </c>
      <c r="N4" s="16">
        <f>(Ratios!N5-Ratios!M5)/Ratios!M5</f>
        <v>6.7735380447057675E-4</v>
      </c>
    </row>
    <row r="5" spans="1:14">
      <c r="A5" t="s">
        <v>147</v>
      </c>
      <c r="C5" s="16">
        <f>(Ratios!C24-Ratios!B24)/Ratios!B24</f>
        <v>0.39961922230275604</v>
      </c>
      <c r="D5" s="16">
        <f>(Ratios!D24-Ratios!C24)/Ratios!C24</f>
        <v>-0.27635481692950375</v>
      </c>
      <c r="E5" s="16">
        <f>(Ratios!E24-Ratios!D24)/Ratios!D24</f>
        <v>0.70706194680056766</v>
      </c>
      <c r="F5" s="16">
        <f>(Ratios!F24-Ratios!E24)/Ratios!E24</f>
        <v>5.7700542229738964E-2</v>
      </c>
      <c r="G5" s="16">
        <f>(Ratios!G24-Ratios!F24)/Ratios!F24</f>
        <v>-0.17130562077863137</v>
      </c>
      <c r="H5" s="16">
        <f>(Ratios!H24-Ratios!G24)/Ratios!G24</f>
        <v>-4.6540776377899246E-3</v>
      </c>
      <c r="I5" s="16">
        <f>(Ratios!I24-Ratios!H24)/Ratios!H24</f>
        <v>-3.8510333986029335E-2</v>
      </c>
      <c r="J5" s="16">
        <f>(Ratios!J24-Ratios!I24)/Ratios!I24</f>
        <v>8.076200677615681E-3</v>
      </c>
      <c r="K5" s="16">
        <f>(Ratios!K24-Ratios!J24)/Ratios!J24</f>
        <v>0.12712432234878474</v>
      </c>
      <c r="L5" s="16">
        <f>(Ratios!L24-Ratios!K24)/Ratios!K24</f>
        <v>1.3348465196714268E-2</v>
      </c>
      <c r="M5" s="16">
        <f>(Ratios!M24-Ratios!L24)/Ratios!L24</f>
        <v>1.7279078449149287E-2</v>
      </c>
      <c r="N5" s="16">
        <f>(Ratios!N24-Ratios!M24)/Ratios!M24</f>
        <v>8.9121887287024869E-3</v>
      </c>
    </row>
    <row r="6" spans="1:14">
      <c r="A6" t="s">
        <v>148</v>
      </c>
      <c r="C6" s="16">
        <f>(Ratios!C73-Ratios!B73)/Ratios!B73</f>
        <v>1.7750649880218013E-2</v>
      </c>
      <c r="D6" s="16">
        <f>(Ratios!D73-Ratios!C73)/Ratios!C73</f>
        <v>2.1942180320274552E-2</v>
      </c>
      <c r="E6" s="16">
        <f>(Ratios!E73-Ratios!D73)/Ratios!D73</f>
        <v>-0.36080567007467396</v>
      </c>
      <c r="F6" s="16">
        <f>(Ratios!F73-Ratios!E73)/Ratios!E73</f>
        <v>2.856896419535386E-2</v>
      </c>
      <c r="G6" s="16">
        <f>(Ratios!G73-Ratios!F73)/Ratios!F73</f>
        <v>2.9303517353831673E-2</v>
      </c>
      <c r="H6" s="16">
        <f>(Ratios!H73-Ratios!G73)/Ratios!G73</f>
        <v>2.842400651760682E-2</v>
      </c>
      <c r="I6" s="16">
        <f>(Ratios!I73-Ratios!H73)/Ratios!H73</f>
        <v>2.8368981603731844E-2</v>
      </c>
      <c r="J6" s="16">
        <f>(Ratios!J73-Ratios!I73)/Ratios!I73</f>
        <v>2.7928753006428254E-2</v>
      </c>
      <c r="K6" s="16">
        <f>(Ratios!K73-Ratios!J73)/Ratios!J73</f>
        <v>0</v>
      </c>
      <c r="L6" s="16">
        <f>(Ratios!L73-Ratios!K73)/Ratios!K73</f>
        <v>0</v>
      </c>
      <c r="M6" s="16">
        <f>(Ratios!M73-Ratios!L73)/Ratios!L73</f>
        <v>0</v>
      </c>
      <c r="N6" s="16">
        <f>(Ratios!N73-Ratios!M73)/Ratios!M73</f>
        <v>0</v>
      </c>
    </row>
    <row r="7" spans="1:14">
      <c r="A7" t="s">
        <v>149</v>
      </c>
    </row>
    <row r="8" spans="1:14">
      <c r="A8" t="s">
        <v>150</v>
      </c>
      <c r="C8" s="16">
        <f>(Ratios!C72-Ratios!B72)/Ratios!B72</f>
        <v>1.6005793659028239E-2</v>
      </c>
      <c r="D8" s="16">
        <f>(Ratios!D72-Ratios!C72)/Ratios!C72</f>
        <v>3.8919981977391001E-2</v>
      </c>
      <c r="E8" s="16">
        <f>(Ratios!E72-Ratios!D72)/Ratios!D72</f>
        <v>-0.38766518953880336</v>
      </c>
      <c r="F8" s="16">
        <f>(Ratios!F72-Ratios!E72)/Ratios!E72</f>
        <v>-1.1596152560345747E-2</v>
      </c>
      <c r="G8" s="16">
        <f>(Ratios!G72-Ratios!F72)/Ratios!F72</f>
        <v>8.3363199037839453E-3</v>
      </c>
      <c r="H8" s="16">
        <f>(Ratios!H72-Ratios!G72)/Ratios!G72</f>
        <v>1.5113314082975539E-2</v>
      </c>
      <c r="I8" s="16">
        <f>(Ratios!I72-Ratios!H72)/Ratios!H72</f>
        <v>7.6656854466516586E-3</v>
      </c>
      <c r="J8" s="16">
        <f>(Ratios!J72-Ratios!I72)/Ratios!I72</f>
        <v>7.1387102155193363E-3</v>
      </c>
      <c r="K8" s="16">
        <f>(Ratios!K72-Ratios!J72)/Ratios!J72</f>
        <v>0</v>
      </c>
      <c r="L8" s="16">
        <f>(Ratios!L72-Ratios!K72)/Ratios!K72</f>
        <v>0</v>
      </c>
      <c r="M8" s="16">
        <f>(Ratios!M72-Ratios!L72)/Ratios!L72</f>
        <v>0</v>
      </c>
      <c r="N8" s="16">
        <f>(Ratios!N72-Ratios!M72)/Ratios!M72</f>
        <v>0</v>
      </c>
    </row>
    <row r="9" spans="1:14">
      <c r="A9" t="s">
        <v>151</v>
      </c>
      <c r="C9" s="16">
        <f>(Ratios!C21-Ratios!B21)/Ratios!B21</f>
        <v>0.40202288409540859</v>
      </c>
      <c r="D9" s="16">
        <f>(Ratios!D21-Ratios!C21)/Ratios!C21</f>
        <v>-0.28818046722156437</v>
      </c>
      <c r="E9" s="16">
        <f>(Ratios!E21-Ratios!D21)/Ratios!D21</f>
        <v>0.78194069418393186</v>
      </c>
      <c r="F9" s="16">
        <f>(Ratios!F21-Ratios!E21)/Ratios!E21</f>
        <v>0.1006816231727875</v>
      </c>
      <c r="G9" s="16">
        <f>(Ratios!G21-Ratios!F21)/Ratios!F21</f>
        <v>-0.15407387147842033</v>
      </c>
      <c r="H9" s="16">
        <f>(Ratios!H21-Ratios!G21)/Ratios!G21</f>
        <v>8.3974145008939849E-3</v>
      </c>
      <c r="I9" s="16">
        <f>(Ratios!I21-Ratios!H21)/Ratios!H21</f>
        <v>-1.8755761021052152E-2</v>
      </c>
      <c r="J9" s="16">
        <f>(Ratios!J21-Ratios!I21)/Ratios!I21</f>
        <v>2.8885595784769624E-2</v>
      </c>
      <c r="K9" s="16">
        <f>(Ratios!K21-Ratios!J21)/Ratios!J21</f>
        <v>0.12712432234878485</v>
      </c>
      <c r="L9" s="16">
        <f>(Ratios!L21-Ratios!K21)/Ratios!K21</f>
        <v>1.3348465196714194E-2</v>
      </c>
      <c r="M9" s="16">
        <f>(Ratios!M21-Ratios!L21)/Ratios!L21</f>
        <v>1.7279078449149398E-2</v>
      </c>
      <c r="N9" s="16">
        <f>(Ratios!N21-Ratios!M21)/Ratios!M21</f>
        <v>8.9121887287024124E-3</v>
      </c>
    </row>
    <row r="10" spans="1:14">
      <c r="A10" t="s">
        <v>152</v>
      </c>
      <c r="C10" s="16">
        <f>('Data Input Sheet'!C49-'Data Input Sheet'!B49)/'Data Input Sheet'!B49</f>
        <v>1.3838518801297958E-2</v>
      </c>
      <c r="D10" s="16">
        <f>('Data Input Sheet'!D49-'Data Input Sheet'!C49)/'Data Input Sheet'!C49</f>
        <v>1.383789889861621E-2</v>
      </c>
      <c r="E10" s="16">
        <f>('Data Input Sheet'!E49-'Data Input Sheet'!D49)/'Data Input Sheet'!D49</f>
        <v>0</v>
      </c>
      <c r="F10" s="16">
        <f>('Data Input Sheet'!F49-'Data Input Sheet'!E49)/'Data Input Sheet'!E49</f>
        <v>0</v>
      </c>
      <c r="G10" s="16">
        <f>('Data Input Sheet'!G49-'Data Input Sheet'!F49)/'Data Input Sheet'!F49</f>
        <v>0</v>
      </c>
      <c r="H10" s="16">
        <f>('Data Input Sheet'!H49-'Data Input Sheet'!G49)/'Data Input Sheet'!G49</f>
        <v>0</v>
      </c>
      <c r="I10" s="16">
        <f>('Data Input Sheet'!I49-'Data Input Sheet'!H49)/'Data Input Sheet'!H49</f>
        <v>0</v>
      </c>
      <c r="J10" s="16">
        <f>('Data Input Sheet'!J49-'Data Input Sheet'!I49)/'Data Input Sheet'!I49</f>
        <v>0</v>
      </c>
      <c r="K10" s="16">
        <f>('Data Input Sheet'!K49-'Data Input Sheet'!J49)/'Data Input Sheet'!J49</f>
        <v>0</v>
      </c>
      <c r="L10" s="16">
        <f>('Data Input Sheet'!L49-'Data Input Sheet'!K49)/'Data Input Sheet'!K49</f>
        <v>0</v>
      </c>
      <c r="M10" s="16">
        <f>('Data Input Sheet'!M49-'Data Input Sheet'!L49)/'Data Input Sheet'!L49</f>
        <v>0</v>
      </c>
      <c r="N10" s="16">
        <f>('Data Input Sheet'!N49-'Data Input Sheet'!M49)/'Data Input Sheet'!M49</f>
        <v>0</v>
      </c>
    </row>
    <row r="12" spans="1:14">
      <c r="A12" s="277" t="s">
        <v>394</v>
      </c>
    </row>
    <row r="13" spans="1:14">
      <c r="A13" s="9" t="s">
        <v>190</v>
      </c>
      <c r="B13">
        <f>B3</f>
        <v>2013</v>
      </c>
      <c r="C13">
        <f>C3</f>
        <v>2014</v>
      </c>
      <c r="D13">
        <f t="shared" ref="D13:N13" si="1">D3</f>
        <v>2015</v>
      </c>
      <c r="E13">
        <f t="shared" si="1"/>
        <v>2016</v>
      </c>
      <c r="F13">
        <f t="shared" si="1"/>
        <v>2017</v>
      </c>
      <c r="G13">
        <f t="shared" si="1"/>
        <v>2018</v>
      </c>
      <c r="H13">
        <f t="shared" si="1"/>
        <v>2019</v>
      </c>
      <c r="I13">
        <f t="shared" si="1"/>
        <v>2020</v>
      </c>
      <c r="J13">
        <f t="shared" si="1"/>
        <v>2021</v>
      </c>
      <c r="K13">
        <f t="shared" si="1"/>
        <v>2022</v>
      </c>
      <c r="L13">
        <f t="shared" si="1"/>
        <v>2023</v>
      </c>
      <c r="M13">
        <f t="shared" si="1"/>
        <v>2024</v>
      </c>
      <c r="N13">
        <f t="shared" si="1"/>
        <v>2025</v>
      </c>
    </row>
    <row r="14" spans="1:14">
      <c r="A14" s="9" t="s">
        <v>397</v>
      </c>
      <c r="B14">
        <v>0</v>
      </c>
      <c r="C14">
        <f>B14+1</f>
        <v>1</v>
      </c>
      <c r="D14">
        <f t="shared" ref="D14:N14" si="2">C14+1</f>
        <v>2</v>
      </c>
      <c r="E14">
        <f t="shared" si="2"/>
        <v>3</v>
      </c>
      <c r="F14">
        <f t="shared" si="2"/>
        <v>4</v>
      </c>
      <c r="G14">
        <f t="shared" si="2"/>
        <v>5</v>
      </c>
      <c r="H14">
        <f t="shared" si="2"/>
        <v>6</v>
      </c>
      <c r="I14">
        <f t="shared" si="2"/>
        <v>7</v>
      </c>
      <c r="J14">
        <f t="shared" si="2"/>
        <v>8</v>
      </c>
      <c r="K14">
        <f t="shared" si="2"/>
        <v>9</v>
      </c>
      <c r="L14">
        <f t="shared" si="2"/>
        <v>10</v>
      </c>
      <c r="M14">
        <f t="shared" si="2"/>
        <v>11</v>
      </c>
      <c r="N14">
        <f t="shared" si="2"/>
        <v>12</v>
      </c>
    </row>
    <row r="15" spans="1:14">
      <c r="A15" s="9" t="s">
        <v>161</v>
      </c>
      <c r="B15">
        <f>IF(Base!$C$7=B14+1,2,IF(Base!$C$7&lt;B14+1,3,1))</f>
        <v>1</v>
      </c>
      <c r="C15">
        <f>IF(Base!$C$7=C14+1,2,IF(Base!$C$7&lt;C14+1,3,1))</f>
        <v>1</v>
      </c>
      <c r="D15">
        <f>IF(Base!$C$7=D14+1,2,IF(Base!$C$7&lt;D14+1,3,1))</f>
        <v>1</v>
      </c>
      <c r="E15">
        <f>IF(Base!$C$7=E14+1,2,IF(Base!$C$7&lt;E14+1,3,1))</f>
        <v>1</v>
      </c>
      <c r="F15">
        <f>IF(Base!$C$7=F14+1,2,IF(Base!$C$7&lt;F14+1,3,1))</f>
        <v>1</v>
      </c>
      <c r="G15">
        <f>IF(Base!$C$7=G14+1,2,IF(Base!$C$7&lt;G14+1,3,1))</f>
        <v>1</v>
      </c>
      <c r="H15">
        <f>IF(Base!$C$7=H14+1,2,IF(Base!$C$7&lt;H14+1,3,1))</f>
        <v>1</v>
      </c>
      <c r="I15">
        <f>IF(Base!$C$7=I14+1,2,IF(Base!$C$7&lt;I14+1,3,1))</f>
        <v>1</v>
      </c>
      <c r="J15">
        <f>IF(Base!$C$7=J14+1,2,IF(Base!$C$7&lt;J14+1,3,1))</f>
        <v>1</v>
      </c>
      <c r="K15">
        <f>IF(Base!$C$7=K14+1,2,IF(Base!$C$7&lt;K14+1,3,1))</f>
        <v>1</v>
      </c>
      <c r="L15">
        <f>IF(Base!$C$7=L14+1,2,IF(Base!$C$7&lt;L14+1,3,1))</f>
        <v>1</v>
      </c>
      <c r="M15">
        <f>IF(Base!$C$7=M14+1,2,IF(Base!$C$7&lt;M14+1,3,1))</f>
        <v>1</v>
      </c>
      <c r="N15">
        <f>IF(Base!$C$7=N14+1,2,IF(Base!$C$7&lt;N14+1,3,1))</f>
        <v>1</v>
      </c>
    </row>
    <row r="16" spans="1:14">
      <c r="A16" s="9" t="s">
        <v>398</v>
      </c>
      <c r="E16">
        <f>INDEX('Data Input Sheet'!B14:O14,1,Base!$C$7)</f>
        <v>11792</v>
      </c>
      <c r="F16">
        <f>$E$16*(Base!$F$8^Calculations!C14)</f>
        <v>11810.518750102052</v>
      </c>
      <c r="G16">
        <f>$E$16*(Base!$F$8^Calculations!D14)</f>
        <v>11829.066582981015</v>
      </c>
      <c r="H16">
        <f>$E$16*(Base!$F$8^Calculations!E14)</f>
        <v>11847.643544309945</v>
      </c>
      <c r="I16">
        <f>$E$16*(Base!$F$8^Calculations!F14)</f>
        <v>11866.249679833627</v>
      </c>
      <c r="J16">
        <f>$E$16*(Base!$F$8^Calculations!G14)</f>
        <v>11884.885035368683</v>
      </c>
      <c r="K16">
        <f>$E$16*(Base!$F$8^Calculations!H14)</f>
        <v>11903.549656803691</v>
      </c>
      <c r="L16">
        <f>$E$16*(Base!$F$8^Calculations!I14)</f>
        <v>11922.24359009929</v>
      </c>
      <c r="M16">
        <f>$E$16*(Base!$F$8^Calculations!J14)</f>
        <v>11940.966881288303</v>
      </c>
      <c r="N16">
        <f>$E$16*(Base!$F$8^Calculations!K14)</f>
        <v>11959.71957647584</v>
      </c>
    </row>
    <row r="17" spans="1:14">
      <c r="A17" s="9" t="s">
        <v>399</v>
      </c>
      <c r="E17">
        <f>E16</f>
        <v>11792</v>
      </c>
      <c r="F17">
        <f>$E$17*(Base!$F$9^Calculations!C14)</f>
        <v>12051.549745002092</v>
      </c>
      <c r="G17">
        <f>$E$17*(Base!$F$9^Calculations!D14)</f>
        <v>12316.812352125171</v>
      </c>
      <c r="H17">
        <f>$E$17*(Base!$F$9^Calculations!E14)</f>
        <v>12587.913565255491</v>
      </c>
      <c r="I17">
        <f>$E$17*(Base!$F$9^Calculations!F14)</f>
        <v>12864.981895985686</v>
      </c>
      <c r="J17">
        <f>$E$17*(Base!$F$9^Calculations!G14)</f>
        <v>13148.148684533822</v>
      </c>
      <c r="K17">
        <f>$E$17*(Base!$F$9^Calculations!H14)</f>
        <v>13437.548162003324</v>
      </c>
      <c r="L17">
        <f>$E$17*(Base!$F$9^Calculations!I14)</f>
        <v>13733.317514013275</v>
      </c>
      <c r="M17">
        <f>$E$17*(Base!$F$9^Calculations!J14)</f>
        <v>14035.596945729263</v>
      </c>
      <c r="N17">
        <f>$E$17*(Base!$F$9^Calculations!K14)</f>
        <v>14344.529748325616</v>
      </c>
    </row>
    <row r="18" spans="1:14">
      <c r="A18" s="9" t="s">
        <v>400</v>
      </c>
      <c r="E18">
        <f>E17</f>
        <v>11792</v>
      </c>
      <c r="F18">
        <f>$E$18*(Base!$F$10^Calculations!C14)</f>
        <v>12292.580739902134</v>
      </c>
      <c r="G18">
        <f>$E$18*(Base!$F$10^Calculations!D14)</f>
        <v>12814.411571151026</v>
      </c>
      <c r="H18">
        <f>$E$18*(Base!$F$10^Calculations!E14)</f>
        <v>13358.394578757645</v>
      </c>
      <c r="I18">
        <f>$E$18*(Base!$F$10^Calculations!F14)</f>
        <v>13925.470142032675</v>
      </c>
      <c r="J18">
        <f>$E$18*(Base!$F$10^Calculations!G14)</f>
        <v>14516.618560213121</v>
      </c>
      <c r="K18">
        <f>$E$18*(Base!$F$10^Calculations!H14)</f>
        <v>15132.861747098172</v>
      </c>
      <c r="L18">
        <f>$E$18*(Base!$F$10^Calculations!I14)</f>
        <v>15775.264997623875</v>
      </c>
      <c r="M18">
        <f>$E$18*(Base!$F$10^Calculations!J14)</f>
        <v>16444.938829430423</v>
      </c>
      <c r="N18">
        <f>$E$18*(Base!$F$10^Calculations!K14)</f>
        <v>17143.040902605593</v>
      </c>
    </row>
    <row r="19" spans="1:14">
      <c r="A19" s="9"/>
    </row>
    <row r="20" spans="1:14">
      <c r="A20" s="9" t="s">
        <v>162</v>
      </c>
      <c r="B20">
        <f>IF(Base!$C$6=B14+1,2,IF(Base!$C$6&lt;B14+1,3,1))</f>
        <v>1</v>
      </c>
      <c r="C20">
        <f>IF(Base!$C$6=C14+1,2,IF(Base!$C$6&lt;C14+1,3,1))</f>
        <v>1</v>
      </c>
      <c r="D20">
        <f>IF(Base!$C$6=D14+1,2,IF(Base!$C$6&lt;D14+1,3,1))</f>
        <v>1</v>
      </c>
      <c r="E20">
        <f>IF(Base!$C$6=E14+1,2,IF(Base!$C$6&lt;E14+1,3,1))</f>
        <v>1</v>
      </c>
      <c r="F20">
        <f>IF(Base!$C$6=F14+1,2,IF(Base!$C$6&lt;F14+1,3,1))</f>
        <v>1</v>
      </c>
      <c r="G20">
        <f>IF(Base!$C$6=G14+1,2,IF(Base!$C$6&lt;G14+1,3,1))</f>
        <v>1</v>
      </c>
      <c r="H20">
        <f>IF(Base!$C$6=H14+1,2,IF(Base!$C$6&lt;H14+1,3,1))</f>
        <v>1</v>
      </c>
      <c r="I20">
        <f>IF(Base!$C$6=I14+1,2,IF(Base!$C$6&lt;I14+1,3,1))</f>
        <v>1</v>
      </c>
      <c r="J20">
        <f>IF(Base!$C$6=J14+1,2,IF(Base!$C$6&lt;J14+1,3,1))</f>
        <v>1</v>
      </c>
      <c r="K20">
        <f>IF(Base!$C$6=K14+1,2,IF(Base!$C$6&lt;K14+1,3,1))</f>
        <v>1</v>
      </c>
      <c r="L20">
        <f>IF(Base!$C$6=L14+1,2,IF(Base!$C$6&lt;L14+1,3,1))</f>
        <v>1</v>
      </c>
      <c r="M20">
        <f>IF(Base!$C$6=M14+1,2,IF(Base!$C$6&lt;M14+1,3,1))</f>
        <v>1</v>
      </c>
      <c r="N20">
        <f>IF(Base!$C$6=N14+1,2,IF(Base!$C$6&lt;N14+1,3,1))</f>
        <v>1</v>
      </c>
    </row>
    <row r="21" spans="1:14">
      <c r="A21" s="9" t="s">
        <v>398</v>
      </c>
      <c r="B21">
        <f>INDEX('Data Input Sheet'!B28:O28,1,Base!$C$6)</f>
        <v>20220</v>
      </c>
      <c r="C21">
        <f>$B$21*(Base!$F$8^Calculations!C14)</f>
        <v>20251.754505347988</v>
      </c>
      <c r="D21">
        <f>$B$21*(Base!$F$8^Calculations!D14)</f>
        <v>20283.558879568871</v>
      </c>
      <c r="E21">
        <f>$B$21*(Base!$F$8^Calculations!E14)</f>
        <v>20315.41320097923</v>
      </c>
      <c r="F21">
        <f>$B$21*(Base!$F$8^Calculations!F14)</f>
        <v>20347.317548018651</v>
      </c>
      <c r="G21">
        <f>$B$21*(Base!$F$8^Calculations!G14)</f>
        <v>20379.271999249897</v>
      </c>
      <c r="H21">
        <f>$B$21*(Base!$F$8^Calculations!H14)</f>
        <v>20411.27663335911</v>
      </c>
      <c r="I21">
        <f>$B$21*(Base!$F$8^Calculations!I14)</f>
        <v>20443.331529156007</v>
      </c>
      <c r="J21">
        <f>$B$21*(Base!$F$8^Calculations!J14)</f>
        <v>20475.436765574075</v>
      </c>
      <c r="K21">
        <f>$B$21*(Base!$F$8^Calculations!K14)</f>
        <v>20507.59242167075</v>
      </c>
      <c r="L21">
        <f>$B$21*(Base!$F$8^Calculations!L14)</f>
        <v>20539.798576627643</v>
      </c>
      <c r="M21">
        <f>$B$21*(Base!$F$8^Calculations!M14)</f>
        <v>20572.055309750696</v>
      </c>
      <c r="N21">
        <f>$B$21*(Base!$F$8^Calculations!N14)</f>
        <v>20604.362700470407</v>
      </c>
    </row>
    <row r="22" spans="1:14">
      <c r="A22" s="9" t="s">
        <v>399</v>
      </c>
      <c r="B22">
        <f>B21</f>
        <v>20220</v>
      </c>
      <c r="C22">
        <f>$B$22*(Base!$F$9^Calculations!C14)</f>
        <v>20665.05561770203</v>
      </c>
      <c r="D22">
        <f>$B$22*(Base!$F$9^Calculations!D14)</f>
        <v>21119.907204882205</v>
      </c>
      <c r="E22">
        <f>$B$22*(Base!$F$9^Calculations!E14)</f>
        <v>21584.770377329209</v>
      </c>
      <c r="F22">
        <f>$B$22*(Base!$F$9^Calculations!F14)</f>
        <v>22059.865496678303</v>
      </c>
      <c r="G22">
        <f>$B$22*(Base!$F$9^Calculations!G14)</f>
        <v>22545.417774870581</v>
      </c>
      <c r="H22">
        <f>$B$22*(Base!$F$9^Calculations!H14)</f>
        <v>23041.657380911402</v>
      </c>
      <c r="I22">
        <f>$B$22*(Base!$F$9^Calculations!I14)</f>
        <v>23548.819549978663</v>
      </c>
      <c r="J22">
        <f>$B$22*(Base!$F$9^Calculations!J14)</f>
        <v>24067.144694932642</v>
      </c>
      <c r="K22">
        <f>$B$22*(Base!$F$9^Calculations!K14)</f>
        <v>24596.878520280185</v>
      </c>
      <c r="L22">
        <f>$B$22*(Base!$F$9^Calculations!L14)</f>
        <v>25138.2721386474</v>
      </c>
      <c r="M22">
        <f>$B$22*(Base!$F$9^Calculations!M14)</f>
        <v>25691.582189815916</v>
      </c>
      <c r="N22">
        <f>$B$22*(Base!$F$9^Calculations!N14)</f>
        <v>26257.070962379272</v>
      </c>
    </row>
    <row r="23" spans="1:14">
      <c r="A23" s="9" t="s">
        <v>400</v>
      </c>
      <c r="B23">
        <f>B21</f>
        <v>20220</v>
      </c>
      <c r="C23">
        <f>$B$23*(Base!$F$10^Calculations!C14)</f>
        <v>21078.356730056068</v>
      </c>
      <c r="D23">
        <f>$B$23*(Base!$F$10^Calculations!D14)</f>
        <v>21973.151455959443</v>
      </c>
      <c r="E23">
        <f>$B$23*(Base!$F$10^Calculations!E14)</f>
        <v>22905.93100258477</v>
      </c>
      <c r="F23">
        <f>$B$23*(Base!$F$10^Calculations!F14)</f>
        <v>23878.307858878961</v>
      </c>
      <c r="G23">
        <f>$B$23*(Base!$F$10^Calculations!G14)</f>
        <v>24891.962965358656</v>
      </c>
      <c r="H23">
        <f>$B$23*(Base!$F$10^Calculations!H14)</f>
        <v>25948.648619939366</v>
      </c>
      <c r="I23">
        <f>$B$23*(Base!$F$10^Calculations!I14)</f>
        <v>27050.191507119638</v>
      </c>
      <c r="J23">
        <f>$B$23*(Base!$F$10^Calculations!J14)</f>
        <v>28198.495855756712</v>
      </c>
      <c r="K23">
        <f>$B$23*(Base!$F$10^Calculations!K14)</f>
        <v>29395.546730892562</v>
      </c>
      <c r="L23">
        <f>$B$23*(Base!$F$10^Calculations!L14)</f>
        <v>30643.413465320813</v>
      </c>
      <c r="M23">
        <f>$B$23*(Base!$F$10^Calculations!M14)</f>
        <v>31944.253236826691</v>
      </c>
      <c r="N23">
        <f>$B$23*(Base!$F$10^Calculations!N14)</f>
        <v>33300.314797283936</v>
      </c>
    </row>
    <row r="25" spans="1:14">
      <c r="A25" s="3" t="s">
        <v>154</v>
      </c>
    </row>
    <row r="26" spans="1:14">
      <c r="B26" s="3">
        <f>B50</f>
        <v>2013</v>
      </c>
      <c r="C26" s="3">
        <f t="shared" ref="C26:N26" si="3">C50</f>
        <v>2014</v>
      </c>
      <c r="D26" s="3">
        <f t="shared" si="3"/>
        <v>2015</v>
      </c>
      <c r="E26" s="3">
        <f t="shared" si="3"/>
        <v>2016</v>
      </c>
      <c r="F26" s="3">
        <f t="shared" si="3"/>
        <v>2017</v>
      </c>
      <c r="G26" s="3">
        <f t="shared" si="3"/>
        <v>2018</v>
      </c>
      <c r="H26" s="3">
        <f t="shared" si="3"/>
        <v>2019</v>
      </c>
      <c r="I26" s="3">
        <f t="shared" si="3"/>
        <v>2020</v>
      </c>
      <c r="J26" s="3">
        <f t="shared" si="3"/>
        <v>2021</v>
      </c>
      <c r="K26" s="3">
        <f t="shared" si="3"/>
        <v>2022</v>
      </c>
      <c r="L26" s="3">
        <f t="shared" si="3"/>
        <v>2023</v>
      </c>
      <c r="M26" s="3">
        <f t="shared" si="3"/>
        <v>2024</v>
      </c>
      <c r="N26" s="3">
        <f t="shared" si="3"/>
        <v>2025</v>
      </c>
    </row>
    <row r="27" spans="1:14">
      <c r="A27" t="s">
        <v>155</v>
      </c>
      <c r="B27">
        <f>'Data Input Sheet'!B14</f>
        <v>10763</v>
      </c>
      <c r="C27">
        <f>'Data Input Sheet'!C14</f>
        <v>10816</v>
      </c>
      <c r="D27">
        <f>'Data Input Sheet'!D14</f>
        <v>10825</v>
      </c>
      <c r="E27">
        <f>'Data Input Sheet'!E14</f>
        <v>10521</v>
      </c>
      <c r="F27">
        <f>'Data Input Sheet'!F14</f>
        <v>11767</v>
      </c>
      <c r="G27">
        <f>'Data Input Sheet'!G14</f>
        <v>11770</v>
      </c>
      <c r="H27">
        <f>'Data Input Sheet'!H14</f>
        <v>11772</v>
      </c>
      <c r="I27">
        <f>'Data Input Sheet'!I14</f>
        <v>11775</v>
      </c>
      <c r="J27">
        <f>'Data Input Sheet'!J14</f>
        <v>11778</v>
      </c>
      <c r="K27">
        <f>'Data Input Sheet'!K14</f>
        <v>11780</v>
      </c>
      <c r="L27">
        <f>'Data Input Sheet'!L14</f>
        <v>11783</v>
      </c>
      <c r="M27">
        <f>'Data Input Sheet'!M14</f>
        <v>11786</v>
      </c>
      <c r="N27">
        <f>'Data Input Sheet'!N14</f>
        <v>11789</v>
      </c>
    </row>
    <row r="28" spans="1:14">
      <c r="A28" t="s">
        <v>156</v>
      </c>
      <c r="B28" s="14">
        <v>0</v>
      </c>
      <c r="C28" s="14">
        <f>C27-B27</f>
        <v>53</v>
      </c>
      <c r="D28" s="14">
        <f t="shared" ref="D28:N28" si="4">D27-C27</f>
        <v>9</v>
      </c>
      <c r="E28" s="14">
        <f t="shared" si="4"/>
        <v>-304</v>
      </c>
      <c r="F28" s="14">
        <f t="shared" si="4"/>
        <v>1246</v>
      </c>
      <c r="G28" s="14">
        <f t="shared" si="4"/>
        <v>3</v>
      </c>
      <c r="H28" s="14">
        <f t="shared" si="4"/>
        <v>2</v>
      </c>
      <c r="I28" s="14">
        <f t="shared" si="4"/>
        <v>3</v>
      </c>
      <c r="J28" s="14">
        <f t="shared" si="4"/>
        <v>3</v>
      </c>
      <c r="K28" s="14">
        <f t="shared" si="4"/>
        <v>2</v>
      </c>
      <c r="L28" s="14">
        <f t="shared" si="4"/>
        <v>3</v>
      </c>
      <c r="M28" s="14">
        <f t="shared" si="4"/>
        <v>3</v>
      </c>
      <c r="N28" s="14">
        <f t="shared" si="4"/>
        <v>3</v>
      </c>
    </row>
    <row r="29" spans="1:14">
      <c r="A29" t="s">
        <v>156</v>
      </c>
      <c r="B29" s="14">
        <f>ABS(B28)</f>
        <v>0</v>
      </c>
      <c r="C29" s="14">
        <f t="shared" ref="C29:N29" si="5">ABS(C28)</f>
        <v>53</v>
      </c>
      <c r="D29" s="14">
        <f t="shared" si="5"/>
        <v>9</v>
      </c>
      <c r="E29" s="14">
        <f t="shared" si="5"/>
        <v>304</v>
      </c>
      <c r="F29" s="14">
        <f t="shared" si="5"/>
        <v>1246</v>
      </c>
      <c r="G29" s="14">
        <f t="shared" si="5"/>
        <v>3</v>
      </c>
      <c r="H29" s="14">
        <f t="shared" si="5"/>
        <v>2</v>
      </c>
      <c r="I29" s="14">
        <f t="shared" si="5"/>
        <v>3</v>
      </c>
      <c r="J29" s="14">
        <f t="shared" si="5"/>
        <v>3</v>
      </c>
      <c r="K29" s="14">
        <f t="shared" si="5"/>
        <v>2</v>
      </c>
      <c r="L29" s="14">
        <f t="shared" si="5"/>
        <v>3</v>
      </c>
      <c r="M29" s="14">
        <f t="shared" si="5"/>
        <v>3</v>
      </c>
      <c r="N29" s="14">
        <f t="shared" si="5"/>
        <v>3</v>
      </c>
    </row>
    <row r="30" spans="1:14">
      <c r="A30" t="s">
        <v>157</v>
      </c>
      <c r="B30" s="14">
        <f>C30-B28</f>
        <v>10763</v>
      </c>
      <c r="C30" s="14">
        <f t="shared" ref="C30:N30" si="6">IF(C28&lt;0,B27+C28,B27)</f>
        <v>10763</v>
      </c>
      <c r="D30" s="14">
        <f t="shared" si="6"/>
        <v>10816</v>
      </c>
      <c r="E30" s="14">
        <f t="shared" si="6"/>
        <v>10521</v>
      </c>
      <c r="F30" s="14">
        <f t="shared" si="6"/>
        <v>10521</v>
      </c>
      <c r="G30" s="14">
        <f t="shared" si="6"/>
        <v>11767</v>
      </c>
      <c r="H30" s="14">
        <f t="shared" si="6"/>
        <v>11770</v>
      </c>
      <c r="I30" s="14">
        <f t="shared" si="6"/>
        <v>11772</v>
      </c>
      <c r="J30" s="14">
        <f t="shared" si="6"/>
        <v>11775</v>
      </c>
      <c r="K30" s="14">
        <f t="shared" si="6"/>
        <v>11778</v>
      </c>
      <c r="L30" s="14">
        <f t="shared" si="6"/>
        <v>11780</v>
      </c>
      <c r="M30" s="14">
        <f t="shared" si="6"/>
        <v>11783</v>
      </c>
      <c r="N30" s="14">
        <f t="shared" si="6"/>
        <v>11786</v>
      </c>
    </row>
    <row r="31" spans="1:14">
      <c r="A31" t="s">
        <v>209</v>
      </c>
      <c r="B31" s="124">
        <f>(Base!C5+Base!$P5)</f>
        <v>11337.895833333334</v>
      </c>
      <c r="C31" s="14">
        <f>(Base!D5+Base!$P5)</f>
        <v>11337.895833333334</v>
      </c>
      <c r="D31" s="14">
        <f>(Base!E5+Base!$P5)</f>
        <v>11337.895833333334</v>
      </c>
      <c r="E31" s="14">
        <f>(Base!F5+Base!$P5)</f>
        <v>11337.895833333334</v>
      </c>
      <c r="F31" s="14">
        <f>(Base!G5+Base!$P5)</f>
        <v>11337.895833333334</v>
      </c>
      <c r="G31" s="14">
        <f>(Base!H5+Base!$P5)</f>
        <v>11337.895833333334</v>
      </c>
      <c r="H31" s="14">
        <f>(Base!I5+Base!$P5)</f>
        <v>11337.895833333334</v>
      </c>
      <c r="I31" s="14">
        <f>(Base!J5+Base!$P5)</f>
        <v>11337.895833333334</v>
      </c>
      <c r="J31" s="14">
        <f>(Base!K5+Base!$P5)</f>
        <v>11337.895833333334</v>
      </c>
      <c r="K31" s="14">
        <f>(Base!L5+Base!$P5)</f>
        <v>11337.895833333334</v>
      </c>
      <c r="L31" s="14">
        <f>(Base!M5+Base!$P5)</f>
        <v>11337.895833333334</v>
      </c>
      <c r="M31" s="14">
        <f>(Base!N5+Base!$P5)</f>
        <v>11337.895833333334</v>
      </c>
      <c r="N31" s="128">
        <f>(Base!O5+Base!$P5)</f>
        <v>11337.895833333334</v>
      </c>
    </row>
    <row r="32" spans="1:14">
      <c r="A32" t="s">
        <v>210</v>
      </c>
      <c r="B32" s="124">
        <f>(Base!C5-Base!$P5)</f>
        <v>10264.770833333334</v>
      </c>
      <c r="C32" s="14">
        <f>(Base!D5-Base!$P5)</f>
        <v>10264.770833333334</v>
      </c>
      <c r="D32" s="14">
        <f>(Base!E5-Base!$P5)</f>
        <v>10264.770833333334</v>
      </c>
      <c r="E32" s="14">
        <f>(Base!F5-Base!$P5)</f>
        <v>10264.770833333334</v>
      </c>
      <c r="F32" s="14">
        <f>(Base!G5-Base!$P5)</f>
        <v>10264.770833333334</v>
      </c>
      <c r="G32" s="14">
        <f>(Base!H5-Base!$P5)</f>
        <v>10264.770833333334</v>
      </c>
      <c r="H32" s="14">
        <f>(Base!I5-Base!$P5)</f>
        <v>10264.770833333334</v>
      </c>
      <c r="I32" s="14">
        <f>(Base!J5-Base!$P5)</f>
        <v>10264.770833333334</v>
      </c>
      <c r="J32" s="14">
        <f>(Base!K5-Base!$P5)</f>
        <v>10264.770833333334</v>
      </c>
      <c r="K32" s="14">
        <f>(Base!L5-Base!$P5)</f>
        <v>10264.770833333334</v>
      </c>
      <c r="L32" s="14">
        <f>(Base!M5-Base!$P5)</f>
        <v>10264.770833333334</v>
      </c>
      <c r="M32" s="14">
        <f>(Base!N5-Base!$P5)</f>
        <v>10264.770833333334</v>
      </c>
      <c r="N32" s="128">
        <f>(Base!O5-Base!$P5)</f>
        <v>10264.770833333334</v>
      </c>
    </row>
    <row r="34" spans="1:16">
      <c r="A34" s="3" t="s">
        <v>158</v>
      </c>
    </row>
    <row r="35" spans="1:16">
      <c r="A35">
        <v>2</v>
      </c>
      <c r="B35">
        <v>2013</v>
      </c>
      <c r="C35">
        <v>2014</v>
      </c>
      <c r="D35">
        <v>2015</v>
      </c>
      <c r="E35">
        <v>2016</v>
      </c>
      <c r="F35">
        <v>2017</v>
      </c>
      <c r="G35">
        <v>2018</v>
      </c>
      <c r="H35">
        <v>2019</v>
      </c>
      <c r="I35">
        <v>2020</v>
      </c>
      <c r="J35">
        <v>2021</v>
      </c>
      <c r="K35">
        <v>2022</v>
      </c>
      <c r="L35">
        <v>2023</v>
      </c>
      <c r="M35">
        <v>2024</v>
      </c>
      <c r="N35">
        <v>2025</v>
      </c>
    </row>
    <row r="36" spans="1:16">
      <c r="A36" t="s">
        <v>155</v>
      </c>
      <c r="B36">
        <f>CHOOSE($A$35,'Data Input Sheet'!B28,'Data Input Sheet'!B29)</f>
        <v>13694</v>
      </c>
      <c r="C36">
        <f>CHOOSE($A$35,'Data Input Sheet'!C28,'Data Input Sheet'!C29)</f>
        <v>18806</v>
      </c>
      <c r="D36">
        <f>CHOOSE($A$35,'Data Input Sheet'!D28,'Data Input Sheet'!D29)</f>
        <v>13339</v>
      </c>
      <c r="E36">
        <f>CHOOSE($A$35,'Data Input Sheet'!E28,'Data Input Sheet'!E29)</f>
        <v>17491</v>
      </c>
      <c r="F36">
        <f>CHOOSE($A$35,'Data Input Sheet'!F28,'Data Input Sheet'!F29)</f>
        <v>19585</v>
      </c>
      <c r="G36">
        <f>CHOOSE($A$35,'Data Input Sheet'!G28,'Data Input Sheet'!G29)</f>
        <v>17339</v>
      </c>
      <c r="H36">
        <f>CHOOSE($A$35,'Data Input Sheet'!H28,'Data Input Sheet'!H29)</f>
        <v>17364</v>
      </c>
      <c r="I36">
        <f>CHOOSE($A$35,'Data Input Sheet'!I28,'Data Input Sheet'!I29)</f>
        <v>17261</v>
      </c>
      <c r="J36">
        <f>CHOOSE($A$35,'Data Input Sheet'!J28,'Data Input Sheet'!J29)</f>
        <v>18111</v>
      </c>
      <c r="K36">
        <f>CHOOSE($A$35,'Data Input Sheet'!K28,'Data Input Sheet'!K29)</f>
        <v>16400</v>
      </c>
      <c r="L36">
        <f>CHOOSE($A$35,'Data Input Sheet'!L28,'Data Input Sheet'!L29)</f>
        <v>16257</v>
      </c>
      <c r="M36">
        <f>CHOOSE($A$35,'Data Input Sheet'!M28,'Data Input Sheet'!M29)</f>
        <v>16764</v>
      </c>
      <c r="N36">
        <f>CHOOSE($A$35,'Data Input Sheet'!N28,'Data Input Sheet'!N29)</f>
        <v>16634</v>
      </c>
    </row>
    <row r="37" spans="1:16">
      <c r="A37" t="s">
        <v>156</v>
      </c>
      <c r="B37">
        <v>0</v>
      </c>
      <c r="C37">
        <f>C36-B36</f>
        <v>5112</v>
      </c>
      <c r="D37">
        <f>D36-C36</f>
        <v>-5467</v>
      </c>
      <c r="E37">
        <f t="shared" ref="E37:N37" si="7">E36-D36</f>
        <v>4152</v>
      </c>
      <c r="F37">
        <f t="shared" si="7"/>
        <v>2094</v>
      </c>
      <c r="G37">
        <f t="shared" si="7"/>
        <v>-2246</v>
      </c>
      <c r="H37">
        <f t="shared" si="7"/>
        <v>25</v>
      </c>
      <c r="I37">
        <f t="shared" si="7"/>
        <v>-103</v>
      </c>
      <c r="J37">
        <f t="shared" si="7"/>
        <v>850</v>
      </c>
      <c r="K37">
        <f t="shared" si="7"/>
        <v>-1711</v>
      </c>
      <c r="L37">
        <f t="shared" si="7"/>
        <v>-143</v>
      </c>
      <c r="M37">
        <f t="shared" si="7"/>
        <v>507</v>
      </c>
      <c r="N37">
        <f t="shared" si="7"/>
        <v>-130</v>
      </c>
    </row>
    <row r="38" spans="1:16">
      <c r="A38" t="s">
        <v>159</v>
      </c>
      <c r="B38">
        <v>0</v>
      </c>
      <c r="C38">
        <f>ABS(C37)</f>
        <v>5112</v>
      </c>
      <c r="D38">
        <f t="shared" ref="D38:N38" si="8">ABS(D37)</f>
        <v>5467</v>
      </c>
      <c r="E38">
        <f t="shared" si="8"/>
        <v>4152</v>
      </c>
      <c r="F38">
        <f t="shared" si="8"/>
        <v>2094</v>
      </c>
      <c r="G38">
        <f t="shared" si="8"/>
        <v>2246</v>
      </c>
      <c r="H38">
        <f t="shared" si="8"/>
        <v>25</v>
      </c>
      <c r="I38">
        <f t="shared" si="8"/>
        <v>103</v>
      </c>
      <c r="J38">
        <f t="shared" si="8"/>
        <v>850</v>
      </c>
      <c r="K38">
        <f t="shared" si="8"/>
        <v>1711</v>
      </c>
      <c r="L38">
        <f t="shared" si="8"/>
        <v>143</v>
      </c>
      <c r="M38">
        <f t="shared" si="8"/>
        <v>507</v>
      </c>
      <c r="N38">
        <f t="shared" si="8"/>
        <v>130</v>
      </c>
    </row>
    <row r="39" spans="1:16">
      <c r="A39" t="s">
        <v>157</v>
      </c>
      <c r="B39">
        <f>C39-B37</f>
        <v>13694</v>
      </c>
      <c r="C39">
        <f t="shared" ref="C39:N39" si="9">IF(C37&lt;0,B36+C37,B36)</f>
        <v>13694</v>
      </c>
      <c r="D39">
        <f t="shared" si="9"/>
        <v>13339</v>
      </c>
      <c r="E39">
        <f t="shared" si="9"/>
        <v>13339</v>
      </c>
      <c r="F39">
        <f t="shared" si="9"/>
        <v>17491</v>
      </c>
      <c r="G39">
        <f t="shared" si="9"/>
        <v>17339</v>
      </c>
      <c r="H39">
        <f t="shared" si="9"/>
        <v>17339</v>
      </c>
      <c r="I39">
        <f t="shared" si="9"/>
        <v>17261</v>
      </c>
      <c r="J39">
        <f t="shared" si="9"/>
        <v>17261</v>
      </c>
      <c r="K39">
        <f t="shared" si="9"/>
        <v>16400</v>
      </c>
      <c r="L39">
        <f t="shared" si="9"/>
        <v>16257</v>
      </c>
      <c r="M39">
        <f t="shared" si="9"/>
        <v>16257</v>
      </c>
      <c r="N39">
        <f t="shared" si="9"/>
        <v>16634</v>
      </c>
    </row>
    <row r="40" spans="1:16">
      <c r="A40" t="s">
        <v>209</v>
      </c>
      <c r="B40" s="124">
        <f>(Base!C4+Base!$P4)</f>
        <v>17050.716666666667</v>
      </c>
      <c r="C40" s="10">
        <f>(Base!D4+Base!$P4)</f>
        <v>17050.716666666667</v>
      </c>
      <c r="D40">
        <f>(Base!E4+Base!$P4)</f>
        <v>17050.716666666667</v>
      </c>
      <c r="E40">
        <f>(Base!F4+Base!$P4)</f>
        <v>17050.716666666667</v>
      </c>
      <c r="F40">
        <f>(Base!G4+Base!$P4)</f>
        <v>17050.716666666667</v>
      </c>
      <c r="G40">
        <f>(Base!H4+Base!$P4)</f>
        <v>17050.716666666667</v>
      </c>
      <c r="H40">
        <f>(Base!I4+Base!$P4)</f>
        <v>17050.716666666667</v>
      </c>
      <c r="I40">
        <f>(Base!J4+Base!$P4)</f>
        <v>17050.716666666667</v>
      </c>
      <c r="J40">
        <f>(Base!K4+Base!$P4)</f>
        <v>17050.716666666667</v>
      </c>
      <c r="K40">
        <f>(Base!L4+Base!$P4)</f>
        <v>17050.716666666667</v>
      </c>
      <c r="L40">
        <f>(Base!M4+Base!$P4)</f>
        <v>17050.716666666667</v>
      </c>
      <c r="M40">
        <f>(Base!N4+Base!$P4)</f>
        <v>17050.716666666667</v>
      </c>
      <c r="N40" s="122">
        <f>(Base!O4+Base!$P4)</f>
        <v>17050.716666666667</v>
      </c>
    </row>
    <row r="41" spans="1:16">
      <c r="A41" t="s">
        <v>210</v>
      </c>
      <c r="B41" s="124">
        <f>(Base!C4-Base!$P4)</f>
        <v>13508.616666666665</v>
      </c>
      <c r="C41" s="10">
        <f>(Base!D4-Base!$P4)</f>
        <v>13508.616666666665</v>
      </c>
      <c r="D41">
        <f>(Base!E4-Base!$P4)</f>
        <v>13508.616666666665</v>
      </c>
      <c r="E41">
        <f>(Base!F4-Base!$P4)</f>
        <v>13508.616666666665</v>
      </c>
      <c r="F41">
        <f>(Base!G4-Base!$P4)</f>
        <v>13508.616666666665</v>
      </c>
      <c r="G41">
        <f>(Base!H4-Base!$P4)</f>
        <v>13508.616666666665</v>
      </c>
      <c r="H41">
        <f>(Base!I4-Base!$P4)</f>
        <v>13508.616666666665</v>
      </c>
      <c r="I41">
        <f>(Base!J4-Base!$P4)</f>
        <v>13508.616666666665</v>
      </c>
      <c r="J41">
        <f>(Base!K4-Base!$P4)</f>
        <v>13508.616666666665</v>
      </c>
      <c r="K41">
        <f>(Base!L4-Base!$P4)</f>
        <v>13508.616666666665</v>
      </c>
      <c r="L41">
        <f>(Base!M4-Base!$P4)</f>
        <v>13508.616666666665</v>
      </c>
      <c r="M41">
        <f>(Base!N4-Base!$P4)</f>
        <v>13508.616666666665</v>
      </c>
      <c r="N41" s="122">
        <f>(Base!O4-Base!$P4)</f>
        <v>13508.616666666665</v>
      </c>
    </row>
    <row r="43" spans="1:16">
      <c r="A43" s="21" t="s">
        <v>44</v>
      </c>
      <c r="O43" t="s">
        <v>160</v>
      </c>
      <c r="P43" s="165" t="s">
        <v>175</v>
      </c>
    </row>
    <row r="44" spans="1:16">
      <c r="A44" t="s">
        <v>279</v>
      </c>
      <c r="B44">
        <f t="shared" ref="B44:N44" si="10">B27</f>
        <v>10763</v>
      </c>
      <c r="C44">
        <f t="shared" si="10"/>
        <v>10816</v>
      </c>
      <c r="D44">
        <f t="shared" si="10"/>
        <v>10825</v>
      </c>
      <c r="E44">
        <f t="shared" si="10"/>
        <v>10521</v>
      </c>
      <c r="F44">
        <f t="shared" si="10"/>
        <v>11767</v>
      </c>
      <c r="G44">
        <f t="shared" si="10"/>
        <v>11770</v>
      </c>
      <c r="H44">
        <f t="shared" si="10"/>
        <v>11772</v>
      </c>
      <c r="I44">
        <f t="shared" si="10"/>
        <v>11775</v>
      </c>
      <c r="J44">
        <f t="shared" si="10"/>
        <v>11778</v>
      </c>
      <c r="K44">
        <f t="shared" si="10"/>
        <v>11780</v>
      </c>
      <c r="L44">
        <f t="shared" si="10"/>
        <v>11783</v>
      </c>
      <c r="M44">
        <f t="shared" si="10"/>
        <v>11786</v>
      </c>
      <c r="N44">
        <f t="shared" si="10"/>
        <v>11789</v>
      </c>
      <c r="O44">
        <f>IF(Base!$C$6=14,Base!C38,INDEX(Base!C5:O5,1,Base!$C$6))</f>
        <v>10731.25</v>
      </c>
      <c r="P44" s="10">
        <f>Base!P4</f>
        <v>1771.0500000000002</v>
      </c>
    </row>
    <row r="45" spans="1:16">
      <c r="A45" t="s">
        <v>280</v>
      </c>
      <c r="B45">
        <f t="shared" ref="B45:N45" si="11">B36</f>
        <v>13694</v>
      </c>
      <c r="C45">
        <f t="shared" si="11"/>
        <v>18806</v>
      </c>
      <c r="D45">
        <f t="shared" si="11"/>
        <v>13339</v>
      </c>
      <c r="E45">
        <f t="shared" si="11"/>
        <v>17491</v>
      </c>
      <c r="F45">
        <f t="shared" si="11"/>
        <v>19585</v>
      </c>
      <c r="G45">
        <f t="shared" si="11"/>
        <v>17339</v>
      </c>
      <c r="H45">
        <f t="shared" si="11"/>
        <v>17364</v>
      </c>
      <c r="I45">
        <f t="shared" si="11"/>
        <v>17261</v>
      </c>
      <c r="J45">
        <f t="shared" si="11"/>
        <v>18111</v>
      </c>
      <c r="K45">
        <f t="shared" si="11"/>
        <v>16400</v>
      </c>
      <c r="L45">
        <f t="shared" si="11"/>
        <v>16257</v>
      </c>
      <c r="M45">
        <f t="shared" si="11"/>
        <v>16764</v>
      </c>
      <c r="N45">
        <f t="shared" si="11"/>
        <v>16634</v>
      </c>
      <c r="O45">
        <f>IF(Base!$C$6=14,Base!C24,INDEX(Base!C4:O4,1,Base!$C$6))</f>
        <v>14348.25</v>
      </c>
      <c r="P45" s="10">
        <f>Base!P5</f>
        <v>536.5625</v>
      </c>
    </row>
    <row r="46" spans="1:16" ht="16" thickBot="1"/>
    <row r="47" spans="1:16" s="259" customFormat="1" ht="16" thickBot="1">
      <c r="A47" s="258" t="s">
        <v>311</v>
      </c>
      <c r="B47" s="260">
        <f>C47-'Data Input Sheet'!B21</f>
        <v>498708.73499999993</v>
      </c>
      <c r="C47" s="260">
        <f>D47-'Data Input Sheet'!C21</f>
        <v>498923.73499999993</v>
      </c>
      <c r="D47" s="260">
        <f>'Asset Data Input Sheet'!C77</f>
        <v>499230.73499999993</v>
      </c>
      <c r="E47" s="260">
        <f>D47+'Data Input Sheet'!E21</f>
        <v>499524.73499999993</v>
      </c>
      <c r="F47" s="260">
        <f>E47+'Data Input Sheet'!F21</f>
        <v>500518.73499999993</v>
      </c>
      <c r="G47" s="260">
        <f>F47+'Data Input Sheet'!G21</f>
        <v>501813.73499999993</v>
      </c>
      <c r="H47" s="260">
        <f>G47+'Data Input Sheet'!H21</f>
        <v>503459.73499999993</v>
      </c>
      <c r="I47" s="260">
        <f>H47+'Data Input Sheet'!I21</f>
        <v>504258.73499999993</v>
      </c>
      <c r="J47" s="260">
        <f>I47+'Data Input Sheet'!J21</f>
        <v>505881.73499999993</v>
      </c>
      <c r="K47" s="260">
        <f>J47+'Data Input Sheet'!K21</f>
        <v>506330.73499999993</v>
      </c>
      <c r="L47" s="260">
        <f>K47+'Data Input Sheet'!L21</f>
        <v>506847.73499999993</v>
      </c>
      <c r="M47" s="260">
        <f>L47+'Data Input Sheet'!M21</f>
        <v>507940.73499999993</v>
      </c>
      <c r="N47" s="260">
        <f>M47+'Data Input Sheet'!N21</f>
        <v>509033.73499999993</v>
      </c>
    </row>
    <row r="48" spans="1:16">
      <c r="B48" s="8"/>
      <c r="C48" s="8"/>
    </row>
    <row r="49" spans="1:16" s="8" customFormat="1">
      <c r="A49" s="3" t="s">
        <v>378</v>
      </c>
    </row>
    <row r="50" spans="1:16">
      <c r="A50" t="str">
        <f>INDEX(Scenarios!B30:B32,'Main Dashboard'!$B$4,1)</f>
        <v>Expenditure to estimated network size (km)</v>
      </c>
      <c r="B50" s="167">
        <f>'Data Input Sheet'!B5</f>
        <v>2013</v>
      </c>
      <c r="C50" s="167">
        <f>'Data Input Sheet'!C5</f>
        <v>2014</v>
      </c>
      <c r="D50" s="167">
        <f>'Data Input Sheet'!D5</f>
        <v>2015</v>
      </c>
      <c r="E50" s="167">
        <f>'Data Input Sheet'!E5</f>
        <v>2016</v>
      </c>
      <c r="F50" s="167">
        <f>'Data Input Sheet'!F5</f>
        <v>2017</v>
      </c>
      <c r="G50" s="167">
        <f>'Data Input Sheet'!G5</f>
        <v>2018</v>
      </c>
      <c r="H50" s="167">
        <f>'Data Input Sheet'!H5</f>
        <v>2019</v>
      </c>
      <c r="I50" s="167">
        <f>'Data Input Sheet'!I5</f>
        <v>2020</v>
      </c>
      <c r="J50" s="167">
        <f>'Data Input Sheet'!J5</f>
        <v>2021</v>
      </c>
      <c r="K50" s="167">
        <f>'Data Input Sheet'!K5</f>
        <v>2022</v>
      </c>
      <c r="L50" s="167">
        <f>'Data Input Sheet'!L5</f>
        <v>2023</v>
      </c>
      <c r="M50" s="167">
        <f>'Data Input Sheet'!M5</f>
        <v>2024</v>
      </c>
      <c r="N50" s="167">
        <f>'Data Input Sheet'!N5</f>
        <v>2025</v>
      </c>
    </row>
    <row r="51" spans="1:16">
      <c r="A51" t="str">
        <f>INDEX(Scenarios!B34:B36,'Main Dashboard'!$B$4,1)</f>
        <v>km of pipeline for supply</v>
      </c>
      <c r="B51" s="10">
        <f>CHOOSE('Main Dashboard'!$B$4,'Data Input Sheet'!B31,'Data Input Sheet'!B41,'Data Input Sheet'!B49)</f>
        <v>10478</v>
      </c>
      <c r="C51" s="10">
        <f>CHOOSE('Main Dashboard'!$B$4,'Data Input Sheet'!C31,'Data Input Sheet'!C41,'Data Input Sheet'!C49)</f>
        <v>10623</v>
      </c>
      <c r="D51" s="10">
        <f>CHOOSE('Main Dashboard'!$B$4,'Data Input Sheet'!D31,'Data Input Sheet'!D41,'Data Input Sheet'!D49)</f>
        <v>10770</v>
      </c>
      <c r="E51" s="10">
        <f>CHOOSE('Main Dashboard'!$B$4,'Data Input Sheet'!E31,'Data Input Sheet'!E41,'Data Input Sheet'!E49)</f>
        <v>10770</v>
      </c>
      <c r="F51" s="10">
        <f>CHOOSE('Main Dashboard'!$B$4,'Data Input Sheet'!F31,'Data Input Sheet'!F41,'Data Input Sheet'!F49)</f>
        <v>10770</v>
      </c>
      <c r="G51" s="10">
        <f>CHOOSE('Main Dashboard'!$B$4,'Data Input Sheet'!G31,'Data Input Sheet'!G41,'Data Input Sheet'!G49)</f>
        <v>10770</v>
      </c>
      <c r="H51" s="10">
        <f>CHOOSE('Main Dashboard'!$B$4,'Data Input Sheet'!H31,'Data Input Sheet'!H41,'Data Input Sheet'!H49)</f>
        <v>10770</v>
      </c>
      <c r="I51" s="10">
        <f>CHOOSE('Main Dashboard'!$B$4,'Data Input Sheet'!I31,'Data Input Sheet'!I41,'Data Input Sheet'!I49)</f>
        <v>10770</v>
      </c>
      <c r="J51" s="10">
        <f>CHOOSE('Main Dashboard'!$B$4,'Data Input Sheet'!J31,'Data Input Sheet'!J41,'Data Input Sheet'!J49)</f>
        <v>10770</v>
      </c>
      <c r="K51" s="10">
        <f>CHOOSE('Main Dashboard'!$B$4,'Data Input Sheet'!K31,'Data Input Sheet'!K41,'Data Input Sheet'!K49)</f>
        <v>10770</v>
      </c>
      <c r="L51" s="10">
        <f>CHOOSE('Main Dashboard'!$B$4,'Data Input Sheet'!L31,'Data Input Sheet'!L41,'Data Input Sheet'!L49)</f>
        <v>10770</v>
      </c>
      <c r="M51" s="10">
        <f>CHOOSE('Main Dashboard'!$B$4,'Data Input Sheet'!M31,'Data Input Sheet'!M41,'Data Input Sheet'!M49)</f>
        <v>10770</v>
      </c>
      <c r="N51" s="10">
        <f>CHOOSE('Main Dashboard'!$B$4,'Data Input Sheet'!N31,'Data Input Sheet'!N41,'Data Input Sheet'!N49)</f>
        <v>10770</v>
      </c>
    </row>
    <row r="52" spans="1:16">
      <c r="A52" t="s">
        <v>166</v>
      </c>
      <c r="B52" s="10">
        <f>'Data Input Sheet'!B31</f>
        <v>156952</v>
      </c>
      <c r="C52" s="10">
        <f>'Data Input Sheet'!C31</f>
        <v>159738</v>
      </c>
      <c r="D52" s="10">
        <f>'Data Input Sheet'!D31</f>
        <v>163243</v>
      </c>
      <c r="E52" s="10">
        <f>'Data Input Sheet'!E31</f>
        <v>104344</v>
      </c>
      <c r="F52" s="10">
        <f>'Data Input Sheet'!F31</f>
        <v>107325</v>
      </c>
      <c r="G52" s="10">
        <f>'Data Input Sheet'!G31</f>
        <v>110470</v>
      </c>
      <c r="H52" s="10">
        <f>'Data Input Sheet'!H31</f>
        <v>113610</v>
      </c>
      <c r="I52" s="10">
        <f>'Data Input Sheet'!I31</f>
        <v>116833</v>
      </c>
      <c r="J52" s="10">
        <f>'Data Input Sheet'!J31</f>
        <v>120096</v>
      </c>
      <c r="K52" s="10">
        <f>'Data Input Sheet'!K31</f>
        <v>120096</v>
      </c>
      <c r="L52" s="10">
        <f>'Data Input Sheet'!L31</f>
        <v>120096</v>
      </c>
      <c r="M52" s="10">
        <f>'Data Input Sheet'!M31</f>
        <v>120096</v>
      </c>
      <c r="N52" s="10">
        <f>'Data Input Sheet'!N31</f>
        <v>120096</v>
      </c>
    </row>
    <row r="53" spans="1:16">
      <c r="A53" t="s">
        <v>23</v>
      </c>
      <c r="B53" s="10">
        <f>'Data Input Sheet'!B41</f>
        <v>21589120</v>
      </c>
      <c r="C53" s="10">
        <f>'Data Input Sheet'!C41</f>
        <v>21934671</v>
      </c>
      <c r="D53" s="10">
        <f>'Data Input Sheet'!D41</f>
        <v>22788368</v>
      </c>
      <c r="E53" s="10">
        <f>'Data Input Sheet'!E41</f>
        <v>13954111</v>
      </c>
      <c r="F53" s="10">
        <f>'Data Input Sheet'!F41</f>
        <v>13792297</v>
      </c>
      <c r="G53" s="10">
        <f>'Data Input Sheet'!G41</f>
        <v>13907274</v>
      </c>
      <c r="H53" s="10">
        <f>'Data Input Sheet'!H41</f>
        <v>14117459</v>
      </c>
      <c r="I53" s="10">
        <f>'Data Input Sheet'!I41</f>
        <v>14225679</v>
      </c>
      <c r="J53" s="10">
        <f>'Data Input Sheet'!J41</f>
        <v>14327232</v>
      </c>
      <c r="K53" s="10">
        <f>'Data Input Sheet'!K41</f>
        <v>14327232</v>
      </c>
      <c r="L53" s="10">
        <f>'Data Input Sheet'!L41</f>
        <v>14327232</v>
      </c>
      <c r="M53" s="10">
        <f>'Data Input Sheet'!M41</f>
        <v>14327232</v>
      </c>
      <c r="N53" s="10">
        <f>'Data Input Sheet'!N41</f>
        <v>14327232</v>
      </c>
    </row>
    <row r="54" spans="1:16">
      <c r="A54" t="s">
        <v>193</v>
      </c>
      <c r="B54" s="10">
        <f>B53/100000</f>
        <v>215.8912</v>
      </c>
      <c r="C54" s="10">
        <f t="shared" ref="C54:N54" si="12">C53/100000</f>
        <v>219.34671</v>
      </c>
      <c r="D54" s="10">
        <f t="shared" si="12"/>
        <v>227.88368</v>
      </c>
      <c r="E54" s="10">
        <f t="shared" si="12"/>
        <v>139.54111</v>
      </c>
      <c r="F54" s="10">
        <f t="shared" si="12"/>
        <v>137.92296999999999</v>
      </c>
      <c r="G54" s="10">
        <f t="shared" si="12"/>
        <v>139.07274000000001</v>
      </c>
      <c r="H54" s="10">
        <f t="shared" si="12"/>
        <v>141.17458999999999</v>
      </c>
      <c r="I54" s="10">
        <f t="shared" si="12"/>
        <v>142.25679</v>
      </c>
      <c r="J54" s="10">
        <f t="shared" si="12"/>
        <v>143.27232000000001</v>
      </c>
      <c r="K54" s="10">
        <f t="shared" si="12"/>
        <v>143.27232000000001</v>
      </c>
      <c r="L54" s="10">
        <f t="shared" si="12"/>
        <v>143.27232000000001</v>
      </c>
      <c r="M54" s="10">
        <f t="shared" si="12"/>
        <v>143.27232000000001</v>
      </c>
      <c r="N54" s="10">
        <f t="shared" si="12"/>
        <v>143.27232000000001</v>
      </c>
    </row>
    <row r="55" spans="1:16">
      <c r="A55" t="s">
        <v>184</v>
      </c>
      <c r="B55" s="70">
        <f>('Data Input Sheet'!B28*1000)/'Data Input Sheet'!B31</f>
        <v>102.77027371425659</v>
      </c>
      <c r="C55" s="70">
        <f>('Data Input Sheet'!C28*1000)/'Data Input Sheet'!C31</f>
        <v>136.8678711389901</v>
      </c>
      <c r="D55" s="70">
        <f>('Data Input Sheet'!D28*1000)/'Data Input Sheet'!D31</f>
        <v>100.99054783359776</v>
      </c>
      <c r="E55" s="70">
        <f>('Data Input Sheet'!E28*1000)/'Data Input Sheet'!E31</f>
        <v>213.71616959288508</v>
      </c>
      <c r="F55" s="70">
        <f>('Data Input Sheet'!F28*1000)/'Data Input Sheet'!F31</f>
        <v>219.22198928488237</v>
      </c>
      <c r="G55" s="70">
        <f>('Data Input Sheet'!G28*1000)/'Data Input Sheet'!G31</f>
        <v>198.32533719561872</v>
      </c>
      <c r="H55" s="70">
        <f>('Data Input Sheet'!H28*1000)/'Data Input Sheet'!H31</f>
        <v>187.66833905466069</v>
      </c>
      <c r="I55" s="70">
        <f>('Data Input Sheet'!I28*1000)/'Data Input Sheet'!I31</f>
        <v>186.81365710030556</v>
      </c>
      <c r="J55" s="70">
        <f>('Data Input Sheet'!J28*1000)/'Data Input Sheet'!J31</f>
        <v>182.30415667466028</v>
      </c>
      <c r="K55" s="70">
        <f>('Data Input Sheet'!K28*1000)/'Data Input Sheet'!K31</f>
        <v>166.66666666666666</v>
      </c>
      <c r="L55" s="70">
        <f>('Data Input Sheet'!L28*1000)/'Data Input Sheet'!L31</f>
        <v>168.59845456967759</v>
      </c>
      <c r="M55" s="70">
        <f>('Data Input Sheet'!M28*1000)/'Data Input Sheet'!M31</f>
        <v>173.18645083932853</v>
      </c>
      <c r="N55" s="70">
        <f>('Data Input Sheet'!N28*1000)/'Data Input Sheet'!N31</f>
        <v>173.04489741540101</v>
      </c>
    </row>
    <row r="56" spans="1:16">
      <c r="A56" t="s">
        <v>170</v>
      </c>
      <c r="B56">
        <f>B53/B52</f>
        <v>137.55237269993373</v>
      </c>
      <c r="C56">
        <f t="shared" ref="C56:N56" si="13">C53/C52</f>
        <v>137.31654959996996</v>
      </c>
      <c r="D56">
        <f t="shared" si="13"/>
        <v>139.59782655305281</v>
      </c>
      <c r="E56">
        <f t="shared" si="13"/>
        <v>133.73180058268804</v>
      </c>
      <c r="F56">
        <f t="shared" si="13"/>
        <v>128.50963894712322</v>
      </c>
      <c r="G56">
        <f t="shared" si="13"/>
        <v>125.89186204399384</v>
      </c>
      <c r="H56">
        <f t="shared" si="13"/>
        <v>124.26246809259749</v>
      </c>
      <c r="I56">
        <f t="shared" si="13"/>
        <v>121.76079532323915</v>
      </c>
      <c r="J56">
        <f t="shared" si="13"/>
        <v>119.29816147082335</v>
      </c>
      <c r="K56">
        <f t="shared" si="13"/>
        <v>119.29816147082335</v>
      </c>
      <c r="L56">
        <f t="shared" si="13"/>
        <v>119.29816147082335</v>
      </c>
      <c r="M56">
        <f t="shared" si="13"/>
        <v>119.29816147082335</v>
      </c>
      <c r="N56">
        <f t="shared" si="13"/>
        <v>119.29816147082335</v>
      </c>
    </row>
    <row r="58" spans="1:16">
      <c r="A58" t="s">
        <v>167</v>
      </c>
      <c r="B58" s="70">
        <f>('Data Input Sheet'!B28*1000)/'Data Input Sheet'!B31</f>
        <v>102.77027371425659</v>
      </c>
      <c r="C58" s="70">
        <f>('Data Input Sheet'!C28*1000)/'Data Input Sheet'!C31</f>
        <v>136.8678711389901</v>
      </c>
      <c r="D58" s="70">
        <f>('Data Input Sheet'!D28*1000)/'Data Input Sheet'!D31</f>
        <v>100.99054783359776</v>
      </c>
      <c r="E58" s="70">
        <f>('Data Input Sheet'!E28*1000)/'Data Input Sheet'!E31</f>
        <v>213.71616959288508</v>
      </c>
      <c r="F58" s="70">
        <f>('Data Input Sheet'!F28*1000)/'Data Input Sheet'!F31</f>
        <v>219.22198928488237</v>
      </c>
      <c r="G58" s="70">
        <f>('Data Input Sheet'!G28*1000)/'Data Input Sheet'!G31</f>
        <v>198.32533719561872</v>
      </c>
      <c r="H58" s="70">
        <f>('Data Input Sheet'!H28*1000)/'Data Input Sheet'!H31</f>
        <v>187.66833905466069</v>
      </c>
      <c r="I58" s="70">
        <f>('Data Input Sheet'!I28*1000)/'Data Input Sheet'!I31</f>
        <v>186.81365710030556</v>
      </c>
      <c r="J58" s="70">
        <f>('Data Input Sheet'!J28*1000)/'Data Input Sheet'!J31</f>
        <v>182.30415667466028</v>
      </c>
      <c r="K58" s="70">
        <f>('Data Input Sheet'!K28*1000)/'Data Input Sheet'!K31</f>
        <v>166.66666666666666</v>
      </c>
      <c r="L58" s="70">
        <f>('Data Input Sheet'!L28*1000)/'Data Input Sheet'!L31</f>
        <v>168.59845456967759</v>
      </c>
      <c r="M58" s="70">
        <f>('Data Input Sheet'!M28*1000)/'Data Input Sheet'!M31</f>
        <v>173.18645083932853</v>
      </c>
      <c r="N58" s="70">
        <f>('Data Input Sheet'!N28*1000)/'Data Input Sheet'!N31</f>
        <v>173.04489741540101</v>
      </c>
    </row>
    <row r="59" spans="1:16">
      <c r="A59" t="s">
        <v>168</v>
      </c>
      <c r="B59" s="70">
        <f>('Data Input Sheet'!B14*1000)/'Data Input Sheet'!B31</f>
        <v>68.575105764819824</v>
      </c>
      <c r="C59" s="70">
        <f>('Data Input Sheet'!C14*1000)/'Data Input Sheet'!C31</f>
        <v>67.710876560367609</v>
      </c>
      <c r="D59" s="70">
        <f>('Data Input Sheet'!D14*1000)/'Data Input Sheet'!D31</f>
        <v>66.312184902262274</v>
      </c>
      <c r="E59" s="70">
        <f>('Data Input Sheet'!E14*1000)/'Data Input Sheet'!E31</f>
        <v>100.82994709806026</v>
      </c>
      <c r="F59" s="70">
        <f>('Data Input Sheet'!F14*1000)/'Data Input Sheet'!F31</f>
        <v>109.63894712322386</v>
      </c>
      <c r="G59" s="70">
        <f>('Data Input Sheet'!G14*1000)/'Data Input Sheet'!G31</f>
        <v>106.54476328414954</v>
      </c>
      <c r="H59" s="70">
        <f>('Data Input Sheet'!H14*1000)/'Data Input Sheet'!H31</f>
        <v>103.61763929231581</v>
      </c>
      <c r="I59" s="70">
        <f>('Data Input Sheet'!I14*1000)/'Data Input Sheet'!I31</f>
        <v>100.78488098396858</v>
      </c>
      <c r="J59" s="70">
        <f>('Data Input Sheet'!J14*1000)/'Data Input Sheet'!J31</f>
        <v>98.07154276578737</v>
      </c>
      <c r="K59" s="70">
        <f>('Data Input Sheet'!K14*1000)/'Data Input Sheet'!K31</f>
        <v>98.088196109778849</v>
      </c>
      <c r="L59" s="70">
        <f>('Data Input Sheet'!L14*1000)/'Data Input Sheet'!L31</f>
        <v>98.11317612576606</v>
      </c>
      <c r="M59" s="70">
        <f>('Data Input Sheet'!M14*1000)/'Data Input Sheet'!M31</f>
        <v>98.138156141753271</v>
      </c>
      <c r="N59" s="70">
        <f>('Data Input Sheet'!N14*1000)/'Data Input Sheet'!N31</f>
        <v>98.163136157740468</v>
      </c>
      <c r="O59">
        <f>IF(Base!$C$6=14,P59,INDEX(B59:N59,1,Base!$C$6))</f>
        <v>65.737887688905502</v>
      </c>
      <c r="P59">
        <f>(Base!C38*1000)/Base!C57</f>
        <v>65.737887688905502</v>
      </c>
    </row>
    <row r="60" spans="1:16">
      <c r="A60" t="str">
        <f>'Data Input Sheet'!A7&amp;" Opex per ICP"</f>
        <v>Service interruptions, incidents and emergencies Opex per ICP</v>
      </c>
      <c r="B60" s="70">
        <f>('Data Input Sheet'!B7*1000)/'Data Input Sheet'!B$31</f>
        <v>12.768234874356491</v>
      </c>
      <c r="C60" s="70">
        <f>('Data Input Sheet'!C7*1000)/'Data Input Sheet'!C$31</f>
        <v>12.608145838811053</v>
      </c>
      <c r="D60" s="70">
        <f>('Data Input Sheet'!D7*1000)/'Data Input Sheet'!D$31</f>
        <v>12.349687276024087</v>
      </c>
      <c r="E60" s="70">
        <f>('Data Input Sheet'!E7*1000)/'Data Input Sheet'!E$31</f>
        <v>18.774438396074522</v>
      </c>
      <c r="F60" s="70">
        <f>('Data Input Sheet'!F7*1000)/'Data Input Sheet'!F$31</f>
        <v>18.234334963894714</v>
      </c>
      <c r="G60" s="70">
        <f>('Data Input Sheet'!G7*1000)/'Data Input Sheet'!G$31</f>
        <v>17.71521680094143</v>
      </c>
      <c r="H60" s="70">
        <f>('Data Input Sheet'!H7*1000)/'Data Input Sheet'!H$31</f>
        <v>17.225596338350499</v>
      </c>
      <c r="I60" s="70">
        <f>('Data Input Sheet'!I7*1000)/'Data Input Sheet'!I$31</f>
        <v>16.750404423407769</v>
      </c>
      <c r="J60" s="70">
        <f>('Data Input Sheet'!J7*1000)/'Data Input Sheet'!J$31</f>
        <v>16.295297095656807</v>
      </c>
      <c r="K60" s="70">
        <f>('Data Input Sheet'!K7*1000)/'Data Input Sheet'!K$31</f>
        <v>16.295297095656807</v>
      </c>
      <c r="L60" s="70">
        <f>('Data Input Sheet'!L7*1000)/'Data Input Sheet'!L$31</f>
        <v>16.295297095656807</v>
      </c>
      <c r="M60" s="70">
        <f>('Data Input Sheet'!M7*1000)/'Data Input Sheet'!M$31</f>
        <v>16.295297095656807</v>
      </c>
      <c r="N60" s="70">
        <f>('Data Input Sheet'!N7*1000)/'Data Input Sheet'!N$31</f>
        <v>16.295297095656807</v>
      </c>
      <c r="O60">
        <f>IF(Base!$C$6=14,P60,INDEX(B60:N60,1,Base!$C$6))</f>
        <v>12.240953670295204</v>
      </c>
      <c r="P60">
        <f>(Base!C31*1000)/Base!C57</f>
        <v>12.240953670295204</v>
      </c>
    </row>
    <row r="61" spans="1:16">
      <c r="A61" t="s">
        <v>316</v>
      </c>
      <c r="B61" s="70">
        <f>(Base!C5*1000)/('Data Input Sheet'!B31)*($O60/$O$59)</f>
        <v>12.814746626991024</v>
      </c>
      <c r="C61" s="70">
        <f>(Base!D5*1000)/('Data Input Sheet'!C31)*($O60/$O$59)</f>
        <v>12.591243865576727</v>
      </c>
      <c r="D61" s="70">
        <f>(Base!E5*1000)/('Data Input Sheet'!D31)*($O60/$O$59)</f>
        <v>12.320896532160614</v>
      </c>
      <c r="E61" s="70">
        <f>(Base!F5*1000)/('Data Input Sheet'!E31)*($O60/$O$59)</f>
        <v>19.275666186838681</v>
      </c>
      <c r="F61" s="70">
        <f>(Base!G5*1000)/('Data Input Sheet'!F31)*($O60/$O$59)</f>
        <v>18.740275915206105</v>
      </c>
      <c r="G61" s="70">
        <f>(Base!H5*1000)/('Data Input Sheet'!G31)*($O60/$O$59)</f>
        <v>18.206753983882457</v>
      </c>
      <c r="H61" s="70">
        <f>(Base!I5*1000)/('Data Input Sheet'!H31)*($O60/$O$59)</f>
        <v>17.703548214061222</v>
      </c>
      <c r="I61" s="70">
        <f>(Base!J5*1000)/('Data Input Sheet'!I31)*($O60/$O$59)</f>
        <v>17.215171335149275</v>
      </c>
      <c r="J61" s="70">
        <f>(Base!K5*1000)/('Data Input Sheet'!J31)*($O60/$O$59)</f>
        <v>16.747436322604379</v>
      </c>
      <c r="K61" s="70">
        <f>(Base!L5*1000)/('Data Input Sheet'!K31)*($O60/$O$59)</f>
        <v>16.747436322604379</v>
      </c>
      <c r="L61" s="70">
        <f>(Base!M5*1000)/('Data Input Sheet'!L31)*($O60/$O$59)</f>
        <v>16.747436322604379</v>
      </c>
      <c r="M61" s="70">
        <f>(Base!N5*1000)/('Data Input Sheet'!M31)*($O60/$O$59)</f>
        <v>16.747436322604379</v>
      </c>
      <c r="N61" s="70">
        <f>(Base!O5*1000)/('Data Input Sheet'!N31)*($O60/$O$59)</f>
        <v>16.747436322604379</v>
      </c>
    </row>
    <row r="62" spans="1:16">
      <c r="A62" t="str">
        <f>'Data Input Sheet'!A8&amp;" Opex per ICP"</f>
        <v>Routine and corrective maintenance and inspection Opex per ICP</v>
      </c>
      <c r="B62" s="70">
        <f>('Data Input Sheet'!B8*1000)/'Data Input Sheet'!B$31</f>
        <v>16.323461950150364</v>
      </c>
      <c r="C62" s="70">
        <f>('Data Input Sheet'!C8*1000)/'Data Input Sheet'!C$31</f>
        <v>16.113886489125942</v>
      </c>
      <c r="D62" s="70">
        <f>('Data Input Sheet'!D8*1000)/'Data Input Sheet'!D$31</f>
        <v>15.780155963808555</v>
      </c>
      <c r="E62" s="70">
        <f>('Data Input Sheet'!E8*1000)/'Data Input Sheet'!E$31</f>
        <v>23.997546576707812</v>
      </c>
      <c r="F62" s="70">
        <f>('Data Input Sheet'!F8*1000)/'Data Input Sheet'!F$31</f>
        <v>22.855811786629395</v>
      </c>
      <c r="G62" s="70">
        <f>('Data Input Sheet'!G8*1000)/'Data Input Sheet'!G$31</f>
        <v>22.232280257083371</v>
      </c>
      <c r="H62" s="70">
        <f>('Data Input Sheet'!H8*1000)/'Data Input Sheet'!H$31</f>
        <v>21.635419417304814</v>
      </c>
      <c r="I62" s="70">
        <f>('Data Input Sheet'!I8*1000)/'Data Input Sheet'!I$31</f>
        <v>21.064254106288463</v>
      </c>
      <c r="J62" s="70">
        <f>('Data Input Sheet'!J8*1000)/'Data Input Sheet'!J$31</f>
        <v>20.516919797495337</v>
      </c>
      <c r="K62" s="70">
        <f>('Data Input Sheet'!K8*1000)/'Data Input Sheet'!K$31</f>
        <v>20.533573141486812</v>
      </c>
      <c r="L62" s="70">
        <f>('Data Input Sheet'!L8*1000)/'Data Input Sheet'!L$31</f>
        <v>20.558553157474019</v>
      </c>
      <c r="M62" s="70">
        <f>('Data Input Sheet'!M8*1000)/'Data Input Sheet'!M$31</f>
        <v>20.58353317346123</v>
      </c>
      <c r="N62" s="70">
        <f>('Data Input Sheet'!N8*1000)/'Data Input Sheet'!N$31</f>
        <v>20.608513189448441</v>
      </c>
      <c r="O62">
        <f>IF(Base!$C$6=14,P62,INDEX(B62:N62,1,Base!$C$6))</f>
        <v>15.645387551074165</v>
      </c>
      <c r="P62">
        <f>(Base!C32*1000)/Base!C57</f>
        <v>15.645387551074165</v>
      </c>
    </row>
    <row r="63" spans="1:16">
      <c r="A63" t="s">
        <v>315</v>
      </c>
      <c r="B63" s="70">
        <f>(Base!C5*1000)/('Data Input Sheet'!B31)*($O62/$O$59)</f>
        <v>16.378762860170188</v>
      </c>
      <c r="C63" s="70">
        <f>(Base!D5*1000)/('Data Input Sheet'!C31)*($O62/$O$59)</f>
        <v>16.093099878735373</v>
      </c>
      <c r="D63" s="70">
        <f>(Base!E5*1000)/('Data Input Sheet'!D31)*($O62/$O$59)</f>
        <v>15.747563990060408</v>
      </c>
      <c r="E63" s="70">
        <f>(Base!F5*1000)/('Data Input Sheet'!E31)*($O62/$O$59)</f>
        <v>24.636582730482168</v>
      </c>
      <c r="F63" s="70">
        <f>(Base!G5*1000)/('Data Input Sheet'!F31)*($O62/$O$59)</f>
        <v>23.952290597991439</v>
      </c>
      <c r="G63" s="70">
        <f>(Base!H5*1000)/('Data Input Sheet'!G31)*($O62/$O$59)</f>
        <v>23.270386425540249</v>
      </c>
      <c r="H63" s="70">
        <f>(Base!I5*1000)/('Data Input Sheet'!H31)*($O62/$O$59)</f>
        <v>22.627229895514755</v>
      </c>
      <c r="I63" s="70">
        <f>(Base!J5*1000)/('Data Input Sheet'!I31)*($O62/$O$59)</f>
        <v>22.003026443123357</v>
      </c>
      <c r="J63" s="70">
        <f>(Base!K5*1000)/('Data Input Sheet'!J31)*($O62/$O$59)</f>
        <v>21.405205738987405</v>
      </c>
      <c r="K63" s="70">
        <f>(Base!L5*1000)/('Data Input Sheet'!K31)*($O62/$O$59)</f>
        <v>21.405205738987405</v>
      </c>
      <c r="L63" s="70">
        <f>(Base!M5*1000)/('Data Input Sheet'!L31)*($O62/$O$59)</f>
        <v>21.405205738987405</v>
      </c>
      <c r="M63" s="70">
        <f>(Base!N5*1000)/('Data Input Sheet'!M31)*($O62/$O$59)</f>
        <v>21.405205738987405</v>
      </c>
      <c r="N63" s="70">
        <f>(Base!O5*1000)/('Data Input Sheet'!N31)*($O62/$O$59)</f>
        <v>21.405205738987405</v>
      </c>
    </row>
    <row r="64" spans="1:16">
      <c r="A64" t="str">
        <f>'Data Input Sheet'!A9&amp;" Opex per ICP"</f>
        <v xml:space="preserve"> Asset replacement and  renewal Opex per ICP</v>
      </c>
      <c r="B64" s="70">
        <f>('Data Input Sheet'!B9*1000)/'Data Input Sheet'!B$31</f>
        <v>0</v>
      </c>
      <c r="C64" s="70">
        <f>('Data Input Sheet'!C9*1000)/'Data Input Sheet'!C$31</f>
        <v>0</v>
      </c>
      <c r="D64" s="70">
        <f>('Data Input Sheet'!D9*1000)/'Data Input Sheet'!D$31</f>
        <v>0</v>
      </c>
      <c r="E64" s="70">
        <f>('Data Input Sheet'!E9*1000)/'Data Input Sheet'!E$31</f>
        <v>0</v>
      </c>
      <c r="F64" s="70">
        <f>('Data Input Sheet'!F9*1000)/'Data Input Sheet'!F$31</f>
        <v>0</v>
      </c>
      <c r="G64" s="70">
        <f>('Data Input Sheet'!G9*1000)/'Data Input Sheet'!G$31</f>
        <v>0</v>
      </c>
      <c r="H64" s="70">
        <f>('Data Input Sheet'!H9*1000)/'Data Input Sheet'!H$31</f>
        <v>0</v>
      </c>
      <c r="I64" s="70">
        <f>('Data Input Sheet'!I9*1000)/'Data Input Sheet'!I$31</f>
        <v>0</v>
      </c>
      <c r="J64" s="70">
        <f>('Data Input Sheet'!J9*1000)/'Data Input Sheet'!J$31</f>
        <v>0</v>
      </c>
      <c r="K64" s="70">
        <f>('Data Input Sheet'!K9*1000)/'Data Input Sheet'!K$31</f>
        <v>0</v>
      </c>
      <c r="L64" s="70">
        <f>('Data Input Sheet'!L9*1000)/'Data Input Sheet'!L$31</f>
        <v>0</v>
      </c>
      <c r="M64" s="70">
        <f>('Data Input Sheet'!M9*1000)/'Data Input Sheet'!M$31</f>
        <v>0</v>
      </c>
      <c r="N64" s="70">
        <f>('Data Input Sheet'!N9*1000)/'Data Input Sheet'!N$31</f>
        <v>0</v>
      </c>
      <c r="O64">
        <f>IF(Base!$C$6=14,P64,INDEX(B64:N64,1,Base!$C$6))</f>
        <v>0</v>
      </c>
      <c r="P64">
        <f>(Base!C33*1000)/Base!C57</f>
        <v>0</v>
      </c>
    </row>
    <row r="65" spans="1:16">
      <c r="A65" t="s">
        <v>314</v>
      </c>
      <c r="B65" s="70">
        <f>(Base!C5*1000)/('Data Input Sheet'!B31)*($O64/$O$59)</f>
        <v>0</v>
      </c>
      <c r="C65" s="70">
        <f>(Base!D5*1000)/('Data Input Sheet'!C31)*($O64/$O$59)</f>
        <v>0</v>
      </c>
      <c r="D65" s="70">
        <f>(Base!E5*1000)/('Data Input Sheet'!D31)*($O64/$O$59)</f>
        <v>0</v>
      </c>
      <c r="E65" s="70">
        <f>(Base!F5*1000)/('Data Input Sheet'!E31)*($O64/$O$59)</f>
        <v>0</v>
      </c>
      <c r="F65" s="70">
        <f>(Base!G5*1000)/('Data Input Sheet'!F31)*($O64/$O$59)</f>
        <v>0</v>
      </c>
      <c r="G65" s="70">
        <f>(Base!H5*1000)/('Data Input Sheet'!G31)*($O64/$O$59)</f>
        <v>0</v>
      </c>
      <c r="H65" s="70">
        <f>(Base!I5*1000)/('Data Input Sheet'!H31)*($O64/$O$59)</f>
        <v>0</v>
      </c>
      <c r="I65" s="70">
        <f>(Base!J5*1000)/('Data Input Sheet'!I31)*($O64/$O$59)</f>
        <v>0</v>
      </c>
      <c r="J65" s="70">
        <f>(Base!K5*1000)/('Data Input Sheet'!J31)*($O64/$O$59)</f>
        <v>0</v>
      </c>
      <c r="K65" s="70">
        <f>(Base!L5*1000)/('Data Input Sheet'!K31)*($O64/$O$59)</f>
        <v>0</v>
      </c>
      <c r="L65" s="70">
        <f>(Base!M5*1000)/('Data Input Sheet'!L31)*($O64/$O$59)</f>
        <v>0</v>
      </c>
      <c r="M65" s="70">
        <f>(Base!N5*1000)/('Data Input Sheet'!M31)*($O64/$O$59)</f>
        <v>0</v>
      </c>
      <c r="N65" s="70">
        <f>(Base!O5*1000)/('Data Input Sheet'!N31)*($O64/$O$59)</f>
        <v>0</v>
      </c>
    </row>
    <row r="66" spans="1:16">
      <c r="A66" t="s">
        <v>317</v>
      </c>
      <c r="B66" s="197">
        <f>('Data Input Sheet'!B13*1000)/'Data Input Sheet'!B31</f>
        <v>39.483408940312962</v>
      </c>
      <c r="C66" s="197">
        <f>('Data Input Sheet'!C13*1000)/'Data Input Sheet'!C31</f>
        <v>38.988844232430608</v>
      </c>
      <c r="D66" s="197">
        <f>('Data Input Sheet'!D13*1000)/'Data Input Sheet'!D31</f>
        <v>38.182341662429629</v>
      </c>
      <c r="E66" s="197">
        <f>('Data Input Sheet'!E13*1000)/'Data Input Sheet'!E31</f>
        <v>58.057962125277925</v>
      </c>
      <c r="F66" s="197">
        <f>('Data Input Sheet'!F13*1000)/'Data Input Sheet'!F31</f>
        <v>68.548800372699745</v>
      </c>
      <c r="G66" s="197">
        <f>('Data Input Sheet'!G13*1000)/'Data Input Sheet'!G31</f>
        <v>66.597266226124745</v>
      </c>
      <c r="H66" s="197">
        <f>('Data Input Sheet'!H13*1000)/'Data Input Sheet'!H31</f>
        <v>64.756623536660499</v>
      </c>
      <c r="I66" s="197">
        <f>('Data Input Sheet'!I13*1000)/'Data Input Sheet'!I31</f>
        <v>62.970222454272339</v>
      </c>
      <c r="J66" s="197">
        <f>('Data Input Sheet'!J13*1000)/'Data Input Sheet'!J31</f>
        <v>61.259325872635223</v>
      </c>
      <c r="K66" s="197">
        <f>('Data Input Sheet'!K13*1000)/'Data Input Sheet'!K31</f>
        <v>61.259325872635223</v>
      </c>
      <c r="L66" s="197">
        <f>('Data Input Sheet'!L13*1000)/'Data Input Sheet'!L31</f>
        <v>61.259325872635223</v>
      </c>
      <c r="M66" s="197">
        <f>('Data Input Sheet'!M13*1000)/'Data Input Sheet'!M31</f>
        <v>61.259325872635223</v>
      </c>
      <c r="N66" s="197">
        <f>('Data Input Sheet'!N13*1000)/'Data Input Sheet'!N31</f>
        <v>61.259325872635223</v>
      </c>
      <c r="O66">
        <f>IF(Base!$C$6=14,P66,INDEX(B66:N66,1,Base!$C$6))</f>
        <v>37.851546467536124</v>
      </c>
      <c r="P66">
        <f>(Base!C37*1000)/Base!C57</f>
        <v>37.851546467536124</v>
      </c>
    </row>
    <row r="67" spans="1:16">
      <c r="A67" t="s">
        <v>318</v>
      </c>
      <c r="B67" s="197">
        <f>((Base!C5*1000)/'Data Input Sheet'!B31)*($O66/$O$59)</f>
        <v>39.625832307357697</v>
      </c>
      <c r="C67" s="197">
        <f>((Base!D5*1000)/'Data Input Sheet'!C31)*($O66/$O$59)</f>
        <v>38.934715799023444</v>
      </c>
      <c r="D67" s="197">
        <f>((Base!E5*1000)/'Data Input Sheet'!D31)*($O66/$O$59)</f>
        <v>38.098746239069399</v>
      </c>
      <c r="E67" s="197">
        <f>((Base!F5*1000)/'Data Input Sheet'!E31)*($O66/$O$59)</f>
        <v>59.60432446814773</v>
      </c>
      <c r="F67" s="197">
        <f>((Base!G5*1000)/'Data Input Sheet'!F31)*($O66/$O$59)</f>
        <v>57.948787629204809</v>
      </c>
      <c r="G67" s="197">
        <f>((Base!H5*1000)/'Data Input Sheet'!G31)*($O66/$O$59)</f>
        <v>56.299028082777284</v>
      </c>
      <c r="H67" s="197">
        <f>((Base!I5*1000)/'Data Input Sheet'!H31)*($O66/$O$59)</f>
        <v>54.743012343142382</v>
      </c>
      <c r="I67" s="197">
        <f>((Base!J5*1000)/'Data Input Sheet'!I31)*($O66/$O$59)</f>
        <v>53.232850584204861</v>
      </c>
      <c r="J67" s="197">
        <f>((Base!K5*1000)/'Data Input Sheet'!J31)*($O66/$O$59)</f>
        <v>51.786517721692704</v>
      </c>
      <c r="K67" s="197">
        <f>((Base!L5*1000)/'Data Input Sheet'!K31)*($O66/$O$59)</f>
        <v>51.786517721692704</v>
      </c>
      <c r="L67" s="197">
        <f>((Base!M5*1000)/'Data Input Sheet'!L31)*($O66/$O$59)</f>
        <v>51.786517721692704</v>
      </c>
      <c r="M67" s="197">
        <f>((Base!N5*1000)/'Data Input Sheet'!M31)*($O66/$O$59)</f>
        <v>51.786517721692704</v>
      </c>
      <c r="N67" s="197">
        <f>((Base!O5*1000)/'Data Input Sheet'!N31)*($O66/$O$59)</f>
        <v>51.786517721692704</v>
      </c>
    </row>
    <row r="68" spans="1:16">
      <c r="A68" t="s">
        <v>335</v>
      </c>
      <c r="B68" s="197">
        <f>Base!C5*(Base!$C$34/Base!$C$38)</f>
        <v>4581.9797010289267</v>
      </c>
      <c r="C68" s="197">
        <f>Base!D5*(Base!$C$34/Base!$C$38)</f>
        <v>4581.9797010289267</v>
      </c>
      <c r="D68" s="197">
        <f>Base!E5*(Base!$C$34/Base!$C$38)</f>
        <v>4581.9797010289267</v>
      </c>
      <c r="E68" s="197">
        <f>Base!F5*(Base!$C$34/Base!$C$38)</f>
        <v>4581.9797010289267</v>
      </c>
      <c r="F68" s="197">
        <f>Base!G5*(Base!$C$34/Base!$C$38)</f>
        <v>4581.9797010289267</v>
      </c>
      <c r="G68" s="197">
        <f>Base!H5*(Base!$C$34/Base!$C$38)</f>
        <v>4581.9797010289267</v>
      </c>
      <c r="H68" s="197">
        <f>Base!I5*(Base!$C$34/Base!$C$38)</f>
        <v>4581.9797010289267</v>
      </c>
      <c r="I68" s="197">
        <f>Base!J5*(Base!$C$34/Base!$C$38)</f>
        <v>4581.9797010289267</v>
      </c>
      <c r="J68" s="197">
        <f>Base!K5*(Base!$C$34/Base!$C$38)</f>
        <v>4581.9797010289267</v>
      </c>
      <c r="K68" s="197">
        <f>Base!L5*(Base!$C$34/Base!$C$38)</f>
        <v>4581.9797010289267</v>
      </c>
      <c r="L68" s="197">
        <f>Base!M5*(Base!$C$34/Base!$C$38)</f>
        <v>4581.9797010289267</v>
      </c>
      <c r="M68" s="197">
        <f>Base!N5*(Base!$C$34/Base!$C$38)</f>
        <v>4581.9797010289267</v>
      </c>
      <c r="N68" s="197">
        <f>Base!O5*(Base!$C$34/Base!$C$38)</f>
        <v>4581.9797010289267</v>
      </c>
      <c r="O68">
        <f>IF(Base!$C$6=14,P66,INDEX(B66:N66,1,Base!$C$6))</f>
        <v>37.851546467536124</v>
      </c>
    </row>
    <row r="69" spans="1:16">
      <c r="B69" s="70"/>
      <c r="C69" s="70"/>
      <c r="D69" s="70"/>
      <c r="E69" s="70"/>
      <c r="F69" s="70"/>
      <c r="G69" s="70"/>
      <c r="H69" s="70"/>
      <c r="I69" s="70"/>
      <c r="J69" s="70"/>
      <c r="K69" s="70"/>
      <c r="L69" s="70"/>
      <c r="M69" s="70"/>
      <c r="N69" s="70"/>
    </row>
    <row r="70" spans="1:16">
      <c r="A70" t="s">
        <v>169</v>
      </c>
      <c r="B70" s="70">
        <f>Ratios!B9</f>
        <v>39.483408940312962</v>
      </c>
      <c r="C70" s="70">
        <f>Ratios!C9</f>
        <v>38.988844232430608</v>
      </c>
      <c r="D70" s="70">
        <f>Ratios!D9</f>
        <v>38.182341662429629</v>
      </c>
      <c r="E70" s="70">
        <f>Ratios!E9</f>
        <v>58.057962125277925</v>
      </c>
      <c r="F70" s="70">
        <f>Ratios!F9</f>
        <v>68.548800372699745</v>
      </c>
      <c r="G70" s="70">
        <f>Ratios!G9</f>
        <v>66.597266226124745</v>
      </c>
      <c r="H70" s="70">
        <f>Ratios!H9</f>
        <v>64.756623536660499</v>
      </c>
      <c r="I70" s="70">
        <f>Ratios!I9</f>
        <v>62.970222454272339</v>
      </c>
      <c r="J70" s="70">
        <f>Ratios!J9</f>
        <v>61.259325872635223</v>
      </c>
      <c r="K70" s="70">
        <f>Ratios!K9</f>
        <v>61.259325872635223</v>
      </c>
      <c r="L70" s="70">
        <f>Ratios!L9</f>
        <v>61.259325872635223</v>
      </c>
      <c r="M70" s="70">
        <f>Ratios!M9</f>
        <v>61.259325872635223</v>
      </c>
      <c r="N70" s="70">
        <f>Ratios!N9</f>
        <v>61.259325872635223</v>
      </c>
    </row>
    <row r="71" spans="1:16">
      <c r="A71" t="s">
        <v>212</v>
      </c>
      <c r="B71" s="70">
        <f>(Base!C$4*1000)/Calculations!B52</f>
        <v>97.352481438061744</v>
      </c>
      <c r="C71" s="70">
        <f>(Base!D$4*1000)/Calculations!C52</f>
        <v>95.654550993919202</v>
      </c>
      <c r="D71" s="70">
        <f>(Base!E$4*1000)/Calculations!D52</f>
        <v>93.600746535328724</v>
      </c>
      <c r="E71" s="70">
        <f>(Base!F$4*1000)/Calculations!E52</f>
        <v>146.43550819085587</v>
      </c>
      <c r="F71" s="70">
        <f>(Base!G$4*1000)/Calculations!F52</f>
        <v>142.36819628853172</v>
      </c>
      <c r="G71" s="70">
        <f>(Base!H$4*1000)/Calculations!G52</f>
        <v>138.31507800006034</v>
      </c>
      <c r="H71" s="70">
        <f>(Base!I$4*1000)/Calculations!H52</f>
        <v>134.49226887304522</v>
      </c>
      <c r="I71" s="70">
        <f>(Base!J$4*1000)/Calculations!I52</f>
        <v>130.78211350103709</v>
      </c>
      <c r="J71" s="70">
        <f>(Base!K$4*1000)/Calculations!J52</f>
        <v>127.22877253752553</v>
      </c>
      <c r="K71" s="70">
        <f>(Base!L$4*1000)/Calculations!K52</f>
        <v>127.22877253752553</v>
      </c>
      <c r="L71" s="70">
        <f>(Base!M$4*1000)/Calculations!L52</f>
        <v>127.22877253752553</v>
      </c>
      <c r="M71" s="70">
        <f>(Base!N$4*1000)/Calculations!M52</f>
        <v>127.22877253752553</v>
      </c>
      <c r="N71" s="70">
        <f>(Base!O$4*1000)/Calculations!N52</f>
        <v>127.22877253752553</v>
      </c>
    </row>
    <row r="72" spans="1:16">
      <c r="A72" t="s">
        <v>211</v>
      </c>
      <c r="B72" s="70">
        <f>(Base!C$5*1000)/Calculations!B52</f>
        <v>68.81934179451892</v>
      </c>
      <c r="C72" s="70">
        <f>(Base!D$5*1000)/Calculations!C52</f>
        <v>67.619059543335553</v>
      </c>
      <c r="D72" s="70">
        <f>(Base!E$5*1000)/Calculations!D52</f>
        <v>66.16720676129043</v>
      </c>
      <c r="E72" s="70">
        <f>(Base!F$5*1000)/Calculations!E52</f>
        <v>103.51657338546859</v>
      </c>
      <c r="F72" s="70">
        <f>(Base!G$5*1000)/Calculations!F52</f>
        <v>100.64135414240236</v>
      </c>
      <c r="G72" s="70">
        <f>(Base!H$5*1000)/Calculations!G52</f>
        <v>97.7761684922</v>
      </c>
      <c r="H72" s="70">
        <f>(Base!I$5*1000)/Calculations!H52</f>
        <v>95.07379045271837</v>
      </c>
      <c r="I72" s="70">
        <f>(Base!J$5*1000)/Calculations!I52</f>
        <v>92.451048362477508</v>
      </c>
      <c r="J72" s="70">
        <f>(Base!K$5*1000)/Calculations!J52</f>
        <v>89.939159783284495</v>
      </c>
      <c r="K72" s="70">
        <f>(Base!L$5*1000)/Calculations!K52</f>
        <v>89.939159783284495</v>
      </c>
      <c r="L72" s="70">
        <f>(Base!M$5*1000)/Calculations!L52</f>
        <v>89.939159783284495</v>
      </c>
      <c r="M72" s="70">
        <f>(Base!N$5*1000)/Calculations!M52</f>
        <v>89.939159783284495</v>
      </c>
      <c r="N72" s="70">
        <f>(Base!O$5*1000)/Calculations!N52</f>
        <v>89.939159783284495</v>
      </c>
    </row>
    <row r="73" spans="1:16">
      <c r="B73" s="70"/>
      <c r="C73" s="70"/>
      <c r="D73" s="70"/>
      <c r="E73" s="70"/>
      <c r="F73" s="70"/>
      <c r="G73" s="70"/>
      <c r="H73" s="70"/>
      <c r="I73" s="70"/>
      <c r="J73" s="70"/>
      <c r="K73" s="70"/>
      <c r="L73" s="70"/>
      <c r="M73" s="70"/>
      <c r="N73" s="70"/>
    </row>
    <row r="79" spans="1:16">
      <c r="B79" s="18"/>
      <c r="C79" s="19"/>
    </row>
    <row r="80" spans="1:16">
      <c r="B80" s="18"/>
      <c r="C80" s="19"/>
    </row>
    <row r="81" spans="2:8">
      <c r="B81" s="18"/>
      <c r="C81" s="19"/>
    </row>
    <row r="82" spans="2:8">
      <c r="B82" s="60"/>
      <c r="C82" s="19"/>
    </row>
    <row r="83" spans="2:8">
      <c r="B83" s="60"/>
      <c r="C83" s="19"/>
    </row>
    <row r="84" spans="2:8">
      <c r="B84" s="70"/>
      <c r="G84" s="70"/>
      <c r="H84" s="70"/>
    </row>
    <row r="85" spans="2:8">
      <c r="B85" s="70"/>
    </row>
    <row r="86" spans="2:8">
      <c r="B86" s="70"/>
    </row>
    <row r="87" spans="2:8">
      <c r="B87" s="70"/>
    </row>
    <row r="88" spans="2:8">
      <c r="B88" s="70"/>
    </row>
    <row r="89" spans="2:8">
      <c r="B89" s="70"/>
    </row>
  </sheetData>
  <pageMargins left="0.7" right="0.7" top="0.75" bottom="0.75" header="0.3" footer="0.3"/>
  <pageSetup paperSize="9" orientation="portrait" r:id="rId1"/>
  <ignoredErrors>
    <ignoredError sqref="D62:N62 C64:J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Data Input Sheet</vt:lpstr>
      <vt:lpstr>Asset Data Input Sheet</vt:lpstr>
      <vt:lpstr>Asset Forecast v AMP</vt:lpstr>
      <vt:lpstr>Main Dashboard</vt:lpstr>
      <vt:lpstr>Opex Dashboard</vt:lpstr>
      <vt:lpstr>Capex Dashboard</vt:lpstr>
      <vt:lpstr>Base</vt:lpstr>
      <vt:lpstr>Scenarios</vt:lpstr>
      <vt:lpstr>Ratios</vt:lpstr>
      <vt:lpstr>Calculations</vt:lpstr>
      <vt:lpstr>'Capex Dashboard'!Print_Area</vt:lpstr>
      <vt:lpstr>'Data Input Sheet'!Print_Area</vt:lpstr>
      <vt:lpstr>'Opex Dashboard'!Print_Area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Richard H</cp:lastModifiedBy>
  <cp:lastPrinted>2016-09-20T04:53:42Z</cp:lastPrinted>
  <dcterms:created xsi:type="dcterms:W3CDTF">2016-05-19T01:07:31Z</dcterms:created>
  <dcterms:modified xsi:type="dcterms:W3CDTF">2017-04-27T00:31:48Z</dcterms:modified>
</cp:coreProperties>
</file>