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NRPortbl\iManage\KIMBERLYF\"/>
    </mc:Choice>
  </mc:AlternateContent>
  <xr:revisionPtr revIDLastSave="0" documentId="8_{0DBD012C-EC2B-49BA-98CD-4C97FFF6CA8A}" xr6:coauthVersionLast="36" xr6:coauthVersionMax="36" xr10:uidLastSave="{00000000-0000-0000-0000-000000000000}"/>
  <bookViews>
    <workbookView xWindow="7845" yWindow="1005" windowWidth="8535" windowHeight="4635" xr2:uid="{00000000-000D-0000-FFFF-FFFF00000000}"/>
  </bookViews>
  <sheets>
    <sheet name="CoverSheet" sheetId="9" r:id="rId1"/>
    <sheet name="Description" sheetId="10" r:id="rId2"/>
    <sheet name="Table of Contents" sheetId="11" r:id="rId3"/>
    <sheet name="Inputs" sheetId="2" r:id="rId4"/>
    <sheet name="Scenario Manager" sheetId="14" r:id="rId5"/>
    <sheet name="Timing factors" sheetId="19" r:id="rId6"/>
    <sheet name="Default asset base" sheetId="12" r:id="rId7"/>
    <sheet name="Scenario asset base" sheetId="17" r:id="rId8"/>
    <sheet name="Forecast revenue and tax" sheetId="15" r:id="rId9"/>
    <sheet name="Required revenue" sheetId="18" r:id="rId10"/>
    <sheet name="IRR" sheetId="16" r:id="rId11"/>
    <sheet name="Output" sheetId="13" r:id="rId12"/>
  </sheets>
  <definedNames>
    <definedName name="_xlnm.Print_Area" localSheetId="0">CoverSheet!$A$1:$D$18</definedName>
    <definedName name="_xlnm.Print_Area" localSheetId="6">'Default asset base'!$A$1:$L$163</definedName>
    <definedName name="_xlnm.Print_Area" localSheetId="1">Description!$A$1:$F$9</definedName>
    <definedName name="_xlnm.Print_Area" localSheetId="8">'Forecast revenue and tax'!$A$1:$L$70</definedName>
    <definedName name="_xlnm.Print_Area" localSheetId="3">Inputs!$A$1:$L$128</definedName>
    <definedName name="_xlnm.Print_Area" localSheetId="10">IRR!$A$1:$Q$68</definedName>
    <definedName name="_xlnm.Print_Area" localSheetId="11">Output!$A$1:$J$19</definedName>
    <definedName name="_xlnm.Print_Area" localSheetId="9">'Required revenue'!$A$1:$L$107</definedName>
    <definedName name="_xlnm.Print_Area" localSheetId="7">'Scenario asset base'!$A$1:$L$170</definedName>
    <definedName name="_xlnm.Print_Area" localSheetId="4">'Scenario Manager'!$A$1:$L$94</definedName>
    <definedName name="_xlnm.Print_Area" localSheetId="2">'Table of Contents'!$A$1:$D$38</definedName>
    <definedName name="RIVProp" localSheetId="7">'Scenario asset base'!$E$17</definedName>
    <definedName name="RIVProp">'Default asset base'!$E$17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3" l="1"/>
  <c r="P52" i="16" l="1"/>
  <c r="N52" i="16"/>
  <c r="L52" i="16"/>
  <c r="J52" i="16"/>
  <c r="H52" i="16"/>
  <c r="F52" i="16"/>
  <c r="E52" i="16"/>
  <c r="B26" i="14" l="1"/>
  <c r="C9" i="17" s="1"/>
  <c r="B25" i="14"/>
  <c r="C8" i="17" s="1"/>
  <c r="B24" i="14"/>
  <c r="C7" i="17" s="1"/>
  <c r="B23" i="14"/>
  <c r="C6" i="17" s="1"/>
  <c r="C27" i="2"/>
  <c r="B30" i="14" s="1"/>
  <c r="C26" i="2"/>
  <c r="B29" i="14" s="1"/>
  <c r="C25" i="2"/>
  <c r="B28" i="14" s="1"/>
  <c r="C24" i="2"/>
  <c r="B27" i="14" s="1"/>
  <c r="C10" i="17" l="1"/>
  <c r="C10" i="12"/>
  <c r="C11" i="17"/>
  <c r="C11" i="12"/>
  <c r="C12" i="17"/>
  <c r="C12" i="12"/>
  <c r="C13" i="17"/>
  <c r="C13" i="12"/>
  <c r="C7" i="12"/>
  <c r="C8" i="12"/>
  <c r="C9" i="12"/>
  <c r="C6" i="12"/>
  <c r="G100" i="18"/>
  <c r="H100" i="18" s="1"/>
  <c r="I100" i="18" s="1"/>
  <c r="J100" i="18" s="1"/>
  <c r="K100" i="18" s="1"/>
  <c r="G71" i="18"/>
  <c r="H71" i="18" s="1"/>
  <c r="I71" i="18" s="1"/>
  <c r="J71" i="18" s="1"/>
  <c r="K71" i="18" s="1"/>
  <c r="G58" i="18"/>
  <c r="H58" i="18" s="1"/>
  <c r="I58" i="18" s="1"/>
  <c r="J58" i="18" s="1"/>
  <c r="K58" i="18" s="1"/>
  <c r="G62" i="15"/>
  <c r="H62" i="15" s="1"/>
  <c r="I62" i="15" s="1"/>
  <c r="J62" i="15" s="1"/>
  <c r="K62" i="15" s="1"/>
  <c r="G41" i="15"/>
  <c r="H41" i="15" s="1"/>
  <c r="I41" i="15" s="1"/>
  <c r="J41" i="15" s="1"/>
  <c r="K41" i="15" s="1"/>
  <c r="G28" i="15"/>
  <c r="H28" i="15" s="1"/>
  <c r="I28" i="15" s="1"/>
  <c r="J28" i="15" s="1"/>
  <c r="K28" i="15" s="1"/>
  <c r="F161" i="17"/>
  <c r="G161" i="17" s="1"/>
  <c r="H161" i="17" s="1"/>
  <c r="I161" i="17" s="1"/>
  <c r="J161" i="17" s="1"/>
  <c r="K161" i="17" s="1"/>
  <c r="F155" i="17"/>
  <c r="G155" i="17" s="1"/>
  <c r="H155" i="17" s="1"/>
  <c r="I155" i="17" s="1"/>
  <c r="J155" i="17" s="1"/>
  <c r="K155" i="17" s="1"/>
  <c r="F148" i="17"/>
  <c r="G148" i="17" s="1"/>
  <c r="H148" i="17" s="1"/>
  <c r="I148" i="17" s="1"/>
  <c r="J148" i="17" s="1"/>
  <c r="K148" i="17" s="1"/>
  <c r="F140" i="17"/>
  <c r="G140" i="17" s="1"/>
  <c r="H140" i="17" s="1"/>
  <c r="I140" i="17" s="1"/>
  <c r="J140" i="17" s="1"/>
  <c r="K140" i="17" s="1"/>
  <c r="F133" i="17"/>
  <c r="G133" i="17" s="1"/>
  <c r="H133" i="17" s="1"/>
  <c r="I133" i="17" s="1"/>
  <c r="J133" i="17" s="1"/>
  <c r="K133" i="17" s="1"/>
  <c r="F126" i="17"/>
  <c r="G126" i="17" s="1"/>
  <c r="H126" i="17" s="1"/>
  <c r="I126" i="17" s="1"/>
  <c r="J126" i="17" s="1"/>
  <c r="K126" i="17" s="1"/>
  <c r="F119" i="17"/>
  <c r="G119" i="17" s="1"/>
  <c r="H119" i="17" s="1"/>
  <c r="I119" i="17" s="1"/>
  <c r="J119" i="17" s="1"/>
  <c r="K119" i="17" s="1"/>
  <c r="F110" i="17"/>
  <c r="G110" i="17" s="1"/>
  <c r="H110" i="17" s="1"/>
  <c r="I110" i="17" s="1"/>
  <c r="J110" i="17" s="1"/>
  <c r="K110" i="17" s="1"/>
  <c r="F101" i="17"/>
  <c r="G101" i="17" s="1"/>
  <c r="H101" i="17" s="1"/>
  <c r="I101" i="17" s="1"/>
  <c r="J101" i="17" s="1"/>
  <c r="K101" i="17" s="1"/>
  <c r="F92" i="17"/>
  <c r="G92" i="17" s="1"/>
  <c r="H92" i="17" s="1"/>
  <c r="I92" i="17" s="1"/>
  <c r="J92" i="17" s="1"/>
  <c r="K92" i="17" s="1"/>
  <c r="F83" i="17"/>
  <c r="G83" i="17" s="1"/>
  <c r="H83" i="17" s="1"/>
  <c r="I83" i="17" s="1"/>
  <c r="J83" i="17" s="1"/>
  <c r="K83" i="17" s="1"/>
  <c r="F74" i="17"/>
  <c r="G74" i="17" s="1"/>
  <c r="H74" i="17" s="1"/>
  <c r="I74" i="17" s="1"/>
  <c r="J74" i="17" s="1"/>
  <c r="K74" i="17" s="1"/>
  <c r="F65" i="17"/>
  <c r="G65" i="17" s="1"/>
  <c r="H65" i="17" s="1"/>
  <c r="I65" i="17" s="1"/>
  <c r="J65" i="17" s="1"/>
  <c r="K65" i="17" s="1"/>
  <c r="F154" i="12"/>
  <c r="G154" i="12" s="1"/>
  <c r="H154" i="12" s="1"/>
  <c r="I154" i="12" s="1"/>
  <c r="J154" i="12" s="1"/>
  <c r="K154" i="12" s="1"/>
  <c r="F146" i="12"/>
  <c r="G146" i="12" s="1"/>
  <c r="H146" i="12" s="1"/>
  <c r="I146" i="12" s="1"/>
  <c r="J146" i="12" s="1"/>
  <c r="K146" i="12" s="1"/>
  <c r="F138" i="12"/>
  <c r="G138" i="12" s="1"/>
  <c r="H138" i="12" s="1"/>
  <c r="I138" i="12" s="1"/>
  <c r="J138" i="12" s="1"/>
  <c r="K138" i="12" s="1"/>
  <c r="F130" i="12"/>
  <c r="G130" i="12" s="1"/>
  <c r="H130" i="12" s="1"/>
  <c r="I130" i="12" s="1"/>
  <c r="J130" i="12" s="1"/>
  <c r="K130" i="12" s="1"/>
  <c r="F122" i="12"/>
  <c r="G122" i="12" s="1"/>
  <c r="H122" i="12" s="1"/>
  <c r="I122" i="12" s="1"/>
  <c r="J122" i="12" s="1"/>
  <c r="K122" i="12" s="1"/>
  <c r="F114" i="12"/>
  <c r="G114" i="12" s="1"/>
  <c r="H114" i="12" s="1"/>
  <c r="I114" i="12" s="1"/>
  <c r="J114" i="12" s="1"/>
  <c r="K114" i="12" s="1"/>
  <c r="F105" i="12"/>
  <c r="G105" i="12" s="1"/>
  <c r="H105" i="12" s="1"/>
  <c r="I105" i="12" s="1"/>
  <c r="J105" i="12" s="1"/>
  <c r="K105" i="12" s="1"/>
  <c r="F96" i="12"/>
  <c r="G96" i="12" s="1"/>
  <c r="H96" i="12" s="1"/>
  <c r="I96" i="12" s="1"/>
  <c r="J96" i="12" s="1"/>
  <c r="K96" i="12" s="1"/>
  <c r="F86" i="12"/>
  <c r="G86" i="12" s="1"/>
  <c r="H86" i="12" s="1"/>
  <c r="I86" i="12" s="1"/>
  <c r="J86" i="12" s="1"/>
  <c r="K86" i="12" s="1"/>
  <c r="F76" i="12"/>
  <c r="G76" i="12" s="1"/>
  <c r="H76" i="12" s="1"/>
  <c r="I76" i="12" s="1"/>
  <c r="J76" i="12" s="1"/>
  <c r="K76" i="12" s="1"/>
  <c r="F66" i="12"/>
  <c r="G66" i="12" s="1"/>
  <c r="H66" i="12" s="1"/>
  <c r="I66" i="12" s="1"/>
  <c r="J66" i="12" s="1"/>
  <c r="K66" i="12" s="1"/>
  <c r="F56" i="12"/>
  <c r="G67" i="15" l="1"/>
  <c r="H67" i="15" s="1"/>
  <c r="I67" i="15" s="1"/>
  <c r="J67" i="15" s="1"/>
  <c r="K67" i="15" s="1"/>
  <c r="G83" i="14"/>
  <c r="H83" i="14" s="1"/>
  <c r="I83" i="14" s="1"/>
  <c r="J83" i="14" s="1"/>
  <c r="K83" i="14" s="1"/>
  <c r="G116" i="2"/>
  <c r="H116" i="2" s="1"/>
  <c r="I116" i="2" s="1"/>
  <c r="J116" i="2" s="1"/>
  <c r="K116" i="2" s="1"/>
  <c r="G109" i="2"/>
  <c r="H109" i="2" s="1"/>
  <c r="I109" i="2" s="1"/>
  <c r="J109" i="2" s="1"/>
  <c r="K109" i="2" s="1"/>
  <c r="G55" i="2"/>
  <c r="H55" i="2" s="1"/>
  <c r="I55" i="2" s="1"/>
  <c r="J55" i="2" s="1"/>
  <c r="K55" i="2" s="1"/>
  <c r="I10" i="13" l="1"/>
  <c r="H10" i="13"/>
  <c r="G10" i="13"/>
  <c r="F10" i="13"/>
  <c r="E10" i="13"/>
  <c r="D10" i="13"/>
  <c r="K127" i="2"/>
  <c r="J127" i="2"/>
  <c r="I127" i="2"/>
  <c r="H127" i="2"/>
  <c r="G127" i="2"/>
  <c r="G126" i="2"/>
  <c r="H126" i="2" s="1"/>
  <c r="I126" i="2" s="1"/>
  <c r="J126" i="2" s="1"/>
  <c r="K126" i="2" s="1"/>
  <c r="B7" i="13" l="1"/>
  <c r="D7" i="13"/>
  <c r="E7" i="13" s="1"/>
  <c r="F7" i="13" s="1"/>
  <c r="G7" i="13" s="1"/>
  <c r="H7" i="13" s="1"/>
  <c r="I7" i="13" s="1"/>
  <c r="J80" i="14" l="1"/>
  <c r="I80" i="14"/>
  <c r="H80" i="14"/>
  <c r="G80" i="14"/>
  <c r="F80" i="14"/>
  <c r="K80" i="14"/>
  <c r="C9" i="15" l="1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F74" i="14"/>
  <c r="F78" i="14"/>
  <c r="F77" i="14"/>
  <c r="F76" i="14"/>
  <c r="F75" i="14"/>
  <c r="G89" i="2"/>
  <c r="H89" i="2" s="1"/>
  <c r="I89" i="2" s="1"/>
  <c r="J89" i="2" s="1"/>
  <c r="K89" i="2" s="1"/>
  <c r="E4" i="14" l="1"/>
  <c r="K92" i="14" l="1"/>
  <c r="K22" i="17" s="1"/>
  <c r="G92" i="14"/>
  <c r="G22" i="17" s="1"/>
  <c r="H91" i="14"/>
  <c r="H21" i="17" s="1"/>
  <c r="I90" i="14"/>
  <c r="I20" i="17" s="1"/>
  <c r="J89" i="14"/>
  <c r="J19" i="17" s="1"/>
  <c r="K87" i="14"/>
  <c r="K23" i="18" s="1"/>
  <c r="G87" i="14"/>
  <c r="G23" i="18" s="1"/>
  <c r="H85" i="14"/>
  <c r="H9" i="15" s="1"/>
  <c r="J92" i="14"/>
  <c r="J22" i="17" s="1"/>
  <c r="K91" i="14"/>
  <c r="K21" i="17" s="1"/>
  <c r="G91" i="14"/>
  <c r="G21" i="17" s="1"/>
  <c r="H90" i="14"/>
  <c r="H20" i="17" s="1"/>
  <c r="I89" i="14"/>
  <c r="I19" i="17" s="1"/>
  <c r="J87" i="14"/>
  <c r="J23" i="18" s="1"/>
  <c r="K85" i="14"/>
  <c r="G85" i="14"/>
  <c r="G9" i="15" s="1"/>
  <c r="H92" i="14"/>
  <c r="H22" i="17" s="1"/>
  <c r="J90" i="14"/>
  <c r="J20" i="17" s="1"/>
  <c r="K89" i="14"/>
  <c r="K19" i="17" s="1"/>
  <c r="H87" i="14"/>
  <c r="H23" i="18" s="1"/>
  <c r="I92" i="14"/>
  <c r="I22" i="17" s="1"/>
  <c r="J91" i="14"/>
  <c r="J21" i="17" s="1"/>
  <c r="K90" i="14"/>
  <c r="K20" i="17" s="1"/>
  <c r="G90" i="14"/>
  <c r="G20" i="17" s="1"/>
  <c r="H89" i="14"/>
  <c r="H19" i="17" s="1"/>
  <c r="I87" i="14"/>
  <c r="I23" i="15" s="1"/>
  <c r="J85" i="14"/>
  <c r="I91" i="14"/>
  <c r="I21" i="17" s="1"/>
  <c r="G89" i="14"/>
  <c r="G19" i="17" s="1"/>
  <c r="I85" i="14"/>
  <c r="I9" i="15" s="1"/>
  <c r="F92" i="14"/>
  <c r="F22" i="17" s="1"/>
  <c r="F90" i="14"/>
  <c r="F20" i="17" s="1"/>
  <c r="F91" i="14"/>
  <c r="F21" i="17" s="1"/>
  <c r="F89" i="14"/>
  <c r="F19" i="17" s="1"/>
  <c r="F87" i="14"/>
  <c r="F85" i="14"/>
  <c r="K9" i="15" l="1"/>
  <c r="J9" i="15"/>
  <c r="J23" i="15"/>
  <c r="G23" i="15"/>
  <c r="H23" i="15"/>
  <c r="I23" i="18"/>
  <c r="K23" i="15"/>
  <c r="K124" i="2" l="1"/>
  <c r="J124" i="2"/>
  <c r="I124" i="2"/>
  <c r="H124" i="2"/>
  <c r="G124" i="2"/>
  <c r="G123" i="2"/>
  <c r="H123" i="2" s="1"/>
  <c r="I123" i="2" s="1"/>
  <c r="J123" i="2" s="1"/>
  <c r="K123" i="2" s="1"/>
  <c r="E11" i="14" l="1"/>
  <c r="C6" i="19" s="1"/>
  <c r="G31" i="18" l="1"/>
  <c r="H31" i="18" s="1"/>
  <c r="I31" i="18" s="1"/>
  <c r="J31" i="18" s="1"/>
  <c r="K31" i="18" s="1"/>
  <c r="K15" i="18" l="1"/>
  <c r="K53" i="18" s="1"/>
  <c r="J15" i="18"/>
  <c r="J53" i="18" s="1"/>
  <c r="I15" i="18"/>
  <c r="I53" i="18" s="1"/>
  <c r="H15" i="18"/>
  <c r="H53" i="18" s="1"/>
  <c r="G15" i="18"/>
  <c r="G53" i="18" s="1"/>
  <c r="K14" i="18"/>
  <c r="K49" i="18" s="1"/>
  <c r="J14" i="18"/>
  <c r="J49" i="18" s="1"/>
  <c r="I14" i="18"/>
  <c r="I49" i="18" s="1"/>
  <c r="H14" i="18"/>
  <c r="H49" i="18" s="1"/>
  <c r="G14" i="18"/>
  <c r="G49" i="18" s="1"/>
  <c r="K13" i="18"/>
  <c r="K76" i="18" s="1"/>
  <c r="J13" i="18"/>
  <c r="J76" i="18" s="1"/>
  <c r="I13" i="18"/>
  <c r="I76" i="18" s="1"/>
  <c r="H13" i="18"/>
  <c r="H76" i="18" s="1"/>
  <c r="G13" i="18"/>
  <c r="G76" i="18" s="1"/>
  <c r="K12" i="18"/>
  <c r="K47" i="18" s="1"/>
  <c r="J12" i="18"/>
  <c r="J47" i="18" s="1"/>
  <c r="I12" i="18"/>
  <c r="I47" i="18" s="1"/>
  <c r="H12" i="18"/>
  <c r="H47" i="18" s="1"/>
  <c r="G12" i="18"/>
  <c r="G47" i="18" s="1"/>
  <c r="K11" i="18"/>
  <c r="K75" i="18" s="1"/>
  <c r="J11" i="18"/>
  <c r="J75" i="18" s="1"/>
  <c r="I11" i="18"/>
  <c r="I46" i="18" s="1"/>
  <c r="H11" i="18"/>
  <c r="H75" i="18" s="1"/>
  <c r="G11" i="18"/>
  <c r="G75" i="18" s="1"/>
  <c r="G3" i="18"/>
  <c r="H3" i="18" s="1"/>
  <c r="I3" i="18" s="1"/>
  <c r="J3" i="18" s="1"/>
  <c r="K3" i="18" s="1"/>
  <c r="I82" i="18" l="1"/>
  <c r="J82" i="18"/>
  <c r="G82" i="18"/>
  <c r="K82" i="18"/>
  <c r="H82" i="18"/>
  <c r="J46" i="18"/>
  <c r="H48" i="18"/>
  <c r="H83" i="18" s="1"/>
  <c r="I75" i="18"/>
  <c r="G46" i="18"/>
  <c r="K46" i="18"/>
  <c r="I48" i="18"/>
  <c r="I83" i="18" s="1"/>
  <c r="H46" i="18"/>
  <c r="J48" i="18"/>
  <c r="J83" i="18" s="1"/>
  <c r="G48" i="18"/>
  <c r="G83" i="18" s="1"/>
  <c r="K48" i="18"/>
  <c r="K83" i="18" s="1"/>
  <c r="F106" i="2"/>
  <c r="F105" i="2"/>
  <c r="F104" i="2"/>
  <c r="F103" i="2"/>
  <c r="F113" i="2"/>
  <c r="F112" i="2"/>
  <c r="F111" i="2"/>
  <c r="F110" i="2"/>
  <c r="J120" i="2"/>
  <c r="J119" i="2"/>
  <c r="J118" i="2"/>
  <c r="J117" i="2"/>
  <c r="H120" i="2"/>
  <c r="H119" i="2"/>
  <c r="H118" i="2"/>
  <c r="H117" i="2"/>
  <c r="F121" i="2"/>
  <c r="I120" i="2"/>
  <c r="I119" i="2"/>
  <c r="I118" i="2"/>
  <c r="I117" i="2"/>
  <c r="G120" i="2"/>
  <c r="G119" i="2"/>
  <c r="G118" i="2"/>
  <c r="G117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21" i="2"/>
  <c r="G102" i="2"/>
  <c r="H102" i="2" s="1"/>
  <c r="I102" i="2" s="1"/>
  <c r="J102" i="2" s="1"/>
  <c r="K102" i="2" s="1"/>
  <c r="G99" i="2"/>
  <c r="H99" i="2" s="1"/>
  <c r="I99" i="2" s="1"/>
  <c r="J99" i="2" s="1"/>
  <c r="K99" i="2" s="1"/>
  <c r="G4" i="17"/>
  <c r="H4" i="17" s="1"/>
  <c r="I4" i="17" s="1"/>
  <c r="J4" i="17" s="1"/>
  <c r="K4" i="17" s="1"/>
  <c r="K114" i="2" l="1"/>
  <c r="G114" i="2"/>
  <c r="G107" i="2"/>
  <c r="J114" i="2"/>
  <c r="I114" i="2"/>
  <c r="H114" i="2"/>
  <c r="I121" i="2"/>
  <c r="F107" i="2"/>
  <c r="I107" i="2"/>
  <c r="H107" i="2"/>
  <c r="K107" i="2"/>
  <c r="J107" i="2"/>
  <c r="G121" i="2"/>
  <c r="H121" i="2"/>
  <c r="J121" i="2"/>
  <c r="F114" i="2"/>
  <c r="K37" i="14" l="1"/>
  <c r="K8" i="18" s="1"/>
  <c r="K77" i="18" s="1"/>
  <c r="J37" i="14"/>
  <c r="J8" i="18" s="1"/>
  <c r="J77" i="18" s="1"/>
  <c r="I37" i="14"/>
  <c r="I8" i="18" s="1"/>
  <c r="I77" i="18" s="1"/>
  <c r="H37" i="14"/>
  <c r="H8" i="18" s="1"/>
  <c r="H77" i="18" s="1"/>
  <c r="G37" i="14"/>
  <c r="K36" i="14"/>
  <c r="K7" i="18" s="1"/>
  <c r="J36" i="14"/>
  <c r="J7" i="18" s="1"/>
  <c r="I36" i="14"/>
  <c r="I7" i="18" s="1"/>
  <c r="H36" i="14"/>
  <c r="H7" i="18" s="1"/>
  <c r="G36" i="14"/>
  <c r="G7" i="18" s="1"/>
  <c r="J60" i="18" l="1"/>
  <c r="J43" i="18"/>
  <c r="G43" i="18"/>
  <c r="G60" i="18"/>
  <c r="K43" i="18"/>
  <c r="K60" i="18"/>
  <c r="H60" i="18"/>
  <c r="H43" i="18"/>
  <c r="G8" i="15"/>
  <c r="G8" i="18"/>
  <c r="G77" i="18" s="1"/>
  <c r="I60" i="18"/>
  <c r="I43" i="18"/>
  <c r="K72" i="14"/>
  <c r="K52" i="17" s="1"/>
  <c r="K144" i="17" s="1"/>
  <c r="J72" i="14"/>
  <c r="J52" i="17" s="1"/>
  <c r="J144" i="17" s="1"/>
  <c r="I72" i="14"/>
  <c r="I52" i="17" s="1"/>
  <c r="I144" i="17" s="1"/>
  <c r="H72" i="14"/>
  <c r="H52" i="17" s="1"/>
  <c r="H144" i="17" s="1"/>
  <c r="G72" i="14"/>
  <c r="G52" i="17" s="1"/>
  <c r="G144" i="17" s="1"/>
  <c r="K71" i="14"/>
  <c r="K51" i="17" s="1"/>
  <c r="K137" i="17" s="1"/>
  <c r="J71" i="14"/>
  <c r="J51" i="17" s="1"/>
  <c r="J137" i="17" s="1"/>
  <c r="I71" i="14"/>
  <c r="I51" i="17" s="1"/>
  <c r="I137" i="17" s="1"/>
  <c r="H71" i="14"/>
  <c r="H51" i="17" s="1"/>
  <c r="H137" i="17" s="1"/>
  <c r="G71" i="14"/>
  <c r="G51" i="17" s="1"/>
  <c r="G137" i="17" s="1"/>
  <c r="K70" i="14"/>
  <c r="K50" i="17" s="1"/>
  <c r="K130" i="17" s="1"/>
  <c r="J70" i="14"/>
  <c r="J50" i="17" s="1"/>
  <c r="J130" i="17" s="1"/>
  <c r="I70" i="14"/>
  <c r="I50" i="17" s="1"/>
  <c r="I130" i="17" s="1"/>
  <c r="H70" i="14"/>
  <c r="H50" i="17" s="1"/>
  <c r="H130" i="17" s="1"/>
  <c r="G70" i="14"/>
  <c r="G50" i="17" s="1"/>
  <c r="G130" i="17" s="1"/>
  <c r="K69" i="14"/>
  <c r="K49" i="17" s="1"/>
  <c r="K123" i="17" s="1"/>
  <c r="J69" i="14"/>
  <c r="J49" i="17" s="1"/>
  <c r="J123" i="17" s="1"/>
  <c r="I69" i="14"/>
  <c r="I49" i="17" s="1"/>
  <c r="I123" i="17" s="1"/>
  <c r="H69" i="14"/>
  <c r="H49" i="17" s="1"/>
  <c r="H123" i="17" s="1"/>
  <c r="G69" i="14"/>
  <c r="G49" i="17" s="1"/>
  <c r="G123" i="17" s="1"/>
  <c r="F72" i="14"/>
  <c r="F52" i="17" s="1"/>
  <c r="F144" i="17" s="1"/>
  <c r="F71" i="14"/>
  <c r="F51" i="17" s="1"/>
  <c r="F137" i="17" s="1"/>
  <c r="F70" i="14"/>
  <c r="F50" i="17" s="1"/>
  <c r="F130" i="17" s="1"/>
  <c r="F69" i="14"/>
  <c r="F49" i="17" s="1"/>
  <c r="F123" i="17" s="1"/>
  <c r="K87" i="2"/>
  <c r="J87" i="2"/>
  <c r="I87" i="2"/>
  <c r="H87" i="2"/>
  <c r="G87" i="2"/>
  <c r="F87" i="2"/>
  <c r="G82" i="2"/>
  <c r="H82" i="2" s="1"/>
  <c r="I82" i="2" s="1"/>
  <c r="J82" i="2" s="1"/>
  <c r="K82" i="2" s="1"/>
  <c r="K64" i="14"/>
  <c r="J64" i="14"/>
  <c r="I64" i="14"/>
  <c r="H64" i="14"/>
  <c r="G64" i="14"/>
  <c r="F64" i="14"/>
  <c r="K59" i="14"/>
  <c r="J59" i="14"/>
  <c r="I59" i="14"/>
  <c r="H59" i="14"/>
  <c r="G59" i="14"/>
  <c r="F59" i="14"/>
  <c r="K62" i="14"/>
  <c r="J62" i="14"/>
  <c r="I62" i="14"/>
  <c r="I42" i="17" s="1"/>
  <c r="H62" i="14"/>
  <c r="H42" i="17" s="1"/>
  <c r="G62" i="14"/>
  <c r="K61" i="14"/>
  <c r="J61" i="14"/>
  <c r="I61" i="14"/>
  <c r="H61" i="14"/>
  <c r="G61" i="14"/>
  <c r="K60" i="14"/>
  <c r="K40" i="17" s="1"/>
  <c r="J60" i="14"/>
  <c r="J40" i="17" s="1"/>
  <c r="I60" i="14"/>
  <c r="I40" i="17" s="1"/>
  <c r="H60" i="14"/>
  <c r="H40" i="17" s="1"/>
  <c r="G60" i="14"/>
  <c r="G40" i="17" s="1"/>
  <c r="F62" i="14"/>
  <c r="F61" i="14"/>
  <c r="F60" i="14"/>
  <c r="F40" i="17" s="1"/>
  <c r="I42" i="12"/>
  <c r="H42" i="12"/>
  <c r="K67" i="14"/>
  <c r="J67" i="14"/>
  <c r="I67" i="14"/>
  <c r="H67" i="14"/>
  <c r="G67" i="14"/>
  <c r="F67" i="14"/>
  <c r="K66" i="14"/>
  <c r="J66" i="14"/>
  <c r="I66" i="14"/>
  <c r="H66" i="14"/>
  <c r="G66" i="14"/>
  <c r="F66" i="14"/>
  <c r="K57" i="14"/>
  <c r="J57" i="14"/>
  <c r="I57" i="14"/>
  <c r="H57" i="14"/>
  <c r="G57" i="14"/>
  <c r="F57" i="14"/>
  <c r="K56" i="14"/>
  <c r="J56" i="14"/>
  <c r="I56" i="14"/>
  <c r="H56" i="14"/>
  <c r="G56" i="14"/>
  <c r="F56" i="14"/>
  <c r="K54" i="14"/>
  <c r="J54" i="14"/>
  <c r="I54" i="14"/>
  <c r="H54" i="14"/>
  <c r="G54" i="14"/>
  <c r="F54" i="14"/>
  <c r="K47" i="14"/>
  <c r="J47" i="14"/>
  <c r="I47" i="14"/>
  <c r="H47" i="14"/>
  <c r="G47" i="14"/>
  <c r="F47" i="14"/>
  <c r="K46" i="14"/>
  <c r="J46" i="14"/>
  <c r="I46" i="14"/>
  <c r="H46" i="14"/>
  <c r="G46" i="14"/>
  <c r="F46" i="14"/>
  <c r="K44" i="14"/>
  <c r="J44" i="14"/>
  <c r="I44" i="14"/>
  <c r="H44" i="14"/>
  <c r="G44" i="14"/>
  <c r="F44" i="14"/>
  <c r="K42" i="14"/>
  <c r="J42" i="14"/>
  <c r="I42" i="14"/>
  <c r="H42" i="14"/>
  <c r="G42" i="14"/>
  <c r="F42" i="14"/>
  <c r="K41" i="14"/>
  <c r="J41" i="14"/>
  <c r="I41" i="14"/>
  <c r="H41" i="14"/>
  <c r="G41" i="14"/>
  <c r="F41" i="14"/>
  <c r="K39" i="14"/>
  <c r="J39" i="14"/>
  <c r="I39" i="14"/>
  <c r="H39" i="14"/>
  <c r="G39" i="14"/>
  <c r="F39" i="14"/>
  <c r="G47" i="15" l="1"/>
  <c r="G64" i="15"/>
  <c r="F152" i="17"/>
  <c r="G152" i="17"/>
  <c r="K152" i="17"/>
  <c r="J152" i="17"/>
  <c r="G50" i="12"/>
  <c r="G126" i="12" s="1"/>
  <c r="H50" i="12"/>
  <c r="H126" i="12" s="1"/>
  <c r="K50" i="12"/>
  <c r="K126" i="12" s="1"/>
  <c r="I49" i="12"/>
  <c r="I118" i="12" s="1"/>
  <c r="J51" i="12"/>
  <c r="J134" i="12" s="1"/>
  <c r="F19" i="12"/>
  <c r="F58" i="12" s="1"/>
  <c r="F22" i="12"/>
  <c r="F140" i="12" s="1"/>
  <c r="K19" i="12"/>
  <c r="K116" i="12" s="1"/>
  <c r="G22" i="12"/>
  <c r="G26" i="12"/>
  <c r="G81" i="12" s="1"/>
  <c r="G26" i="17"/>
  <c r="G88" i="17" s="1"/>
  <c r="G34" i="12"/>
  <c r="G62" i="12" s="1"/>
  <c r="G34" i="17"/>
  <c r="G71" i="17" s="1"/>
  <c r="H19" i="12"/>
  <c r="H116" i="12" s="1"/>
  <c r="F21" i="12"/>
  <c r="F132" i="12" s="1"/>
  <c r="J21" i="12"/>
  <c r="J132" i="12" s="1"/>
  <c r="H22" i="12"/>
  <c r="F24" i="12"/>
  <c r="F61" i="12" s="1"/>
  <c r="F24" i="17"/>
  <c r="F70" i="17" s="1"/>
  <c r="J24" i="12"/>
  <c r="J61" i="12" s="1"/>
  <c r="J24" i="17"/>
  <c r="J70" i="17" s="1"/>
  <c r="H26" i="12"/>
  <c r="H81" i="12" s="1"/>
  <c r="H26" i="17"/>
  <c r="H88" i="17" s="1"/>
  <c r="F27" i="12"/>
  <c r="F91" i="12" s="1"/>
  <c r="F27" i="17"/>
  <c r="F97" i="17" s="1"/>
  <c r="J27" i="12"/>
  <c r="J91" i="12" s="1"/>
  <c r="J27" i="17"/>
  <c r="J97" i="17" s="1"/>
  <c r="H34" i="12"/>
  <c r="H62" i="12" s="1"/>
  <c r="H34" i="17"/>
  <c r="H71" i="17" s="1"/>
  <c r="F36" i="12"/>
  <c r="F82" i="12" s="1"/>
  <c r="F36" i="17"/>
  <c r="F89" i="17" s="1"/>
  <c r="J36" i="12"/>
  <c r="J82" i="12" s="1"/>
  <c r="J36" i="17"/>
  <c r="J89" i="17" s="1"/>
  <c r="H37" i="12"/>
  <c r="H92" i="12" s="1"/>
  <c r="H37" i="17"/>
  <c r="H98" i="17" s="1"/>
  <c r="F46" i="12"/>
  <c r="F133" i="12" s="1"/>
  <c r="F46" i="17"/>
  <c r="J46" i="12"/>
  <c r="J133" i="12" s="1"/>
  <c r="J46" i="17"/>
  <c r="H47" i="12"/>
  <c r="H141" i="12" s="1"/>
  <c r="H47" i="17"/>
  <c r="F42" i="12"/>
  <c r="F90" i="12" s="1"/>
  <c r="F42" i="17"/>
  <c r="I41" i="12"/>
  <c r="I80" i="12" s="1"/>
  <c r="I41" i="17"/>
  <c r="F39" i="12"/>
  <c r="F60" i="12" s="1"/>
  <c r="F39" i="17"/>
  <c r="J39" i="12"/>
  <c r="J60" i="12" s="1"/>
  <c r="J39" i="17"/>
  <c r="H44" i="12"/>
  <c r="H117" i="12" s="1"/>
  <c r="H44" i="17"/>
  <c r="H152" i="17"/>
  <c r="G49" i="12"/>
  <c r="G118" i="12" s="1"/>
  <c r="K49" i="12"/>
  <c r="K118" i="12" s="1"/>
  <c r="I50" i="12"/>
  <c r="I126" i="12" s="1"/>
  <c r="G51" i="12"/>
  <c r="G134" i="12" s="1"/>
  <c r="K51" i="12"/>
  <c r="K134" i="12" s="1"/>
  <c r="I52" i="12"/>
  <c r="I142" i="12" s="1"/>
  <c r="H21" i="12"/>
  <c r="H132" i="12" s="1"/>
  <c r="G19" i="12"/>
  <c r="G116" i="12" s="1"/>
  <c r="I21" i="12"/>
  <c r="I132" i="12" s="1"/>
  <c r="I24" i="12"/>
  <c r="I61" i="12" s="1"/>
  <c r="I24" i="17"/>
  <c r="I70" i="17" s="1"/>
  <c r="I27" i="12"/>
  <c r="I91" i="12" s="1"/>
  <c r="I27" i="17"/>
  <c r="I97" i="17" s="1"/>
  <c r="I19" i="12"/>
  <c r="I116" i="12" s="1"/>
  <c r="G21" i="12"/>
  <c r="G132" i="12" s="1"/>
  <c r="K21" i="12"/>
  <c r="K132" i="12" s="1"/>
  <c r="I22" i="12"/>
  <c r="I88" i="12" s="1"/>
  <c r="G24" i="12"/>
  <c r="G61" i="12" s="1"/>
  <c r="G24" i="17"/>
  <c r="G70" i="17" s="1"/>
  <c r="K24" i="12"/>
  <c r="K61" i="12" s="1"/>
  <c r="K24" i="17"/>
  <c r="K70" i="17" s="1"/>
  <c r="I26" i="12"/>
  <c r="I81" i="12" s="1"/>
  <c r="I26" i="17"/>
  <c r="I88" i="17" s="1"/>
  <c r="G27" i="12"/>
  <c r="G91" i="12" s="1"/>
  <c r="G27" i="17"/>
  <c r="G97" i="17" s="1"/>
  <c r="K27" i="12"/>
  <c r="K91" i="12" s="1"/>
  <c r="K27" i="17"/>
  <c r="K97" i="17" s="1"/>
  <c r="I34" i="12"/>
  <c r="I62" i="12" s="1"/>
  <c r="I34" i="17"/>
  <c r="I71" i="17" s="1"/>
  <c r="G36" i="12"/>
  <c r="G82" i="12" s="1"/>
  <c r="G36" i="17"/>
  <c r="G89" i="17" s="1"/>
  <c r="K36" i="12"/>
  <c r="K82" i="12" s="1"/>
  <c r="K36" i="17"/>
  <c r="K89" i="17" s="1"/>
  <c r="I37" i="12"/>
  <c r="I92" i="12" s="1"/>
  <c r="I37" i="17"/>
  <c r="I98" i="17" s="1"/>
  <c r="G46" i="12"/>
  <c r="G133" i="12" s="1"/>
  <c r="G46" i="17"/>
  <c r="K46" i="12"/>
  <c r="K133" i="12" s="1"/>
  <c r="K46" i="17"/>
  <c r="I47" i="12"/>
  <c r="I141" i="12" s="1"/>
  <c r="I47" i="17"/>
  <c r="J41" i="12"/>
  <c r="J80" i="12" s="1"/>
  <c r="J41" i="17"/>
  <c r="G39" i="12"/>
  <c r="G60" i="12" s="1"/>
  <c r="G39" i="17"/>
  <c r="K39" i="12"/>
  <c r="K60" i="12" s="1"/>
  <c r="K39" i="17"/>
  <c r="I44" i="12"/>
  <c r="I117" i="12" s="1"/>
  <c r="I44" i="17"/>
  <c r="I152" i="17"/>
  <c r="H49" i="12"/>
  <c r="H118" i="12" s="1"/>
  <c r="F50" i="12"/>
  <c r="F126" i="12" s="1"/>
  <c r="J50" i="12"/>
  <c r="J126" i="12" s="1"/>
  <c r="H51" i="12"/>
  <c r="H134" i="12" s="1"/>
  <c r="F52" i="12"/>
  <c r="F142" i="12" s="1"/>
  <c r="J52" i="12"/>
  <c r="J142" i="12" s="1"/>
  <c r="J19" i="12"/>
  <c r="H24" i="12"/>
  <c r="H61" i="12" s="1"/>
  <c r="H24" i="17"/>
  <c r="H70" i="17" s="1"/>
  <c r="F26" i="12"/>
  <c r="F81" i="12" s="1"/>
  <c r="F26" i="17"/>
  <c r="F88" i="17" s="1"/>
  <c r="J26" i="12"/>
  <c r="J81" i="12" s="1"/>
  <c r="J26" i="17"/>
  <c r="J88" i="17" s="1"/>
  <c r="H27" i="12"/>
  <c r="H91" i="12" s="1"/>
  <c r="H27" i="17"/>
  <c r="H97" i="17" s="1"/>
  <c r="F34" i="12"/>
  <c r="F62" i="12" s="1"/>
  <c r="F34" i="17"/>
  <c r="F71" i="17" s="1"/>
  <c r="J34" i="12"/>
  <c r="J62" i="12" s="1"/>
  <c r="J34" i="17"/>
  <c r="J71" i="17" s="1"/>
  <c r="H36" i="12"/>
  <c r="H82" i="12" s="1"/>
  <c r="H36" i="17"/>
  <c r="H89" i="17" s="1"/>
  <c r="F37" i="12"/>
  <c r="F92" i="12" s="1"/>
  <c r="F37" i="17"/>
  <c r="F98" i="17" s="1"/>
  <c r="J37" i="12"/>
  <c r="J92" i="12" s="1"/>
  <c r="J37" i="17"/>
  <c r="J98" i="17" s="1"/>
  <c r="H46" i="12"/>
  <c r="H133" i="12" s="1"/>
  <c r="H46" i="17"/>
  <c r="F47" i="12"/>
  <c r="F141" i="12" s="1"/>
  <c r="F47" i="17"/>
  <c r="J47" i="12"/>
  <c r="J141" i="12" s="1"/>
  <c r="J47" i="17"/>
  <c r="G41" i="12"/>
  <c r="G80" i="12" s="1"/>
  <c r="G41" i="17"/>
  <c r="K41" i="12"/>
  <c r="K80" i="12" s="1"/>
  <c r="K41" i="17"/>
  <c r="J42" i="12"/>
  <c r="J90" i="12" s="1"/>
  <c r="J42" i="17"/>
  <c r="H39" i="12"/>
  <c r="H60" i="12" s="1"/>
  <c r="H39" i="17"/>
  <c r="F44" i="12"/>
  <c r="F117" i="12" s="1"/>
  <c r="F44" i="17"/>
  <c r="J44" i="12"/>
  <c r="J117" i="12" s="1"/>
  <c r="J44" i="17"/>
  <c r="I51" i="12"/>
  <c r="I134" i="12" s="1"/>
  <c r="G52" i="12"/>
  <c r="G142" i="12" s="1"/>
  <c r="K52" i="12"/>
  <c r="K142" i="12" s="1"/>
  <c r="J22" i="12"/>
  <c r="J88" i="12" s="1"/>
  <c r="K22" i="12"/>
  <c r="K140" i="12" s="1"/>
  <c r="K26" i="12"/>
  <c r="K81" i="12" s="1"/>
  <c r="K26" i="17"/>
  <c r="K88" i="17" s="1"/>
  <c r="K34" i="12"/>
  <c r="K62" i="12" s="1"/>
  <c r="K34" i="17"/>
  <c r="K71" i="17" s="1"/>
  <c r="I36" i="12"/>
  <c r="I82" i="12" s="1"/>
  <c r="I36" i="17"/>
  <c r="I89" i="17" s="1"/>
  <c r="G37" i="12"/>
  <c r="G92" i="12" s="1"/>
  <c r="G37" i="17"/>
  <c r="G98" i="17" s="1"/>
  <c r="K37" i="12"/>
  <c r="K92" i="12" s="1"/>
  <c r="K37" i="17"/>
  <c r="K98" i="17" s="1"/>
  <c r="I46" i="12"/>
  <c r="I133" i="12" s="1"/>
  <c r="I46" i="17"/>
  <c r="G47" i="12"/>
  <c r="G141" i="12" s="1"/>
  <c r="G47" i="17"/>
  <c r="K47" i="12"/>
  <c r="K141" i="12" s="1"/>
  <c r="K47" i="17"/>
  <c r="F41" i="12"/>
  <c r="F80" i="12" s="1"/>
  <c r="F41" i="17"/>
  <c r="H41" i="12"/>
  <c r="H80" i="12" s="1"/>
  <c r="H41" i="17"/>
  <c r="G42" i="12"/>
  <c r="G90" i="12" s="1"/>
  <c r="G42" i="17"/>
  <c r="K42" i="12"/>
  <c r="K90" i="12" s="1"/>
  <c r="K42" i="17"/>
  <c r="I39" i="12"/>
  <c r="I60" i="12" s="1"/>
  <c r="I39" i="17"/>
  <c r="G44" i="12"/>
  <c r="G117" i="12" s="1"/>
  <c r="G44" i="17"/>
  <c r="K44" i="12"/>
  <c r="K117" i="12" s="1"/>
  <c r="K44" i="17"/>
  <c r="F49" i="12"/>
  <c r="F118" i="12" s="1"/>
  <c r="J49" i="12"/>
  <c r="J118" i="12" s="1"/>
  <c r="F51" i="12"/>
  <c r="F134" i="12" s="1"/>
  <c r="H52" i="12"/>
  <c r="H142" i="12" s="1"/>
  <c r="P17" i="16"/>
  <c r="P40" i="16" s="1"/>
  <c r="K33" i="18" s="1"/>
  <c r="E20" i="14"/>
  <c r="E19" i="14"/>
  <c r="E7" i="16" s="1"/>
  <c r="E5" i="16"/>
  <c r="K15" i="15"/>
  <c r="J15" i="15"/>
  <c r="I15" i="15"/>
  <c r="H15" i="15"/>
  <c r="G15" i="15"/>
  <c r="G56" i="12"/>
  <c r="H56" i="12" s="1"/>
  <c r="I56" i="12" s="1"/>
  <c r="J56" i="12" s="1"/>
  <c r="K56" i="12" s="1"/>
  <c r="E16" i="14"/>
  <c r="E15" i="14"/>
  <c r="K8" i="15"/>
  <c r="K64" i="15" s="1"/>
  <c r="J8" i="15"/>
  <c r="J64" i="15" s="1"/>
  <c r="I8" i="15"/>
  <c r="I64" i="15" s="1"/>
  <c r="H8" i="15"/>
  <c r="H64" i="15" s="1"/>
  <c r="G31" i="15"/>
  <c r="G44" i="18" s="1"/>
  <c r="K14" i="15"/>
  <c r="K53" i="15" s="1"/>
  <c r="J14" i="15"/>
  <c r="J53" i="15" s="1"/>
  <c r="I14" i="15"/>
  <c r="I53" i="15" s="1"/>
  <c r="H14" i="15"/>
  <c r="H53" i="15" s="1"/>
  <c r="K13" i="15"/>
  <c r="J13" i="15"/>
  <c r="I13" i="15"/>
  <c r="H13" i="15"/>
  <c r="K12" i="15"/>
  <c r="K52" i="15" s="1"/>
  <c r="J12" i="15"/>
  <c r="J52" i="15" s="1"/>
  <c r="I12" i="15"/>
  <c r="I52" i="15" s="1"/>
  <c r="H12" i="15"/>
  <c r="H52" i="15" s="1"/>
  <c r="K11" i="15"/>
  <c r="J11" i="15"/>
  <c r="I11" i="15"/>
  <c r="H11" i="15"/>
  <c r="G14" i="15"/>
  <c r="G53" i="15" s="1"/>
  <c r="G13" i="15"/>
  <c r="G12" i="15"/>
  <c r="G52" i="15" s="1"/>
  <c r="G11" i="15"/>
  <c r="K7" i="15"/>
  <c r="J7" i="15"/>
  <c r="I7" i="15"/>
  <c r="H7" i="15"/>
  <c r="G7" i="15"/>
  <c r="E17" i="14"/>
  <c r="C9" i="19" s="1"/>
  <c r="J140" i="12"/>
  <c r="H140" i="12"/>
  <c r="G140" i="12"/>
  <c r="J116" i="12"/>
  <c r="E30" i="14"/>
  <c r="E29" i="14"/>
  <c r="E28" i="14"/>
  <c r="E27" i="14"/>
  <c r="E21" i="14"/>
  <c r="I90" i="12"/>
  <c r="H90" i="12"/>
  <c r="H88" i="12"/>
  <c r="G88" i="12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F52" i="14"/>
  <c r="F51" i="14"/>
  <c r="F50" i="14"/>
  <c r="F49" i="14"/>
  <c r="J58" i="12"/>
  <c r="G4" i="12"/>
  <c r="H4" i="12" s="1"/>
  <c r="I4" i="12" s="1"/>
  <c r="J4" i="12" s="1"/>
  <c r="K4" i="12" s="1"/>
  <c r="C17" i="15"/>
  <c r="G3" i="15"/>
  <c r="H3" i="15" s="1"/>
  <c r="I3" i="15" s="1"/>
  <c r="J3" i="15" s="1"/>
  <c r="K3" i="15" s="1"/>
  <c r="C7" i="15"/>
  <c r="C6" i="15"/>
  <c r="C5" i="15"/>
  <c r="E24" i="14"/>
  <c r="E26" i="14"/>
  <c r="E25" i="14"/>
  <c r="E23" i="14"/>
  <c r="K65" i="14"/>
  <c r="J65" i="14"/>
  <c r="I65" i="14"/>
  <c r="H65" i="14"/>
  <c r="G65" i="14"/>
  <c r="F65" i="14"/>
  <c r="K40" i="12"/>
  <c r="K70" i="12" s="1"/>
  <c r="J40" i="12"/>
  <c r="J70" i="12" s="1"/>
  <c r="I40" i="12"/>
  <c r="I70" i="12" s="1"/>
  <c r="H40" i="12"/>
  <c r="H70" i="12" s="1"/>
  <c r="G40" i="12"/>
  <c r="G70" i="12" s="1"/>
  <c r="F40" i="12"/>
  <c r="F70" i="12" s="1"/>
  <c r="K55" i="14"/>
  <c r="J55" i="14"/>
  <c r="I55" i="14"/>
  <c r="H55" i="14"/>
  <c r="G55" i="14"/>
  <c r="F55" i="14"/>
  <c r="K45" i="14"/>
  <c r="J45" i="14"/>
  <c r="I45" i="14"/>
  <c r="H45" i="14"/>
  <c r="G45" i="14"/>
  <c r="F45" i="14"/>
  <c r="F40" i="14"/>
  <c r="K40" i="14"/>
  <c r="J40" i="14"/>
  <c r="I40" i="14"/>
  <c r="H40" i="14"/>
  <c r="G40" i="14"/>
  <c r="K35" i="14"/>
  <c r="J35" i="14"/>
  <c r="I35" i="14"/>
  <c r="H35" i="14"/>
  <c r="G35" i="14"/>
  <c r="K34" i="14"/>
  <c r="J34" i="14"/>
  <c r="I34" i="14"/>
  <c r="H34" i="14"/>
  <c r="G34" i="14"/>
  <c r="G32" i="14"/>
  <c r="H32" i="14" s="1"/>
  <c r="I32" i="14" s="1"/>
  <c r="J32" i="14" s="1"/>
  <c r="K32" i="14" s="1"/>
  <c r="E18" i="14"/>
  <c r="E14" i="14"/>
  <c r="E13" i="14"/>
  <c r="C7" i="19" s="1"/>
  <c r="C15" i="19" s="1"/>
  <c r="C19" i="19" s="1"/>
  <c r="E27" i="18" s="1"/>
  <c r="E12" i="14"/>
  <c r="C8" i="19" s="1"/>
  <c r="E10" i="14"/>
  <c r="C5" i="19" s="1"/>
  <c r="C12" i="19" s="1"/>
  <c r="C14" i="19" s="1"/>
  <c r="E9" i="14"/>
  <c r="K80" i="2"/>
  <c r="J80" i="2"/>
  <c r="I80" i="2"/>
  <c r="H80" i="2"/>
  <c r="G80" i="2"/>
  <c r="F80" i="2"/>
  <c r="G75" i="2"/>
  <c r="H75" i="2" s="1"/>
  <c r="I75" i="2" s="1"/>
  <c r="J75" i="2" s="1"/>
  <c r="K75" i="2" s="1"/>
  <c r="K73" i="2"/>
  <c r="J73" i="2"/>
  <c r="I73" i="2"/>
  <c r="H73" i="2"/>
  <c r="G73" i="2"/>
  <c r="F73" i="2"/>
  <c r="G68" i="2"/>
  <c r="H68" i="2" s="1"/>
  <c r="I68" i="2" s="1"/>
  <c r="J68" i="2" s="1"/>
  <c r="K68" i="2" s="1"/>
  <c r="K66" i="2"/>
  <c r="J66" i="2"/>
  <c r="I66" i="2"/>
  <c r="H66" i="2"/>
  <c r="G66" i="2"/>
  <c r="F66" i="2"/>
  <c r="G61" i="2"/>
  <c r="H61" i="2" s="1"/>
  <c r="I61" i="2" s="1"/>
  <c r="J61" i="2" s="1"/>
  <c r="K61" i="2" s="1"/>
  <c r="K53" i="2"/>
  <c r="J53" i="2"/>
  <c r="I53" i="2"/>
  <c r="H53" i="2"/>
  <c r="G53" i="2"/>
  <c r="F53" i="2"/>
  <c r="G48" i="2"/>
  <c r="H48" i="2" s="1"/>
  <c r="I48" i="2" s="1"/>
  <c r="J48" i="2" s="1"/>
  <c r="K48" i="2" s="1"/>
  <c r="K46" i="2"/>
  <c r="J46" i="2"/>
  <c r="I46" i="2"/>
  <c r="H46" i="2"/>
  <c r="G46" i="2"/>
  <c r="F46" i="2"/>
  <c r="G41" i="2"/>
  <c r="H41" i="2" s="1"/>
  <c r="I41" i="2" s="1"/>
  <c r="J41" i="2" s="1"/>
  <c r="K41" i="2" s="1"/>
  <c r="G38" i="2"/>
  <c r="H38" i="2" s="1"/>
  <c r="I38" i="2" s="1"/>
  <c r="J38" i="2" s="1"/>
  <c r="K38" i="2" s="1"/>
  <c r="G31" i="2"/>
  <c r="H31" i="2" s="1"/>
  <c r="I31" i="2" s="1"/>
  <c r="J31" i="2" s="1"/>
  <c r="K31" i="2" s="1"/>
  <c r="F100" i="12" l="1"/>
  <c r="H58" i="12"/>
  <c r="H100" i="12"/>
  <c r="G100" i="12"/>
  <c r="J100" i="12"/>
  <c r="K100" i="12"/>
  <c r="I100" i="12"/>
  <c r="F116" i="12"/>
  <c r="E6" i="17"/>
  <c r="E72" i="17" s="1"/>
  <c r="F66" i="17" s="1"/>
  <c r="E6" i="12"/>
  <c r="E63" i="12" s="1"/>
  <c r="F57" i="12" s="1"/>
  <c r="F64" i="12" s="1"/>
  <c r="F155" i="12" s="1"/>
  <c r="F54" i="17" s="1"/>
  <c r="E13" i="17"/>
  <c r="E145" i="17" s="1"/>
  <c r="F141" i="17" s="1"/>
  <c r="E13" i="12"/>
  <c r="E143" i="12" s="1"/>
  <c r="F139" i="12" s="1"/>
  <c r="F144" i="12" s="1"/>
  <c r="F162" i="12" s="1"/>
  <c r="F62" i="17" s="1"/>
  <c r="E8" i="17"/>
  <c r="E90" i="17" s="1"/>
  <c r="F84" i="17" s="1"/>
  <c r="E8" i="12"/>
  <c r="E83" i="12" s="1"/>
  <c r="F77" i="12" s="1"/>
  <c r="F84" i="12" s="1"/>
  <c r="F157" i="12" s="1"/>
  <c r="F56" i="17" s="1"/>
  <c r="E10" i="17"/>
  <c r="E124" i="17" s="1"/>
  <c r="F120" i="17" s="1"/>
  <c r="E10" i="12"/>
  <c r="E119" i="12" s="1"/>
  <c r="F115" i="12" s="1"/>
  <c r="F120" i="12" s="1"/>
  <c r="F159" i="12" s="1"/>
  <c r="F59" i="17" s="1"/>
  <c r="E9" i="17"/>
  <c r="E99" i="17" s="1"/>
  <c r="F93" i="17" s="1"/>
  <c r="E9" i="12"/>
  <c r="E93" i="12" s="1"/>
  <c r="F87" i="12" s="1"/>
  <c r="F94" i="12" s="1"/>
  <c r="F158" i="12" s="1"/>
  <c r="F57" i="17" s="1"/>
  <c r="E11" i="17"/>
  <c r="E131" i="17" s="1"/>
  <c r="F127" i="17" s="1"/>
  <c r="E11" i="12"/>
  <c r="E127" i="12" s="1"/>
  <c r="F123" i="12" s="1"/>
  <c r="E7" i="17"/>
  <c r="E81" i="17" s="1"/>
  <c r="F75" i="17" s="1"/>
  <c r="E7" i="12"/>
  <c r="E73" i="12" s="1"/>
  <c r="F67" i="12" s="1"/>
  <c r="F74" i="12" s="1"/>
  <c r="F156" i="12" s="1"/>
  <c r="F55" i="17" s="1"/>
  <c r="E12" i="17"/>
  <c r="E138" i="17" s="1"/>
  <c r="F134" i="17" s="1"/>
  <c r="E12" i="12"/>
  <c r="E135" i="12" s="1"/>
  <c r="F131" i="12" s="1"/>
  <c r="F135" i="12" s="1"/>
  <c r="G131" i="12" s="1"/>
  <c r="G136" i="12" s="1"/>
  <c r="G161" i="12" s="1"/>
  <c r="G61" i="17" s="1"/>
  <c r="J42" i="18"/>
  <c r="J102" i="18" s="1"/>
  <c r="L34" i="16" s="1"/>
  <c r="H42" i="18"/>
  <c r="H102" i="18" s="1"/>
  <c r="H34" i="16" s="1"/>
  <c r="K42" i="18"/>
  <c r="K102" i="18" s="1"/>
  <c r="N34" i="16" s="1"/>
  <c r="G42" i="18"/>
  <c r="G102" i="18" s="1"/>
  <c r="F34" i="16" s="1"/>
  <c r="I42" i="18"/>
  <c r="I102" i="18" s="1"/>
  <c r="J34" i="16" s="1"/>
  <c r="F88" i="12"/>
  <c r="K78" i="12"/>
  <c r="G58" i="12"/>
  <c r="F78" i="12"/>
  <c r="K58" i="12"/>
  <c r="J78" i="12"/>
  <c r="I58" i="12"/>
  <c r="K88" i="12"/>
  <c r="I78" i="12"/>
  <c r="I140" i="12"/>
  <c r="E30" i="16"/>
  <c r="G33" i="18"/>
  <c r="H33" i="18" s="1"/>
  <c r="E17" i="15"/>
  <c r="E17" i="18"/>
  <c r="G6" i="15"/>
  <c r="G6" i="18"/>
  <c r="K6" i="15"/>
  <c r="K6" i="18"/>
  <c r="E18" i="15"/>
  <c r="E18" i="18"/>
  <c r="I5" i="15"/>
  <c r="I5" i="18"/>
  <c r="H6" i="15"/>
  <c r="H6" i="18"/>
  <c r="C13" i="19"/>
  <c r="C16" i="19"/>
  <c r="C20" i="19" s="1"/>
  <c r="E28" i="18" s="1"/>
  <c r="G61" i="18" s="1"/>
  <c r="J5" i="15"/>
  <c r="J5" i="18"/>
  <c r="I6" i="15"/>
  <c r="I6" i="18"/>
  <c r="G78" i="12"/>
  <c r="H5" i="15"/>
  <c r="H5" i="18"/>
  <c r="G5" i="15"/>
  <c r="G5" i="18"/>
  <c r="K5" i="15"/>
  <c r="K5" i="18"/>
  <c r="J6" i="15"/>
  <c r="J6" i="18"/>
  <c r="H78" i="12"/>
  <c r="P5" i="16"/>
  <c r="P28" i="16" s="1"/>
  <c r="P49" i="16" s="1"/>
  <c r="P61" i="16" s="1"/>
  <c r="E28" i="16"/>
  <c r="E49" i="16" s="1"/>
  <c r="G20" i="12"/>
  <c r="G68" i="12" s="1"/>
  <c r="K20" i="12"/>
  <c r="K68" i="12" s="1"/>
  <c r="H25" i="12"/>
  <c r="H71" i="12" s="1"/>
  <c r="H101" i="12" s="1"/>
  <c r="H25" i="17"/>
  <c r="H79" i="17" s="1"/>
  <c r="H106" i="17" s="1"/>
  <c r="H167" i="17" s="1"/>
  <c r="H26" i="15" s="1"/>
  <c r="H63" i="15" s="1"/>
  <c r="H65" i="15" s="1"/>
  <c r="H68" i="15" s="1"/>
  <c r="F35" i="12"/>
  <c r="F72" i="12" s="1"/>
  <c r="F102" i="12" s="1"/>
  <c r="F35" i="17"/>
  <c r="F80" i="17" s="1"/>
  <c r="F107" i="17" s="1"/>
  <c r="J35" i="12"/>
  <c r="J72" i="12" s="1"/>
  <c r="J102" i="12" s="1"/>
  <c r="J35" i="17"/>
  <c r="J80" i="17" s="1"/>
  <c r="J107" i="17" s="1"/>
  <c r="F45" i="12"/>
  <c r="F125" i="12" s="1"/>
  <c r="F45" i="17"/>
  <c r="H20" i="12"/>
  <c r="H68" i="12" s="1"/>
  <c r="F20" i="12"/>
  <c r="F68" i="12" s="1"/>
  <c r="I25" i="12"/>
  <c r="I71" i="12" s="1"/>
  <c r="I101" i="12" s="1"/>
  <c r="I25" i="17"/>
  <c r="I79" i="17" s="1"/>
  <c r="I106" i="17" s="1"/>
  <c r="I167" i="17" s="1"/>
  <c r="I26" i="15" s="1"/>
  <c r="I63" i="15" s="1"/>
  <c r="I65" i="15" s="1"/>
  <c r="I68" i="15" s="1"/>
  <c r="G35" i="12"/>
  <c r="G72" i="12" s="1"/>
  <c r="G102" i="12" s="1"/>
  <c r="G35" i="17"/>
  <c r="G80" i="17" s="1"/>
  <c r="G107" i="17" s="1"/>
  <c r="K35" i="12"/>
  <c r="K72" i="12" s="1"/>
  <c r="K102" i="12" s="1"/>
  <c r="K35" i="17"/>
  <c r="K80" i="17" s="1"/>
  <c r="K107" i="17" s="1"/>
  <c r="G45" i="12"/>
  <c r="G125" i="12" s="1"/>
  <c r="G149" i="12" s="1"/>
  <c r="G45" i="17"/>
  <c r="K45" i="12"/>
  <c r="K125" i="12" s="1"/>
  <c r="K45" i="17"/>
  <c r="F31" i="12"/>
  <c r="F79" i="12" s="1"/>
  <c r="F31" i="17"/>
  <c r="F86" i="17" s="1"/>
  <c r="I29" i="12"/>
  <c r="I59" i="12" s="1"/>
  <c r="I29" i="17"/>
  <c r="I68" i="17" s="1"/>
  <c r="H30" i="12"/>
  <c r="H69" i="12" s="1"/>
  <c r="H30" i="17"/>
  <c r="H77" i="17" s="1"/>
  <c r="G31" i="12"/>
  <c r="G79" i="12" s="1"/>
  <c r="G31" i="17"/>
  <c r="G86" i="17" s="1"/>
  <c r="K31" i="12"/>
  <c r="K79" i="12" s="1"/>
  <c r="K31" i="17"/>
  <c r="K86" i="17" s="1"/>
  <c r="J32" i="12"/>
  <c r="J89" i="12" s="1"/>
  <c r="J32" i="17"/>
  <c r="J95" i="17" s="1"/>
  <c r="E15" i="12"/>
  <c r="E15" i="17"/>
  <c r="J121" i="17"/>
  <c r="J67" i="17"/>
  <c r="H94" i="17"/>
  <c r="H142" i="17"/>
  <c r="F135" i="17"/>
  <c r="F85" i="17"/>
  <c r="G94" i="17"/>
  <c r="G142" i="17"/>
  <c r="F94" i="17"/>
  <c r="F142" i="17"/>
  <c r="I20" i="12"/>
  <c r="I68" i="12" s="1"/>
  <c r="F25" i="12"/>
  <c r="F71" i="12" s="1"/>
  <c r="F101" i="12" s="1"/>
  <c r="F25" i="17"/>
  <c r="F79" i="17" s="1"/>
  <c r="F106" i="17" s="1"/>
  <c r="J25" i="12"/>
  <c r="J71" i="12" s="1"/>
  <c r="J101" i="12" s="1"/>
  <c r="J25" i="17"/>
  <c r="J79" i="17" s="1"/>
  <c r="J106" i="17" s="1"/>
  <c r="J167" i="17" s="1"/>
  <c r="J26" i="15" s="1"/>
  <c r="J63" i="15" s="1"/>
  <c r="J65" i="15" s="1"/>
  <c r="J68" i="15" s="1"/>
  <c r="H35" i="12"/>
  <c r="H72" i="12" s="1"/>
  <c r="H102" i="12" s="1"/>
  <c r="H35" i="17"/>
  <c r="H80" i="17" s="1"/>
  <c r="H107" i="17" s="1"/>
  <c r="H45" i="12"/>
  <c r="H125" i="12" s="1"/>
  <c r="H45" i="17"/>
  <c r="F32" i="12"/>
  <c r="F89" i="12" s="1"/>
  <c r="F32" i="17"/>
  <c r="F95" i="17" s="1"/>
  <c r="J29" i="12"/>
  <c r="J59" i="12" s="1"/>
  <c r="J29" i="17"/>
  <c r="J68" i="17" s="1"/>
  <c r="I30" i="12"/>
  <c r="I69" i="12" s="1"/>
  <c r="I30" i="17"/>
  <c r="I77" i="17" s="1"/>
  <c r="H31" i="12"/>
  <c r="H79" i="12" s="1"/>
  <c r="H31" i="17"/>
  <c r="H86" i="17" s="1"/>
  <c r="G32" i="12"/>
  <c r="G89" i="12" s="1"/>
  <c r="G32" i="17"/>
  <c r="G95" i="17" s="1"/>
  <c r="K32" i="12"/>
  <c r="K89" i="12" s="1"/>
  <c r="K32" i="17"/>
  <c r="K95" i="17" s="1"/>
  <c r="E16" i="12"/>
  <c r="E16" i="17"/>
  <c r="K94" i="17"/>
  <c r="K142" i="17"/>
  <c r="I94" i="17"/>
  <c r="I142" i="17"/>
  <c r="G135" i="17"/>
  <c r="G85" i="17"/>
  <c r="I135" i="17"/>
  <c r="I85" i="17"/>
  <c r="H135" i="17"/>
  <c r="H85" i="17"/>
  <c r="J20" i="12"/>
  <c r="J68" i="12" s="1"/>
  <c r="G25" i="12"/>
  <c r="G71" i="12" s="1"/>
  <c r="G101" i="12" s="1"/>
  <c r="G25" i="17"/>
  <c r="G79" i="17" s="1"/>
  <c r="G106" i="17" s="1"/>
  <c r="G167" i="17" s="1"/>
  <c r="G26" i="15" s="1"/>
  <c r="G63" i="15" s="1"/>
  <c r="G65" i="15" s="1"/>
  <c r="K25" i="12"/>
  <c r="K71" i="12" s="1"/>
  <c r="K101" i="12" s="1"/>
  <c r="K25" i="17"/>
  <c r="K79" i="17" s="1"/>
  <c r="K106" i="17" s="1"/>
  <c r="K167" i="17" s="1"/>
  <c r="K26" i="15" s="1"/>
  <c r="K63" i="15" s="1"/>
  <c r="K65" i="15" s="1"/>
  <c r="K68" i="15" s="1"/>
  <c r="I35" i="12"/>
  <c r="I72" i="12" s="1"/>
  <c r="I102" i="12" s="1"/>
  <c r="I35" i="17"/>
  <c r="I80" i="17" s="1"/>
  <c r="I107" i="17" s="1"/>
  <c r="I45" i="12"/>
  <c r="I125" i="12" s="1"/>
  <c r="I45" i="17"/>
  <c r="F29" i="12"/>
  <c r="F59" i="12" s="1"/>
  <c r="F29" i="17"/>
  <c r="F68" i="17" s="1"/>
  <c r="G29" i="12"/>
  <c r="G59" i="12" s="1"/>
  <c r="G29" i="17"/>
  <c r="G68" i="17" s="1"/>
  <c r="K29" i="12"/>
  <c r="K59" i="12" s="1"/>
  <c r="K29" i="17"/>
  <c r="K68" i="17" s="1"/>
  <c r="J30" i="12"/>
  <c r="J69" i="12" s="1"/>
  <c r="J30" i="17"/>
  <c r="J77" i="17" s="1"/>
  <c r="I31" i="12"/>
  <c r="I79" i="12" s="1"/>
  <c r="I31" i="17"/>
  <c r="I86" i="17" s="1"/>
  <c r="H32" i="12"/>
  <c r="H89" i="12" s="1"/>
  <c r="H32" i="17"/>
  <c r="H95" i="17" s="1"/>
  <c r="E17" i="12"/>
  <c r="H110" i="12" s="1"/>
  <c r="E17" i="17"/>
  <c r="J135" i="17"/>
  <c r="J85" i="17"/>
  <c r="H121" i="17"/>
  <c r="H67" i="17"/>
  <c r="K121" i="17"/>
  <c r="K67" i="17"/>
  <c r="F121" i="17"/>
  <c r="F67" i="17"/>
  <c r="J45" i="12"/>
  <c r="J125" i="12" s="1"/>
  <c r="J45" i="17"/>
  <c r="F30" i="12"/>
  <c r="F69" i="12" s="1"/>
  <c r="F30" i="17"/>
  <c r="F77" i="17" s="1"/>
  <c r="H29" i="12"/>
  <c r="H59" i="12" s="1"/>
  <c r="H29" i="17"/>
  <c r="H68" i="17" s="1"/>
  <c r="G30" i="12"/>
  <c r="G69" i="12" s="1"/>
  <c r="G30" i="17"/>
  <c r="G77" i="17" s="1"/>
  <c r="K30" i="12"/>
  <c r="K69" i="12" s="1"/>
  <c r="K30" i="17"/>
  <c r="K77" i="17" s="1"/>
  <c r="J31" i="12"/>
  <c r="J79" i="12" s="1"/>
  <c r="J31" i="17"/>
  <c r="J86" i="17" s="1"/>
  <c r="I32" i="12"/>
  <c r="I89" i="12" s="1"/>
  <c r="I32" i="17"/>
  <c r="I95" i="17" s="1"/>
  <c r="J142" i="17"/>
  <c r="J94" i="17"/>
  <c r="K135" i="17"/>
  <c r="K85" i="17"/>
  <c r="I121" i="17"/>
  <c r="I67" i="17"/>
  <c r="G121" i="17"/>
  <c r="G67" i="17"/>
  <c r="H45" i="15"/>
  <c r="H46" i="15"/>
  <c r="K31" i="15"/>
  <c r="K44" i="18" s="1"/>
  <c r="K47" i="15"/>
  <c r="I45" i="15"/>
  <c r="I46" i="15"/>
  <c r="H31" i="15"/>
  <c r="H44" i="18" s="1"/>
  <c r="H47" i="15"/>
  <c r="J45" i="15"/>
  <c r="J46" i="15"/>
  <c r="I31" i="15"/>
  <c r="I44" i="18" s="1"/>
  <c r="I47" i="15"/>
  <c r="K45" i="15"/>
  <c r="K46" i="15"/>
  <c r="J31" i="15"/>
  <c r="J44" i="18" s="1"/>
  <c r="J47" i="15"/>
  <c r="L5" i="16"/>
  <c r="L28" i="16" s="1"/>
  <c r="L49" i="16" s="1"/>
  <c r="L61" i="16" s="1"/>
  <c r="G46" i="15"/>
  <c r="G45" i="15"/>
  <c r="I5" i="16"/>
  <c r="I28" i="16" s="1"/>
  <c r="I49" i="16" s="1"/>
  <c r="I61" i="16" s="1"/>
  <c r="M5" i="16"/>
  <c r="M28" i="16" s="1"/>
  <c r="M49" i="16" s="1"/>
  <c r="M61" i="16" s="1"/>
  <c r="F5" i="16"/>
  <c r="F28" i="16" s="1"/>
  <c r="F49" i="16" s="1"/>
  <c r="F61" i="16" s="1"/>
  <c r="J5" i="16"/>
  <c r="J28" i="16" s="1"/>
  <c r="J49" i="16" s="1"/>
  <c r="J61" i="16" s="1"/>
  <c r="N5" i="16"/>
  <c r="N28" i="16" s="1"/>
  <c r="N49" i="16" s="1"/>
  <c r="N61" i="16" s="1"/>
  <c r="G5" i="16"/>
  <c r="G28" i="16" s="1"/>
  <c r="G49" i="16" s="1"/>
  <c r="G61" i="16" s="1"/>
  <c r="K5" i="16"/>
  <c r="K28" i="16" s="1"/>
  <c r="K49" i="16" s="1"/>
  <c r="K61" i="16" s="1"/>
  <c r="O5" i="16"/>
  <c r="O28" i="16" s="1"/>
  <c r="O49" i="16" s="1"/>
  <c r="O61" i="16" s="1"/>
  <c r="H5" i="16"/>
  <c r="H28" i="16" s="1"/>
  <c r="H49" i="16" s="1"/>
  <c r="H61" i="16" s="1"/>
  <c r="I30" i="15"/>
  <c r="G30" i="15"/>
  <c r="J30" i="15"/>
  <c r="K30" i="15"/>
  <c r="H30" i="15"/>
  <c r="J150" i="12"/>
  <c r="G150" i="12"/>
  <c r="K150" i="12"/>
  <c r="H150" i="12"/>
  <c r="F150" i="12"/>
  <c r="I150" i="12"/>
  <c r="K124" i="12"/>
  <c r="K148" i="12" s="1"/>
  <c r="F136" i="12" l="1"/>
  <c r="F161" i="12" s="1"/>
  <c r="F61" i="17" s="1"/>
  <c r="F136" i="17" s="1"/>
  <c r="F138" i="17" s="1"/>
  <c r="G134" i="17" s="1"/>
  <c r="G136" i="17" s="1"/>
  <c r="G138" i="17" s="1"/>
  <c r="H134" i="17" s="1"/>
  <c r="F69" i="17"/>
  <c r="F119" i="12"/>
  <c r="F147" i="12"/>
  <c r="F143" i="12"/>
  <c r="G139" i="12" s="1"/>
  <c r="G144" i="12" s="1"/>
  <c r="G162" i="12" s="1"/>
  <c r="G62" i="17" s="1"/>
  <c r="F96" i="17"/>
  <c r="F99" i="17" s="1"/>
  <c r="G93" i="17" s="1"/>
  <c r="F97" i="12"/>
  <c r="K98" i="12"/>
  <c r="L36" i="16"/>
  <c r="L13" i="16"/>
  <c r="N36" i="16"/>
  <c r="N13" i="16"/>
  <c r="J13" i="16"/>
  <c r="J36" i="16"/>
  <c r="H36" i="16"/>
  <c r="H13" i="16"/>
  <c r="G68" i="15"/>
  <c r="F143" i="17"/>
  <c r="F145" i="17" s="1"/>
  <c r="G141" i="17" s="1"/>
  <c r="J98" i="12"/>
  <c r="G107" i="12"/>
  <c r="G98" i="12"/>
  <c r="F122" i="17"/>
  <c r="F124" i="17" s="1"/>
  <c r="G120" i="17" s="1"/>
  <c r="F87" i="17"/>
  <c r="F90" i="17" s="1"/>
  <c r="G84" i="17" s="1"/>
  <c r="F78" i="17"/>
  <c r="F149" i="17"/>
  <c r="F102" i="17"/>
  <c r="I29" i="15"/>
  <c r="K10" i="16" s="1"/>
  <c r="K19" i="16" s="1"/>
  <c r="K29" i="15"/>
  <c r="O10" i="16" s="1"/>
  <c r="H29" i="15"/>
  <c r="F98" i="12"/>
  <c r="I109" i="12"/>
  <c r="J124" i="12"/>
  <c r="J148" i="12" s="1"/>
  <c r="F128" i="12"/>
  <c r="F160" i="12" s="1"/>
  <c r="F60" i="17" s="1"/>
  <c r="F129" i="17" s="1"/>
  <c r="H98" i="12"/>
  <c r="J109" i="12"/>
  <c r="F149" i="12"/>
  <c r="G109" i="12"/>
  <c r="J110" i="12"/>
  <c r="I107" i="12"/>
  <c r="J107" i="12"/>
  <c r="G110" i="12"/>
  <c r="F124" i="12"/>
  <c r="F148" i="12" s="1"/>
  <c r="I98" i="12"/>
  <c r="H108" i="12"/>
  <c r="G29" i="15"/>
  <c r="K149" i="12"/>
  <c r="G108" i="12"/>
  <c r="G124" i="12"/>
  <c r="G148" i="12" s="1"/>
  <c r="H124" i="12"/>
  <c r="H148" i="12" s="1"/>
  <c r="E61" i="16"/>
  <c r="K64" i="18"/>
  <c r="I64" i="18"/>
  <c r="J64" i="18"/>
  <c r="G64" i="18"/>
  <c r="H64" i="18"/>
  <c r="J61" i="18"/>
  <c r="I61" i="18"/>
  <c r="H61" i="18"/>
  <c r="K61" i="18"/>
  <c r="J29" i="15"/>
  <c r="M10" i="16" s="1"/>
  <c r="H22" i="18"/>
  <c r="J35" i="18"/>
  <c r="K35" i="18"/>
  <c r="H35" i="18"/>
  <c r="G35" i="18"/>
  <c r="I35" i="18"/>
  <c r="K107" i="12"/>
  <c r="J108" i="12"/>
  <c r="K109" i="12"/>
  <c r="K110" i="12"/>
  <c r="I110" i="12"/>
  <c r="I124" i="12"/>
  <c r="I148" i="12" s="1"/>
  <c r="H107" i="12"/>
  <c r="K108" i="12"/>
  <c r="I108" i="12"/>
  <c r="H109" i="12"/>
  <c r="J22" i="18"/>
  <c r="I22" i="18"/>
  <c r="K22" i="18"/>
  <c r="H149" i="12"/>
  <c r="J115" i="17"/>
  <c r="H104" i="17"/>
  <c r="H163" i="17" s="1"/>
  <c r="J114" i="17"/>
  <c r="K114" i="17"/>
  <c r="J149" i="12"/>
  <c r="I149" i="12"/>
  <c r="I114" i="17"/>
  <c r="H157" i="17"/>
  <c r="K157" i="17"/>
  <c r="G157" i="17"/>
  <c r="I157" i="17"/>
  <c r="J157" i="17"/>
  <c r="I104" i="17"/>
  <c r="I163" i="17" s="1"/>
  <c r="H128" i="17"/>
  <c r="H150" i="17" s="1"/>
  <c r="H12" i="16" s="1"/>
  <c r="H35" i="16" s="1"/>
  <c r="H76" i="17"/>
  <c r="H113" i="17" s="1"/>
  <c r="G128" i="17"/>
  <c r="G150" i="17" s="1"/>
  <c r="F12" i="16" s="1"/>
  <c r="F35" i="16" s="1"/>
  <c r="G76" i="17"/>
  <c r="G113" i="17" s="1"/>
  <c r="F72" i="17"/>
  <c r="H112" i="17"/>
  <c r="K104" i="17"/>
  <c r="K163" i="17" s="1"/>
  <c r="F104" i="17"/>
  <c r="I115" i="17"/>
  <c r="J104" i="17"/>
  <c r="J163" i="17" s="1"/>
  <c r="I128" i="17"/>
  <c r="I150" i="17" s="1"/>
  <c r="J12" i="16" s="1"/>
  <c r="J35" i="16" s="1"/>
  <c r="I76" i="17"/>
  <c r="I113" i="17" s="1"/>
  <c r="I112" i="17"/>
  <c r="H114" i="17"/>
  <c r="G114" i="17"/>
  <c r="H158" i="17"/>
  <c r="I158" i="17"/>
  <c r="K158" i="17"/>
  <c r="G158" i="17"/>
  <c r="J158" i="17"/>
  <c r="G115" i="17"/>
  <c r="F128" i="17"/>
  <c r="F76" i="17"/>
  <c r="K128" i="17"/>
  <c r="K150" i="17" s="1"/>
  <c r="N12" i="16" s="1"/>
  <c r="N35" i="16" s="1"/>
  <c r="K76" i="17"/>
  <c r="K113" i="17" s="1"/>
  <c r="G112" i="17"/>
  <c r="K112" i="17"/>
  <c r="G104" i="17"/>
  <c r="G163" i="17" s="1"/>
  <c r="G21" i="18" s="1"/>
  <c r="J128" i="17"/>
  <c r="J150" i="17" s="1"/>
  <c r="L12" i="16" s="1"/>
  <c r="L35" i="16" s="1"/>
  <c r="J76" i="17"/>
  <c r="J113" i="17" s="1"/>
  <c r="K115" i="17"/>
  <c r="H115" i="17"/>
  <c r="J112" i="17"/>
  <c r="J34" i="15"/>
  <c r="L11" i="16" s="1"/>
  <c r="I34" i="15"/>
  <c r="J11" i="16" s="1"/>
  <c r="G34" i="15"/>
  <c r="F11" i="16" s="1"/>
  <c r="F99" i="12"/>
  <c r="K34" i="15"/>
  <c r="H34" i="15"/>
  <c r="H11" i="16" s="1"/>
  <c r="G115" i="12"/>
  <c r="G143" i="12"/>
  <c r="H139" i="12" s="1"/>
  <c r="H144" i="12" s="1"/>
  <c r="H162" i="12" s="1"/>
  <c r="H62" i="17" s="1"/>
  <c r="G135" i="12"/>
  <c r="H131" i="12" s="1"/>
  <c r="H136" i="12" s="1"/>
  <c r="H161" i="12" s="1"/>
  <c r="H61" i="17" s="1"/>
  <c r="F93" i="12"/>
  <c r="G87" i="12" s="1"/>
  <c r="G94" i="12" s="1"/>
  <c r="G158" i="12" s="1"/>
  <c r="G57" i="17" s="1"/>
  <c r="F83" i="12"/>
  <c r="G77" i="12" s="1"/>
  <c r="G84" i="12" s="1"/>
  <c r="G157" i="12" s="1"/>
  <c r="G56" i="17" s="1"/>
  <c r="F63" i="12"/>
  <c r="F73" i="12"/>
  <c r="G85" i="18" l="1"/>
  <c r="G52" i="18" s="1"/>
  <c r="G54" i="15"/>
  <c r="I32" i="15"/>
  <c r="K21" i="15"/>
  <c r="K21" i="18"/>
  <c r="H21" i="15"/>
  <c r="H21" i="18"/>
  <c r="J21" i="15"/>
  <c r="J21" i="18"/>
  <c r="I21" i="15"/>
  <c r="I21" i="18"/>
  <c r="F13" i="16"/>
  <c r="F36" i="16"/>
  <c r="I10" i="16"/>
  <c r="I50" i="16" s="1"/>
  <c r="K50" i="16"/>
  <c r="G10" i="16"/>
  <c r="G50" i="16" s="1"/>
  <c r="F81" i="17"/>
  <c r="G75" i="17" s="1"/>
  <c r="F151" i="17"/>
  <c r="F105" i="17"/>
  <c r="G21" i="15"/>
  <c r="K62" i="16"/>
  <c r="M50" i="16"/>
  <c r="O50" i="16"/>
  <c r="K32" i="15"/>
  <c r="K35" i="15" s="1"/>
  <c r="H32" i="15"/>
  <c r="H35" i="15" s="1"/>
  <c r="F131" i="17"/>
  <c r="G127" i="17" s="1"/>
  <c r="G149" i="17" s="1"/>
  <c r="J32" i="15"/>
  <c r="J35" i="15" s="1"/>
  <c r="G32" i="15"/>
  <c r="G35" i="15" s="1"/>
  <c r="G119" i="12"/>
  <c r="H115" i="12" s="1"/>
  <c r="H120" i="12" s="1"/>
  <c r="H159" i="12" s="1"/>
  <c r="H59" i="17" s="1"/>
  <c r="G120" i="12"/>
  <c r="G159" i="12" s="1"/>
  <c r="G59" i="17" s="1"/>
  <c r="G122" i="17" s="1"/>
  <c r="G143" i="17"/>
  <c r="G145" i="17" s="1"/>
  <c r="H141" i="17" s="1"/>
  <c r="H136" i="17"/>
  <c r="H138" i="17" s="1"/>
  <c r="I134" i="17" s="1"/>
  <c r="G96" i="17"/>
  <c r="G99" i="17" s="1"/>
  <c r="H93" i="17" s="1"/>
  <c r="G87" i="17"/>
  <c r="G90" i="17" s="1"/>
  <c r="H84" i="17" s="1"/>
  <c r="F150" i="17"/>
  <c r="F127" i="12"/>
  <c r="G123" i="12" s="1"/>
  <c r="K103" i="17"/>
  <c r="H103" i="17"/>
  <c r="G103" i="17"/>
  <c r="K38" i="18"/>
  <c r="K67" i="18"/>
  <c r="K74" i="18"/>
  <c r="I103" i="17"/>
  <c r="I74" i="18"/>
  <c r="I38" i="18"/>
  <c r="I67" i="18"/>
  <c r="H74" i="18"/>
  <c r="H67" i="18"/>
  <c r="H38" i="18"/>
  <c r="J38" i="18"/>
  <c r="J74" i="18"/>
  <c r="J67" i="18"/>
  <c r="J103" i="17"/>
  <c r="F153" i="17"/>
  <c r="F103" i="17"/>
  <c r="G66" i="17"/>
  <c r="F108" i="17"/>
  <c r="F116" i="17" s="1"/>
  <c r="F103" i="12"/>
  <c r="F111" i="12" s="1"/>
  <c r="I35" i="15"/>
  <c r="N11" i="16"/>
  <c r="H135" i="12"/>
  <c r="H143" i="12"/>
  <c r="G57" i="12"/>
  <c r="G64" i="12" s="1"/>
  <c r="G155" i="12" s="1"/>
  <c r="G54" i="17" s="1"/>
  <c r="G67" i="12"/>
  <c r="G74" i="12" s="1"/>
  <c r="G156" i="12" s="1"/>
  <c r="G55" i="17" s="1"/>
  <c r="G93" i="12"/>
  <c r="H87" i="12" s="1"/>
  <c r="H94" i="12" s="1"/>
  <c r="H158" i="12" s="1"/>
  <c r="H57" i="17" s="1"/>
  <c r="G78" i="17" l="1"/>
  <c r="G81" i="17" s="1"/>
  <c r="H75" i="17" s="1"/>
  <c r="G19" i="16"/>
  <c r="G62" i="16" s="1"/>
  <c r="I19" i="16"/>
  <c r="I62" i="16" s="1"/>
  <c r="G111" i="17"/>
  <c r="G106" i="12"/>
  <c r="D54" i="16"/>
  <c r="C13" i="13" s="1"/>
  <c r="O19" i="16"/>
  <c r="M19" i="16"/>
  <c r="G124" i="17"/>
  <c r="H120" i="17" s="1"/>
  <c r="H122" i="17" s="1"/>
  <c r="G69" i="17"/>
  <c r="G72" i="17" s="1"/>
  <c r="G127" i="12"/>
  <c r="G151" i="12" s="1"/>
  <c r="G128" i="12"/>
  <c r="G160" i="12" s="1"/>
  <c r="G60" i="17" s="1"/>
  <c r="G129" i="17" s="1"/>
  <c r="G131" i="17" s="1"/>
  <c r="H127" i="17" s="1"/>
  <c r="H143" i="17"/>
  <c r="H145" i="17" s="1"/>
  <c r="I141" i="17" s="1"/>
  <c r="H96" i="17"/>
  <c r="H99" i="17" s="1"/>
  <c r="I93" i="17" s="1"/>
  <c r="F151" i="12"/>
  <c r="G147" i="12"/>
  <c r="G102" i="17"/>
  <c r="G97" i="12"/>
  <c r="E6" i="16"/>
  <c r="H119" i="12"/>
  <c r="I139" i="12"/>
  <c r="I144" i="12" s="1"/>
  <c r="I162" i="12" s="1"/>
  <c r="I62" i="17" s="1"/>
  <c r="I131" i="12"/>
  <c r="I136" i="12" s="1"/>
  <c r="I161" i="12" s="1"/>
  <c r="I61" i="17" s="1"/>
  <c r="I136" i="17" s="1"/>
  <c r="I138" i="17" s="1"/>
  <c r="J134" i="17" s="1"/>
  <c r="G99" i="12"/>
  <c r="H93" i="12"/>
  <c r="I87" i="12" s="1"/>
  <c r="I94" i="12" s="1"/>
  <c r="I158" i="12" s="1"/>
  <c r="I57" i="17" s="1"/>
  <c r="G83" i="12"/>
  <c r="H77" i="12" s="1"/>
  <c r="G73" i="12"/>
  <c r="O62" i="16" l="1"/>
  <c r="M62" i="16"/>
  <c r="G105" i="17"/>
  <c r="G164" i="17" s="1"/>
  <c r="H54" i="15"/>
  <c r="G153" i="17"/>
  <c r="G79" i="18"/>
  <c r="G49" i="15"/>
  <c r="H123" i="12"/>
  <c r="H147" i="12" s="1"/>
  <c r="G151" i="17"/>
  <c r="G165" i="17" s="1"/>
  <c r="I143" i="17"/>
  <c r="I145" i="17" s="1"/>
  <c r="J141" i="17" s="1"/>
  <c r="I96" i="17"/>
  <c r="I99" i="17" s="1"/>
  <c r="J93" i="17" s="1"/>
  <c r="H84" i="12"/>
  <c r="H157" i="12" s="1"/>
  <c r="H56" i="17" s="1"/>
  <c r="H87" i="17" s="1"/>
  <c r="H90" i="17" s="1"/>
  <c r="I84" i="17" s="1"/>
  <c r="H85" i="18"/>
  <c r="H52" i="18" s="1"/>
  <c r="G37" i="18"/>
  <c r="G68" i="18"/>
  <c r="E8" i="16"/>
  <c r="E19" i="16" s="1"/>
  <c r="E62" i="16" s="1"/>
  <c r="E29" i="16"/>
  <c r="E31" i="16" s="1"/>
  <c r="E42" i="16" s="1"/>
  <c r="E63" i="16" s="1"/>
  <c r="H149" i="17"/>
  <c r="H124" i="17"/>
  <c r="G116" i="17"/>
  <c r="G156" i="17"/>
  <c r="G159" i="17" s="1"/>
  <c r="G166" i="17" s="1"/>
  <c r="G25" i="18" s="1"/>
  <c r="G108" i="17"/>
  <c r="H111" i="17" s="1"/>
  <c r="H66" i="17"/>
  <c r="I115" i="12"/>
  <c r="I135" i="12"/>
  <c r="I143" i="12"/>
  <c r="G111" i="12"/>
  <c r="H67" i="12"/>
  <c r="H74" i="12" s="1"/>
  <c r="H156" i="12" s="1"/>
  <c r="H55" i="17" s="1"/>
  <c r="H78" i="17" s="1"/>
  <c r="G63" i="12"/>
  <c r="G103" i="12" s="1"/>
  <c r="I93" i="12"/>
  <c r="J87" i="12" s="1"/>
  <c r="H83" i="12"/>
  <c r="I77" i="12" s="1"/>
  <c r="E64" i="16" l="1"/>
  <c r="H106" i="12"/>
  <c r="G22" i="15"/>
  <c r="G37" i="15" s="1"/>
  <c r="G22" i="18"/>
  <c r="G38" i="18" s="1"/>
  <c r="G24" i="15"/>
  <c r="G50" i="15" s="1"/>
  <c r="G24" i="18"/>
  <c r="G25" i="15"/>
  <c r="G51" i="15" s="1"/>
  <c r="G51" i="18"/>
  <c r="G162" i="17"/>
  <c r="H127" i="12"/>
  <c r="H128" i="12"/>
  <c r="H160" i="12" s="1"/>
  <c r="H60" i="17" s="1"/>
  <c r="H129" i="17" s="1"/>
  <c r="H151" i="17" s="1"/>
  <c r="H165" i="17" s="1"/>
  <c r="I120" i="12"/>
  <c r="I159" i="12" s="1"/>
  <c r="I59" i="17" s="1"/>
  <c r="J94" i="12"/>
  <c r="J158" i="12" s="1"/>
  <c r="J57" i="17" s="1"/>
  <c r="J96" i="17" s="1"/>
  <c r="J99" i="17" s="1"/>
  <c r="K93" i="17" s="1"/>
  <c r="I84" i="12"/>
  <c r="I157" i="12" s="1"/>
  <c r="I56" i="17" s="1"/>
  <c r="I87" i="17" s="1"/>
  <c r="I90" i="17" s="1"/>
  <c r="J84" i="17" s="1"/>
  <c r="H81" i="17"/>
  <c r="I75" i="17" s="1"/>
  <c r="H156" i="17"/>
  <c r="H159" i="17" s="1"/>
  <c r="H166" i="17" s="1"/>
  <c r="H25" i="18" s="1"/>
  <c r="H116" i="17"/>
  <c r="H102" i="17"/>
  <c r="I120" i="17"/>
  <c r="G38" i="15"/>
  <c r="I119" i="12"/>
  <c r="J139" i="12"/>
  <c r="J144" i="12" s="1"/>
  <c r="J162" i="12" s="1"/>
  <c r="J62" i="17" s="1"/>
  <c r="J143" i="17" s="1"/>
  <c r="J145" i="17" s="1"/>
  <c r="K141" i="17" s="1"/>
  <c r="J131" i="12"/>
  <c r="J136" i="12" s="1"/>
  <c r="J161" i="12" s="1"/>
  <c r="J61" i="17" s="1"/>
  <c r="J136" i="17" s="1"/>
  <c r="J138" i="17" s="1"/>
  <c r="K134" i="17" s="1"/>
  <c r="H57" i="12"/>
  <c r="J93" i="12"/>
  <c r="K87" i="12" s="1"/>
  <c r="I83" i="12"/>
  <c r="J77" i="12" s="1"/>
  <c r="J84" i="12" s="1"/>
  <c r="J157" i="12" s="1"/>
  <c r="J56" i="17" s="1"/>
  <c r="H73" i="12"/>
  <c r="G74" i="18" l="1"/>
  <c r="G67" i="18"/>
  <c r="G20" i="15"/>
  <c r="G20" i="18"/>
  <c r="G44" i="15"/>
  <c r="H24" i="15"/>
  <c r="H50" i="15" s="1"/>
  <c r="H24" i="18"/>
  <c r="G80" i="18"/>
  <c r="G50" i="18"/>
  <c r="G54" i="18" s="1"/>
  <c r="G55" i="18" s="1"/>
  <c r="G95" i="18" s="1"/>
  <c r="H25" i="15"/>
  <c r="H51" i="15" s="1"/>
  <c r="H162" i="17"/>
  <c r="H131" i="17"/>
  <c r="I127" i="17" s="1"/>
  <c r="I149" i="17" s="1"/>
  <c r="I123" i="12"/>
  <c r="H151" i="12"/>
  <c r="I122" i="17"/>
  <c r="I124" i="17" s="1"/>
  <c r="J87" i="17"/>
  <c r="J90" i="17" s="1"/>
  <c r="K84" i="17" s="1"/>
  <c r="H97" i="12"/>
  <c r="I85" i="18" s="1"/>
  <c r="I52" i="18" s="1"/>
  <c r="H64" i="12"/>
  <c r="H155" i="12" s="1"/>
  <c r="H54" i="17" s="1"/>
  <c r="H69" i="17" s="1"/>
  <c r="K94" i="12"/>
  <c r="K158" i="12" s="1"/>
  <c r="K57" i="17" s="1"/>
  <c r="K96" i="17" s="1"/>
  <c r="K99" i="17" s="1"/>
  <c r="G81" i="18"/>
  <c r="H51" i="18"/>
  <c r="J83" i="12"/>
  <c r="K77" i="12" s="1"/>
  <c r="H111" i="12"/>
  <c r="G39" i="15"/>
  <c r="G42" i="15" s="1"/>
  <c r="J115" i="12"/>
  <c r="J135" i="12"/>
  <c r="J143" i="12"/>
  <c r="I67" i="12"/>
  <c r="H99" i="12"/>
  <c r="K93" i="12"/>
  <c r="G32" i="18" l="1"/>
  <c r="H20" i="15"/>
  <c r="H20" i="18"/>
  <c r="H32" i="18" s="1"/>
  <c r="H80" i="18"/>
  <c r="H50" i="18"/>
  <c r="H54" i="18" s="1"/>
  <c r="H55" i="18" s="1"/>
  <c r="H153" i="17"/>
  <c r="I147" i="12"/>
  <c r="I127" i="12"/>
  <c r="I128" i="12"/>
  <c r="I160" i="12" s="1"/>
  <c r="I60" i="17" s="1"/>
  <c r="I129" i="17" s="1"/>
  <c r="I54" i="15"/>
  <c r="H37" i="18"/>
  <c r="J120" i="12"/>
  <c r="J159" i="12" s="1"/>
  <c r="J59" i="17" s="1"/>
  <c r="H81" i="18"/>
  <c r="K83" i="12"/>
  <c r="K84" i="12"/>
  <c r="K157" i="12" s="1"/>
  <c r="K56" i="17" s="1"/>
  <c r="K87" i="17" s="1"/>
  <c r="K90" i="17" s="1"/>
  <c r="H105" i="17"/>
  <c r="H164" i="17" s="1"/>
  <c r="H22" i="15" s="1"/>
  <c r="H72" i="17"/>
  <c r="I73" i="12"/>
  <c r="J67" i="12" s="1"/>
  <c r="J74" i="12" s="1"/>
  <c r="J156" i="12" s="1"/>
  <c r="J55" i="17" s="1"/>
  <c r="I74" i="12"/>
  <c r="I156" i="12" s="1"/>
  <c r="I55" i="17" s="1"/>
  <c r="I78" i="17" s="1"/>
  <c r="J120" i="17"/>
  <c r="G56" i="15"/>
  <c r="G58" i="15" s="1"/>
  <c r="G60" i="15" s="1"/>
  <c r="F14" i="16" s="1"/>
  <c r="J119" i="12"/>
  <c r="K139" i="12"/>
  <c r="K144" i="12" s="1"/>
  <c r="K162" i="12" s="1"/>
  <c r="K62" i="17" s="1"/>
  <c r="K143" i="17" s="1"/>
  <c r="K145" i="17" s="1"/>
  <c r="K131" i="12"/>
  <c r="K136" i="12" s="1"/>
  <c r="K161" i="12" s="1"/>
  <c r="K61" i="17" s="1"/>
  <c r="K136" i="17" s="1"/>
  <c r="K138" i="17" s="1"/>
  <c r="H63" i="12"/>
  <c r="H103" i="12" s="1"/>
  <c r="I106" i="12" l="1"/>
  <c r="I111" i="12" s="1"/>
  <c r="H79" i="18"/>
  <c r="H37" i="15"/>
  <c r="H44" i="15"/>
  <c r="H68" i="18"/>
  <c r="I131" i="17"/>
  <c r="I151" i="17"/>
  <c r="I165" i="17" s="1"/>
  <c r="J123" i="12"/>
  <c r="I151" i="12"/>
  <c r="J122" i="17"/>
  <c r="I66" i="17"/>
  <c r="H108" i="17"/>
  <c r="I111" i="17" s="1"/>
  <c r="I81" i="17"/>
  <c r="J75" i="17" s="1"/>
  <c r="F19" i="16"/>
  <c r="H49" i="15"/>
  <c r="H38" i="15"/>
  <c r="I57" i="12"/>
  <c r="K115" i="12"/>
  <c r="K143" i="12"/>
  <c r="K135" i="12"/>
  <c r="J73" i="12"/>
  <c r="F62" i="16" l="1"/>
  <c r="I24" i="15"/>
  <c r="I50" i="15" s="1"/>
  <c r="I24" i="18"/>
  <c r="H39" i="15"/>
  <c r="H42" i="15" s="1"/>
  <c r="H56" i="15" s="1"/>
  <c r="H58" i="15" s="1"/>
  <c r="J78" i="17"/>
  <c r="J127" i="12"/>
  <c r="J128" i="12"/>
  <c r="J160" i="12" s="1"/>
  <c r="J60" i="17" s="1"/>
  <c r="J147" i="12"/>
  <c r="J127" i="17"/>
  <c r="J149" i="17" s="1"/>
  <c r="I153" i="17"/>
  <c r="J124" i="17"/>
  <c r="K120" i="17" s="1"/>
  <c r="K120" i="12"/>
  <c r="K159" i="12" s="1"/>
  <c r="K59" i="17" s="1"/>
  <c r="I97" i="12"/>
  <c r="J85" i="18" s="1"/>
  <c r="J52" i="18" s="1"/>
  <c r="I64" i="12"/>
  <c r="I155" i="12" s="1"/>
  <c r="I54" i="17" s="1"/>
  <c r="I69" i="17" s="1"/>
  <c r="I105" i="17" s="1"/>
  <c r="I164" i="17" s="1"/>
  <c r="I22" i="15" s="1"/>
  <c r="I156" i="17"/>
  <c r="I159" i="17" s="1"/>
  <c r="I166" i="17" s="1"/>
  <c r="I25" i="18" s="1"/>
  <c r="I116" i="17"/>
  <c r="I102" i="17"/>
  <c r="K119" i="12"/>
  <c r="I63" i="12"/>
  <c r="I103" i="12" s="1"/>
  <c r="K67" i="12"/>
  <c r="K74" i="12" s="1"/>
  <c r="K156" i="12" s="1"/>
  <c r="K55" i="17" s="1"/>
  <c r="J106" i="12" l="1"/>
  <c r="H60" i="15"/>
  <c r="H14" i="16" s="1"/>
  <c r="H19" i="16" s="1"/>
  <c r="I80" i="18"/>
  <c r="I50" i="18"/>
  <c r="I25" i="15"/>
  <c r="I51" i="15" s="1"/>
  <c r="I81" i="18"/>
  <c r="I162" i="17"/>
  <c r="I44" i="15"/>
  <c r="I37" i="15"/>
  <c r="K122" i="17"/>
  <c r="K124" i="17" s="1"/>
  <c r="K123" i="12"/>
  <c r="J151" i="12"/>
  <c r="J129" i="17"/>
  <c r="J54" i="15"/>
  <c r="I72" i="17"/>
  <c r="J66" i="17" s="1"/>
  <c r="J102" i="17" s="1"/>
  <c r="J81" i="17"/>
  <c r="K75" i="17" s="1"/>
  <c r="J111" i="12"/>
  <c r="I99" i="12"/>
  <c r="J57" i="12"/>
  <c r="K73" i="12"/>
  <c r="H62" i="16" l="1"/>
  <c r="I20" i="15"/>
  <c r="I20" i="18"/>
  <c r="I32" i="18" s="1"/>
  <c r="I51" i="18"/>
  <c r="I54" i="18" s="1"/>
  <c r="I55" i="18" s="1"/>
  <c r="K78" i="17"/>
  <c r="K81" i="17" s="1"/>
  <c r="K128" i="12"/>
  <c r="K160" i="12" s="1"/>
  <c r="K60" i="17" s="1"/>
  <c r="K127" i="12"/>
  <c r="K151" i="12" s="1"/>
  <c r="K147" i="12"/>
  <c r="J131" i="17"/>
  <c r="J151" i="17"/>
  <c r="J165" i="17" s="1"/>
  <c r="I108" i="17"/>
  <c r="J111" i="17" s="1"/>
  <c r="J97" i="12"/>
  <c r="K85" i="18" s="1"/>
  <c r="K52" i="18" s="1"/>
  <c r="J64" i="12"/>
  <c r="J155" i="12" s="1"/>
  <c r="J54" i="17" s="1"/>
  <c r="J69" i="17" s="1"/>
  <c r="I38" i="15"/>
  <c r="I39" i="15" s="1"/>
  <c r="I42" i="15" s="1"/>
  <c r="J24" i="15" l="1"/>
  <c r="J50" i="15" s="1"/>
  <c r="J24" i="18"/>
  <c r="K127" i="17"/>
  <c r="K149" i="17" s="1"/>
  <c r="J153" i="17"/>
  <c r="J116" i="17"/>
  <c r="J156" i="17"/>
  <c r="J159" i="17" s="1"/>
  <c r="J166" i="17" s="1"/>
  <c r="J25" i="18" s="1"/>
  <c r="K54" i="15"/>
  <c r="J105" i="17"/>
  <c r="J164" i="17" s="1"/>
  <c r="J22" i="15" s="1"/>
  <c r="J72" i="17"/>
  <c r="I49" i="15"/>
  <c r="I56" i="15" s="1"/>
  <c r="I58" i="15" s="1"/>
  <c r="I37" i="18"/>
  <c r="I79" i="18"/>
  <c r="I68" i="18"/>
  <c r="J99" i="12"/>
  <c r="J63" i="12"/>
  <c r="J103" i="12" s="1"/>
  <c r="K106" i="12" l="1"/>
  <c r="K111" i="12" s="1"/>
  <c r="I60" i="15"/>
  <c r="J14" i="16" s="1"/>
  <c r="J19" i="16" s="1"/>
  <c r="J80" i="18"/>
  <c r="J50" i="18"/>
  <c r="J25" i="15"/>
  <c r="J51" i="15" s="1"/>
  <c r="J162" i="17"/>
  <c r="J44" i="15"/>
  <c r="J37" i="15"/>
  <c r="K129" i="17"/>
  <c r="K66" i="17"/>
  <c r="J108" i="17"/>
  <c r="K111" i="17" s="1"/>
  <c r="J49" i="15"/>
  <c r="J38" i="15"/>
  <c r="K57" i="12"/>
  <c r="J62" i="16" l="1"/>
  <c r="J20" i="15"/>
  <c r="J20" i="18"/>
  <c r="J32" i="18" s="1"/>
  <c r="J39" i="15"/>
  <c r="J42" i="15" s="1"/>
  <c r="J56" i="15" s="1"/>
  <c r="J58" i="15" s="1"/>
  <c r="J51" i="18"/>
  <c r="J54" i="18" s="1"/>
  <c r="J55" i="18" s="1"/>
  <c r="J81" i="18"/>
  <c r="K131" i="17"/>
  <c r="K153" i="17" s="1"/>
  <c r="K151" i="17"/>
  <c r="K165" i="17" s="1"/>
  <c r="K102" i="17"/>
  <c r="K97" i="12"/>
  <c r="K64" i="12"/>
  <c r="K155" i="12" s="1"/>
  <c r="K54" i="17" s="1"/>
  <c r="K69" i="17" s="1"/>
  <c r="K116" i="17"/>
  <c r="K156" i="17"/>
  <c r="K159" i="17" s="1"/>
  <c r="K166" i="17" s="1"/>
  <c r="K25" i="18" s="1"/>
  <c r="J37" i="18"/>
  <c r="J79" i="18"/>
  <c r="J68" i="18"/>
  <c r="K99" i="12"/>
  <c r="J60" i="15" l="1"/>
  <c r="L14" i="16" s="1"/>
  <c r="L19" i="16" s="1"/>
  <c r="K24" i="15"/>
  <c r="K50" i="15" s="1"/>
  <c r="K24" i="18"/>
  <c r="K25" i="15"/>
  <c r="K51" i="15" s="1"/>
  <c r="K81" i="18"/>
  <c r="K162" i="17"/>
  <c r="K105" i="17"/>
  <c r="K164" i="17" s="1"/>
  <c r="K22" i="15" s="1"/>
  <c r="K72" i="17"/>
  <c r="K108" i="17" s="1"/>
  <c r="K38" i="15"/>
  <c r="K63" i="12"/>
  <c r="K103" i="12" s="1"/>
  <c r="L62" i="16" l="1"/>
  <c r="K20" i="15"/>
  <c r="K20" i="18"/>
  <c r="K32" i="18" s="1"/>
  <c r="K50" i="18"/>
  <c r="K80" i="18"/>
  <c r="K51" i="18"/>
  <c r="K44" i="15"/>
  <c r="K37" i="15"/>
  <c r="K39" i="15" s="1"/>
  <c r="K42" i="15" s="1"/>
  <c r="K49" i="15"/>
  <c r="K37" i="18"/>
  <c r="K68" i="18"/>
  <c r="K79" i="18"/>
  <c r="P16" i="16"/>
  <c r="K54" i="18" l="1"/>
  <c r="K55" i="18" s="1"/>
  <c r="K56" i="15"/>
  <c r="K58" i="15" s="1"/>
  <c r="P18" i="16"/>
  <c r="P19" i="16" s="1"/>
  <c r="P39" i="16"/>
  <c r="P41" i="16" s="1"/>
  <c r="P42" i="16" s="1"/>
  <c r="K34" i="18"/>
  <c r="K36" i="18" s="1"/>
  <c r="K39" i="18" s="1"/>
  <c r="K40" i="18" s="1"/>
  <c r="P63" i="16" l="1"/>
  <c r="P62" i="16"/>
  <c r="P64" i="16" s="1"/>
  <c r="K60" i="15"/>
  <c r="N14" i="16" s="1"/>
  <c r="N19" i="16" s="1"/>
  <c r="K56" i="18"/>
  <c r="K59" i="18" s="1"/>
  <c r="G34" i="18"/>
  <c r="G36" i="18" s="1"/>
  <c r="G39" i="18" s="1"/>
  <c r="G40" i="18" s="1"/>
  <c r="H34" i="18"/>
  <c r="H36" i="18" s="1"/>
  <c r="H39" i="18" s="1"/>
  <c r="H40" i="18" s="1"/>
  <c r="H56" i="18" s="1"/>
  <c r="H59" i="18" s="1"/>
  <c r="H101" i="18" s="1"/>
  <c r="I33" i="18"/>
  <c r="J33" i="18" s="1"/>
  <c r="J34" i="18" s="1"/>
  <c r="J36" i="18" s="1"/>
  <c r="J39" i="18" s="1"/>
  <c r="J40" i="18" s="1"/>
  <c r="J56" i="18" s="1"/>
  <c r="J59" i="18" s="1"/>
  <c r="J101" i="18" s="1"/>
  <c r="K101" i="18" l="1"/>
  <c r="O33" i="16" s="1"/>
  <c r="O42" i="16" s="1"/>
  <c r="D21" i="16"/>
  <c r="B9" i="13" s="1"/>
  <c r="N62" i="16"/>
  <c r="K62" i="18"/>
  <c r="K65" i="18" s="1"/>
  <c r="K69" i="18" s="1"/>
  <c r="K72" i="18" s="1"/>
  <c r="K87" i="18" s="1"/>
  <c r="K89" i="18" s="1"/>
  <c r="K91" i="18" s="1"/>
  <c r="K103" i="18" s="1"/>
  <c r="N37" i="16" s="1"/>
  <c r="N42" i="16" s="1"/>
  <c r="I33" i="16"/>
  <c r="H62" i="18"/>
  <c r="H65" i="18" s="1"/>
  <c r="H69" i="18" s="1"/>
  <c r="H72" i="18" s="1"/>
  <c r="H87" i="18" s="1"/>
  <c r="H89" i="18" s="1"/>
  <c r="H91" i="18" s="1"/>
  <c r="H103" i="18" s="1"/>
  <c r="H37" i="16" s="1"/>
  <c r="H42" i="16" s="1"/>
  <c r="G94" i="18"/>
  <c r="G96" i="18" s="1"/>
  <c r="G56" i="18"/>
  <c r="G59" i="18" s="1"/>
  <c r="G101" i="18" s="1"/>
  <c r="G33" i="16" s="1"/>
  <c r="J62" i="18"/>
  <c r="J65" i="18" s="1"/>
  <c r="J69" i="18" s="1"/>
  <c r="J72" i="18" s="1"/>
  <c r="J87" i="18" s="1"/>
  <c r="J89" i="18" s="1"/>
  <c r="J91" i="18" s="1"/>
  <c r="J103" i="18" s="1"/>
  <c r="L37" i="16" s="1"/>
  <c r="L42" i="16" s="1"/>
  <c r="M33" i="16"/>
  <c r="I34" i="18"/>
  <c r="I36" i="18" s="1"/>
  <c r="I39" i="18" s="1"/>
  <c r="I40" i="18" s="1"/>
  <c r="I56" i="18" s="1"/>
  <c r="I59" i="18" s="1"/>
  <c r="I101" i="18" s="1"/>
  <c r="O51" i="16" l="1"/>
  <c r="O52" i="16" s="1"/>
  <c r="O63" i="16"/>
  <c r="O64" i="16" s="1"/>
  <c r="N63" i="16"/>
  <c r="N64" i="16" s="1"/>
  <c r="L63" i="16"/>
  <c r="L64" i="16" s="1"/>
  <c r="H63" i="16"/>
  <c r="H64" i="16" s="1"/>
  <c r="M42" i="16"/>
  <c r="M51" i="16"/>
  <c r="M52" i="16" s="1"/>
  <c r="I42" i="16"/>
  <c r="I51" i="16"/>
  <c r="I52" i="16" s="1"/>
  <c r="G62" i="18"/>
  <c r="G65" i="18" s="1"/>
  <c r="G69" i="18" s="1"/>
  <c r="G72" i="18" s="1"/>
  <c r="G87" i="18" s="1"/>
  <c r="G89" i="18" s="1"/>
  <c r="K33" i="16"/>
  <c r="I62" i="18"/>
  <c r="I65" i="18" s="1"/>
  <c r="I69" i="18" s="1"/>
  <c r="I72" i="18" s="1"/>
  <c r="I87" i="18" s="1"/>
  <c r="I89" i="18" s="1"/>
  <c r="I91" i="18" s="1"/>
  <c r="I103" i="18" s="1"/>
  <c r="J37" i="16" s="1"/>
  <c r="J42" i="16" s="1"/>
  <c r="J63" i="16" l="1"/>
  <c r="J64" i="16" s="1"/>
  <c r="I63" i="16"/>
  <c r="I64" i="16" s="1"/>
  <c r="M63" i="16"/>
  <c r="M64" i="16" s="1"/>
  <c r="G42" i="16"/>
  <c r="G51" i="16"/>
  <c r="G52" i="16" s="1"/>
  <c r="K42" i="16"/>
  <c r="K51" i="16"/>
  <c r="K52" i="16" s="1"/>
  <c r="G97" i="18"/>
  <c r="G91" i="18"/>
  <c r="G103" i="18" s="1"/>
  <c r="F37" i="16" s="1"/>
  <c r="F42" i="16" s="1"/>
  <c r="D56" i="16" l="1"/>
  <c r="C11" i="13" s="1"/>
  <c r="D55" i="16"/>
  <c r="C14" i="13" s="1"/>
  <c r="G63" i="16"/>
  <c r="G64" i="16" s="1"/>
  <c r="K63" i="16"/>
  <c r="K64" i="16" s="1"/>
  <c r="D44" i="16"/>
  <c r="F63" i="16"/>
  <c r="F64" i="16" s="1"/>
  <c r="D66" i="16" l="1"/>
  <c r="C12" i="13" s="1"/>
  <c r="D57" i="16"/>
  <c r="C15" i="13" s="1"/>
</calcChain>
</file>

<file path=xl/sharedStrings.xml><?xml version="1.0" encoding="utf-8"?>
<sst xmlns="http://schemas.openxmlformats.org/spreadsheetml/2006/main" count="942" uniqueCount="243">
  <si>
    <t>Description</t>
  </si>
  <si>
    <t>Table of Contents</t>
  </si>
  <si>
    <t>Sheet Name</t>
  </si>
  <si>
    <t>Link</t>
  </si>
  <si>
    <t>General Description</t>
  </si>
  <si>
    <t>Inputs</t>
  </si>
  <si>
    <t>Calculations</t>
  </si>
  <si>
    <t>Outputs</t>
  </si>
  <si>
    <t>Output</t>
  </si>
  <si>
    <t>General</t>
  </si>
  <si>
    <t>Auckland International Airport Limited</t>
  </si>
  <si>
    <t>s53B review of price setting event 3</t>
  </si>
  <si>
    <t>Value</t>
  </si>
  <si>
    <t>Cash flow timing - revenues  - days from year end</t>
  </si>
  <si>
    <t>Cash flow timing - expenditure  - days from year end</t>
  </si>
  <si>
    <t>Tax rate</t>
  </si>
  <si>
    <t>Commission post tax WACC 50th  Percentile</t>
  </si>
  <si>
    <t>Revenues</t>
  </si>
  <si>
    <t>Airport activity charges</t>
  </si>
  <si>
    <t>Lease, rental and concession income</t>
  </si>
  <si>
    <t>Other revenue</t>
  </si>
  <si>
    <t>Runway land charge</t>
  </si>
  <si>
    <t>Operating Expenditure</t>
  </si>
  <si>
    <t>Land</t>
  </si>
  <si>
    <t>Total</t>
  </si>
  <si>
    <t>Tax Adjustments</t>
  </si>
  <si>
    <t>Other permanent differences—not deductible</t>
  </si>
  <si>
    <t>Other temporary adjustments—current period</t>
  </si>
  <si>
    <t>Other permanent differences—non taxable</t>
  </si>
  <si>
    <t>Other temporary adjustments—prior period</t>
  </si>
  <si>
    <t>Utilised tax losses</t>
  </si>
  <si>
    <t>Scenario Manager</t>
  </si>
  <si>
    <t>General Assumptions</t>
  </si>
  <si>
    <t>Revenue</t>
  </si>
  <si>
    <t>Calculation of revenue required to target a specified return</t>
  </si>
  <si>
    <t>Forecast regulatory investment value</t>
  </si>
  <si>
    <t>Cost of capital</t>
  </si>
  <si>
    <t>Required return on RIV</t>
  </si>
  <si>
    <t>Forecast revaluation</t>
  </si>
  <si>
    <t>Forecast regulatory depreciation</t>
  </si>
  <si>
    <t>Tax adjusted</t>
  </si>
  <si>
    <t>plus</t>
  </si>
  <si>
    <t>less</t>
  </si>
  <si>
    <t>Other income</t>
  </si>
  <si>
    <t>Gain/loss on sale</t>
  </si>
  <si>
    <t>Tax depreciation</t>
  </si>
  <si>
    <t>Notional deductible interest</t>
  </si>
  <si>
    <t>Total revenue required</t>
  </si>
  <si>
    <t>Check</t>
  </si>
  <si>
    <t>Tax on revenue</t>
  </si>
  <si>
    <t>Tax adjustments</t>
  </si>
  <si>
    <t>Tax building block</t>
  </si>
  <si>
    <t>Tax on regulatory profit/(Loss)</t>
  </si>
  <si>
    <t>Source</t>
  </si>
  <si>
    <t>Opening value</t>
  </si>
  <si>
    <t>Capex</t>
  </si>
  <si>
    <t>Asset disposals</t>
  </si>
  <si>
    <t>Cost allocation adjustments</t>
  </si>
  <si>
    <t>Closing value</t>
  </si>
  <si>
    <t>Depreciation</t>
  </si>
  <si>
    <t>All assets</t>
  </si>
  <si>
    <t>Regulatory investment value</t>
  </si>
  <si>
    <t>Opening RAB (all assets)</t>
  </si>
  <si>
    <t>Calculation of forecast regulatory asset base</t>
  </si>
  <si>
    <t xml:space="preserve">Proportion of capex attributed to RIV </t>
  </si>
  <si>
    <t>Calculation of forecast tax asset base</t>
  </si>
  <si>
    <t>Tax Depreciation</t>
  </si>
  <si>
    <t>Other</t>
  </si>
  <si>
    <t>Commission vanilla WACC 50th percentile</t>
  </si>
  <si>
    <t>Forecast operating expenditure</t>
  </si>
  <si>
    <t>Forecast tax depreciation</t>
  </si>
  <si>
    <t>Gain or loss on sale of assets</t>
  </si>
  <si>
    <t>Notional Deductible interest</t>
  </si>
  <si>
    <t>Leverage</t>
  </si>
  <si>
    <t>Cost of debt</t>
  </si>
  <si>
    <t>Aggregate opening value RAB</t>
  </si>
  <si>
    <t>Forecast notional deductible interest</t>
  </si>
  <si>
    <t>Calculation of regulatory tax</t>
  </si>
  <si>
    <t>Regulatory profit / (loss) before tax</t>
  </si>
  <si>
    <t>Regulatory depreciation</t>
  </si>
  <si>
    <t>Total revaluations</t>
  </si>
  <si>
    <t xml:space="preserve">Regulatory taxable income (loss) </t>
  </si>
  <si>
    <t>Regulatory tax allowance</t>
  </si>
  <si>
    <t>Gain/loss on sale of assets</t>
  </si>
  <si>
    <t>Revaluations</t>
  </si>
  <si>
    <t>Total regulatory income</t>
  </si>
  <si>
    <t>Calculation of regulatory profit before tax</t>
  </si>
  <si>
    <t>Operating expenses</t>
  </si>
  <si>
    <t>Operating surplus</t>
  </si>
  <si>
    <t>Check (if scenario activated)</t>
  </si>
  <si>
    <t>Opening RAB</t>
  </si>
  <si>
    <t>Opening carry forward adjustment</t>
  </si>
  <si>
    <t>Opening investment value</t>
  </si>
  <si>
    <t>Revenue (excluding gain/loss on sale)</t>
  </si>
  <si>
    <t>Value of commissioned assets</t>
  </si>
  <si>
    <t>Cash received from disposals</t>
  </si>
  <si>
    <t>Forecast closing asset base</t>
  </si>
  <si>
    <t>Forecast closing carry forward adjustment</t>
  </si>
  <si>
    <t>Forecast closing investment value</t>
  </si>
  <si>
    <t xml:space="preserve">Total </t>
  </si>
  <si>
    <t>Closing carry forward adjustment</t>
  </si>
  <si>
    <t>Capital Expenditure - Regulated assets</t>
  </si>
  <si>
    <t>IRR (Post tax)</t>
  </si>
  <si>
    <t>Unlevered Tax</t>
  </si>
  <si>
    <t>Tax value for asset disposals</t>
  </si>
  <si>
    <t>Scenario Number</t>
  </si>
  <si>
    <t>Scenario 2 - inclusion of net revenues from runway land charge</t>
  </si>
  <si>
    <t>Base case Auckland Airport forecasts (Scenario 1)</t>
  </si>
  <si>
    <t>Forecast revenue and tax</t>
  </si>
  <si>
    <t>IRR - Auckland Airport forecast cash flows</t>
  </si>
  <si>
    <t>Unlevered tax</t>
  </si>
  <si>
    <t>Calculation of unlevered tax</t>
  </si>
  <si>
    <t>Intra-year timing</t>
  </si>
  <si>
    <t>From</t>
  </si>
  <si>
    <t>Days in a year</t>
  </si>
  <si>
    <t>Days from mid-year to year-end</t>
  </si>
  <si>
    <t>Days from revenue date to year-end</t>
  </si>
  <si>
    <t>Mid-year date</t>
  </si>
  <si>
    <t>Revenue date</t>
  </si>
  <si>
    <t>i.e. mid-year</t>
  </si>
  <si>
    <t>Intra-year timing factors: discount from mid year to end of year values</t>
  </si>
  <si>
    <r>
      <t>TF</t>
    </r>
    <r>
      <rPr>
        <vertAlign val="subscript"/>
        <sz val="11"/>
        <color theme="1"/>
        <rFont val="Calibri"/>
        <family val="2"/>
        <scheme val="minor"/>
      </rPr>
      <t>rev</t>
    </r>
  </si>
  <si>
    <t>Intra-year timing factor: discount from revenue date to end of year values</t>
  </si>
  <si>
    <r>
      <t>TF</t>
    </r>
    <r>
      <rPr>
        <sz val="11"/>
        <color theme="1"/>
        <rFont val="Calibri"/>
        <family val="2"/>
        <scheme val="minor"/>
      </rPr>
      <t>rev</t>
    </r>
  </si>
  <si>
    <t>Last day of year 1 of the pricing period</t>
  </si>
  <si>
    <t>Vanilla WACC (mid-point percentile)</t>
  </si>
  <si>
    <t>Cost date</t>
  </si>
  <si>
    <t>TF cost</t>
  </si>
  <si>
    <t>Tfcost</t>
  </si>
  <si>
    <t>12 equal monthly transactions on the 20th of the following month can be approximated by a single payment on the revenue date.</t>
  </si>
  <si>
    <t>Timing factors</t>
  </si>
  <si>
    <t>Forecast opening investment value</t>
  </si>
  <si>
    <t>Days in year</t>
  </si>
  <si>
    <t>Calculation of timing adjusted cash flows</t>
  </si>
  <si>
    <t>Required revenue (excluding gain or loss on sale)</t>
  </si>
  <si>
    <t xml:space="preserve">Tax </t>
  </si>
  <si>
    <t>Adjustment for Gain/loss on disposal for tax purposes</t>
  </si>
  <si>
    <t>Adjusted investment value</t>
  </si>
  <si>
    <t>Auckland Airport forecast revenues</t>
  </si>
  <si>
    <t>Revenues to target midpoint</t>
  </si>
  <si>
    <t>Difference</t>
  </si>
  <si>
    <t>Operating expenditure</t>
  </si>
  <si>
    <t>Scenario 6 - increase in operating expenditure of 10%</t>
  </si>
  <si>
    <t>Auckland Airport base case forecasts</t>
  </si>
  <si>
    <t>Revenues from RLC</t>
  </si>
  <si>
    <t>Scenario</t>
  </si>
  <si>
    <t>Supplier number</t>
  </si>
  <si>
    <t>Scenario number (for output data table)</t>
  </si>
  <si>
    <t>1</t>
  </si>
  <si>
    <t>Active scenario</t>
  </si>
  <si>
    <t>Scenario 1</t>
  </si>
  <si>
    <t>Scenario 2</t>
  </si>
  <si>
    <t>Scenario 3</t>
  </si>
  <si>
    <t>Scenario 4</t>
  </si>
  <si>
    <t>Scenario 5</t>
  </si>
  <si>
    <t>Scenario 6</t>
  </si>
  <si>
    <t>Target IRR</t>
  </si>
  <si>
    <t>PV difference in revenues between forecast and revenues required to target mid-point WACC</t>
  </si>
  <si>
    <t>Accounting depreciation proportion of opening RAB - land</t>
  </si>
  <si>
    <t>Accounting depreciation as a proportion of opening RAB</t>
  </si>
  <si>
    <t>Tax depreciation proportion of opening RAB - land</t>
  </si>
  <si>
    <t>Tax depreciation as a proportion of opening RAB</t>
  </si>
  <si>
    <t>Total accounting depreciation</t>
  </si>
  <si>
    <t>Total tax depreciation</t>
  </si>
  <si>
    <t>Default asset base</t>
  </si>
  <si>
    <t>Scenario asset base</t>
  </si>
  <si>
    <t>Required revenue</t>
  </si>
  <si>
    <t>IRR</t>
  </si>
  <si>
    <t>Forecast asset disposals</t>
  </si>
  <si>
    <t>Forecast gain or loss on sale</t>
  </si>
  <si>
    <t>All financial information is provided in $'000</t>
  </si>
  <si>
    <t>Total revenue (excluding assets held for future use)</t>
  </si>
  <si>
    <t>Total passengers per annum (gross)</t>
  </si>
  <si>
    <t>Total passengers per annum</t>
  </si>
  <si>
    <t>PV of revenue difference per passenger</t>
  </si>
  <si>
    <t>Carry forward adjustment to investment value</t>
  </si>
  <si>
    <t xml:space="preserve">Calculation of receipts from disposals </t>
  </si>
  <si>
    <t>Base Case</t>
  </si>
  <si>
    <t xml:space="preserve"> inclusion of net revenues from runway land charge</t>
  </si>
  <si>
    <t xml:space="preserve"> increase in capital expenditure of 10%</t>
  </si>
  <si>
    <t>decrease in capital expenditure of 10%</t>
  </si>
  <si>
    <t>delay in 50% of year 2018 and 2019 capex by 2 years</t>
  </si>
  <si>
    <t>Scenario 7</t>
  </si>
  <si>
    <t>Scenario 7 - decrease in operating expenditure of 10%</t>
  </si>
  <si>
    <t>increase in operating expenditure of 10%</t>
  </si>
  <si>
    <t>decrease in operating expenditure of 10%</t>
  </si>
  <si>
    <t>Commission cost of debt</t>
  </si>
  <si>
    <t>Auckland Airport forecast net cash flows</t>
  </si>
  <si>
    <t>PV at of Auckland Airport's forecast revenues</t>
  </si>
  <si>
    <t>update this input for alternative scenarios</t>
  </si>
  <si>
    <t>TFrev</t>
  </si>
  <si>
    <t>This worksheet uses Excel's data table facility to display the calculated IRR for all scenarios</t>
  </si>
  <si>
    <t>PV of total PSE3 revenues - Auckland Airport base case</t>
  </si>
  <si>
    <t>PV of total PSE3 revenues - targeted mid point return</t>
  </si>
  <si>
    <t>Cash receipts from asset disposals</t>
  </si>
  <si>
    <t>Derivation of the timing factors Tfcost and TFrev.</t>
  </si>
  <si>
    <t>Scenario assumptions</t>
  </si>
  <si>
    <t>Selected scenario assumptions</t>
  </si>
  <si>
    <t>PV at of revenues to target midpoint WACC</t>
  </si>
  <si>
    <t>Net cash flows to target midpoint WACC</t>
  </si>
  <si>
    <t>PV of revenue difference between AIAL forecast revenues and revenues set to target midpoint WACC</t>
  </si>
  <si>
    <t>PV of net cash flows difference between AIAL forecast net cash flows and net cash flows required to target midpoint WACC</t>
  </si>
  <si>
    <t>Variance in expected return from base case</t>
  </si>
  <si>
    <t>Calculation of Auckland Airport's forecast asset base for the base case scenario</t>
  </si>
  <si>
    <t>Forecast revenue and tax based on Auckland Airport's expected  revenues for PSE3</t>
  </si>
  <si>
    <t>Required revenue to target a midpoint WACC</t>
  </si>
  <si>
    <t>Calculation of revenues required to target our benchmark return</t>
  </si>
  <si>
    <t>Internal Rate of Return (IRR)</t>
  </si>
  <si>
    <t>IRR - to target a mid point WACC</t>
  </si>
  <si>
    <t>Data from the Inputs sheet that relates to the selected scenario. The scenario can be user-selected in cell C5.</t>
  </si>
  <si>
    <t>Opening asset values as at 1 July 2016</t>
  </si>
  <si>
    <t>Calculation of Auckland Airport's forecast asset base under for the selected scenario</t>
  </si>
  <si>
    <t>Calculation of expected net cash flows and expected returns for Auckland Airport and comparison to the revenue and cash flows required to target a mid-point WACC</t>
  </si>
  <si>
    <t>Infrastructure &amp; Buildings</t>
  </si>
  <si>
    <t>Sealed Surfaces</t>
  </si>
  <si>
    <t>Vehicles, Plant &amp; Equipment</t>
  </si>
  <si>
    <t>Assets commissioned</t>
  </si>
  <si>
    <t>Accounting depreciation</t>
  </si>
  <si>
    <t>Tax disposals</t>
  </si>
  <si>
    <t>Analysis reflects all regulated assets</t>
  </si>
  <si>
    <t>Scenario 4 - decrease in assets commissioned of 10%</t>
  </si>
  <si>
    <t>Scenario 3 - increase in assets commissioned of 10%</t>
  </si>
  <si>
    <t>Scenario 5 - delay in 50% of year 2018 and 2019 assets commissioned by 2 years</t>
  </si>
  <si>
    <t xml:space="preserve">Revaluations </t>
  </si>
  <si>
    <t>Accounting depreciation proportion of opening RAB - infrastructure &amp; buildings</t>
  </si>
  <si>
    <t>Accounting depreciation proportion of opening RAB - sealed surfaces</t>
  </si>
  <si>
    <t>Accounting depreciation proportion of opening RAB - vehicles, plant &amp; equipment</t>
  </si>
  <si>
    <t>Tax depreciation proportion of opening RAB - infrastructure &amp; buildings</t>
  </si>
  <si>
    <t>Tax depreciation proportion of opening RAB - sealed surfaces</t>
  </si>
  <si>
    <t>Tax depreciation proportion of opening RAB - vehicles, plant &amp; equipment</t>
  </si>
  <si>
    <t>Regulatory proportionate investment (land)</t>
  </si>
  <si>
    <t>Regulatory proportionate investment (infrastructure &amp; buildings)</t>
  </si>
  <si>
    <t>Regulatory proportionate investment (sealed surfaces)</t>
  </si>
  <si>
    <t>Regulatory proportionate investment (vehicles, plant &amp; equipment)</t>
  </si>
  <si>
    <t>Start of regulatory period</t>
  </si>
  <si>
    <t>First year of regulatory period</t>
  </si>
  <si>
    <t>Expected internal rate of return (IRR)</t>
  </si>
  <si>
    <t>PV of difference in revenue as at 30 June 2017</t>
  </si>
  <si>
    <t>PV of difference in revenue per passenger</t>
  </si>
  <si>
    <t>PV of difference in net cash flows as at 30 June 2017</t>
  </si>
  <si>
    <t>PV difference in net cash flows between forecast and revenues required to target mid-point WACC</t>
  </si>
  <si>
    <t>Profitability analysis to support final report (total regulated asset base)</t>
  </si>
  <si>
    <t>The purpose of this analysis to calculate:
 - Auckland Airport's expected return for PSE3 for all of its regulated asset base;
 - the revenues and returns required to target our benchmark cost of capital; and 
 - any difference between the two approaches.
This analysis also tests the materiality of key assumptions on Auckland Airport's expected return.
This analysis is based on a building blocks approach that is compliant with the input methodologies (IMs).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</si>
</sst>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@_)"/>
    <numFmt numFmtId="169" formatCode="_(* #,##0.0_);_(* \(#,##0.0\);_(* &quot;–&quot;???_);_(* @_)"/>
    <numFmt numFmtId="170" formatCode="_(* #,##0.00_);_(* \(#,##0.00\);_(* &quot;–&quot;???_);_(* @_)"/>
    <numFmt numFmtId="171" formatCode="_(* #,##0.0000_);_(* \(#,##0.0000\);_(* &quot;–&quot;??_);_(* @_)"/>
    <numFmt numFmtId="172" formatCode="[$-1409]d\ mmm\ yy;@"/>
    <numFmt numFmtId="173" formatCode="_(* #,##0%_);_(* \(#,##0%\);_(* &quot;–&quot;???_);_(* @_)"/>
    <numFmt numFmtId="174" formatCode="_(* #,##0.0%_);_(* \(#,##0.0%\);_(* &quot;–&quot;??_);_(* @_)"/>
    <numFmt numFmtId="175" formatCode="_(* #,##0.00%_);_(* \(#,##0.00%\);_(* &quot;–&quot;???_);_(* @_)"/>
    <numFmt numFmtId="176" formatCode="_(* #,##0.000%_);_(* \(#,##0.000%\);_(* &quot;–&quot;???_);_(* @_)"/>
    <numFmt numFmtId="177" formatCode="_(* #,##0%_);_(* \(#,##0%\);_(* &quot;–&quot;??_);_(* @_)"/>
    <numFmt numFmtId="178" formatCode="_(* 0_);_(* \(0\);_(* &quot;–&quot;??_);_(@_)"/>
    <numFmt numFmtId="179" formatCode="_(* #,##0_);_(* \(#,##0\);_(* &quot;–&quot;???_);_(* @_)"/>
    <numFmt numFmtId="180" formatCode="#,##0;[Red]\(#,##0\);\-"/>
    <numFmt numFmtId="181" formatCode="0.0%"/>
    <numFmt numFmtId="182" formatCode="0;\-0;&quot;&quot;"/>
    <numFmt numFmtId="183" formatCode="[$-1409]d\ mmmm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2"/>
      <name val="Cambria"/>
      <family val="1"/>
      <scheme val="maj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9"/>
      <name val="Calibri"/>
      <family val="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rgb="FFB0A978"/>
      </bottom>
      <diagonal/>
    </border>
    <border>
      <left/>
      <right/>
      <top style="thin">
        <color rgb="FFB0A97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20" fillId="0" borderId="0" applyFill="0" applyAlignment="0"/>
    <xf numFmtId="49" fontId="14" fillId="0" borderId="0" applyFill="0" applyAlignment="0"/>
    <xf numFmtId="49" fontId="15" fillId="0" borderId="0" applyFill="0" applyAlignment="0"/>
    <xf numFmtId="49" fontId="16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7" fillId="34" borderId="14" applyNumberFormat="0" applyFill="0" applyAlignment="0">
      <protection locked="0"/>
    </xf>
    <xf numFmtId="0" fontId="1" fillId="36" borderId="14" applyNumberFormat="0" applyFill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5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8" fontId="23" fillId="0" borderId="0" applyFont="0" applyFill="0" applyBorder="0" applyAlignment="0" applyProtection="0">
      <alignment horizontal="left"/>
      <protection locked="0"/>
    </xf>
    <xf numFmtId="166" fontId="1" fillId="36" borderId="15" applyNumberFormat="0" applyFont="0" applyFill="0" applyAlignment="0" applyProtection="0"/>
    <xf numFmtId="176" fontId="13" fillId="32" borderId="0" applyFont="0" applyBorder="0"/>
    <xf numFmtId="175" fontId="23" fillId="0" borderId="0" applyFont="0" applyFill="0" applyBorder="0" applyAlignment="0" applyProtection="0">
      <protection locked="0"/>
    </xf>
    <xf numFmtId="174" fontId="13" fillId="0" borderId="0" applyFont="0" applyFill="0" applyBorder="0" applyAlignment="0" applyProtection="0">
      <alignment horizontal="center" vertical="top" wrapText="1"/>
    </xf>
    <xf numFmtId="173" fontId="19" fillId="34" borderId="14" applyNumberFormat="0" applyFill="0" applyAlignment="0"/>
    <xf numFmtId="0" fontId="18" fillId="35" borderId="14" applyNumberFormat="0" applyFill="0">
      <alignment horizontal="centerContinuous" wrapText="1"/>
    </xf>
    <xf numFmtId="172" fontId="23" fillId="0" borderId="0" applyFont="0" applyFill="0" applyBorder="0" applyAlignment="0" applyProtection="0">
      <alignment wrapText="1"/>
    </xf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>
      <protection locked="0"/>
    </xf>
    <xf numFmtId="168" fontId="24" fillId="0" borderId="0" applyFont="0" applyFill="0" applyBorder="0" applyAlignment="0" applyProtection="0">
      <alignment horizontal="left"/>
      <protection locked="0"/>
    </xf>
    <xf numFmtId="169" fontId="23" fillId="0" borderId="0" applyFont="0" applyFill="0" applyBorder="0" applyAlignment="0" applyProtection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23" fillId="32" borderId="0" applyFont="0" applyBorder="0"/>
    <xf numFmtId="176" fontId="13" fillId="32" borderId="0" applyFont="0" applyBorder="0"/>
  </cellStyleXfs>
  <cellXfs count="141">
    <xf numFmtId="0" fontId="0" fillId="0" borderId="0" xfId="0"/>
    <xf numFmtId="0" fontId="0" fillId="0" borderId="0" xfId="0"/>
    <xf numFmtId="0" fontId="12" fillId="32" borderId="6" xfId="0" applyFont="1" applyFill="1" applyBorder="1"/>
    <xf numFmtId="0" fontId="12" fillId="32" borderId="7" xfId="0" applyFont="1" applyFill="1" applyBorder="1"/>
    <xf numFmtId="0" fontId="12" fillId="32" borderId="8" xfId="0" applyFont="1" applyFill="1" applyBorder="1"/>
    <xf numFmtId="0" fontId="12" fillId="32" borderId="9" xfId="0" applyFont="1" applyFill="1" applyBorder="1" applyAlignment="1">
      <alignment horizontal="centerContinuous"/>
    </xf>
    <xf numFmtId="0" fontId="12" fillId="32" borderId="0" xfId="0" applyFont="1" applyFill="1" applyBorder="1" applyAlignment="1">
      <alignment horizontal="centerContinuous"/>
    </xf>
    <xf numFmtId="0" fontId="12" fillId="32" borderId="9" xfId="0" applyFont="1" applyFill="1" applyBorder="1"/>
    <xf numFmtId="0" fontId="0" fillId="0" borderId="0" xfId="0" applyBorder="1"/>
    <xf numFmtId="0" fontId="12" fillId="32" borderId="10" xfId="0" applyFont="1" applyFill="1" applyBorder="1"/>
    <xf numFmtId="0" fontId="12" fillId="32" borderId="9" xfId="0" applyFont="1" applyFill="1" applyBorder="1" applyAlignment="1"/>
    <xf numFmtId="0" fontId="12" fillId="32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20" fillId="0" borderId="0" xfId="5"/>
    <xf numFmtId="49" fontId="20" fillId="0" borderId="13" xfId="5" applyBorder="1"/>
    <xf numFmtId="0" fontId="22" fillId="0" borderId="10" xfId="0" applyFont="1" applyFill="1" applyBorder="1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25" fillId="0" borderId="0" xfId="20">
      <alignment horizontal="left" indent="1"/>
    </xf>
    <xf numFmtId="49" fontId="14" fillId="0" borderId="0" xfId="6" applyFill="1" applyBorder="1" applyAlignment="1">
      <alignment horizontal="left" indent="1"/>
    </xf>
    <xf numFmtId="168" fontId="0" fillId="0" borderId="0" xfId="56" applyFont="1" applyBorder="1" applyAlignment="1" applyProtection="1"/>
    <xf numFmtId="49" fontId="20" fillId="0" borderId="0" xfId="5" applyBorder="1"/>
    <xf numFmtId="49" fontId="14" fillId="0" borderId="0" xfId="6"/>
    <xf numFmtId="177" fontId="0" fillId="0" borderId="0" xfId="50" applyNumberFormat="1" applyFont="1" applyAlignment="1"/>
    <xf numFmtId="168" fontId="1" fillId="0" borderId="14" xfId="14" applyNumberFormat="1" applyFill="1" applyAlignment="1"/>
    <xf numFmtId="0" fontId="18" fillId="0" borderId="14" xfId="52" applyFill="1">
      <alignment horizontal="centerContinuous" wrapText="1"/>
    </xf>
    <xf numFmtId="0" fontId="0" fillId="0" borderId="0" xfId="0" applyFill="1" applyBorder="1"/>
    <xf numFmtId="0" fontId="26" fillId="32" borderId="10" xfId="0" applyFont="1" applyFill="1" applyBorder="1" applyAlignment="1">
      <alignment horizontal="centerContinuous"/>
    </xf>
    <xf numFmtId="0" fontId="0" fillId="0" borderId="13" xfId="0" applyFont="1" applyFill="1" applyBorder="1"/>
    <xf numFmtId="0" fontId="1" fillId="0" borderId="14" xfId="14" applyFill="1" applyAlignment="1">
      <alignment vertical="top" wrapText="1"/>
    </xf>
    <xf numFmtId="49" fontId="16" fillId="0" borderId="0" xfId="8" applyFill="1">
      <alignment horizontal="left"/>
    </xf>
    <xf numFmtId="0" fontId="1" fillId="0" borderId="14" xfId="14" applyFill="1" applyAlignment="1">
      <alignment vertical="top" wrapText="1"/>
    </xf>
    <xf numFmtId="0" fontId="17" fillId="0" borderId="14" xfId="13" applyFill="1">
      <protection locked="0"/>
    </xf>
    <xf numFmtId="0" fontId="1" fillId="0" borderId="14" xfId="14" applyFill="1"/>
    <xf numFmtId="177" fontId="17" fillId="0" borderId="14" xfId="60" applyFont="1" applyFill="1" applyBorder="1" applyProtection="1">
      <protection locked="0"/>
    </xf>
    <xf numFmtId="172" fontId="17" fillId="0" borderId="14" xfId="53" applyFont="1" applyFill="1" applyBorder="1" applyAlignment="1" applyProtection="1">
      <protection locked="0"/>
    </xf>
    <xf numFmtId="175" fontId="17" fillId="0" borderId="14" xfId="49" applyFont="1" applyFill="1" applyBorder="1">
      <protection locked="0"/>
    </xf>
    <xf numFmtId="49" fontId="15" fillId="0" borderId="0" xfId="7"/>
    <xf numFmtId="179" fontId="17" fillId="0" borderId="14" xfId="2" applyFont="1" applyFill="1" applyBorder="1" applyProtection="1">
      <protection locked="0"/>
    </xf>
    <xf numFmtId="179" fontId="0" fillId="0" borderId="0" xfId="2" applyFont="1"/>
    <xf numFmtId="179" fontId="1" fillId="0" borderId="14" xfId="14" applyNumberFormat="1" applyFill="1"/>
    <xf numFmtId="0" fontId="19" fillId="0" borderId="14" xfId="51" applyNumberFormat="1" applyFill="1"/>
    <xf numFmtId="172" fontId="19" fillId="0" borderId="14" xfId="51" applyNumberFormat="1" applyFill="1" applyAlignment="1"/>
    <xf numFmtId="177" fontId="19" fillId="0" borderId="14" xfId="51" applyNumberFormat="1" applyFill="1"/>
    <xf numFmtId="175" fontId="19" fillId="0" borderId="14" xfId="51" applyNumberFormat="1" applyFill="1"/>
    <xf numFmtId="179" fontId="19" fillId="0" borderId="14" xfId="51" applyNumberFormat="1" applyFill="1"/>
    <xf numFmtId="179" fontId="17" fillId="0" borderId="0" xfId="2" applyFont="1" applyFill="1" applyBorder="1" applyProtection="1">
      <protection locked="0"/>
    </xf>
    <xf numFmtId="179" fontId="19" fillId="0" borderId="14" xfId="2" applyFont="1" applyFill="1" applyBorder="1"/>
    <xf numFmtId="177" fontId="19" fillId="0" borderId="14" xfId="60" applyFont="1" applyFill="1" applyBorder="1"/>
    <xf numFmtId="175" fontId="19" fillId="0" borderId="14" xfId="49" applyFont="1" applyFill="1" applyBorder="1" applyProtection="1"/>
    <xf numFmtId="180" fontId="0" fillId="0" borderId="0" xfId="0" applyNumberFormat="1"/>
    <xf numFmtId="180" fontId="28" fillId="0" borderId="0" xfId="0" applyNumberFormat="1" applyFont="1" applyAlignment="1">
      <alignment horizontal="right"/>
    </xf>
    <xf numFmtId="0" fontId="2" fillId="0" borderId="0" xfId="0" applyFont="1"/>
    <xf numFmtId="179" fontId="19" fillId="0" borderId="0" xfId="2" applyFont="1" applyFill="1" applyBorder="1"/>
    <xf numFmtId="180" fontId="2" fillId="0" borderId="0" xfId="0" applyNumberFormat="1" applyFont="1"/>
    <xf numFmtId="180" fontId="2" fillId="0" borderId="0" xfId="0" applyNumberFormat="1" applyFont="1" applyFill="1"/>
    <xf numFmtId="180" fontId="0" fillId="0" borderId="0" xfId="0" applyNumberFormat="1" applyFill="1"/>
    <xf numFmtId="180" fontId="1" fillId="0" borderId="14" xfId="14" applyNumberFormat="1" applyFill="1"/>
    <xf numFmtId="10" fontId="1" fillId="0" borderId="14" xfId="14" applyNumberFormat="1" applyFill="1"/>
    <xf numFmtId="175" fontId="1" fillId="0" borderId="14" xfId="14" applyNumberFormat="1" applyFill="1"/>
    <xf numFmtId="180" fontId="1" fillId="0" borderId="0" xfId="14" applyNumberFormat="1" applyFill="1" applyBorder="1"/>
    <xf numFmtId="175" fontId="17" fillId="0" borderId="14" xfId="49" applyFont="1" applyFill="1" applyBorder="1" applyProtection="1">
      <protection locked="0"/>
    </xf>
    <xf numFmtId="177" fontId="1" fillId="0" borderId="14" xfId="60" applyFill="1" applyBorder="1"/>
    <xf numFmtId="175" fontId="1" fillId="0" borderId="14" xfId="49" applyFont="1" applyFill="1" applyBorder="1" applyProtection="1"/>
    <xf numFmtId="172" fontId="18" fillId="0" borderId="14" xfId="52" applyNumberFormat="1" applyFill="1">
      <alignment horizontal="centerContinuous" wrapText="1"/>
    </xf>
    <xf numFmtId="179" fontId="1" fillId="0" borderId="14" xfId="2" applyFont="1" applyFill="1" applyBorder="1"/>
    <xf numFmtId="179" fontId="17" fillId="0" borderId="14" xfId="2" applyFont="1" applyFill="1" applyBorder="1" applyAlignment="1" applyProtection="1">
      <protection locked="0"/>
    </xf>
    <xf numFmtId="0" fontId="1" fillId="0" borderId="14" xfId="14" applyFill="1" applyAlignment="1">
      <alignment vertical="top" wrapText="1"/>
    </xf>
    <xf numFmtId="10" fontId="0" fillId="0" borderId="0" xfId="0" applyNumberFormat="1"/>
    <xf numFmtId="0" fontId="0" fillId="0" borderId="0" xfId="0" applyFill="1"/>
    <xf numFmtId="49" fontId="25" fillId="0" borderId="0" xfId="20" quotePrefix="1" applyFill="1" applyAlignment="1" applyProtection="1">
      <alignment horizontal="left" vertical="top"/>
    </xf>
    <xf numFmtId="0" fontId="29" fillId="0" borderId="0" xfId="0" applyFont="1" applyFill="1"/>
    <xf numFmtId="168" fontId="14" fillId="0" borderId="0" xfId="6" applyNumberFormat="1" applyFont="1" applyFill="1" applyBorder="1"/>
    <xf numFmtId="0" fontId="18" fillId="0" borderId="16" xfId="52" applyFill="1" applyBorder="1">
      <alignment horizontal="centerContinuous" wrapText="1"/>
    </xf>
    <xf numFmtId="168" fontId="18" fillId="0" borderId="16" xfId="52" applyNumberFormat="1" applyFill="1" applyBorder="1" applyAlignment="1">
      <alignment horizontal="right" wrapText="1"/>
    </xf>
    <xf numFmtId="168" fontId="0" fillId="0" borderId="14" xfId="14" applyNumberFormat="1" applyFont="1" applyFill="1" applyAlignment="1"/>
    <xf numFmtId="168" fontId="0" fillId="0" borderId="14" xfId="14" applyNumberFormat="1" applyFont="1" applyFill="1" applyAlignment="1">
      <alignment horizontal="center"/>
    </xf>
    <xf numFmtId="179" fontId="19" fillId="0" borderId="14" xfId="2" applyNumberFormat="1" applyFont="1" applyFill="1" applyBorder="1"/>
    <xf numFmtId="0" fontId="18" fillId="0" borderId="0" xfId="52" applyNumberFormat="1" applyFill="1" applyBorder="1">
      <alignment horizontal="centerContinuous" wrapText="1"/>
    </xf>
    <xf numFmtId="168" fontId="0" fillId="0" borderId="17" xfId="56" applyNumberFormat="1" applyFont="1" applyFill="1" applyBorder="1" applyAlignment="1" applyProtection="1"/>
    <xf numFmtId="168" fontId="0" fillId="0" borderId="17" xfId="56" applyFont="1" applyFill="1" applyBorder="1" applyAlignment="1" applyProtection="1"/>
    <xf numFmtId="172" fontId="0" fillId="0" borderId="17" xfId="53" applyFont="1" applyFill="1" applyBorder="1" applyAlignment="1"/>
    <xf numFmtId="168" fontId="25" fillId="0" borderId="0" xfId="20" applyNumberFormat="1" applyFill="1" applyBorder="1">
      <alignment horizontal="left" indent="1"/>
    </xf>
    <xf numFmtId="171" fontId="0" fillId="0" borderId="17" xfId="54" applyFont="1" applyFill="1" applyBorder="1"/>
    <xf numFmtId="171" fontId="0" fillId="0" borderId="14" xfId="14" applyNumberFormat="1" applyFont="1" applyFill="1"/>
    <xf numFmtId="0" fontId="18" fillId="0" borderId="16" xfId="52" applyNumberFormat="1" applyFill="1" applyBorder="1" applyAlignment="1">
      <alignment horizontal="right" wrapText="1"/>
    </xf>
    <xf numFmtId="171" fontId="1" fillId="0" borderId="14" xfId="14" applyNumberFormat="1" applyFill="1"/>
    <xf numFmtId="0" fontId="25" fillId="0" borderId="0" xfId="20" applyNumberFormat="1" applyFill="1" applyBorder="1">
      <alignment horizontal="left" indent="1"/>
    </xf>
    <xf numFmtId="0" fontId="31" fillId="0" borderId="0" xfId="0" applyFont="1" applyFill="1"/>
    <xf numFmtId="0" fontId="18" fillId="0" borderId="0" xfId="52" applyNumberFormat="1" applyFill="1" applyBorder="1" applyAlignment="1">
      <alignment horizontal="right" wrapText="1"/>
    </xf>
    <xf numFmtId="171" fontId="19" fillId="0" borderId="14" xfId="54" applyFont="1" applyFill="1" applyBorder="1"/>
    <xf numFmtId="179" fontId="0" fillId="0" borderId="0" xfId="0" applyNumberFormat="1"/>
    <xf numFmtId="0" fontId="1" fillId="0" borderId="14" xfId="14" applyFill="1" applyAlignment="1">
      <alignment vertical="top" wrapText="1"/>
    </xf>
    <xf numFmtId="181" fontId="1" fillId="0" borderId="14" xfId="14" applyNumberFormat="1" applyFill="1"/>
    <xf numFmtId="168" fontId="18" fillId="0" borderId="14" xfId="52" applyNumberFormat="1" applyFill="1" applyAlignment="1">
      <alignment horizontal="left" wrapText="1"/>
    </xf>
    <xf numFmtId="0" fontId="18" fillId="0" borderId="14" xfId="52" applyFill="1" applyAlignment="1">
      <alignment horizontal="center" wrapText="1"/>
    </xf>
    <xf numFmtId="0" fontId="0" fillId="0" borderId="14" xfId="14" applyFont="1" applyFill="1"/>
    <xf numFmtId="168" fontId="17" fillId="0" borderId="14" xfId="13" applyNumberFormat="1" applyFill="1" applyAlignment="1">
      <alignment horizontal="center"/>
      <protection locked="0"/>
    </xf>
    <xf numFmtId="168" fontId="1" fillId="0" borderId="14" xfId="14" applyNumberFormat="1" applyFont="1" applyFill="1" applyAlignment="1"/>
    <xf numFmtId="0" fontId="0" fillId="0" borderId="14" xfId="14" applyFont="1" applyFill="1" applyAlignment="1">
      <alignment horizontal="right"/>
    </xf>
    <xf numFmtId="0" fontId="19" fillId="0" borderId="14" xfId="51" applyNumberFormat="1" applyFill="1" applyAlignment="1" applyProtection="1">
      <alignment horizontal="center"/>
      <protection locked="0"/>
    </xf>
    <xf numFmtId="0" fontId="0" fillId="0" borderId="14" xfId="14" applyFont="1" applyFill="1" applyProtection="1">
      <protection locked="0"/>
    </xf>
    <xf numFmtId="182" fontId="0" fillId="0" borderId="14" xfId="2" applyNumberFormat="1" applyFont="1" applyFill="1" applyBorder="1" applyAlignment="1" applyProtection="1">
      <alignment horizontal="center"/>
      <protection locked="0"/>
    </xf>
    <xf numFmtId="168" fontId="0" fillId="0" borderId="14" xfId="56" applyFont="1" applyFill="1" applyBorder="1" applyAlignment="1" applyProtection="1">
      <alignment horizontal="left"/>
    </xf>
    <xf numFmtId="179" fontId="19" fillId="0" borderId="14" xfId="2" applyNumberFormat="1" applyFont="1" applyFill="1" applyBorder="1" applyProtection="1">
      <protection locked="0"/>
    </xf>
    <xf numFmtId="0" fontId="19" fillId="0" borderId="14" xfId="51" applyNumberFormat="1" applyFill="1" applyAlignment="1">
      <alignment horizontal="center"/>
    </xf>
    <xf numFmtId="174" fontId="19" fillId="0" borderId="14" xfId="50" applyFont="1" applyFill="1" applyBorder="1" applyAlignment="1" applyProtection="1">
      <protection locked="0"/>
    </xf>
    <xf numFmtId="177" fontId="1" fillId="0" borderId="14" xfId="14" applyNumberFormat="1" applyFill="1" applyAlignment="1">
      <alignment horizontal="left"/>
    </xf>
    <xf numFmtId="177" fontId="19" fillId="0" borderId="14" xfId="60" applyNumberFormat="1" applyFont="1" applyFill="1" applyBorder="1"/>
    <xf numFmtId="164" fontId="1" fillId="0" borderId="14" xfId="14" applyNumberFormat="1" applyFill="1"/>
    <xf numFmtId="170" fontId="19" fillId="0" borderId="14" xfId="55" applyFont="1" applyFill="1" applyBorder="1" applyProtection="1">
      <protection locked="0"/>
    </xf>
    <xf numFmtId="174" fontId="0" fillId="0" borderId="0" xfId="50" applyFont="1" applyAlignment="1" applyProtection="1"/>
    <xf numFmtId="168" fontId="0" fillId="0" borderId="0" xfId="56" applyFont="1" applyFill="1" applyBorder="1" applyAlignment="1" applyProtection="1">
      <alignment horizontal="left"/>
    </xf>
    <xf numFmtId="0" fontId="19" fillId="0" borderId="14" xfId="51" applyNumberFormat="1" applyFill="1" applyAlignment="1">
      <alignment horizontal="center" wrapText="1"/>
    </xf>
    <xf numFmtId="174" fontId="0" fillId="0" borderId="0" xfId="60" applyNumberFormat="1" applyFont="1"/>
    <xf numFmtId="180" fontId="0" fillId="0" borderId="14" xfId="14" applyNumberFormat="1" applyFont="1" applyFill="1"/>
    <xf numFmtId="0" fontId="21" fillId="35" borderId="18" xfId="0" applyFont="1" applyFill="1" applyBorder="1"/>
    <xf numFmtId="0" fontId="21" fillId="35" borderId="19" xfId="0" applyFont="1" applyFill="1" applyBorder="1"/>
    <xf numFmtId="49" fontId="0" fillId="34" borderId="20" xfId="0" applyNumberFormat="1" applyFill="1" applyBorder="1"/>
    <xf numFmtId="0" fontId="27" fillId="34" borderId="21" xfId="58" applyFill="1" applyBorder="1" applyAlignment="1" applyProtection="1"/>
    <xf numFmtId="49" fontId="0" fillId="34" borderId="22" xfId="0" applyNumberFormat="1" applyFill="1" applyBorder="1"/>
    <xf numFmtId="0" fontId="27" fillId="34" borderId="23" xfId="58" applyFill="1" applyBorder="1" applyAlignment="1" applyProtection="1">
      <alignment horizontal="left" indent="1"/>
    </xf>
    <xf numFmtId="49" fontId="0" fillId="36" borderId="20" xfId="0" applyNumberFormat="1" applyFill="1" applyBorder="1"/>
    <xf numFmtId="0" fontId="27" fillId="36" borderId="21" xfId="58" applyFill="1" applyBorder="1" applyAlignment="1" applyProtection="1"/>
    <xf numFmtId="49" fontId="0" fillId="36" borderId="22" xfId="0" applyNumberFormat="1" applyFill="1" applyBorder="1"/>
    <xf numFmtId="0" fontId="27" fillId="36" borderId="23" xfId="58" applyFill="1" applyBorder="1" applyAlignment="1" applyProtection="1">
      <alignment horizontal="left" indent="1"/>
    </xf>
    <xf numFmtId="49" fontId="0" fillId="34" borderId="24" xfId="0" applyNumberFormat="1" applyFill="1" applyBorder="1"/>
    <xf numFmtId="0" fontId="27" fillId="34" borderId="25" xfId="58" applyFill="1" applyBorder="1" applyAlignment="1" applyProtection="1">
      <alignment horizontal="left" indent="1"/>
    </xf>
    <xf numFmtId="183" fontId="22" fillId="0" borderId="10" xfId="0" applyNumberFormat="1" applyFont="1" applyFill="1" applyBorder="1" applyAlignment="1">
      <alignment horizontal="centerContinuous"/>
    </xf>
    <xf numFmtId="183" fontId="12" fillId="32" borderId="0" xfId="0" applyNumberFormat="1" applyFont="1" applyFill="1" applyBorder="1" applyAlignment="1">
      <alignment horizontal="centerContinuous"/>
    </xf>
    <xf numFmtId="183" fontId="12" fillId="32" borderId="9" xfId="0" applyNumberFormat="1" applyFont="1" applyFill="1" applyBorder="1" applyAlignment="1">
      <alignment horizontal="centerContinuous"/>
    </xf>
    <xf numFmtId="183" fontId="0" fillId="0" borderId="0" xfId="0" applyNumberFormat="1"/>
    <xf numFmtId="0" fontId="0" fillId="0" borderId="14" xfId="14" applyFont="1" applyFill="1" applyAlignment="1">
      <alignment vertical="top" wrapText="1"/>
    </xf>
    <xf numFmtId="0" fontId="1" fillId="0" borderId="14" xfId="14" applyFill="1" applyAlignment="1">
      <alignment wrapText="1"/>
    </xf>
    <xf numFmtId="0" fontId="18" fillId="0" borderId="14" xfId="52" applyFill="1" applyAlignment="1">
      <alignment horizontal="center" wrapText="1"/>
    </xf>
    <xf numFmtId="0" fontId="19" fillId="0" borderId="14" xfId="51" applyNumberFormat="1" applyFill="1" applyAlignment="1">
      <alignment horizontal="center"/>
    </xf>
  </cellXfs>
  <cellStyles count="64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 [0]" xfId="2" builtinId="6" customBuiltin="1"/>
    <cellStyle name="Comma [0] 2" xfId="61" xr:uid="{00000000-0005-0000-0000-00001D000000}"/>
    <cellStyle name="Comma [1]" xfId="57" xr:uid="{00000000-0005-0000-0000-00001E000000}"/>
    <cellStyle name="Comma [2]" xfId="55" xr:uid="{00000000-0005-0000-0000-00001F000000}"/>
    <cellStyle name="Comma [4]" xfId="54" xr:uid="{00000000-0005-0000-0000-000020000000}"/>
    <cellStyle name="Currency" xfId="3" builtinId="4" hidden="1"/>
    <cellStyle name="Currency [0]" xfId="4" builtinId="7" hidden="1"/>
    <cellStyle name="Date (short)" xfId="53" xr:uid="{00000000-0005-0000-0000-000023000000}"/>
    <cellStyle name="Explanatory Text" xfId="20" builtinId="53" customBuiltin="1"/>
    <cellStyle name="Good" xfId="10" builtinId="26" hidde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hidden="1"/>
    <cellStyle name="Hyperlink" xfId="58" builtinId="8" customBuiltin="1"/>
    <cellStyle name="Input" xfId="13" builtinId="20" customBuiltin="1"/>
    <cellStyle name="Label" xfId="52" xr:uid="{00000000-0005-0000-0000-00002C000000}"/>
    <cellStyle name="Link" xfId="51" xr:uid="{00000000-0005-0000-0000-00002D000000}"/>
    <cellStyle name="Linked Cell" xfId="16" builtinId="24" hidden="1"/>
    <cellStyle name="Neutral" xfId="12" builtinId="28" hidden="1"/>
    <cellStyle name="Normal" xfId="0" builtinId="0" customBuiltin="1"/>
    <cellStyle name="Note" xfId="19" builtinId="10" hidden="1"/>
    <cellStyle name="Output" xfId="14" builtinId="21" customBuiltin="1"/>
    <cellStyle name="Percent" xfId="59" builtinId="5" hidden="1" customBuiltin="1"/>
    <cellStyle name="Percent [0]" xfId="60" xr:uid="{00000000-0005-0000-0000-000034000000}"/>
    <cellStyle name="Percent [1]" xfId="50" xr:uid="{00000000-0005-0000-0000-000035000000}"/>
    <cellStyle name="Percent [2]" xfId="49" xr:uid="{00000000-0005-0000-0000-000036000000}"/>
    <cellStyle name="Percent [3]" xfId="48" xr:uid="{00000000-0005-0000-0000-000037000000}"/>
    <cellStyle name="Percent [3] 3" xfId="63" xr:uid="{00000000-0005-0000-0000-000038000000}"/>
    <cellStyle name="Percent [3] 4" xfId="62" xr:uid="{00000000-0005-0000-0000-000039000000}"/>
    <cellStyle name="Rt border" xfId="47" xr:uid="{00000000-0005-0000-0000-00003A000000}"/>
    <cellStyle name="Text" xfId="56" xr:uid="{00000000-0005-0000-0000-00003B000000}"/>
    <cellStyle name="Title" xfId="5" builtinId="15" customBuiltin="1"/>
    <cellStyle name="Total" xfId="21" builtinId="25" hidden="1"/>
    <cellStyle name="Warning Text" xfId="18" builtinId="11" hidden="1"/>
    <cellStyle name="Year" xfId="46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2387600</xdr:rowOff>
    </xdr:from>
    <xdr:to>
      <xdr:col>4</xdr:col>
      <xdr:colOff>0</xdr:colOff>
      <xdr:row>15</xdr:row>
      <xdr:rowOff>82550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8100"/>
          <a:ext cx="94043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38100</xdr:rowOff>
    </xdr:from>
    <xdr:to>
      <xdr:col>1</xdr:col>
      <xdr:colOff>1216152</xdr:colOff>
      <xdr:row>1</xdr:row>
      <xdr:rowOff>888492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28600"/>
          <a:ext cx="2816352" cy="85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mmission Bronze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D18"/>
  <sheetViews>
    <sheetView showGridLines="0" tabSelected="1" view="pageBreakPreview" zoomScaleNormal="100" zoomScaleSheetLayoutView="100" workbookViewId="0"/>
  </sheetViews>
  <sheetFormatPr defaultColWidth="9.1328125" defaultRowHeight="14.25" x14ac:dyDescent="0.45"/>
  <cols>
    <col min="1" max="1" width="26.59765625" style="1" customWidth="1"/>
    <col min="2" max="2" width="43.1328125" style="1" customWidth="1"/>
    <col min="3" max="3" width="32.59765625" style="1" customWidth="1"/>
    <col min="4" max="4" width="32.3984375" style="1" customWidth="1"/>
    <col min="5" max="16384" width="9.1328125" style="1"/>
  </cols>
  <sheetData>
    <row r="1" spans="1:4" ht="15" customHeight="1" x14ac:dyDescent="0.45">
      <c r="A1" s="33"/>
      <c r="B1" s="13"/>
      <c r="C1" s="13"/>
      <c r="D1" s="12"/>
    </row>
    <row r="2" spans="1:4" ht="189" customHeight="1" x14ac:dyDescent="0.45">
      <c r="A2" s="9"/>
      <c r="B2" s="11"/>
      <c r="C2" s="11"/>
      <c r="D2" s="7"/>
    </row>
    <row r="3" spans="1:4" ht="22.5" customHeight="1" x14ac:dyDescent="0.6">
      <c r="A3" s="20" t="s">
        <v>10</v>
      </c>
      <c r="B3" s="6"/>
      <c r="C3" s="6"/>
      <c r="D3" s="5"/>
    </row>
    <row r="4" spans="1:4" ht="22.5" customHeight="1" x14ac:dyDescent="0.6">
      <c r="A4" s="20" t="s">
        <v>11</v>
      </c>
      <c r="B4" s="6"/>
      <c r="C4" s="6"/>
      <c r="D4" s="5"/>
    </row>
    <row r="5" spans="1:4" ht="22.5" customHeight="1" x14ac:dyDescent="0.6">
      <c r="A5" s="20" t="s">
        <v>241</v>
      </c>
      <c r="B5" s="6"/>
      <c r="C5" s="6"/>
      <c r="D5" s="5"/>
    </row>
    <row r="6" spans="1:4" s="136" customFormat="1" ht="22.5" customHeight="1" x14ac:dyDescent="0.6">
      <c r="A6" s="133">
        <v>43405</v>
      </c>
      <c r="B6" s="134"/>
      <c r="C6" s="134"/>
      <c r="D6" s="135"/>
    </row>
    <row r="7" spans="1:4" ht="42" customHeight="1" x14ac:dyDescent="0.45">
      <c r="A7" s="9"/>
      <c r="B7" s="11"/>
      <c r="C7" s="11"/>
      <c r="D7" s="7"/>
    </row>
    <row r="8" spans="1:4" ht="15" customHeight="1" x14ac:dyDescent="0.45">
      <c r="A8" s="9"/>
      <c r="B8" s="8"/>
      <c r="C8" s="8"/>
      <c r="D8" s="10"/>
    </row>
    <row r="9" spans="1:4" ht="15" customHeight="1" x14ac:dyDescent="0.45">
      <c r="A9" s="9"/>
      <c r="B9" s="8"/>
      <c r="C9" s="8"/>
      <c r="D9" s="7"/>
    </row>
    <row r="10" spans="1:4" ht="15" customHeight="1" x14ac:dyDescent="0.45">
      <c r="A10" s="9"/>
      <c r="B10" s="8"/>
      <c r="C10" s="8"/>
      <c r="D10" s="7"/>
    </row>
    <row r="11" spans="1:4" ht="15" customHeight="1" x14ac:dyDescent="0.45">
      <c r="A11" s="9"/>
      <c r="B11" s="8"/>
      <c r="C11" s="8"/>
      <c r="D11" s="7"/>
    </row>
    <row r="12" spans="1:4" ht="15" customHeight="1" x14ac:dyDescent="0.45">
      <c r="A12" s="9"/>
      <c r="B12" s="8"/>
      <c r="C12" s="8"/>
      <c r="D12" s="10"/>
    </row>
    <row r="13" spans="1:4" ht="15" customHeight="1" x14ac:dyDescent="0.45">
      <c r="A13" s="9"/>
      <c r="B13" s="8"/>
      <c r="C13" s="8"/>
      <c r="D13" s="10"/>
    </row>
    <row r="14" spans="1:4" ht="15" customHeight="1" x14ac:dyDescent="0.45">
      <c r="A14" s="9"/>
      <c r="B14" s="8"/>
      <c r="C14" s="8"/>
      <c r="D14" s="7"/>
    </row>
    <row r="15" spans="1:4" ht="15" customHeight="1" x14ac:dyDescent="0.45">
      <c r="A15" s="9"/>
      <c r="B15" s="8"/>
      <c r="C15" s="8"/>
      <c r="D15" s="7"/>
    </row>
    <row r="16" spans="1:4" ht="15" customHeight="1" x14ac:dyDescent="0.45">
      <c r="A16" s="9"/>
      <c r="B16" s="8"/>
      <c r="C16" s="8"/>
      <c r="D16" s="7"/>
    </row>
    <row r="17" spans="1:4" ht="15" customHeight="1" x14ac:dyDescent="0.45">
      <c r="A17" s="32"/>
      <c r="B17" s="6"/>
      <c r="C17" s="6"/>
      <c r="D17" s="5"/>
    </row>
    <row r="18" spans="1:4" ht="15" customHeight="1" x14ac:dyDescent="0.45">
      <c r="A18" s="4"/>
      <c r="B18" s="3"/>
      <c r="C18" s="3"/>
      <c r="D18" s="2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F21"/>
  <sheetViews>
    <sheetView showGridLines="0" view="pageBreakPreview" zoomScaleNormal="100" zoomScaleSheetLayoutView="100" workbookViewId="0"/>
  </sheetViews>
  <sheetFormatPr defaultColWidth="9.1328125" defaultRowHeight="14.25" x14ac:dyDescent="0.45"/>
  <cols>
    <col min="1" max="1" width="2.59765625" style="1" customWidth="1"/>
    <col min="2" max="2" width="23.3984375" style="1" customWidth="1"/>
    <col min="3" max="3" width="100.59765625" style="1" customWidth="1"/>
    <col min="4" max="5" width="14.59765625" style="1" customWidth="1"/>
    <col min="6" max="6" width="2.59765625" style="1" customWidth="1"/>
    <col min="7" max="16384" width="9.1328125" style="1"/>
  </cols>
  <sheetData>
    <row r="1" spans="1:6" ht="25.5" x14ac:dyDescent="0.75">
      <c r="A1" s="26" t="s">
        <v>0</v>
      </c>
      <c r="B1" s="8"/>
      <c r="C1" s="8"/>
      <c r="D1" s="8"/>
      <c r="E1" s="8"/>
      <c r="F1" s="8"/>
    </row>
    <row r="2" spans="1:6" x14ac:dyDescent="0.45">
      <c r="A2" s="8"/>
      <c r="B2" s="8"/>
      <c r="C2" s="8"/>
      <c r="D2" s="8"/>
      <c r="E2" s="8"/>
      <c r="F2" s="8"/>
    </row>
    <row r="3" spans="1:6" x14ac:dyDescent="0.45">
      <c r="A3" s="8"/>
      <c r="B3" s="8"/>
      <c r="C3" s="8"/>
      <c r="D3" s="8"/>
      <c r="E3" s="8"/>
      <c r="F3" s="8"/>
    </row>
    <row r="4" spans="1:6" x14ac:dyDescent="0.45">
      <c r="A4" s="8"/>
      <c r="B4" s="8"/>
      <c r="C4" s="8"/>
      <c r="D4" s="8"/>
      <c r="E4" s="8"/>
      <c r="F4" s="8"/>
    </row>
    <row r="5" spans="1:6" ht="23.25" x14ac:dyDescent="0.7">
      <c r="A5" s="8"/>
      <c r="B5" s="24" t="s">
        <v>4</v>
      </c>
      <c r="C5" s="8"/>
      <c r="D5" s="8"/>
      <c r="E5" s="8"/>
      <c r="F5" s="8"/>
    </row>
    <row r="6" spans="1:6" x14ac:dyDescent="0.45">
      <c r="A6" s="8"/>
      <c r="B6" s="137" t="s">
        <v>242</v>
      </c>
      <c r="C6" s="138"/>
      <c r="D6" s="138"/>
      <c r="E6" s="138"/>
      <c r="F6" s="8"/>
    </row>
    <row r="7" spans="1:6" ht="88.35" customHeight="1" x14ac:dyDescent="0.45">
      <c r="A7" s="8"/>
      <c r="B7" s="138"/>
      <c r="C7" s="138"/>
      <c r="D7" s="138"/>
      <c r="E7" s="138"/>
      <c r="F7" s="8"/>
    </row>
    <row r="8" spans="1:6" ht="20.45" customHeight="1" x14ac:dyDescent="0.45">
      <c r="A8" s="8"/>
      <c r="B8" s="31"/>
      <c r="C8" s="31"/>
      <c r="D8" s="31"/>
      <c r="E8" s="31"/>
      <c r="F8" s="8"/>
    </row>
    <row r="9" spans="1:6" x14ac:dyDescent="0.45">
      <c r="A9" s="8"/>
      <c r="B9" s="25"/>
      <c r="C9" s="25"/>
      <c r="D9" s="8"/>
      <c r="E9" s="8"/>
      <c r="F9" s="8"/>
    </row>
    <row r="10" spans="1:6" x14ac:dyDescent="0.45">
      <c r="A10" s="8"/>
      <c r="B10" s="8"/>
      <c r="C10" s="8"/>
      <c r="D10" s="8"/>
      <c r="E10" s="8"/>
      <c r="F10" s="8"/>
    </row>
    <row r="11" spans="1:6" x14ac:dyDescent="0.45">
      <c r="A11" s="8"/>
      <c r="B11" s="8"/>
      <c r="C11" s="8"/>
      <c r="D11" s="8"/>
      <c r="E11" s="8"/>
      <c r="F11" s="8"/>
    </row>
    <row r="12" spans="1:6" x14ac:dyDescent="0.45">
      <c r="A12" s="8"/>
      <c r="B12" s="8"/>
      <c r="C12" s="8"/>
      <c r="D12" s="8"/>
      <c r="E12" s="8"/>
      <c r="F12" s="8"/>
    </row>
    <row r="13" spans="1:6" x14ac:dyDescent="0.45">
      <c r="A13" s="8"/>
      <c r="B13" s="8"/>
      <c r="C13" s="8"/>
      <c r="D13" s="8"/>
      <c r="E13" s="8"/>
      <c r="F13" s="8"/>
    </row>
    <row r="14" spans="1:6" x14ac:dyDescent="0.45">
      <c r="A14" s="8"/>
      <c r="B14" s="8"/>
      <c r="C14" s="8"/>
      <c r="D14" s="8"/>
      <c r="E14" s="8"/>
      <c r="F14" s="8"/>
    </row>
    <row r="15" spans="1:6" x14ac:dyDescent="0.45">
      <c r="A15" s="8"/>
      <c r="B15" s="8"/>
      <c r="C15" s="8"/>
      <c r="D15" s="8"/>
      <c r="E15" s="8"/>
      <c r="F15" s="8"/>
    </row>
    <row r="16" spans="1:6" x14ac:dyDescent="0.45">
      <c r="A16" s="8"/>
      <c r="B16" s="8"/>
      <c r="C16" s="8"/>
      <c r="D16" s="8"/>
      <c r="E16" s="8"/>
      <c r="F16" s="8"/>
    </row>
    <row r="17" spans="1:6" x14ac:dyDescent="0.45">
      <c r="A17" s="8"/>
      <c r="B17" s="8"/>
      <c r="C17" s="8"/>
      <c r="D17" s="8"/>
      <c r="E17" s="8"/>
      <c r="F17" s="8"/>
    </row>
    <row r="18" spans="1:6" x14ac:dyDescent="0.45">
      <c r="A18" s="8"/>
      <c r="B18" s="8"/>
      <c r="C18" s="8"/>
      <c r="D18" s="8"/>
      <c r="E18" s="8"/>
      <c r="F18" s="8"/>
    </row>
    <row r="19" spans="1:6" x14ac:dyDescent="0.45">
      <c r="A19" s="8"/>
      <c r="B19" s="8"/>
      <c r="C19" s="8"/>
      <c r="D19" s="8"/>
      <c r="E19" s="8"/>
      <c r="F19" s="8"/>
    </row>
    <row r="20" spans="1:6" x14ac:dyDescent="0.45">
      <c r="A20" s="8"/>
      <c r="B20" s="8"/>
      <c r="C20" s="8"/>
      <c r="D20" s="8"/>
      <c r="E20" s="8"/>
      <c r="F20" s="8"/>
    </row>
    <row r="21" spans="1:6" x14ac:dyDescent="0.45">
      <c r="A21" s="8"/>
      <c r="B21" s="8"/>
      <c r="C21" s="8"/>
      <c r="D21" s="8"/>
      <c r="E21" s="8"/>
      <c r="F21" s="8"/>
    </row>
  </sheetData>
  <sheetProtection formatColumns="0" formatRows="0"/>
  <mergeCells count="1">
    <mergeCell ref="B6:E7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D37"/>
  <sheetViews>
    <sheetView showGridLines="0" view="pageBreakPreview" zoomScaleNormal="100" zoomScaleSheetLayoutView="100" workbookViewId="0"/>
  </sheetViews>
  <sheetFormatPr defaultColWidth="9.1328125" defaultRowHeight="14.25" x14ac:dyDescent="0.45"/>
  <cols>
    <col min="1" max="1" width="9.1328125" style="1"/>
    <col min="2" max="2" width="19.86328125" style="1" customWidth="1"/>
    <col min="3" max="3" width="101" style="1" customWidth="1"/>
    <col min="4" max="16384" width="9.1328125" style="1"/>
  </cols>
  <sheetData>
    <row r="1" spans="1:4" ht="25.5" x14ac:dyDescent="0.75">
      <c r="A1" s="19" t="s">
        <v>1</v>
      </c>
      <c r="B1" s="17"/>
      <c r="C1" s="17"/>
      <c r="D1" s="16"/>
    </row>
    <row r="2" spans="1:4" x14ac:dyDescent="0.45">
      <c r="A2" s="15"/>
      <c r="B2" s="8"/>
      <c r="C2" s="8"/>
      <c r="D2" s="14"/>
    </row>
    <row r="3" spans="1:4" ht="14.65" thickBot="1" x14ac:dyDescent="0.5">
      <c r="A3" s="15"/>
      <c r="B3" s="8"/>
      <c r="C3" s="8"/>
      <c r="D3" s="14"/>
    </row>
    <row r="4" spans="1:4" ht="15.75" x14ac:dyDescent="0.5">
      <c r="A4" s="15"/>
      <c r="B4" s="121" t="s">
        <v>2</v>
      </c>
      <c r="C4" s="122" t="s">
        <v>3</v>
      </c>
      <c r="D4" s="14"/>
    </row>
    <row r="5" spans="1:4" x14ac:dyDescent="0.45">
      <c r="A5" s="15"/>
      <c r="B5" s="123" t="s">
        <v>5</v>
      </c>
      <c r="C5" s="124" t="s">
        <v>5</v>
      </c>
      <c r="D5" s="14"/>
    </row>
    <row r="6" spans="1:4" x14ac:dyDescent="0.45">
      <c r="A6" s="15"/>
      <c r="B6" s="125"/>
      <c r="C6" s="126" t="s">
        <v>9</v>
      </c>
      <c r="D6" s="14"/>
    </row>
    <row r="7" spans="1:4" x14ac:dyDescent="0.45">
      <c r="A7" s="15"/>
      <c r="B7" s="125"/>
      <c r="C7" s="126" t="s">
        <v>107</v>
      </c>
      <c r="D7" s="14"/>
    </row>
    <row r="8" spans="1:4" x14ac:dyDescent="0.45">
      <c r="A8" s="15"/>
      <c r="B8" s="125"/>
      <c r="C8" s="126" t="s">
        <v>196</v>
      </c>
      <c r="D8" s="14"/>
    </row>
    <row r="9" spans="1:4" x14ac:dyDescent="0.45">
      <c r="B9" s="127" t="s">
        <v>31</v>
      </c>
      <c r="C9" s="128" t="s">
        <v>31</v>
      </c>
    </row>
    <row r="10" spans="1:4" x14ac:dyDescent="0.45">
      <c r="B10" s="123" t="s">
        <v>130</v>
      </c>
      <c r="C10" s="124" t="s">
        <v>112</v>
      </c>
    </row>
    <row r="11" spans="1:4" x14ac:dyDescent="0.45">
      <c r="B11" s="125"/>
      <c r="C11" s="126" t="s">
        <v>5</v>
      </c>
    </row>
    <row r="12" spans="1:4" x14ac:dyDescent="0.45">
      <c r="B12" s="125"/>
      <c r="C12" s="126" t="s">
        <v>6</v>
      </c>
    </row>
    <row r="13" spans="1:4" x14ac:dyDescent="0.45">
      <c r="B13" s="125"/>
      <c r="C13" s="126" t="s">
        <v>7</v>
      </c>
    </row>
    <row r="14" spans="1:4" x14ac:dyDescent="0.45">
      <c r="B14" s="127" t="s">
        <v>164</v>
      </c>
      <c r="C14" s="128" t="s">
        <v>164</v>
      </c>
    </row>
    <row r="15" spans="1:4" x14ac:dyDescent="0.45">
      <c r="B15" s="129"/>
      <c r="C15" s="130" t="s">
        <v>5</v>
      </c>
    </row>
    <row r="16" spans="1:4" x14ac:dyDescent="0.45">
      <c r="B16" s="129"/>
      <c r="C16" s="130" t="s">
        <v>6</v>
      </c>
    </row>
    <row r="17" spans="2:3" x14ac:dyDescent="0.45">
      <c r="B17" s="123" t="s">
        <v>165</v>
      </c>
      <c r="C17" s="124" t="s">
        <v>165</v>
      </c>
    </row>
    <row r="18" spans="2:3" x14ac:dyDescent="0.45">
      <c r="B18" s="125"/>
      <c r="C18" s="126" t="s">
        <v>5</v>
      </c>
    </row>
    <row r="19" spans="2:3" x14ac:dyDescent="0.45">
      <c r="B19" s="125"/>
      <c r="C19" s="126" t="s">
        <v>6</v>
      </c>
    </row>
    <row r="20" spans="2:3" x14ac:dyDescent="0.45">
      <c r="B20" s="127" t="s">
        <v>108</v>
      </c>
      <c r="C20" s="128" t="s">
        <v>108</v>
      </c>
    </row>
    <row r="21" spans="2:3" x14ac:dyDescent="0.45">
      <c r="B21" s="129"/>
      <c r="C21" s="130" t="s">
        <v>5</v>
      </c>
    </row>
    <row r="22" spans="2:3" x14ac:dyDescent="0.45">
      <c r="B22" s="129"/>
      <c r="C22" s="130" t="s">
        <v>86</v>
      </c>
    </row>
    <row r="23" spans="2:3" x14ac:dyDescent="0.45">
      <c r="B23" s="129"/>
      <c r="C23" s="130" t="s">
        <v>111</v>
      </c>
    </row>
    <row r="24" spans="2:3" x14ac:dyDescent="0.45">
      <c r="B24" s="129"/>
      <c r="C24" s="130" t="s">
        <v>176</v>
      </c>
    </row>
    <row r="25" spans="2:3" x14ac:dyDescent="0.45">
      <c r="B25" s="123" t="s">
        <v>166</v>
      </c>
      <c r="C25" s="124" t="s">
        <v>205</v>
      </c>
    </row>
    <row r="26" spans="2:3" x14ac:dyDescent="0.45">
      <c r="B26" s="125"/>
      <c r="C26" s="126" t="s">
        <v>5</v>
      </c>
    </row>
    <row r="27" spans="2:3" x14ac:dyDescent="0.45">
      <c r="B27" s="125"/>
      <c r="C27" s="126" t="s">
        <v>34</v>
      </c>
    </row>
    <row r="28" spans="2:3" x14ac:dyDescent="0.45">
      <c r="B28" s="125"/>
      <c r="C28" s="126" t="s">
        <v>86</v>
      </c>
    </row>
    <row r="29" spans="2:3" x14ac:dyDescent="0.45">
      <c r="B29" s="125"/>
      <c r="C29" s="126" t="s">
        <v>77</v>
      </c>
    </row>
    <row r="30" spans="2:3" x14ac:dyDescent="0.45">
      <c r="B30" s="125"/>
      <c r="C30" s="126" t="s">
        <v>133</v>
      </c>
    </row>
    <row r="31" spans="2:3" x14ac:dyDescent="0.45">
      <c r="B31" s="127" t="s">
        <v>167</v>
      </c>
      <c r="C31" s="128" t="s">
        <v>207</v>
      </c>
    </row>
    <row r="32" spans="2:3" x14ac:dyDescent="0.45">
      <c r="B32" s="129"/>
      <c r="C32" s="130" t="s">
        <v>109</v>
      </c>
    </row>
    <row r="33" spans="2:3" x14ac:dyDescent="0.45">
      <c r="B33" s="129"/>
      <c r="C33" s="130" t="s">
        <v>208</v>
      </c>
    </row>
    <row r="34" spans="2:3" x14ac:dyDescent="0.45">
      <c r="B34" s="129"/>
      <c r="C34" s="130" t="s">
        <v>200</v>
      </c>
    </row>
    <row r="35" spans="2:3" x14ac:dyDescent="0.45">
      <c r="B35" s="129"/>
      <c r="C35" s="130" t="s">
        <v>201</v>
      </c>
    </row>
    <row r="36" spans="2:3" x14ac:dyDescent="0.45">
      <c r="B36" s="123" t="s">
        <v>8</v>
      </c>
      <c r="C36" s="124" t="s">
        <v>7</v>
      </c>
    </row>
    <row r="37" spans="2:3" ht="14.65" thickBot="1" x14ac:dyDescent="0.5">
      <c r="B37" s="131"/>
      <c r="C37" s="132" t="s">
        <v>7</v>
      </c>
    </row>
  </sheetData>
  <sheetProtection formatColumns="0" formatRows="0"/>
  <hyperlinks>
    <hyperlink ref="C5" location="'Inputs'!$A$1" tooltip="Section title. Click once to follow" display="Inputs" xr:uid="{00000000-0004-0000-0200-000000000000}"/>
    <hyperlink ref="C6" location="'Inputs'!$A$3" tooltip="Section subtitle. Click once to follow" display="General" xr:uid="{00000000-0004-0000-0200-000001000000}"/>
    <hyperlink ref="C7" location="'Inputs'!$A$29" tooltip="Section subtitle. Click once to follow" display="Base case Auckland Airport forecasts (Scenario 1)" xr:uid="{00000000-0004-0000-0200-000002000000}"/>
    <hyperlink ref="C8" location="'Inputs'!$A$97" tooltip="Section subtitle. Click once to follow" display="Scenario assumptions" xr:uid="{00000000-0004-0000-0200-000003000000}"/>
    <hyperlink ref="C9" location="'Scenario Manager'!$A$1" tooltip="Section title. Click once to follow" display="Scenario Manager" xr:uid="{00000000-0004-0000-0200-000004000000}"/>
    <hyperlink ref="C10" location="'Timing factors'!$A$1" tooltip="Section title. Click once to follow" display="Intra-year timing" xr:uid="{00000000-0004-0000-0200-000005000000}"/>
    <hyperlink ref="C11" location="'Timing factors'!$A$3" tooltip="Section subtitle. Click once to follow" display="Inputs" xr:uid="{00000000-0004-0000-0200-000006000000}"/>
    <hyperlink ref="C12" location="'Timing factors'!$A$10" tooltip="Section subtitle. Click once to follow" display="Calculations" xr:uid="{00000000-0004-0000-0200-000007000000}"/>
    <hyperlink ref="C13" location="'Timing factors'!$A$17" tooltip="Section subtitle. Click once to follow" display="Outputs" xr:uid="{00000000-0004-0000-0200-000008000000}"/>
    <hyperlink ref="C14" location="'Default asset base'!$A$1" tooltip="Section title. Click once to follow" display="Default asset base" xr:uid="{00000000-0004-0000-0200-000009000000}"/>
    <hyperlink ref="C15" location="'Default asset base'!$A$3" tooltip="Section subtitle. Click once to follow" display="Inputs" xr:uid="{00000000-0004-0000-0200-00000A000000}"/>
    <hyperlink ref="C16" location="'Default asset base'!$A$54" tooltip="Section subtitle. Click once to follow" display="Calculations" xr:uid="{00000000-0004-0000-0200-00000B000000}"/>
    <hyperlink ref="C17" location="'Scenario asset base'!$A$1" tooltip="Section title. Click once to follow" display="Scenario asset base" xr:uid="{00000000-0004-0000-0200-00000C000000}"/>
    <hyperlink ref="C18" location="'Scenario asset base'!$A$3" tooltip="Section subtitle. Click once to follow" display="Inputs" xr:uid="{00000000-0004-0000-0200-00000D000000}"/>
    <hyperlink ref="C19" location="'Scenario asset base'!$A$63" tooltip="Section subtitle. Click once to follow" display="Calculations" xr:uid="{00000000-0004-0000-0200-00000E000000}"/>
    <hyperlink ref="C20" location="'Forecast revenue and tax'!$A$1" tooltip="Section title. Click once to follow" display="Forecast revenue and tax" xr:uid="{00000000-0004-0000-0200-00000F000000}"/>
    <hyperlink ref="C21" location="'Forecast revenue and tax'!$A$3" tooltip="Section subtitle. Click once to follow" display="Inputs" xr:uid="{00000000-0004-0000-0200-000010000000}"/>
    <hyperlink ref="C22" location="'Forecast revenue and tax'!$A$28" tooltip="Section subtitle. Click once to follow" display="Calculation of regulatory profit before tax" xr:uid="{00000000-0004-0000-0200-000011000000}"/>
    <hyperlink ref="C23" location="'Forecast revenue and tax'!$A$41" tooltip="Section subtitle. Click once to follow" display="Calculation of unlevered tax" xr:uid="{00000000-0004-0000-0200-000012000000}"/>
    <hyperlink ref="C24" location="'Forecast revenue and tax'!$A$62" tooltip="Section subtitle. Click once to follow" display="Calculation of receipts from disposals " xr:uid="{00000000-0004-0000-0200-000013000000}"/>
    <hyperlink ref="C25" location="'Required revenue'!$A$1" tooltip="Section title. Click once to follow" display="Required revenue to target a midpoint WACC" xr:uid="{00000000-0004-0000-0200-000014000000}"/>
    <hyperlink ref="C26" location="'Required revenue'!$A$3" tooltip="Section subtitle. Click once to follow" display="Inputs" xr:uid="{00000000-0004-0000-0200-000015000000}"/>
    <hyperlink ref="C27" location="'Required revenue'!$A$31" tooltip="Section subtitle. Click once to follow" display="Calculation of revenue required to target a specified return" xr:uid="{00000000-0004-0000-0200-000016000000}"/>
    <hyperlink ref="C28" location="'Required revenue'!$A$58" tooltip="Section subtitle. Click once to follow" display="Calculation of regulatory profit before tax" xr:uid="{00000000-0004-0000-0200-000017000000}"/>
    <hyperlink ref="C29" location="'Required revenue'!$A$71" tooltip="Section subtitle. Click once to follow" display="Calculation of regulatory tax" xr:uid="{00000000-0004-0000-0200-000018000000}"/>
    <hyperlink ref="C30" location="'Required revenue'!$A$100" tooltip="Section subtitle. Click once to follow" display="Calculation of timing adjusted cash flows" xr:uid="{00000000-0004-0000-0200-000019000000}"/>
    <hyperlink ref="C31" location="'IRR'!$A$1" tooltip="Section title. Click once to follow" display="Internal Rate of Return (IRR)" xr:uid="{00000000-0004-0000-0200-00001A000000}"/>
    <hyperlink ref="C32" location="'IRR'!$A$3" tooltip="Section subtitle. Click once to follow" display="IRR - Auckland Airport forecast cash flows" xr:uid="{00000000-0004-0000-0200-00001B000000}"/>
    <hyperlink ref="C33" location="'IRR'!$A$25" tooltip="Section subtitle. Click once to follow" display="IRR - to target a mid point WACC" xr:uid="{00000000-0004-0000-0200-00001C000000}"/>
    <hyperlink ref="C34" location="'IRR'!$A$47" tooltip="Section subtitle. Click once to follow" display="PV of revenue difference between AIAL forecast revenues and revenues set to target midpoint WACC" xr:uid="{00000000-0004-0000-0200-00001D000000}"/>
    <hyperlink ref="C35" location="'IRR'!$A$59" tooltip="Section subtitle. Click once to follow" display="PV of net cash flows difference between AIAL forecast net cash flows and net cash flows required to target midpoint WACC" xr:uid="{00000000-0004-0000-0200-00001E000000}"/>
    <hyperlink ref="C36" location="'Output'!$A$1" tooltip="Section title. Click once to follow" display="Outputs" xr:uid="{00000000-0004-0000-0200-00001F000000}"/>
    <hyperlink ref="C37" location="'Output'!$A$8" tooltip="Section subtitle. Click once to follow" display="Outputs" xr:uid="{00000000-0004-0000-0200-000020000000}"/>
  </hyperlink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&amp;L&amp;F&amp;C&amp;A&amp;R&amp;P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K127"/>
  <sheetViews>
    <sheetView showGridLines="0" view="pageBreakPreview" zoomScaleNormal="100" zoomScaleSheetLayoutView="100" workbookViewId="0"/>
  </sheetViews>
  <sheetFormatPr defaultRowHeight="14.25" x14ac:dyDescent="0.45"/>
  <cols>
    <col min="1" max="1" width="4.3984375" customWidth="1"/>
    <col min="2" max="2" width="3.59765625" customWidth="1"/>
    <col min="3" max="3" width="34.86328125" customWidth="1"/>
    <col min="4" max="4" width="50.86328125" customWidth="1"/>
    <col min="5" max="5" width="15.86328125" customWidth="1"/>
    <col min="6" max="6" width="10" bestFit="1" customWidth="1"/>
    <col min="7" max="8" width="11.3984375" bestFit="1" customWidth="1"/>
  </cols>
  <sheetData>
    <row r="1" spans="1:11" ht="25.5" x14ac:dyDescent="0.75">
      <c r="A1" s="18" t="s">
        <v>5</v>
      </c>
    </row>
    <row r="2" spans="1:11" s="1" customFormat="1" x14ac:dyDescent="0.45">
      <c r="A2" s="75" t="s">
        <v>219</v>
      </c>
    </row>
    <row r="3" spans="1:11" x14ac:dyDescent="0.45">
      <c r="A3" s="75" t="s">
        <v>170</v>
      </c>
      <c r="C3" s="21"/>
      <c r="D3" s="21"/>
    </row>
    <row r="4" spans="1:11" s="1" customFormat="1" ht="30.6" customHeight="1" x14ac:dyDescent="0.7">
      <c r="A4" s="27" t="s">
        <v>9</v>
      </c>
    </row>
    <row r="5" spans="1:11" s="1" customFormat="1" x14ac:dyDescent="0.45">
      <c r="A5"/>
      <c r="D5"/>
      <c r="E5" s="30" t="s">
        <v>12</v>
      </c>
    </row>
    <row r="6" spans="1:11" x14ac:dyDescent="0.45">
      <c r="C6" s="38" t="s">
        <v>235</v>
      </c>
      <c r="D6" s="38"/>
      <c r="E6" s="37">
        <v>2018</v>
      </c>
      <c r="F6" s="1"/>
      <c r="G6" s="1"/>
      <c r="H6" s="1"/>
      <c r="I6" s="1"/>
      <c r="J6" s="1"/>
      <c r="K6" s="1"/>
    </row>
    <row r="7" spans="1:11" x14ac:dyDescent="0.45">
      <c r="C7" s="38" t="s">
        <v>234</v>
      </c>
      <c r="D7" s="38"/>
      <c r="E7" s="40">
        <v>42916</v>
      </c>
    </row>
    <row r="8" spans="1:11" s="1" customFormat="1" x14ac:dyDescent="0.45">
      <c r="C8" s="38" t="s">
        <v>132</v>
      </c>
      <c r="D8" s="38"/>
      <c r="E8" s="37">
        <v>365</v>
      </c>
    </row>
    <row r="9" spans="1:11" x14ac:dyDescent="0.45">
      <c r="C9" s="38" t="s">
        <v>13</v>
      </c>
      <c r="D9" s="38"/>
      <c r="E9" s="37">
        <v>148</v>
      </c>
    </row>
    <row r="10" spans="1:11" x14ac:dyDescent="0.45">
      <c r="C10" s="38" t="s">
        <v>14</v>
      </c>
      <c r="D10" s="38"/>
      <c r="E10" s="37">
        <v>182</v>
      </c>
    </row>
    <row r="11" spans="1:11" x14ac:dyDescent="0.45">
      <c r="C11" s="38" t="s">
        <v>15</v>
      </c>
      <c r="D11" s="38"/>
      <c r="E11" s="39">
        <v>0.28000000000000003</v>
      </c>
    </row>
    <row r="12" spans="1:11" s="1" customFormat="1" x14ac:dyDescent="0.45">
      <c r="C12" s="38" t="s">
        <v>73</v>
      </c>
      <c r="D12" s="38"/>
      <c r="E12" s="39">
        <v>0.19</v>
      </c>
    </row>
    <row r="13" spans="1:11" s="1" customFormat="1" x14ac:dyDescent="0.45">
      <c r="C13" s="38" t="s">
        <v>186</v>
      </c>
      <c r="D13" s="38"/>
      <c r="E13" s="66">
        <v>4.41E-2</v>
      </c>
    </row>
    <row r="14" spans="1:11" s="1" customFormat="1" x14ac:dyDescent="0.45">
      <c r="C14" s="38" t="s">
        <v>68</v>
      </c>
      <c r="D14" s="38"/>
      <c r="E14" s="41">
        <v>6.6433320000000004E-2</v>
      </c>
    </row>
    <row r="15" spans="1:11" x14ac:dyDescent="0.45">
      <c r="C15" s="38" t="s">
        <v>16</v>
      </c>
      <c r="D15" s="38"/>
      <c r="E15" s="41">
        <v>6.4087200000000011E-2</v>
      </c>
    </row>
    <row r="16" spans="1:11" s="1" customFormat="1" x14ac:dyDescent="0.45">
      <c r="C16" s="38" t="s">
        <v>91</v>
      </c>
      <c r="D16" s="38"/>
      <c r="E16" s="43">
        <v>82510.119692784399</v>
      </c>
    </row>
    <row r="17" spans="1:11" s="1" customFormat="1" x14ac:dyDescent="0.45">
      <c r="C17" s="38" t="s">
        <v>100</v>
      </c>
      <c r="D17" s="38"/>
      <c r="E17" s="43">
        <v>86083.839512404622</v>
      </c>
    </row>
    <row r="18" spans="1:11" s="1" customFormat="1" x14ac:dyDescent="0.45">
      <c r="C18" s="38" t="s">
        <v>64</v>
      </c>
      <c r="D18" s="38"/>
      <c r="E18" s="39">
        <v>0.5</v>
      </c>
    </row>
    <row r="19" spans="1:11" ht="18" x14ac:dyDescent="0.55000000000000004">
      <c r="B19" s="35" t="s">
        <v>210</v>
      </c>
    </row>
    <row r="20" spans="1:11" s="1" customFormat="1" x14ac:dyDescent="0.45">
      <c r="C20" s="38" t="s">
        <v>23</v>
      </c>
      <c r="D20" s="38"/>
      <c r="E20" s="43">
        <v>334761.86924423126</v>
      </c>
    </row>
    <row r="21" spans="1:11" s="1" customFormat="1" x14ac:dyDescent="0.45">
      <c r="C21" s="38" t="s">
        <v>213</v>
      </c>
      <c r="D21" s="38"/>
      <c r="E21" s="43">
        <v>522413.42904351326</v>
      </c>
    </row>
    <row r="22" spans="1:11" s="1" customFormat="1" x14ac:dyDescent="0.45">
      <c r="C22" s="38" t="s">
        <v>214</v>
      </c>
      <c r="D22" s="38"/>
      <c r="E22" s="43">
        <v>218029.78127999936</v>
      </c>
    </row>
    <row r="23" spans="1:11" s="1" customFormat="1" x14ac:dyDescent="0.45">
      <c r="C23" s="38" t="s">
        <v>215</v>
      </c>
      <c r="D23" s="38"/>
      <c r="E23" s="43">
        <v>32020.215491697654</v>
      </c>
      <c r="F23" s="96"/>
    </row>
    <row r="24" spans="1:11" s="1" customFormat="1" x14ac:dyDescent="0.45">
      <c r="C24" s="38" t="str">
        <f>"Tax value - "&amp;C20</f>
        <v>Tax value - Land</v>
      </c>
      <c r="D24" s="38"/>
      <c r="E24" s="43">
        <v>76319.640198870082</v>
      </c>
    </row>
    <row r="25" spans="1:11" s="1" customFormat="1" x14ac:dyDescent="0.45">
      <c r="C25" s="38" t="str">
        <f t="shared" ref="C25:C27" si="0">"Tax value - "&amp;C21</f>
        <v>Tax value - Infrastructure &amp; Buildings</v>
      </c>
      <c r="D25" s="38"/>
      <c r="E25" s="43">
        <v>388285.35883291031</v>
      </c>
    </row>
    <row r="26" spans="1:11" s="1" customFormat="1" x14ac:dyDescent="0.45">
      <c r="C26" s="38" t="str">
        <f t="shared" si="0"/>
        <v>Tax value - Sealed Surfaces</v>
      </c>
      <c r="D26" s="38"/>
      <c r="E26" s="43">
        <v>128593.20864000083</v>
      </c>
    </row>
    <row r="27" spans="1:11" s="1" customFormat="1" x14ac:dyDescent="0.45">
      <c r="C27" s="38" t="str">
        <f t="shared" si="0"/>
        <v>Tax value - Vehicles, Plant &amp; Equipment</v>
      </c>
      <c r="D27" s="38"/>
      <c r="E27" s="43">
        <v>25172.643369017624</v>
      </c>
    </row>
    <row r="28" spans="1:11" s="1" customFormat="1" x14ac:dyDescent="0.45"/>
    <row r="29" spans="1:11" s="1" customFormat="1" x14ac:dyDescent="0.45"/>
    <row r="30" spans="1:11" ht="23.25" x14ac:dyDescent="0.7">
      <c r="A30" s="27" t="s">
        <v>107</v>
      </c>
    </row>
    <row r="31" spans="1:11" ht="18" x14ac:dyDescent="0.55000000000000004">
      <c r="B31" s="35" t="s">
        <v>17</v>
      </c>
      <c r="E31" s="30" t="s">
        <v>12</v>
      </c>
      <c r="F31" s="30">
        <v>2017</v>
      </c>
      <c r="G31" s="30">
        <f>F31+1</f>
        <v>2018</v>
      </c>
      <c r="H31" s="30">
        <f t="shared" ref="H31" si="1">G31+1</f>
        <v>2019</v>
      </c>
      <c r="I31" s="30">
        <f t="shared" ref="I31" si="2">H31+1</f>
        <v>2020</v>
      </c>
      <c r="J31" s="30">
        <f t="shared" ref="J31" si="3">I31+1</f>
        <v>2021</v>
      </c>
      <c r="K31" s="30">
        <f t="shared" ref="K31" si="4">J31+1</f>
        <v>2022</v>
      </c>
    </row>
    <row r="32" spans="1:11" x14ac:dyDescent="0.45">
      <c r="C32" s="38" t="s">
        <v>18</v>
      </c>
      <c r="D32" s="38"/>
      <c r="E32" s="37"/>
      <c r="F32" s="37"/>
      <c r="G32" s="43">
        <v>310099.98689137312</v>
      </c>
      <c r="H32" s="43">
        <v>324198.48502135748</v>
      </c>
      <c r="I32" s="43">
        <v>336956.58027701493</v>
      </c>
      <c r="J32" s="43">
        <v>353317.52538773493</v>
      </c>
      <c r="K32" s="43">
        <v>371531.28593805904</v>
      </c>
    </row>
    <row r="33" spans="2:11" x14ac:dyDescent="0.45">
      <c r="C33" s="38" t="s">
        <v>19</v>
      </c>
      <c r="D33" s="38"/>
      <c r="E33" s="37"/>
      <c r="F33" s="37"/>
      <c r="G33" s="43">
        <v>24256.507342034583</v>
      </c>
      <c r="H33" s="43">
        <v>26338.321655259002</v>
      </c>
      <c r="I33" s="43">
        <v>28320.085548604249</v>
      </c>
      <c r="J33" s="43">
        <v>29374.642484672295</v>
      </c>
      <c r="K33" s="43">
        <v>30254.332336132818</v>
      </c>
    </row>
    <row r="34" spans="2:11" s="1" customFormat="1" x14ac:dyDescent="0.45">
      <c r="C34" s="38" t="s">
        <v>20</v>
      </c>
      <c r="D34" s="34"/>
      <c r="E34" s="37"/>
      <c r="F34" s="43"/>
      <c r="G34" s="43">
        <v>0</v>
      </c>
      <c r="H34" s="43">
        <v>0</v>
      </c>
      <c r="I34" s="43">
        <v>0</v>
      </c>
      <c r="J34" s="43">
        <v>0</v>
      </c>
      <c r="K34" s="43">
        <v>0</v>
      </c>
    </row>
    <row r="35" spans="2:11" s="1" customFormat="1" x14ac:dyDescent="0.45">
      <c r="C35" s="38" t="s">
        <v>71</v>
      </c>
      <c r="D35" s="34"/>
      <c r="E35" s="37"/>
      <c r="F35" s="43"/>
      <c r="G35" s="43">
        <v>-14014.437992286599</v>
      </c>
      <c r="H35" s="43">
        <v>-2069.4069790582498</v>
      </c>
      <c r="I35" s="43">
        <v>-1697.1386691851801</v>
      </c>
      <c r="J35" s="43">
        <v>-1195.6041481346399</v>
      </c>
      <c r="K35" s="43">
        <v>-4136.2782046173097</v>
      </c>
    </row>
    <row r="36" spans="2:11" s="1" customFormat="1" x14ac:dyDescent="0.45">
      <c r="C36" s="38" t="s">
        <v>21</v>
      </c>
      <c r="D36" s="34"/>
      <c r="E36" s="37"/>
      <c r="F36" s="43"/>
      <c r="G36" s="43">
        <v>0</v>
      </c>
      <c r="H36" s="43">
        <v>0</v>
      </c>
      <c r="I36" s="43">
        <v>0</v>
      </c>
      <c r="J36" s="43">
        <v>0</v>
      </c>
      <c r="K36" s="43">
        <v>0</v>
      </c>
    </row>
    <row r="37" spans="2:11" s="1" customFormat="1" x14ac:dyDescent="0.45">
      <c r="D37" s="22"/>
    </row>
    <row r="38" spans="2:11" s="1" customFormat="1" ht="18" x14ac:dyDescent="0.55000000000000004">
      <c r="B38" s="35" t="s">
        <v>22</v>
      </c>
      <c r="D38" s="22"/>
      <c r="E38" s="30" t="s">
        <v>12</v>
      </c>
      <c r="F38" s="30">
        <v>2017</v>
      </c>
      <c r="G38" s="30">
        <f>F38+1</f>
        <v>2018</v>
      </c>
      <c r="H38" s="30">
        <f t="shared" ref="H38" si="5">G38+1</f>
        <v>2019</v>
      </c>
      <c r="I38" s="30">
        <f t="shared" ref="I38" si="6">H38+1</f>
        <v>2020</v>
      </c>
      <c r="J38" s="30">
        <f t="shared" ref="J38" si="7">I38+1</f>
        <v>2021</v>
      </c>
      <c r="K38" s="30">
        <f t="shared" ref="K38" si="8">J38+1</f>
        <v>2022</v>
      </c>
    </row>
    <row r="39" spans="2:11" s="1" customFormat="1" x14ac:dyDescent="0.45">
      <c r="C39" s="38" t="s">
        <v>69</v>
      </c>
      <c r="D39" s="34"/>
      <c r="E39" s="37"/>
      <c r="F39" s="37"/>
      <c r="G39" s="43">
        <v>113722.41460501539</v>
      </c>
      <c r="H39" s="43">
        <v>122465.18313167134</v>
      </c>
      <c r="I39" s="43">
        <v>127281.02918927144</v>
      </c>
      <c r="J39" s="43">
        <v>132044.87124116445</v>
      </c>
      <c r="K39" s="43">
        <v>137398.28336272476</v>
      </c>
    </row>
    <row r="40" spans="2:11" s="1" customFormat="1" x14ac:dyDescent="0.45">
      <c r="D40" s="22"/>
    </row>
    <row r="41" spans="2:11" s="1" customFormat="1" ht="18" x14ac:dyDescent="0.55000000000000004">
      <c r="B41" s="35" t="s">
        <v>216</v>
      </c>
      <c r="D41" s="22"/>
      <c r="E41" s="30" t="s">
        <v>12</v>
      </c>
      <c r="F41" s="30">
        <v>2017</v>
      </c>
      <c r="G41" s="30">
        <f>F41+1</f>
        <v>2018</v>
      </c>
      <c r="H41" s="30">
        <f t="shared" ref="H41" si="9">G41+1</f>
        <v>2019</v>
      </c>
      <c r="I41" s="30">
        <f t="shared" ref="I41" si="10">H41+1</f>
        <v>2020</v>
      </c>
      <c r="J41" s="30">
        <f t="shared" ref="J41" si="11">I41+1</f>
        <v>2021</v>
      </c>
      <c r="K41" s="30">
        <f t="shared" ref="K41" si="12">J41+1</f>
        <v>2022</v>
      </c>
    </row>
    <row r="42" spans="2:11" s="1" customFormat="1" x14ac:dyDescent="0.45">
      <c r="C42" s="38" t="s">
        <v>23</v>
      </c>
      <c r="D42" s="34"/>
      <c r="E42" s="43"/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</row>
    <row r="43" spans="2:11" s="1" customFormat="1" x14ac:dyDescent="0.45">
      <c r="C43" s="38" t="s">
        <v>213</v>
      </c>
      <c r="D43" s="34"/>
      <c r="E43" s="43"/>
      <c r="F43" s="43">
        <v>97106.941745002987</v>
      </c>
      <c r="G43" s="43">
        <v>166231.14128076352</v>
      </c>
      <c r="H43" s="43">
        <v>307155.00999404798</v>
      </c>
      <c r="I43" s="43">
        <v>234374.14389380498</v>
      </c>
      <c r="J43" s="43">
        <v>80741.38783568592</v>
      </c>
      <c r="K43" s="43">
        <v>137732.14257628622</v>
      </c>
    </row>
    <row r="44" spans="2:11" x14ac:dyDescent="0.45">
      <c r="C44" s="38" t="s">
        <v>214</v>
      </c>
      <c r="D44" s="38"/>
      <c r="E44" s="43"/>
      <c r="F44" s="43">
        <v>74631.403914217241</v>
      </c>
      <c r="G44" s="43">
        <v>22688.883339393677</v>
      </c>
      <c r="H44" s="43">
        <v>78177.370919385547</v>
      </c>
      <c r="I44" s="43">
        <v>94412.539398608074</v>
      </c>
      <c r="J44" s="43">
        <v>150783.04419474828</v>
      </c>
      <c r="K44" s="43">
        <v>118601.655061221</v>
      </c>
    </row>
    <row r="45" spans="2:11" x14ac:dyDescent="0.45">
      <c r="C45" s="38" t="s">
        <v>215</v>
      </c>
      <c r="D45" s="38"/>
      <c r="E45" s="43"/>
      <c r="F45" s="43">
        <v>21252.563890343492</v>
      </c>
      <c r="G45" s="43">
        <v>20221.342870105698</v>
      </c>
      <c r="H45" s="43">
        <v>31834.205371412158</v>
      </c>
      <c r="I45" s="43">
        <v>12151.662603484141</v>
      </c>
      <c r="J45" s="43">
        <v>9122.9424729848961</v>
      </c>
      <c r="K45" s="43">
        <v>11268.898445665996</v>
      </c>
    </row>
    <row r="46" spans="2:11" x14ac:dyDescent="0.45">
      <c r="C46" s="38" t="s">
        <v>24</v>
      </c>
      <c r="D46" s="38"/>
      <c r="E46" s="45"/>
      <c r="F46" s="45">
        <f>SUM(F42:F45)</f>
        <v>192990.90954956374</v>
      </c>
      <c r="G46" s="45">
        <f t="shared" ref="G46:K46" si="13">SUM(G42:G45)</f>
        <v>209141.3674902629</v>
      </c>
      <c r="H46" s="45">
        <f t="shared" si="13"/>
        <v>417166.58628484566</v>
      </c>
      <c r="I46" s="45">
        <f t="shared" si="13"/>
        <v>340938.34589589719</v>
      </c>
      <c r="J46" s="45">
        <f t="shared" si="13"/>
        <v>240647.37450341909</v>
      </c>
      <c r="K46" s="45">
        <f t="shared" si="13"/>
        <v>267602.69608317321</v>
      </c>
    </row>
    <row r="48" spans="2:11" ht="18" x14ac:dyDescent="0.55000000000000004">
      <c r="B48" s="35" t="s">
        <v>56</v>
      </c>
      <c r="C48" s="1"/>
      <c r="D48" s="22"/>
      <c r="E48" s="30" t="s">
        <v>12</v>
      </c>
      <c r="F48" s="30">
        <v>2017</v>
      </c>
      <c r="G48" s="30">
        <f>F48+1</f>
        <v>2018</v>
      </c>
      <c r="H48" s="30">
        <f t="shared" ref="H48" si="14">G48+1</f>
        <v>2019</v>
      </c>
      <c r="I48" s="30">
        <f t="shared" ref="I48" si="15">H48+1</f>
        <v>2020</v>
      </c>
      <c r="J48" s="30">
        <f t="shared" ref="J48" si="16">I48+1</f>
        <v>2021</v>
      </c>
      <c r="K48" s="30">
        <f t="shared" ref="K48" si="17">J48+1</f>
        <v>2022</v>
      </c>
    </row>
    <row r="49" spans="2:11" x14ac:dyDescent="0.45">
      <c r="B49" s="1"/>
      <c r="C49" s="38" t="s">
        <v>23</v>
      </c>
      <c r="D49" s="34"/>
      <c r="E49" s="43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</row>
    <row r="50" spans="2:11" x14ac:dyDescent="0.45">
      <c r="B50" s="1"/>
      <c r="C50" s="38" t="s">
        <v>213</v>
      </c>
      <c r="D50" s="34"/>
      <c r="E50" s="43"/>
      <c r="F50" s="43">
        <v>485.53470872501492</v>
      </c>
      <c r="G50" s="43">
        <v>13821.120003377895</v>
      </c>
      <c r="H50" s="43">
        <v>1535.7750499702399</v>
      </c>
      <c r="I50" s="43">
        <v>1171.8707194690251</v>
      </c>
      <c r="J50" s="43">
        <v>403.70693917842971</v>
      </c>
      <c r="K50" s="43">
        <v>3454.6369664005433</v>
      </c>
    </row>
    <row r="51" spans="2:11" x14ac:dyDescent="0.45">
      <c r="B51" s="1"/>
      <c r="C51" s="38" t="s">
        <v>214</v>
      </c>
      <c r="D51" s="38"/>
      <c r="E51" s="43"/>
      <c r="F51" s="43">
        <v>358.07978794635596</v>
      </c>
      <c r="G51" s="43">
        <v>111.39161429802313</v>
      </c>
      <c r="H51" s="43">
        <v>390.88685459692778</v>
      </c>
      <c r="I51" s="43">
        <v>472.06269699304039</v>
      </c>
      <c r="J51" s="43">
        <v>753.91522097374138</v>
      </c>
      <c r="K51" s="43">
        <v>593.00827530610502</v>
      </c>
    </row>
    <row r="52" spans="2:11" x14ac:dyDescent="0.45">
      <c r="B52" s="1"/>
      <c r="C52" s="38" t="s">
        <v>215</v>
      </c>
      <c r="D52" s="38"/>
      <c r="E52" s="43"/>
      <c r="F52" s="43">
        <v>94.824908370044056</v>
      </c>
      <c r="G52" s="43">
        <v>81.926374610666443</v>
      </c>
      <c r="H52" s="43">
        <v>142.74507449108197</v>
      </c>
      <c r="I52" s="43">
        <v>53.20525272311788</v>
      </c>
      <c r="J52" s="43">
        <v>37.981987982469725</v>
      </c>
      <c r="K52" s="43">
        <v>88.632962910660012</v>
      </c>
    </row>
    <row r="53" spans="2:11" x14ac:dyDescent="0.45">
      <c r="B53" s="1"/>
      <c r="C53" s="38" t="s">
        <v>24</v>
      </c>
      <c r="D53" s="38"/>
      <c r="E53" s="45"/>
      <c r="F53" s="45">
        <f>SUM(F49:F52)</f>
        <v>938.43940504141506</v>
      </c>
      <c r="G53" s="45">
        <f t="shared" ref="G53" si="18">SUM(G49:G52)</f>
        <v>14014.437992286585</v>
      </c>
      <c r="H53" s="45">
        <f t="shared" ref="H53" si="19">SUM(H49:H52)</f>
        <v>2069.4069790582498</v>
      </c>
      <c r="I53" s="45">
        <f t="shared" ref="I53" si="20">SUM(I49:I52)</f>
        <v>1697.1386691851833</v>
      </c>
      <c r="J53" s="45">
        <f t="shared" ref="J53" si="21">SUM(J49:J52)</f>
        <v>1195.6041481346408</v>
      </c>
      <c r="K53" s="45">
        <f t="shared" ref="K53" si="22">SUM(K49:K52)</f>
        <v>4136.2782046173088</v>
      </c>
    </row>
    <row r="54" spans="2:11" x14ac:dyDescent="0.4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ht="18" x14ac:dyDescent="0.55000000000000004">
      <c r="B55" s="35" t="s">
        <v>84</v>
      </c>
      <c r="E55" s="30" t="s">
        <v>12</v>
      </c>
      <c r="F55" s="30">
        <v>2017</v>
      </c>
      <c r="G55" s="30">
        <f>F55+1</f>
        <v>2018</v>
      </c>
      <c r="H55" s="30">
        <f t="shared" ref="H55" si="23">G55+1</f>
        <v>2019</v>
      </c>
      <c r="I55" s="30">
        <f t="shared" ref="I55" si="24">H55+1</f>
        <v>2020</v>
      </c>
      <c r="J55" s="30">
        <f t="shared" ref="J55" si="25">I55+1</f>
        <v>2021</v>
      </c>
      <c r="K55" s="30">
        <f t="shared" ref="K55" si="26">J55+1</f>
        <v>2022</v>
      </c>
    </row>
    <row r="56" spans="2:11" x14ac:dyDescent="0.45">
      <c r="C56" s="38" t="s">
        <v>23</v>
      </c>
      <c r="D56" s="38"/>
      <c r="E56" s="38"/>
      <c r="F56" s="71">
        <v>340.075981569281</v>
      </c>
      <c r="G56" s="71">
        <v>340.0513426038371</v>
      </c>
      <c r="H56" s="71">
        <v>446.28504852539066</v>
      </c>
      <c r="I56" s="71">
        <v>552.50335509354159</v>
      </c>
      <c r="J56" s="71">
        <v>556.85990067688783</v>
      </c>
      <c r="K56" s="71">
        <v>561.01637984474928</v>
      </c>
    </row>
    <row r="57" spans="2:11" x14ac:dyDescent="0.45">
      <c r="C57" s="38" t="s">
        <v>213</v>
      </c>
      <c r="D57" s="38"/>
      <c r="E57" s="38"/>
      <c r="F57" s="71">
        <v>414.22713883138454</v>
      </c>
      <c r="G57" s="71">
        <v>457.10738330201468</v>
      </c>
      <c r="H57" s="71">
        <v>729.49397153716995</v>
      </c>
      <c r="I57" s="71">
        <v>1142.2499002070749</v>
      </c>
      <c r="J57" s="71">
        <v>1286.3555486197165</v>
      </c>
      <c r="K57" s="71">
        <v>1265.6121564483644</v>
      </c>
    </row>
    <row r="58" spans="2:11" x14ac:dyDescent="0.45">
      <c r="C58" s="38" t="s">
        <v>214</v>
      </c>
      <c r="D58" s="38"/>
      <c r="E58" s="38"/>
      <c r="F58" s="71">
        <v>0</v>
      </c>
      <c r="G58" s="71">
        <v>0.92328395552216536</v>
      </c>
      <c r="H58" s="71">
        <v>1.1639683193421884</v>
      </c>
      <c r="I58" s="71">
        <v>1.3820975965056561</v>
      </c>
      <c r="J58" s="71">
        <v>1.333837089505725</v>
      </c>
      <c r="K58" s="71">
        <v>1.2841690618020811</v>
      </c>
    </row>
    <row r="59" spans="2:11" x14ac:dyDescent="0.45">
      <c r="C59" s="38" t="s">
        <v>215</v>
      </c>
      <c r="D59" s="38"/>
      <c r="E59" s="38"/>
      <c r="F59" s="71">
        <v>2.2607092813914567</v>
      </c>
      <c r="G59" s="71">
        <v>5.6361429719822249</v>
      </c>
      <c r="H59" s="71">
        <v>56.793214649078756</v>
      </c>
      <c r="I59" s="71">
        <v>116.65731282929735</v>
      </c>
      <c r="J59" s="71">
        <v>84.076285310923907</v>
      </c>
      <c r="K59" s="71">
        <v>50.939454378207714</v>
      </c>
    </row>
    <row r="60" spans="2:11" s="1" customFormat="1" x14ac:dyDescent="0.45"/>
    <row r="61" spans="2:11" ht="18" x14ac:dyDescent="0.55000000000000004">
      <c r="B61" s="35" t="s">
        <v>57</v>
      </c>
      <c r="C61" s="1"/>
      <c r="D61" s="22"/>
      <c r="E61" s="30" t="s">
        <v>12</v>
      </c>
      <c r="F61" s="30">
        <v>2017</v>
      </c>
      <c r="G61" s="30">
        <f>F61+1</f>
        <v>2018</v>
      </c>
      <c r="H61" s="30">
        <f t="shared" ref="H61" si="27">G61+1</f>
        <v>2019</v>
      </c>
      <c r="I61" s="30">
        <f t="shared" ref="I61" si="28">H61+1</f>
        <v>2020</v>
      </c>
      <c r="J61" s="30">
        <f t="shared" ref="J61" si="29">I61+1</f>
        <v>2021</v>
      </c>
      <c r="K61" s="30">
        <f t="shared" ref="K61" si="30">J61+1</f>
        <v>2022</v>
      </c>
    </row>
    <row r="62" spans="2:11" x14ac:dyDescent="0.45">
      <c r="B62" s="1"/>
      <c r="C62" s="38" t="s">
        <v>23</v>
      </c>
      <c r="D62" s="34"/>
      <c r="E62" s="43"/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</row>
    <row r="63" spans="2:11" x14ac:dyDescent="0.45">
      <c r="B63" s="1"/>
      <c r="C63" s="38" t="s">
        <v>213</v>
      </c>
      <c r="D63" s="34"/>
      <c r="E63" s="43"/>
      <c r="F63" s="43">
        <v>-10361.997387036216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</row>
    <row r="64" spans="2:11" x14ac:dyDescent="0.45">
      <c r="B64" s="1"/>
      <c r="C64" s="38" t="s">
        <v>214</v>
      </c>
      <c r="D64" s="38"/>
      <c r="E64" s="43"/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</row>
    <row r="65" spans="2:11" x14ac:dyDescent="0.45">
      <c r="B65" s="1"/>
      <c r="C65" s="38" t="s">
        <v>215</v>
      </c>
      <c r="D65" s="38"/>
      <c r="E65" s="43"/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</row>
    <row r="66" spans="2:11" x14ac:dyDescent="0.45">
      <c r="B66" s="1"/>
      <c r="C66" s="38" t="s">
        <v>24</v>
      </c>
      <c r="D66" s="38"/>
      <c r="E66" s="45"/>
      <c r="F66" s="45">
        <f>SUM(F62:F65)</f>
        <v>-10361.997387036216</v>
      </c>
      <c r="G66" s="45">
        <f t="shared" ref="G66" si="31">SUM(G62:G65)</f>
        <v>0</v>
      </c>
      <c r="H66" s="45">
        <f t="shared" ref="H66" si="32">SUM(H62:H65)</f>
        <v>0</v>
      </c>
      <c r="I66" s="45">
        <f t="shared" ref="I66" si="33">SUM(I62:I65)</f>
        <v>0</v>
      </c>
      <c r="J66" s="45">
        <f t="shared" ref="J66" si="34">SUM(J62:J65)</f>
        <v>0</v>
      </c>
      <c r="K66" s="45">
        <f t="shared" ref="K66" si="35">SUM(K62:K65)</f>
        <v>0</v>
      </c>
    </row>
    <row r="67" spans="2:11" x14ac:dyDescent="0.4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ht="18" x14ac:dyDescent="0.55000000000000004">
      <c r="B68" s="35" t="s">
        <v>217</v>
      </c>
      <c r="C68" s="1"/>
      <c r="D68" s="22"/>
      <c r="E68" s="30" t="s">
        <v>12</v>
      </c>
      <c r="F68" s="30">
        <v>2017</v>
      </c>
      <c r="G68" s="30">
        <f>F68+1</f>
        <v>2018</v>
      </c>
      <c r="H68" s="30">
        <f t="shared" ref="H68" si="36">G68+1</f>
        <v>2019</v>
      </c>
      <c r="I68" s="30">
        <f t="shared" ref="I68" si="37">H68+1</f>
        <v>2020</v>
      </c>
      <c r="J68" s="30">
        <f t="shared" ref="J68" si="38">I68+1</f>
        <v>2021</v>
      </c>
      <c r="K68" s="30">
        <f t="shared" ref="K68" si="39">J68+1</f>
        <v>2022</v>
      </c>
    </row>
    <row r="69" spans="2:11" s="1" customFormat="1" x14ac:dyDescent="0.45">
      <c r="C69" s="38" t="s">
        <v>23</v>
      </c>
      <c r="D69" s="36"/>
      <c r="E69" s="43"/>
      <c r="F69" s="43">
        <v>3.5285231625543192</v>
      </c>
      <c r="G69" s="43">
        <v>3.5531621279987022</v>
      </c>
      <c r="H69" s="43">
        <v>3.5855007701444537</v>
      </c>
      <c r="I69" s="43">
        <v>3.6255390889915762</v>
      </c>
      <c r="J69" s="43">
        <v>3.6658960386378285</v>
      </c>
      <c r="K69" s="43">
        <v>3.7065571649348033</v>
      </c>
    </row>
    <row r="70" spans="2:11" x14ac:dyDescent="0.45">
      <c r="B70" s="1"/>
      <c r="C70" s="38" t="s">
        <v>213</v>
      </c>
      <c r="D70" s="34"/>
      <c r="E70" s="43"/>
      <c r="F70" s="43">
        <v>27371.88474706986</v>
      </c>
      <c r="G70" s="43">
        <v>28018.995818783231</v>
      </c>
      <c r="H70" s="43">
        <v>32532.858172304259</v>
      </c>
      <c r="I70" s="43">
        <v>42924.555827153177</v>
      </c>
      <c r="J70" s="43">
        <v>51302.747781142425</v>
      </c>
      <c r="K70" s="43">
        <v>54199.645904280587</v>
      </c>
    </row>
    <row r="71" spans="2:11" x14ac:dyDescent="0.45">
      <c r="B71" s="1"/>
      <c r="C71" s="38" t="s">
        <v>214</v>
      </c>
      <c r="D71" s="38"/>
      <c r="E71" s="43"/>
      <c r="F71" s="43">
        <v>8718.3779872818559</v>
      </c>
      <c r="G71" s="43">
        <v>11406.695999780211</v>
      </c>
      <c r="H71" s="43">
        <v>11890.990604347642</v>
      </c>
      <c r="I71" s="43">
        <v>14675.474429999356</v>
      </c>
      <c r="J71" s="43">
        <v>18226.424307663492</v>
      </c>
      <c r="K71" s="43">
        <v>24213.979780276299</v>
      </c>
    </row>
    <row r="72" spans="2:11" x14ac:dyDescent="0.45">
      <c r="B72" s="1"/>
      <c r="C72" s="38" t="s">
        <v>215</v>
      </c>
      <c r="D72" s="38"/>
      <c r="E72" s="43"/>
      <c r="F72" s="43">
        <v>8994.2917552121016</v>
      </c>
      <c r="G72" s="43">
        <v>12883.092178719062</v>
      </c>
      <c r="H72" s="43">
        <v>16297.708812668399</v>
      </c>
      <c r="I72" s="43">
        <v>21487.909284102443</v>
      </c>
      <c r="J72" s="43">
        <v>21972.713631856113</v>
      </c>
      <c r="K72" s="43">
        <v>19239.003456517097</v>
      </c>
    </row>
    <row r="73" spans="2:11" x14ac:dyDescent="0.45">
      <c r="B73" s="1"/>
      <c r="C73" s="38" t="s">
        <v>24</v>
      </c>
      <c r="D73" s="38"/>
      <c r="E73" s="45"/>
      <c r="F73" s="45">
        <f t="shared" ref="F73:K73" si="40">SUM(F70:F72)</f>
        <v>45084.554489563816</v>
      </c>
      <c r="G73" s="45">
        <f t="shared" si="40"/>
        <v>52308.783997282502</v>
      </c>
      <c r="H73" s="45">
        <f t="shared" si="40"/>
        <v>60721.557589320306</v>
      </c>
      <c r="I73" s="45">
        <f t="shared" si="40"/>
        <v>79087.939541254978</v>
      </c>
      <c r="J73" s="45">
        <f t="shared" si="40"/>
        <v>91501.885720662031</v>
      </c>
      <c r="K73" s="45">
        <f t="shared" si="40"/>
        <v>97652.62914107398</v>
      </c>
    </row>
    <row r="74" spans="2:11" x14ac:dyDescent="0.4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ht="18" x14ac:dyDescent="0.55000000000000004">
      <c r="B75" s="35" t="s">
        <v>45</v>
      </c>
      <c r="C75" s="1"/>
      <c r="D75" s="22"/>
      <c r="E75" s="30" t="s">
        <v>12</v>
      </c>
      <c r="F75" s="30">
        <v>2017</v>
      </c>
      <c r="G75" s="30">
        <f>F75+1</f>
        <v>2018</v>
      </c>
      <c r="H75" s="30">
        <f t="shared" ref="H75" si="41">G75+1</f>
        <v>2019</v>
      </c>
      <c r="I75" s="30">
        <f t="shared" ref="I75" si="42">H75+1</f>
        <v>2020</v>
      </c>
      <c r="J75" s="30">
        <f t="shared" ref="J75" si="43">I75+1</f>
        <v>2021</v>
      </c>
      <c r="K75" s="30">
        <f t="shared" ref="K75" si="44">J75+1</f>
        <v>2022</v>
      </c>
    </row>
    <row r="76" spans="2:11" s="1" customFormat="1" x14ac:dyDescent="0.45">
      <c r="C76" s="38" t="s">
        <v>23</v>
      </c>
      <c r="D76" s="36"/>
      <c r="E76" s="43"/>
      <c r="F76" s="43">
        <v>31.396262948662731</v>
      </c>
      <c r="G76" s="43">
        <v>30.154569009295788</v>
      </c>
      <c r="H76" s="43">
        <v>28.982195942404946</v>
      </c>
      <c r="I76" s="43">
        <v>27.87427438378457</v>
      </c>
      <c r="J76" s="43">
        <v>26.826312457397126</v>
      </c>
      <c r="K76" s="43">
        <v>25.834165470650905</v>
      </c>
    </row>
    <row r="77" spans="2:11" x14ac:dyDescent="0.45">
      <c r="B77" s="1"/>
      <c r="C77" s="38" t="s">
        <v>213</v>
      </c>
      <c r="D77" s="34"/>
      <c r="E77" s="43"/>
      <c r="F77" s="43">
        <v>20910.491770646422</v>
      </c>
      <c r="G77" s="43">
        <v>27916.399257014065</v>
      </c>
      <c r="H77" s="43">
        <v>41971.66642624222</v>
      </c>
      <c r="I77" s="43">
        <v>57667.680467599843</v>
      </c>
      <c r="J77" s="43">
        <v>64158.889466462089</v>
      </c>
      <c r="K77" s="43">
        <v>66696.067205199171</v>
      </c>
    </row>
    <row r="78" spans="2:11" x14ac:dyDescent="0.45">
      <c r="B78" s="1"/>
      <c r="C78" s="38" t="s">
        <v>214</v>
      </c>
      <c r="D78" s="38"/>
      <c r="E78" s="43"/>
      <c r="F78" s="43">
        <v>9192.0157146543443</v>
      </c>
      <c r="G78" s="43">
        <v>11519.540698761899</v>
      </c>
      <c r="H78" s="43">
        <v>13872.343421661151</v>
      </c>
      <c r="I78" s="43">
        <v>18202.126706183797</v>
      </c>
      <c r="J78" s="43">
        <v>24459.319979151871</v>
      </c>
      <c r="K78" s="43">
        <v>31017.329404036496</v>
      </c>
    </row>
    <row r="79" spans="2:11" x14ac:dyDescent="0.45">
      <c r="B79" s="1"/>
      <c r="C79" s="38" t="s">
        <v>215</v>
      </c>
      <c r="D79" s="38"/>
      <c r="E79" s="43"/>
      <c r="F79" s="43">
        <v>11003.007590746241</v>
      </c>
      <c r="G79" s="43">
        <v>14023.570095233663</v>
      </c>
      <c r="H79" s="43">
        <v>18395.874437335933</v>
      </c>
      <c r="I79" s="43">
        <v>19309.428967538861</v>
      </c>
      <c r="J79" s="43">
        <v>16165.780378265943</v>
      </c>
      <c r="K79" s="43">
        <v>15837.242192180756</v>
      </c>
    </row>
    <row r="80" spans="2:11" x14ac:dyDescent="0.45">
      <c r="B80" s="1"/>
      <c r="C80" s="38" t="s">
        <v>24</v>
      </c>
      <c r="D80" s="38"/>
      <c r="E80" s="45"/>
      <c r="F80" s="45">
        <f t="shared" ref="F80:K80" si="45">SUM(F77:F79)</f>
        <v>41105.515076047013</v>
      </c>
      <c r="G80" s="45">
        <f t="shared" si="45"/>
        <v>53459.510051009624</v>
      </c>
      <c r="H80" s="45">
        <f t="shared" si="45"/>
        <v>74239.884285239299</v>
      </c>
      <c r="I80" s="45">
        <f t="shared" si="45"/>
        <v>95179.236141322501</v>
      </c>
      <c r="J80" s="45">
        <f t="shared" si="45"/>
        <v>104783.98982387991</v>
      </c>
      <c r="K80" s="45">
        <f t="shared" si="45"/>
        <v>113550.63880141643</v>
      </c>
    </row>
    <row r="81" spans="2:11" s="1" customFormat="1" x14ac:dyDescent="0.45">
      <c r="C81" s="38"/>
      <c r="D81" s="38"/>
      <c r="E81" s="45"/>
      <c r="F81" s="45"/>
      <c r="G81" s="45"/>
      <c r="H81" s="45"/>
      <c r="I81" s="45"/>
      <c r="J81" s="45"/>
      <c r="K81" s="45"/>
    </row>
    <row r="82" spans="2:11" s="1" customFormat="1" ht="18" x14ac:dyDescent="0.55000000000000004">
      <c r="B82" s="35" t="s">
        <v>218</v>
      </c>
      <c r="D82" s="22"/>
      <c r="E82" s="30" t="s">
        <v>12</v>
      </c>
      <c r="F82" s="30">
        <v>2017</v>
      </c>
      <c r="G82" s="30">
        <f>F82+1</f>
        <v>2018</v>
      </c>
      <c r="H82" s="30">
        <f t="shared" ref="H82" si="46">G82+1</f>
        <v>2019</v>
      </c>
      <c r="I82" s="30">
        <f t="shared" ref="I82" si="47">H82+1</f>
        <v>2020</v>
      </c>
      <c r="J82" s="30">
        <f t="shared" ref="J82" si="48">I82+1</f>
        <v>2021</v>
      </c>
      <c r="K82" s="30">
        <f t="shared" ref="K82" si="49">J82+1</f>
        <v>2022</v>
      </c>
    </row>
    <row r="83" spans="2:11" s="1" customFormat="1" x14ac:dyDescent="0.45">
      <c r="C83" s="38" t="s">
        <v>23</v>
      </c>
      <c r="D83" s="36"/>
      <c r="E83" s="43"/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</row>
    <row r="84" spans="2:11" s="1" customFormat="1" x14ac:dyDescent="0.45">
      <c r="C84" s="38" t="s">
        <v>213</v>
      </c>
      <c r="D84" s="36"/>
      <c r="E84" s="43"/>
      <c r="F84" s="43">
        <v>273.72646316205305</v>
      </c>
      <c r="G84" s="43">
        <v>7710.6604317353904</v>
      </c>
      <c r="H84" s="43">
        <v>850.57874041636728</v>
      </c>
      <c r="I84" s="43">
        <v>645.7660308449199</v>
      </c>
      <c r="J84" s="43">
        <v>221.22798944976705</v>
      </c>
      <c r="K84" s="43">
        <v>1882.2410443272067</v>
      </c>
    </row>
    <row r="85" spans="2:11" s="1" customFormat="1" x14ac:dyDescent="0.45">
      <c r="C85" s="38" t="s">
        <v>214</v>
      </c>
      <c r="D85" s="38"/>
      <c r="E85" s="43"/>
      <c r="F85" s="43">
        <v>201.87210537792012</v>
      </c>
      <c r="G85" s="43">
        <v>62.144233794727235</v>
      </c>
      <c r="H85" s="43">
        <v>216.4900702318437</v>
      </c>
      <c r="I85" s="43">
        <v>260.13283639791581</v>
      </c>
      <c r="J85" s="43">
        <v>413.13916696854528</v>
      </c>
      <c r="K85" s="43">
        <v>323.09748499270364</v>
      </c>
    </row>
    <row r="86" spans="2:11" s="1" customFormat="1" x14ac:dyDescent="0.45">
      <c r="C86" s="38" t="s">
        <v>215</v>
      </c>
      <c r="D86" s="38"/>
      <c r="E86" s="43"/>
      <c r="F86" s="43">
        <v>53.458766842759914</v>
      </c>
      <c r="G86" s="43">
        <v>45.705880194340764</v>
      </c>
      <c r="H86" s="43">
        <v>79.058404851425223</v>
      </c>
      <c r="I86" s="43">
        <v>29.319057384313165</v>
      </c>
      <c r="J86" s="43">
        <v>20.813808288178045</v>
      </c>
      <c r="K86" s="43">
        <v>48.291210420467827</v>
      </c>
    </row>
    <row r="87" spans="2:11" s="1" customFormat="1" x14ac:dyDescent="0.45">
      <c r="C87" s="38" t="s">
        <v>24</v>
      </c>
      <c r="D87" s="38"/>
      <c r="E87" s="45"/>
      <c r="F87" s="45">
        <f t="shared" ref="F87" si="50">SUM(F84:F86)</f>
        <v>529.05733538273307</v>
      </c>
      <c r="G87" s="45">
        <f t="shared" ref="G87" si="51">SUM(G84:G86)</f>
        <v>7818.5105457244581</v>
      </c>
      <c r="H87" s="45">
        <f t="shared" ref="H87" si="52">SUM(H84:H86)</f>
        <v>1146.1272154996361</v>
      </c>
      <c r="I87" s="45">
        <f t="shared" ref="I87" si="53">SUM(I84:I86)</f>
        <v>935.21792462714882</v>
      </c>
      <c r="J87" s="45">
        <f t="shared" ref="J87" si="54">SUM(J84:J86)</f>
        <v>655.18096470649039</v>
      </c>
      <c r="K87" s="45">
        <f t="shared" ref="K87" si="55">SUM(K84:K86)</f>
        <v>2253.6297397403782</v>
      </c>
    </row>
    <row r="88" spans="2:11" x14ac:dyDescent="0.4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ht="18" x14ac:dyDescent="0.55000000000000004">
      <c r="B89" s="35" t="s">
        <v>25</v>
      </c>
      <c r="E89" s="30" t="s">
        <v>12</v>
      </c>
      <c r="F89" s="30">
        <v>2017</v>
      </c>
      <c r="G89" s="30">
        <f>F89+1</f>
        <v>2018</v>
      </c>
      <c r="H89" s="30">
        <f t="shared" ref="H89" si="56">G89+1</f>
        <v>2019</v>
      </c>
      <c r="I89" s="30">
        <f t="shared" ref="I89" si="57">H89+1</f>
        <v>2020</v>
      </c>
      <c r="J89" s="30">
        <f t="shared" ref="J89" si="58">I89+1</f>
        <v>2021</v>
      </c>
      <c r="K89" s="30">
        <f t="shared" ref="K89" si="59">J89+1</f>
        <v>2022</v>
      </c>
    </row>
    <row r="90" spans="2:11" x14ac:dyDescent="0.45">
      <c r="C90" s="38" t="s">
        <v>26</v>
      </c>
      <c r="D90" s="34"/>
      <c r="E90" s="43"/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</row>
    <row r="91" spans="2:11" x14ac:dyDescent="0.45">
      <c r="C91" s="38" t="s">
        <v>27</v>
      </c>
      <c r="D91" s="34"/>
      <c r="E91" s="43"/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</row>
    <row r="92" spans="2:11" x14ac:dyDescent="0.45">
      <c r="C92" s="38" t="s">
        <v>28</v>
      </c>
      <c r="D92" s="38"/>
      <c r="E92" s="43"/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</row>
    <row r="93" spans="2:11" x14ac:dyDescent="0.45">
      <c r="C93" s="38" t="s">
        <v>29</v>
      </c>
      <c r="D93" s="38"/>
      <c r="E93" s="43"/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</row>
    <row r="94" spans="2:11" x14ac:dyDescent="0.45">
      <c r="C94" s="38" t="s">
        <v>30</v>
      </c>
      <c r="D94" s="38"/>
      <c r="E94" s="43"/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</row>
    <row r="95" spans="2:11" s="1" customFormat="1" ht="18" x14ac:dyDescent="0.55000000000000004">
      <c r="B95" s="35" t="s">
        <v>172</v>
      </c>
      <c r="C95" s="38"/>
      <c r="D95" s="38"/>
      <c r="E95" s="51"/>
      <c r="F95" s="50"/>
      <c r="G95" s="50"/>
      <c r="H95" s="50"/>
      <c r="I95" s="50"/>
      <c r="J95" s="50"/>
      <c r="K95" s="50"/>
    </row>
    <row r="96" spans="2:11" s="1" customFormat="1" x14ac:dyDescent="0.45">
      <c r="C96" s="38" t="s">
        <v>173</v>
      </c>
      <c r="D96" s="38"/>
      <c r="E96" s="43"/>
      <c r="F96" s="43"/>
      <c r="G96" s="43">
        <v>19795.548209019296</v>
      </c>
      <c r="H96" s="43">
        <v>20601.002843398928</v>
      </c>
      <c r="I96" s="43">
        <v>21246.277096596659</v>
      </c>
      <c r="J96" s="43">
        <v>21894.931071468731</v>
      </c>
      <c r="K96" s="43">
        <v>22590.194414847098</v>
      </c>
    </row>
    <row r="97" spans="1:11" s="1" customFormat="1" x14ac:dyDescent="0.45"/>
    <row r="98" spans="1:11" s="1" customFormat="1" ht="23.25" x14ac:dyDescent="0.7">
      <c r="A98" s="27" t="s">
        <v>196</v>
      </c>
    </row>
    <row r="99" spans="1:11" s="1" customFormat="1" ht="28.5" x14ac:dyDescent="0.7">
      <c r="A99" s="27"/>
      <c r="B99" s="35" t="s">
        <v>106</v>
      </c>
      <c r="E99" s="30" t="s">
        <v>105</v>
      </c>
      <c r="F99" s="30">
        <v>2017</v>
      </c>
      <c r="G99" s="30">
        <f>F99+1</f>
        <v>2018</v>
      </c>
      <c r="H99" s="30">
        <f t="shared" ref="H99" si="60">G99+1</f>
        <v>2019</v>
      </c>
      <c r="I99" s="30">
        <f t="shared" ref="I99" si="61">H99+1</f>
        <v>2020</v>
      </c>
      <c r="J99" s="30">
        <f t="shared" ref="J99" si="62">I99+1</f>
        <v>2021</v>
      </c>
      <c r="K99" s="30">
        <f t="shared" ref="K99" si="63">J99+1</f>
        <v>2022</v>
      </c>
    </row>
    <row r="100" spans="1:11" x14ac:dyDescent="0.45">
      <c r="C100" s="38" t="s">
        <v>21</v>
      </c>
      <c r="D100" s="38"/>
      <c r="E100" s="37">
        <v>2</v>
      </c>
      <c r="F100" s="43">
        <v>0</v>
      </c>
      <c r="G100" s="43">
        <v>0</v>
      </c>
      <c r="H100" s="43">
        <v>0</v>
      </c>
      <c r="I100" s="43">
        <v>0</v>
      </c>
      <c r="J100" s="43">
        <v>16854.193174916902</v>
      </c>
      <c r="K100" s="43">
        <v>17320.589282646099</v>
      </c>
    </row>
    <row r="102" spans="1:11" s="1" customFormat="1" ht="27.4" x14ac:dyDescent="0.55000000000000004">
      <c r="B102" s="35" t="s">
        <v>221</v>
      </c>
      <c r="D102" s="22"/>
      <c r="E102" s="30" t="s">
        <v>105</v>
      </c>
      <c r="F102" s="30">
        <v>2017</v>
      </c>
      <c r="G102" s="30">
        <f>F102+1</f>
        <v>2018</v>
      </c>
      <c r="H102" s="30">
        <f t="shared" ref="H102" si="64">G102+1</f>
        <v>2019</v>
      </c>
      <c r="I102" s="30">
        <f t="shared" ref="I102" si="65">H102+1</f>
        <v>2020</v>
      </c>
      <c r="J102" s="30">
        <f t="shared" ref="J102" si="66">I102+1</f>
        <v>2021</v>
      </c>
      <c r="K102" s="30">
        <f t="shared" ref="K102" si="67">J102+1</f>
        <v>2022</v>
      </c>
    </row>
    <row r="103" spans="1:11" s="1" customFormat="1" x14ac:dyDescent="0.45">
      <c r="C103" s="38" t="s">
        <v>23</v>
      </c>
      <c r="D103" s="72"/>
      <c r="E103" s="43">
        <v>3</v>
      </c>
      <c r="F103" s="43">
        <f>F42*100%</f>
        <v>0</v>
      </c>
      <c r="G103" s="43">
        <f t="shared" ref="G103:K106" si="68">G42*110%</f>
        <v>0</v>
      </c>
      <c r="H103" s="43">
        <f t="shared" si="68"/>
        <v>0</v>
      </c>
      <c r="I103" s="43">
        <f t="shared" si="68"/>
        <v>0</v>
      </c>
      <c r="J103" s="43">
        <f t="shared" si="68"/>
        <v>0</v>
      </c>
      <c r="K103" s="43">
        <f t="shared" si="68"/>
        <v>0</v>
      </c>
    </row>
    <row r="104" spans="1:11" s="1" customFormat="1" x14ac:dyDescent="0.45">
      <c r="C104" s="38" t="s">
        <v>213</v>
      </c>
      <c r="D104" s="72"/>
      <c r="E104" s="43">
        <v>3</v>
      </c>
      <c r="F104" s="43">
        <f>F43*100%</f>
        <v>97106.941745002987</v>
      </c>
      <c r="G104" s="43">
        <f t="shared" si="68"/>
        <v>182854.25540883988</v>
      </c>
      <c r="H104" s="43">
        <f t="shared" si="68"/>
        <v>337870.5109934528</v>
      </c>
      <c r="I104" s="43">
        <f t="shared" si="68"/>
        <v>257811.5582831855</v>
      </c>
      <c r="J104" s="43">
        <f t="shared" si="68"/>
        <v>88815.526619254524</v>
      </c>
      <c r="K104" s="43">
        <f t="shared" si="68"/>
        <v>151505.35683391485</v>
      </c>
    </row>
    <row r="105" spans="1:11" s="1" customFormat="1" x14ac:dyDescent="0.45">
      <c r="C105" s="38" t="s">
        <v>214</v>
      </c>
      <c r="D105" s="38"/>
      <c r="E105" s="43">
        <v>3</v>
      </c>
      <c r="F105" s="43">
        <f>F44*100%</f>
        <v>74631.403914217241</v>
      </c>
      <c r="G105" s="43">
        <f t="shared" si="68"/>
        <v>24957.771673333045</v>
      </c>
      <c r="H105" s="43">
        <f t="shared" si="68"/>
        <v>85995.108011324104</v>
      </c>
      <c r="I105" s="43">
        <f t="shared" si="68"/>
        <v>103853.79333846889</v>
      </c>
      <c r="J105" s="43">
        <f t="shared" si="68"/>
        <v>165861.34861422313</v>
      </c>
      <c r="K105" s="43">
        <f t="shared" si="68"/>
        <v>130461.82056734311</v>
      </c>
    </row>
    <row r="106" spans="1:11" s="1" customFormat="1" x14ac:dyDescent="0.45">
      <c r="C106" s="38" t="s">
        <v>215</v>
      </c>
      <c r="D106" s="38"/>
      <c r="E106" s="43">
        <v>3</v>
      </c>
      <c r="F106" s="43">
        <f>F45*100%</f>
        <v>21252.563890343492</v>
      </c>
      <c r="G106" s="43">
        <f t="shared" si="68"/>
        <v>22243.477157116271</v>
      </c>
      <c r="H106" s="43">
        <f t="shared" si="68"/>
        <v>35017.625908553375</v>
      </c>
      <c r="I106" s="43">
        <f t="shared" si="68"/>
        <v>13366.828863832556</v>
      </c>
      <c r="J106" s="43">
        <f t="shared" si="68"/>
        <v>10035.236720283387</v>
      </c>
      <c r="K106" s="43">
        <f t="shared" si="68"/>
        <v>12395.788290232596</v>
      </c>
    </row>
    <row r="107" spans="1:11" s="1" customFormat="1" x14ac:dyDescent="0.45">
      <c r="C107" s="38" t="s">
        <v>24</v>
      </c>
      <c r="D107" s="38"/>
      <c r="E107" s="45"/>
      <c r="F107" s="45">
        <f>SUM(F103:F106)</f>
        <v>192990.90954956374</v>
      </c>
      <c r="G107" s="45">
        <f t="shared" ref="G107:K107" si="69">SUM(G103:G106)</f>
        <v>230055.50423928921</v>
      </c>
      <c r="H107" s="45">
        <f t="shared" si="69"/>
        <v>458883.2449133303</v>
      </c>
      <c r="I107" s="45">
        <f t="shared" si="69"/>
        <v>375032.18048548698</v>
      </c>
      <c r="J107" s="45">
        <f t="shared" si="69"/>
        <v>264712.11195376102</v>
      </c>
      <c r="K107" s="45">
        <f t="shared" si="69"/>
        <v>294362.96569149056</v>
      </c>
    </row>
    <row r="109" spans="1:11" ht="27.4" x14ac:dyDescent="0.55000000000000004">
      <c r="B109" s="35" t="s">
        <v>220</v>
      </c>
      <c r="E109" s="30" t="s">
        <v>105</v>
      </c>
      <c r="F109" s="30">
        <v>2017</v>
      </c>
      <c r="G109" s="30">
        <f>F109+1</f>
        <v>2018</v>
      </c>
      <c r="H109" s="30">
        <f t="shared" ref="H109" si="70">G109+1</f>
        <v>2019</v>
      </c>
      <c r="I109" s="30">
        <f t="shared" ref="I109" si="71">H109+1</f>
        <v>2020</v>
      </c>
      <c r="J109" s="30">
        <f t="shared" ref="J109" si="72">I109+1</f>
        <v>2021</v>
      </c>
      <c r="K109" s="30">
        <f t="shared" ref="K109" si="73">J109+1</f>
        <v>2022</v>
      </c>
    </row>
    <row r="110" spans="1:11" s="1" customFormat="1" x14ac:dyDescent="0.45">
      <c r="C110" s="38" t="s">
        <v>23</v>
      </c>
      <c r="D110" s="72"/>
      <c r="E110" s="43">
        <v>4</v>
      </c>
      <c r="F110" s="43">
        <f>F42*100%</f>
        <v>0</v>
      </c>
      <c r="G110" s="43">
        <f t="shared" ref="G110:K113" si="74">G42*90%</f>
        <v>0</v>
      </c>
      <c r="H110" s="43">
        <f t="shared" si="74"/>
        <v>0</v>
      </c>
      <c r="I110" s="43">
        <f t="shared" si="74"/>
        <v>0</v>
      </c>
      <c r="J110" s="43">
        <f t="shared" si="74"/>
        <v>0</v>
      </c>
      <c r="K110" s="43">
        <f t="shared" si="74"/>
        <v>0</v>
      </c>
    </row>
    <row r="111" spans="1:11" s="1" customFormat="1" x14ac:dyDescent="0.45">
      <c r="C111" s="38" t="s">
        <v>213</v>
      </c>
      <c r="D111" s="72"/>
      <c r="E111" s="43">
        <v>4</v>
      </c>
      <c r="F111" s="43">
        <f>F43*100%</f>
        <v>97106.941745002987</v>
      </c>
      <c r="G111" s="43">
        <f t="shared" si="74"/>
        <v>149608.02715268717</v>
      </c>
      <c r="H111" s="43">
        <f t="shared" si="74"/>
        <v>276439.50899464317</v>
      </c>
      <c r="I111" s="43">
        <f t="shared" si="74"/>
        <v>210936.7295044245</v>
      </c>
      <c r="J111" s="43">
        <f t="shared" si="74"/>
        <v>72667.249052117331</v>
      </c>
      <c r="K111" s="43">
        <f t="shared" si="74"/>
        <v>123958.92831865761</v>
      </c>
    </row>
    <row r="112" spans="1:11" s="1" customFormat="1" x14ac:dyDescent="0.45">
      <c r="C112" s="38" t="s">
        <v>214</v>
      </c>
      <c r="D112" s="38"/>
      <c r="E112" s="43">
        <v>4</v>
      </c>
      <c r="F112" s="43">
        <f>F44*100%</f>
        <v>74631.403914217241</v>
      </c>
      <c r="G112" s="43">
        <f t="shared" si="74"/>
        <v>20419.995005454308</v>
      </c>
      <c r="H112" s="43">
        <f t="shared" si="74"/>
        <v>70359.633827446989</v>
      </c>
      <c r="I112" s="43">
        <f t="shared" si="74"/>
        <v>84971.285458747268</v>
      </c>
      <c r="J112" s="43">
        <f t="shared" si="74"/>
        <v>135704.73977527345</v>
      </c>
      <c r="K112" s="43">
        <f t="shared" si="74"/>
        <v>106741.4895550989</v>
      </c>
    </row>
    <row r="113" spans="1:11" s="1" customFormat="1" x14ac:dyDescent="0.45">
      <c r="C113" s="38" t="s">
        <v>215</v>
      </c>
      <c r="D113" s="38"/>
      <c r="E113" s="43">
        <v>4</v>
      </c>
      <c r="F113" s="43">
        <f>F45*100%</f>
        <v>21252.563890343492</v>
      </c>
      <c r="G113" s="43">
        <f t="shared" si="74"/>
        <v>18199.208583095129</v>
      </c>
      <c r="H113" s="43">
        <f t="shared" si="74"/>
        <v>28650.784834270944</v>
      </c>
      <c r="I113" s="43">
        <f t="shared" si="74"/>
        <v>10936.496343135726</v>
      </c>
      <c r="J113" s="43">
        <f t="shared" si="74"/>
        <v>8210.6482256864074</v>
      </c>
      <c r="K113" s="43">
        <f t="shared" si="74"/>
        <v>10142.008601099396</v>
      </c>
    </row>
    <row r="114" spans="1:11" s="1" customFormat="1" x14ac:dyDescent="0.45">
      <c r="C114" s="38" t="s">
        <v>24</v>
      </c>
      <c r="D114" s="38"/>
      <c r="E114" s="45"/>
      <c r="F114" s="45">
        <f>SUM(F110:F113)</f>
        <v>192990.90954956374</v>
      </c>
      <c r="G114" s="45">
        <f t="shared" ref="G114:K114" si="75">SUM(G110:G113)</f>
        <v>188227.23074123662</v>
      </c>
      <c r="H114" s="45">
        <f t="shared" si="75"/>
        <v>375449.92765636113</v>
      </c>
      <c r="I114" s="45">
        <f t="shared" si="75"/>
        <v>306844.51130630751</v>
      </c>
      <c r="J114" s="45">
        <f t="shared" si="75"/>
        <v>216582.63705307717</v>
      </c>
      <c r="K114" s="45">
        <f t="shared" si="75"/>
        <v>240842.42647485589</v>
      </c>
    </row>
    <row r="116" spans="1:11" s="1" customFormat="1" ht="27.4" x14ac:dyDescent="0.55000000000000004">
      <c r="B116" s="35" t="s">
        <v>222</v>
      </c>
      <c r="E116" s="30" t="s">
        <v>105</v>
      </c>
      <c r="F116" s="30">
        <v>2017</v>
      </c>
      <c r="G116" s="30">
        <f>F116+1</f>
        <v>2018</v>
      </c>
      <c r="H116" s="30">
        <f t="shared" ref="H116" si="76">G116+1</f>
        <v>2019</v>
      </c>
      <c r="I116" s="30">
        <f t="shared" ref="I116" si="77">H116+1</f>
        <v>2020</v>
      </c>
      <c r="J116" s="30">
        <f t="shared" ref="J116" si="78">I116+1</f>
        <v>2021</v>
      </c>
      <c r="K116" s="30">
        <f t="shared" ref="K116" si="79">J116+1</f>
        <v>2022</v>
      </c>
    </row>
    <row r="117" spans="1:11" s="1" customFormat="1" x14ac:dyDescent="0.45">
      <c r="C117" s="38" t="s">
        <v>23</v>
      </c>
      <c r="D117" s="72"/>
      <c r="E117" s="43">
        <v>5</v>
      </c>
      <c r="F117" s="43">
        <v>0</v>
      </c>
      <c r="G117" s="43">
        <f t="shared" ref="G117:H120" si="80">50%*G42</f>
        <v>0</v>
      </c>
      <c r="H117" s="43">
        <f t="shared" si="80"/>
        <v>0</v>
      </c>
      <c r="I117" s="43">
        <f t="shared" ref="I117:J120" si="81">I42+50%*G42</f>
        <v>0</v>
      </c>
      <c r="J117" s="43">
        <f t="shared" si="81"/>
        <v>0</v>
      </c>
      <c r="K117" s="43">
        <v>0</v>
      </c>
    </row>
    <row r="118" spans="1:11" s="1" customFormat="1" x14ac:dyDescent="0.45">
      <c r="C118" s="38" t="s">
        <v>213</v>
      </c>
      <c r="D118" s="72"/>
      <c r="E118" s="43">
        <v>5</v>
      </c>
      <c r="F118" s="43">
        <v>97106.941745002987</v>
      </c>
      <c r="G118" s="43">
        <f t="shared" si="80"/>
        <v>83115.57064038176</v>
      </c>
      <c r="H118" s="43">
        <f t="shared" si="80"/>
        <v>153577.50499702399</v>
      </c>
      <c r="I118" s="43">
        <f t="shared" si="81"/>
        <v>317489.71453418676</v>
      </c>
      <c r="J118" s="43">
        <f t="shared" si="81"/>
        <v>234318.89283270991</v>
      </c>
      <c r="K118" s="43">
        <v>137732.14257628622</v>
      </c>
    </row>
    <row r="119" spans="1:11" s="1" customFormat="1" x14ac:dyDescent="0.45">
      <c r="C119" s="38" t="s">
        <v>214</v>
      </c>
      <c r="D119" s="38"/>
      <c r="E119" s="43">
        <v>5</v>
      </c>
      <c r="F119" s="43">
        <v>74631.403914217241</v>
      </c>
      <c r="G119" s="43">
        <f t="shared" si="80"/>
        <v>11344.441669696838</v>
      </c>
      <c r="H119" s="43">
        <f t="shared" si="80"/>
        <v>39088.685459692773</v>
      </c>
      <c r="I119" s="43">
        <f t="shared" si="81"/>
        <v>105756.98106830491</v>
      </c>
      <c r="J119" s="43">
        <f t="shared" si="81"/>
        <v>189871.72965444106</v>
      </c>
      <c r="K119" s="43">
        <v>118601.655061221</v>
      </c>
    </row>
    <row r="120" spans="1:11" s="1" customFormat="1" x14ac:dyDescent="0.45">
      <c r="C120" s="38" t="s">
        <v>215</v>
      </c>
      <c r="D120" s="38"/>
      <c r="E120" s="43">
        <v>5</v>
      </c>
      <c r="F120" s="43">
        <v>21252.563890343492</v>
      </c>
      <c r="G120" s="43">
        <f t="shared" si="80"/>
        <v>10110.671435052849</v>
      </c>
      <c r="H120" s="43">
        <f t="shared" si="80"/>
        <v>15917.102685706079</v>
      </c>
      <c r="I120" s="43">
        <f t="shared" si="81"/>
        <v>22262.334038536988</v>
      </c>
      <c r="J120" s="43">
        <f t="shared" si="81"/>
        <v>25040.045158690977</v>
      </c>
      <c r="K120" s="43">
        <v>11268.898445665996</v>
      </c>
    </row>
    <row r="121" spans="1:11" s="1" customFormat="1" x14ac:dyDescent="0.45">
      <c r="C121" s="38" t="s">
        <v>24</v>
      </c>
      <c r="D121" s="38"/>
      <c r="E121" s="45"/>
      <c r="F121" s="45">
        <f t="shared" ref="F121" si="82">SUM(F117:F120)</f>
        <v>192990.90954956374</v>
      </c>
      <c r="G121" s="45">
        <f t="shared" ref="G121:K121" si="83">SUM(G117:G120)</f>
        <v>104570.68374513145</v>
      </c>
      <c r="H121" s="45">
        <f t="shared" ref="H121" si="84">SUM(H117:H120)</f>
        <v>208583.29314242283</v>
      </c>
      <c r="I121" s="45">
        <f t="shared" si="83"/>
        <v>445509.02964102867</v>
      </c>
      <c r="J121" s="45">
        <f t="shared" ref="J121" si="85">SUM(J117:J120)</f>
        <v>449230.66764584195</v>
      </c>
      <c r="K121" s="45">
        <f t="shared" si="83"/>
        <v>267602.69608317321</v>
      </c>
    </row>
    <row r="123" spans="1:11" s="1" customFormat="1" ht="28.5" x14ac:dyDescent="0.7">
      <c r="A123" s="27"/>
      <c r="B123" s="35" t="s">
        <v>142</v>
      </c>
      <c r="E123" s="30" t="s">
        <v>105</v>
      </c>
      <c r="F123" s="30">
        <v>2017</v>
      </c>
      <c r="G123" s="30">
        <f>F123+1</f>
        <v>2018</v>
      </c>
      <c r="H123" s="30">
        <f t="shared" ref="H123" si="86">G123+1</f>
        <v>2019</v>
      </c>
      <c r="I123" s="30">
        <f t="shared" ref="I123" si="87">H123+1</f>
        <v>2020</v>
      </c>
      <c r="J123" s="30">
        <f t="shared" ref="J123" si="88">I123+1</f>
        <v>2021</v>
      </c>
      <c r="K123" s="30">
        <f t="shared" ref="K123" si="89">J123+1</f>
        <v>2022</v>
      </c>
    </row>
    <row r="124" spans="1:11" s="1" customFormat="1" x14ac:dyDescent="0.45">
      <c r="C124" s="38" t="s">
        <v>141</v>
      </c>
      <c r="D124" s="38"/>
      <c r="E124" s="37">
        <v>6</v>
      </c>
      <c r="F124" s="43">
        <v>0</v>
      </c>
      <c r="G124" s="43">
        <f>G39*110%</f>
        <v>125094.65606551695</v>
      </c>
      <c r="H124" s="43">
        <f t="shared" ref="H124:K124" si="90">H39*110%</f>
        <v>134711.70144483849</v>
      </c>
      <c r="I124" s="43">
        <f t="shared" si="90"/>
        <v>140009.1321081986</v>
      </c>
      <c r="J124" s="43">
        <f t="shared" si="90"/>
        <v>145249.3583652809</v>
      </c>
      <c r="K124" s="43">
        <f t="shared" si="90"/>
        <v>151138.11169899724</v>
      </c>
    </row>
    <row r="126" spans="1:11" s="1" customFormat="1" ht="28.5" x14ac:dyDescent="0.7">
      <c r="A126" s="27"/>
      <c r="B126" s="35" t="s">
        <v>183</v>
      </c>
      <c r="E126" s="30" t="s">
        <v>105</v>
      </c>
      <c r="F126" s="30">
        <v>2017</v>
      </c>
      <c r="G126" s="30">
        <f>F126+1</f>
        <v>2018</v>
      </c>
      <c r="H126" s="30">
        <f t="shared" ref="H126" si="91">G126+1</f>
        <v>2019</v>
      </c>
      <c r="I126" s="30">
        <f t="shared" ref="I126" si="92">H126+1</f>
        <v>2020</v>
      </c>
      <c r="J126" s="30">
        <f t="shared" ref="J126" si="93">I126+1</f>
        <v>2021</v>
      </c>
      <c r="K126" s="30">
        <f t="shared" ref="K126" si="94">J126+1</f>
        <v>2022</v>
      </c>
    </row>
    <row r="127" spans="1:11" s="1" customFormat="1" x14ac:dyDescent="0.45">
      <c r="C127" s="38" t="s">
        <v>141</v>
      </c>
      <c r="D127" s="38"/>
      <c r="E127" s="37">
        <v>7</v>
      </c>
      <c r="F127" s="43">
        <v>0</v>
      </c>
      <c r="G127" s="43">
        <f>G39*90%</f>
        <v>102350.17314451386</v>
      </c>
      <c r="H127" s="43">
        <f t="shared" ref="H127:K127" si="95">H39*90%</f>
        <v>110218.6648185042</v>
      </c>
      <c r="I127" s="43">
        <f t="shared" si="95"/>
        <v>114552.92627034431</v>
      </c>
      <c r="J127" s="43">
        <f t="shared" si="95"/>
        <v>118840.38411704802</v>
      </c>
      <c r="K127" s="43">
        <f t="shared" si="95"/>
        <v>123658.45502645228</v>
      </c>
    </row>
  </sheetData>
  <sheetProtection formatColumns="0" formatRows="0"/>
  <sortState ref="B5:E33">
    <sortCondition ref="B5:B33"/>
  </sortState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Footer>&amp;L&amp;F&amp;C&amp;A&amp;R&amp;P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K92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1" width="4.86328125" style="1" customWidth="1"/>
    <col min="2" max="2" width="3.1328125" style="1" customWidth="1"/>
    <col min="3" max="3" width="7" style="1" customWidth="1"/>
    <col min="4" max="4" width="36.59765625" style="1" customWidth="1"/>
    <col min="5" max="5" width="10.3984375" style="1" customWidth="1"/>
    <col min="6" max="10" width="9.1328125" style="1" customWidth="1"/>
    <col min="11" max="11" width="8.86328125" style="1"/>
    <col min="12" max="12" width="6" style="1" customWidth="1"/>
    <col min="13" max="16384" width="8.86328125" style="1"/>
  </cols>
  <sheetData>
    <row r="1" spans="1:6" ht="25.5" x14ac:dyDescent="0.75">
      <c r="A1" s="18" t="s">
        <v>31</v>
      </c>
      <c r="E1" s="28"/>
    </row>
    <row r="2" spans="1:6" x14ac:dyDescent="0.45">
      <c r="A2" s="75" t="s">
        <v>209</v>
      </c>
    </row>
    <row r="3" spans="1:6" x14ac:dyDescent="0.45">
      <c r="C3" s="99"/>
      <c r="D3" s="30"/>
      <c r="E3" s="100" t="s">
        <v>145</v>
      </c>
    </row>
    <row r="4" spans="1:6" x14ac:dyDescent="0.45">
      <c r="C4" s="80" t="s">
        <v>105</v>
      </c>
      <c r="D4" s="101"/>
      <c r="E4" s="110" t="str">
        <f>Output!C4</f>
        <v>1</v>
      </c>
    </row>
    <row r="5" spans="1:6" x14ac:dyDescent="0.45">
      <c r="C5" s="80" t="s">
        <v>147</v>
      </c>
      <c r="D5" s="101"/>
      <c r="E5" s="102" t="s">
        <v>148</v>
      </c>
      <c r="F5" s="23" t="s">
        <v>189</v>
      </c>
    </row>
    <row r="8" spans="1:6" ht="21" x14ac:dyDescent="0.65">
      <c r="A8" s="42" t="s">
        <v>32</v>
      </c>
      <c r="E8" s="30" t="s">
        <v>12</v>
      </c>
    </row>
    <row r="9" spans="1:6" x14ac:dyDescent="0.45">
      <c r="B9" s="38" t="s">
        <v>235</v>
      </c>
      <c r="C9" s="38"/>
      <c r="D9" s="38"/>
      <c r="E9" s="46">
        <f>Inputs!E6</f>
        <v>2018</v>
      </c>
    </row>
    <row r="10" spans="1:6" x14ac:dyDescent="0.45">
      <c r="B10" s="38" t="s">
        <v>234</v>
      </c>
      <c r="C10" s="38"/>
      <c r="D10" s="38"/>
      <c r="E10" s="47">
        <f>Inputs!E7</f>
        <v>42916</v>
      </c>
    </row>
    <row r="11" spans="1:6" x14ac:dyDescent="0.45">
      <c r="B11" s="38" t="s">
        <v>132</v>
      </c>
      <c r="C11" s="38"/>
      <c r="D11" s="38"/>
      <c r="E11" s="46">
        <f>Inputs!E8</f>
        <v>365</v>
      </c>
    </row>
    <row r="12" spans="1:6" x14ac:dyDescent="0.45">
      <c r="B12" s="38" t="s">
        <v>13</v>
      </c>
      <c r="C12" s="38"/>
      <c r="D12" s="38"/>
      <c r="E12" s="46">
        <f>Inputs!E9</f>
        <v>148</v>
      </c>
    </row>
    <row r="13" spans="1:6" x14ac:dyDescent="0.45">
      <c r="B13" s="38" t="s">
        <v>14</v>
      </c>
      <c r="C13" s="38"/>
      <c r="D13" s="38"/>
      <c r="E13" s="46">
        <f>Inputs!E10</f>
        <v>182</v>
      </c>
    </row>
    <row r="14" spans="1:6" x14ac:dyDescent="0.45">
      <c r="B14" s="38" t="s">
        <v>15</v>
      </c>
      <c r="C14" s="38"/>
      <c r="D14" s="38"/>
      <c r="E14" s="48">
        <f>Inputs!E11</f>
        <v>0.28000000000000003</v>
      </c>
    </row>
    <row r="15" spans="1:6" x14ac:dyDescent="0.45">
      <c r="B15" s="38" t="s">
        <v>73</v>
      </c>
      <c r="C15" s="38"/>
      <c r="D15" s="38"/>
      <c r="E15" s="48">
        <f>Inputs!E12</f>
        <v>0.19</v>
      </c>
    </row>
    <row r="16" spans="1:6" x14ac:dyDescent="0.45">
      <c r="B16" s="38" t="s">
        <v>74</v>
      </c>
      <c r="C16" s="38"/>
      <c r="D16" s="38"/>
      <c r="E16" s="49">
        <f>Inputs!E13</f>
        <v>4.41E-2</v>
      </c>
    </row>
    <row r="17" spans="1:11" x14ac:dyDescent="0.45">
      <c r="B17" s="38" t="s">
        <v>68</v>
      </c>
      <c r="C17" s="38"/>
      <c r="D17" s="38"/>
      <c r="E17" s="49">
        <f>Inputs!E14</f>
        <v>6.6433320000000004E-2</v>
      </c>
    </row>
    <row r="18" spans="1:11" x14ac:dyDescent="0.45">
      <c r="B18" s="38" t="s">
        <v>16</v>
      </c>
      <c r="C18" s="38"/>
      <c r="D18" s="38"/>
      <c r="E18" s="49">
        <f>Inputs!E15</f>
        <v>6.4087200000000011E-2</v>
      </c>
    </row>
    <row r="19" spans="1:11" x14ac:dyDescent="0.45">
      <c r="B19" s="38" t="s">
        <v>91</v>
      </c>
      <c r="C19" s="38"/>
      <c r="D19" s="38"/>
      <c r="E19" s="52">
        <f>Inputs!E16</f>
        <v>82510.119692784399</v>
      </c>
    </row>
    <row r="20" spans="1:11" x14ac:dyDescent="0.45">
      <c r="B20" s="38" t="s">
        <v>100</v>
      </c>
      <c r="C20" s="38"/>
      <c r="D20" s="38"/>
      <c r="E20" s="52">
        <f>Inputs!E17</f>
        <v>86083.839512404622</v>
      </c>
    </row>
    <row r="21" spans="1:11" x14ac:dyDescent="0.45">
      <c r="B21" s="38" t="s">
        <v>64</v>
      </c>
      <c r="C21" s="38"/>
      <c r="D21" s="38"/>
      <c r="E21" s="48">
        <f>Inputs!E18</f>
        <v>0.5</v>
      </c>
    </row>
    <row r="22" spans="1:11" ht="18" x14ac:dyDescent="0.55000000000000004">
      <c r="A22" s="35" t="s">
        <v>210</v>
      </c>
    </row>
    <row r="23" spans="1:11" x14ac:dyDescent="0.45">
      <c r="B23" s="38" t="str">
        <f>Inputs!C20</f>
        <v>Land</v>
      </c>
      <c r="C23" s="38"/>
      <c r="D23" s="43"/>
      <c r="E23" s="52">
        <f>Inputs!E20</f>
        <v>334761.86924423126</v>
      </c>
    </row>
    <row r="24" spans="1:11" x14ac:dyDescent="0.45">
      <c r="B24" s="38" t="str">
        <f>Inputs!C21</f>
        <v>Infrastructure &amp; Buildings</v>
      </c>
      <c r="C24" s="38"/>
      <c r="D24" s="43"/>
      <c r="E24" s="52">
        <f>Inputs!E21</f>
        <v>522413.42904351326</v>
      </c>
    </row>
    <row r="25" spans="1:11" x14ac:dyDescent="0.45">
      <c r="B25" s="38" t="str">
        <f>Inputs!C22</f>
        <v>Sealed Surfaces</v>
      </c>
      <c r="C25" s="38"/>
      <c r="D25" s="43"/>
      <c r="E25" s="52">
        <f>Inputs!E22</f>
        <v>218029.78127999936</v>
      </c>
    </row>
    <row r="26" spans="1:11" x14ac:dyDescent="0.45">
      <c r="B26" s="38" t="str">
        <f>Inputs!C23</f>
        <v>Vehicles, Plant &amp; Equipment</v>
      </c>
      <c r="C26" s="38"/>
      <c r="D26" s="43"/>
      <c r="E26" s="52">
        <f>Inputs!E23</f>
        <v>32020.215491697654</v>
      </c>
    </row>
    <row r="27" spans="1:11" x14ac:dyDescent="0.45">
      <c r="B27" s="38" t="str">
        <f>Inputs!C24</f>
        <v>Tax value - Land</v>
      </c>
      <c r="C27" s="38"/>
      <c r="D27" s="43"/>
      <c r="E27" s="52">
        <f>Inputs!E24</f>
        <v>76319.640198870082</v>
      </c>
    </row>
    <row r="28" spans="1:11" x14ac:dyDescent="0.45">
      <c r="B28" s="38" t="str">
        <f>Inputs!C25</f>
        <v>Tax value - Infrastructure &amp; Buildings</v>
      </c>
      <c r="C28" s="38"/>
      <c r="D28" s="43"/>
      <c r="E28" s="52">
        <f>Inputs!E25</f>
        <v>388285.35883291031</v>
      </c>
    </row>
    <row r="29" spans="1:11" x14ac:dyDescent="0.45">
      <c r="B29" s="38" t="str">
        <f>Inputs!C26</f>
        <v>Tax value - Sealed Surfaces</v>
      </c>
      <c r="C29" s="38"/>
      <c r="D29" s="43"/>
      <c r="E29" s="52">
        <f>Inputs!E26</f>
        <v>128593.20864000083</v>
      </c>
    </row>
    <row r="30" spans="1:11" x14ac:dyDescent="0.45">
      <c r="B30" s="38" t="str">
        <f>Inputs!C27</f>
        <v>Tax value - Vehicles, Plant &amp; Equipment</v>
      </c>
      <c r="C30" s="38"/>
      <c r="D30" s="43"/>
      <c r="E30" s="52">
        <f>Inputs!E27</f>
        <v>25172.643369017624</v>
      </c>
    </row>
    <row r="32" spans="1:11" ht="21" x14ac:dyDescent="0.65">
      <c r="A32" s="42" t="s">
        <v>143</v>
      </c>
      <c r="E32" s="30" t="s">
        <v>12</v>
      </c>
      <c r="F32" s="30">
        <v>2017</v>
      </c>
      <c r="G32" s="30">
        <f>F32+1</f>
        <v>2018</v>
      </c>
      <c r="H32" s="30">
        <f t="shared" ref="H32:K32" si="0">G32+1</f>
        <v>2019</v>
      </c>
      <c r="I32" s="30">
        <f t="shared" si="0"/>
        <v>2020</v>
      </c>
      <c r="J32" s="30">
        <f t="shared" si="0"/>
        <v>2021</v>
      </c>
      <c r="K32" s="30">
        <f t="shared" si="0"/>
        <v>2022</v>
      </c>
    </row>
    <row r="33" spans="2:11" ht="18" x14ac:dyDescent="0.55000000000000004">
      <c r="B33" s="35" t="s">
        <v>17</v>
      </c>
    </row>
    <row r="34" spans="2:11" x14ac:dyDescent="0.45">
      <c r="C34" s="38" t="s">
        <v>18</v>
      </c>
      <c r="D34" s="38"/>
      <c r="E34" s="50"/>
      <c r="F34" s="50"/>
      <c r="G34" s="50">
        <f>Inputs!G32</f>
        <v>310099.98689137312</v>
      </c>
      <c r="H34" s="50">
        <f>Inputs!H32</f>
        <v>324198.48502135748</v>
      </c>
      <c r="I34" s="50">
        <f>Inputs!I32</f>
        <v>336956.58027701493</v>
      </c>
      <c r="J34" s="50">
        <f>Inputs!J32</f>
        <v>353317.52538773493</v>
      </c>
      <c r="K34" s="50">
        <f>Inputs!K32</f>
        <v>371531.28593805904</v>
      </c>
    </row>
    <row r="35" spans="2:11" x14ac:dyDescent="0.45">
      <c r="C35" s="38" t="s">
        <v>19</v>
      </c>
      <c r="D35" s="38"/>
      <c r="E35" s="50"/>
      <c r="F35" s="50"/>
      <c r="G35" s="50">
        <f>Inputs!G33</f>
        <v>24256.507342034583</v>
      </c>
      <c r="H35" s="50">
        <f>Inputs!H33</f>
        <v>26338.321655259002</v>
      </c>
      <c r="I35" s="50">
        <f>Inputs!I33</f>
        <v>28320.085548604249</v>
      </c>
      <c r="J35" s="50">
        <f>Inputs!J33</f>
        <v>29374.642484672295</v>
      </c>
      <c r="K35" s="50">
        <f>Inputs!K33</f>
        <v>30254.332336132818</v>
      </c>
    </row>
    <row r="36" spans="2:11" x14ac:dyDescent="0.45">
      <c r="C36" s="38" t="s">
        <v>20</v>
      </c>
      <c r="D36" s="38"/>
      <c r="E36" s="50"/>
      <c r="F36" s="50"/>
      <c r="G36" s="50">
        <f>Inputs!G34</f>
        <v>0</v>
      </c>
      <c r="H36" s="50">
        <f>Inputs!H34</f>
        <v>0</v>
      </c>
      <c r="I36" s="50">
        <f>Inputs!I34</f>
        <v>0</v>
      </c>
      <c r="J36" s="50">
        <f>Inputs!J34</f>
        <v>0</v>
      </c>
      <c r="K36" s="50">
        <f>Inputs!K34</f>
        <v>0</v>
      </c>
    </row>
    <row r="37" spans="2:11" x14ac:dyDescent="0.45">
      <c r="C37" s="38" t="s">
        <v>71</v>
      </c>
      <c r="D37" s="38"/>
      <c r="E37" s="50"/>
      <c r="F37" s="50"/>
      <c r="G37" s="50">
        <f>Inputs!G35</f>
        <v>-14014.437992286599</v>
      </c>
      <c r="H37" s="50">
        <f>Inputs!H35</f>
        <v>-2069.4069790582498</v>
      </c>
      <c r="I37" s="50">
        <f>Inputs!I35</f>
        <v>-1697.1386691851801</v>
      </c>
      <c r="J37" s="50">
        <f>Inputs!J35</f>
        <v>-1195.6041481346399</v>
      </c>
      <c r="K37" s="50">
        <f>Inputs!K35</f>
        <v>-4136.2782046173097</v>
      </c>
    </row>
    <row r="38" spans="2:11" ht="18" x14ac:dyDescent="0.55000000000000004">
      <c r="B38" s="35" t="s">
        <v>216</v>
      </c>
      <c r="D38" s="22"/>
    </row>
    <row r="39" spans="2:11" x14ac:dyDescent="0.45">
      <c r="C39" s="38" t="s">
        <v>23</v>
      </c>
      <c r="D39" s="34"/>
      <c r="E39" s="43"/>
      <c r="F39" s="50">
        <f>Inputs!F42</f>
        <v>0</v>
      </c>
      <c r="G39" s="50">
        <f>Inputs!G42</f>
        <v>0</v>
      </c>
      <c r="H39" s="50">
        <f>Inputs!H42</f>
        <v>0</v>
      </c>
      <c r="I39" s="50">
        <f>Inputs!I42</f>
        <v>0</v>
      </c>
      <c r="J39" s="50">
        <f>Inputs!J42</f>
        <v>0</v>
      </c>
      <c r="K39" s="50">
        <f>Inputs!K42</f>
        <v>0</v>
      </c>
    </row>
    <row r="40" spans="2:11" x14ac:dyDescent="0.45">
      <c r="C40" s="38" t="s">
        <v>213</v>
      </c>
      <c r="D40" s="34"/>
      <c r="E40" s="43"/>
      <c r="F40" s="50">
        <f>Inputs!F43</f>
        <v>97106.941745002987</v>
      </c>
      <c r="G40" s="50">
        <f>Inputs!G43</f>
        <v>166231.14128076352</v>
      </c>
      <c r="H40" s="50">
        <f>Inputs!H43</f>
        <v>307155.00999404798</v>
      </c>
      <c r="I40" s="50">
        <f>Inputs!I43</f>
        <v>234374.14389380498</v>
      </c>
      <c r="J40" s="50">
        <f>Inputs!J43</f>
        <v>80741.38783568592</v>
      </c>
      <c r="K40" s="50">
        <f>Inputs!K43</f>
        <v>137732.14257628622</v>
      </c>
    </row>
    <row r="41" spans="2:11" x14ac:dyDescent="0.45">
      <c r="C41" s="38" t="s">
        <v>214</v>
      </c>
      <c r="D41" s="38"/>
      <c r="E41" s="43"/>
      <c r="F41" s="50">
        <f>Inputs!F44</f>
        <v>74631.403914217241</v>
      </c>
      <c r="G41" s="50">
        <f>Inputs!G44</f>
        <v>22688.883339393677</v>
      </c>
      <c r="H41" s="50">
        <f>Inputs!H44</f>
        <v>78177.370919385547</v>
      </c>
      <c r="I41" s="50">
        <f>Inputs!I44</f>
        <v>94412.539398608074</v>
      </c>
      <c r="J41" s="50">
        <f>Inputs!J44</f>
        <v>150783.04419474828</v>
      </c>
      <c r="K41" s="50">
        <f>Inputs!K44</f>
        <v>118601.655061221</v>
      </c>
    </row>
    <row r="42" spans="2:11" x14ac:dyDescent="0.45">
      <c r="C42" s="38" t="s">
        <v>215</v>
      </c>
      <c r="D42" s="38"/>
      <c r="E42" s="43"/>
      <c r="F42" s="50">
        <f>Inputs!F45</f>
        <v>21252.563890343492</v>
      </c>
      <c r="G42" s="50">
        <f>Inputs!G45</f>
        <v>20221.342870105698</v>
      </c>
      <c r="H42" s="50">
        <f>Inputs!H45</f>
        <v>31834.205371412158</v>
      </c>
      <c r="I42" s="50">
        <f>Inputs!I45</f>
        <v>12151.662603484141</v>
      </c>
      <c r="J42" s="50">
        <f>Inputs!J45</f>
        <v>9122.9424729848961</v>
      </c>
      <c r="K42" s="50">
        <f>Inputs!K45</f>
        <v>11268.898445665996</v>
      </c>
    </row>
    <row r="43" spans="2:11" ht="18" x14ac:dyDescent="0.55000000000000004">
      <c r="B43" s="35" t="s">
        <v>56</v>
      </c>
      <c r="D43" s="22"/>
      <c r="E43" s="30"/>
      <c r="F43" s="30"/>
      <c r="G43" s="30"/>
      <c r="H43" s="30"/>
      <c r="I43" s="30"/>
      <c r="J43" s="30"/>
      <c r="K43" s="30"/>
    </row>
    <row r="44" spans="2:11" x14ac:dyDescent="0.45">
      <c r="C44" s="38" t="s">
        <v>23</v>
      </c>
      <c r="D44" s="34"/>
      <c r="E44" s="43"/>
      <c r="F44" s="50">
        <f>Inputs!F49</f>
        <v>0</v>
      </c>
      <c r="G44" s="50">
        <f>Inputs!G49</f>
        <v>0</v>
      </c>
      <c r="H44" s="50">
        <f>Inputs!H49</f>
        <v>0</v>
      </c>
      <c r="I44" s="50">
        <f>Inputs!I49</f>
        <v>0</v>
      </c>
      <c r="J44" s="50">
        <f>Inputs!J49</f>
        <v>0</v>
      </c>
      <c r="K44" s="50">
        <f>Inputs!K49</f>
        <v>0</v>
      </c>
    </row>
    <row r="45" spans="2:11" x14ac:dyDescent="0.45">
      <c r="C45" s="38" t="s">
        <v>213</v>
      </c>
      <c r="D45" s="34"/>
      <c r="E45" s="43"/>
      <c r="F45" s="50">
        <f>Inputs!F50</f>
        <v>485.53470872501492</v>
      </c>
      <c r="G45" s="50">
        <f>Inputs!G50</f>
        <v>13821.120003377895</v>
      </c>
      <c r="H45" s="50">
        <f>Inputs!H50</f>
        <v>1535.7750499702399</v>
      </c>
      <c r="I45" s="50">
        <f>Inputs!I50</f>
        <v>1171.8707194690251</v>
      </c>
      <c r="J45" s="50">
        <f>Inputs!J50</f>
        <v>403.70693917842971</v>
      </c>
      <c r="K45" s="50">
        <f>Inputs!K50</f>
        <v>3454.6369664005433</v>
      </c>
    </row>
    <row r="46" spans="2:11" x14ac:dyDescent="0.45">
      <c r="C46" s="38" t="s">
        <v>214</v>
      </c>
      <c r="D46" s="38"/>
      <c r="E46" s="43"/>
      <c r="F46" s="50">
        <f>Inputs!F51</f>
        <v>358.07978794635596</v>
      </c>
      <c r="G46" s="50">
        <f>Inputs!G51</f>
        <v>111.39161429802313</v>
      </c>
      <c r="H46" s="50">
        <f>Inputs!H51</f>
        <v>390.88685459692778</v>
      </c>
      <c r="I46" s="50">
        <f>Inputs!I51</f>
        <v>472.06269699304039</v>
      </c>
      <c r="J46" s="50">
        <f>Inputs!J51</f>
        <v>753.91522097374138</v>
      </c>
      <c r="K46" s="50">
        <f>Inputs!K51</f>
        <v>593.00827530610502</v>
      </c>
    </row>
    <row r="47" spans="2:11" x14ac:dyDescent="0.45">
      <c r="C47" s="38" t="s">
        <v>215</v>
      </c>
      <c r="D47" s="38"/>
      <c r="E47" s="43"/>
      <c r="F47" s="50">
        <f>Inputs!F52</f>
        <v>94.824908370044056</v>
      </c>
      <c r="G47" s="50">
        <f>Inputs!G52</f>
        <v>81.926374610666443</v>
      </c>
      <c r="H47" s="50">
        <f>Inputs!H52</f>
        <v>142.74507449108197</v>
      </c>
      <c r="I47" s="50">
        <f>Inputs!I52</f>
        <v>53.20525272311788</v>
      </c>
      <c r="J47" s="50">
        <f>Inputs!J52</f>
        <v>37.981987982469725</v>
      </c>
      <c r="K47" s="50">
        <f>Inputs!K52</f>
        <v>88.632962910660012</v>
      </c>
    </row>
    <row r="48" spans="2:11" ht="18" x14ac:dyDescent="0.55000000000000004">
      <c r="B48" s="35" t="s">
        <v>223</v>
      </c>
    </row>
    <row r="49" spans="2:11" x14ac:dyDescent="0.45">
      <c r="C49" s="38" t="s">
        <v>23</v>
      </c>
      <c r="D49" s="38"/>
      <c r="E49" s="38"/>
      <c r="F49" s="50">
        <f>Inputs!F56</f>
        <v>340.075981569281</v>
      </c>
      <c r="G49" s="50">
        <f>Inputs!G56</f>
        <v>340.0513426038371</v>
      </c>
      <c r="H49" s="50">
        <f>Inputs!H56</f>
        <v>446.28504852539066</v>
      </c>
      <c r="I49" s="50">
        <f>Inputs!I56</f>
        <v>552.50335509354159</v>
      </c>
      <c r="J49" s="50">
        <f>Inputs!J56</f>
        <v>556.85990067688783</v>
      </c>
      <c r="K49" s="50">
        <f>Inputs!K56</f>
        <v>561.01637984474928</v>
      </c>
    </row>
    <row r="50" spans="2:11" x14ac:dyDescent="0.45">
      <c r="C50" s="38" t="s">
        <v>213</v>
      </c>
      <c r="D50" s="38"/>
      <c r="E50" s="38"/>
      <c r="F50" s="50">
        <f>Inputs!F57</f>
        <v>414.22713883138454</v>
      </c>
      <c r="G50" s="50">
        <f>Inputs!G57</f>
        <v>457.10738330201468</v>
      </c>
      <c r="H50" s="50">
        <f>Inputs!H57</f>
        <v>729.49397153716995</v>
      </c>
      <c r="I50" s="50">
        <f>Inputs!I57</f>
        <v>1142.2499002070749</v>
      </c>
      <c r="J50" s="50">
        <f>Inputs!J57</f>
        <v>1286.3555486197165</v>
      </c>
      <c r="K50" s="50">
        <f>Inputs!K57</f>
        <v>1265.6121564483644</v>
      </c>
    </row>
    <row r="51" spans="2:11" x14ac:dyDescent="0.45">
      <c r="C51" s="38" t="s">
        <v>214</v>
      </c>
      <c r="D51" s="38"/>
      <c r="E51" s="38"/>
      <c r="F51" s="50">
        <f>Inputs!F58</f>
        <v>0</v>
      </c>
      <c r="G51" s="50">
        <f>Inputs!G58</f>
        <v>0.92328395552216536</v>
      </c>
      <c r="H51" s="50">
        <f>Inputs!H58</f>
        <v>1.1639683193421884</v>
      </c>
      <c r="I51" s="50">
        <f>Inputs!I58</f>
        <v>1.3820975965056561</v>
      </c>
      <c r="J51" s="50">
        <f>Inputs!J58</f>
        <v>1.333837089505725</v>
      </c>
      <c r="K51" s="50">
        <f>Inputs!K58</f>
        <v>1.2841690618020811</v>
      </c>
    </row>
    <row r="52" spans="2:11" x14ac:dyDescent="0.45">
      <c r="C52" s="38" t="s">
        <v>215</v>
      </c>
      <c r="D52" s="38"/>
      <c r="E52" s="38"/>
      <c r="F52" s="50">
        <f>Inputs!F59</f>
        <v>2.2607092813914567</v>
      </c>
      <c r="G52" s="50">
        <f>Inputs!G59</f>
        <v>5.6361429719822249</v>
      </c>
      <c r="H52" s="50">
        <f>Inputs!H59</f>
        <v>56.793214649078756</v>
      </c>
      <c r="I52" s="50">
        <f>Inputs!I59</f>
        <v>116.65731282929735</v>
      </c>
      <c r="J52" s="50">
        <f>Inputs!J59</f>
        <v>84.076285310923907</v>
      </c>
      <c r="K52" s="50">
        <f>Inputs!K59</f>
        <v>50.939454378207714</v>
      </c>
    </row>
    <row r="53" spans="2:11" ht="18" x14ac:dyDescent="0.55000000000000004">
      <c r="B53" s="35" t="s">
        <v>57</v>
      </c>
      <c r="D53" s="22"/>
      <c r="E53" s="30"/>
      <c r="F53" s="30"/>
      <c r="G53" s="30"/>
      <c r="H53" s="30"/>
      <c r="I53" s="30"/>
      <c r="J53" s="30"/>
      <c r="K53" s="30"/>
    </row>
    <row r="54" spans="2:11" x14ac:dyDescent="0.45">
      <c r="C54" s="38" t="s">
        <v>23</v>
      </c>
      <c r="D54" s="34"/>
      <c r="E54" s="43"/>
      <c r="F54" s="50">
        <f>Inputs!F62</f>
        <v>0</v>
      </c>
      <c r="G54" s="50">
        <f>Inputs!G62</f>
        <v>0</v>
      </c>
      <c r="H54" s="50">
        <f>Inputs!H62</f>
        <v>0</v>
      </c>
      <c r="I54" s="50">
        <f>Inputs!I62</f>
        <v>0</v>
      </c>
      <c r="J54" s="50">
        <f>Inputs!J62</f>
        <v>0</v>
      </c>
      <c r="K54" s="50">
        <f>Inputs!K62</f>
        <v>0</v>
      </c>
    </row>
    <row r="55" spans="2:11" x14ac:dyDescent="0.45">
      <c r="C55" s="38" t="s">
        <v>213</v>
      </c>
      <c r="D55" s="34"/>
      <c r="E55" s="43"/>
      <c r="F55" s="50">
        <f>Inputs!F63</f>
        <v>-10361.997387036216</v>
      </c>
      <c r="G55" s="50">
        <f>Inputs!G63</f>
        <v>0</v>
      </c>
      <c r="H55" s="50">
        <f>Inputs!H63</f>
        <v>0</v>
      </c>
      <c r="I55" s="50">
        <f>Inputs!I63</f>
        <v>0</v>
      </c>
      <c r="J55" s="50">
        <f>Inputs!J63</f>
        <v>0</v>
      </c>
      <c r="K55" s="50">
        <f>Inputs!K63</f>
        <v>0</v>
      </c>
    </row>
    <row r="56" spans="2:11" x14ac:dyDescent="0.45">
      <c r="C56" s="38" t="s">
        <v>214</v>
      </c>
      <c r="D56" s="38"/>
      <c r="E56" s="43"/>
      <c r="F56" s="50">
        <f>Inputs!F64</f>
        <v>0</v>
      </c>
      <c r="G56" s="50">
        <f>Inputs!G64</f>
        <v>0</v>
      </c>
      <c r="H56" s="50">
        <f>Inputs!H64</f>
        <v>0</v>
      </c>
      <c r="I56" s="50">
        <f>Inputs!I64</f>
        <v>0</v>
      </c>
      <c r="J56" s="50">
        <f>Inputs!J64</f>
        <v>0</v>
      </c>
      <c r="K56" s="50">
        <f>Inputs!K64</f>
        <v>0</v>
      </c>
    </row>
    <row r="57" spans="2:11" x14ac:dyDescent="0.45">
      <c r="C57" s="38" t="s">
        <v>215</v>
      </c>
      <c r="D57" s="38"/>
      <c r="E57" s="43"/>
      <c r="F57" s="50">
        <f>Inputs!F65</f>
        <v>0</v>
      </c>
      <c r="G57" s="50">
        <f>Inputs!G65</f>
        <v>0</v>
      </c>
      <c r="H57" s="50">
        <f>Inputs!H65</f>
        <v>0</v>
      </c>
      <c r="I57" s="50">
        <f>Inputs!I65</f>
        <v>0</v>
      </c>
      <c r="J57" s="50">
        <f>Inputs!J65</f>
        <v>0</v>
      </c>
      <c r="K57" s="50">
        <f>Inputs!K65</f>
        <v>0</v>
      </c>
    </row>
    <row r="58" spans="2:11" ht="18" x14ac:dyDescent="0.55000000000000004">
      <c r="B58" s="35" t="s">
        <v>217</v>
      </c>
      <c r="D58" s="22"/>
      <c r="E58" s="30"/>
      <c r="F58" s="30"/>
      <c r="G58" s="30"/>
      <c r="H58" s="30"/>
      <c r="I58" s="30"/>
      <c r="J58" s="30"/>
      <c r="K58" s="30"/>
    </row>
    <row r="59" spans="2:11" x14ac:dyDescent="0.45">
      <c r="C59" s="38" t="s">
        <v>23</v>
      </c>
      <c r="D59" s="36"/>
      <c r="E59" s="43"/>
      <c r="F59" s="50">
        <f>Inputs!F69</f>
        <v>3.5285231625543192</v>
      </c>
      <c r="G59" s="50">
        <f>Inputs!G69</f>
        <v>3.5531621279987022</v>
      </c>
      <c r="H59" s="50">
        <f>Inputs!H69</f>
        <v>3.5855007701444537</v>
      </c>
      <c r="I59" s="50">
        <f>Inputs!I69</f>
        <v>3.6255390889915762</v>
      </c>
      <c r="J59" s="50">
        <f>Inputs!J69</f>
        <v>3.6658960386378285</v>
      </c>
      <c r="K59" s="50">
        <f>Inputs!K69</f>
        <v>3.7065571649348033</v>
      </c>
    </row>
    <row r="60" spans="2:11" x14ac:dyDescent="0.45">
      <c r="C60" s="38" t="s">
        <v>213</v>
      </c>
      <c r="D60" s="34"/>
      <c r="E60" s="43"/>
      <c r="F60" s="50">
        <f>Inputs!F70</f>
        <v>27371.88474706986</v>
      </c>
      <c r="G60" s="50">
        <f>Inputs!G70</f>
        <v>28018.995818783231</v>
      </c>
      <c r="H60" s="50">
        <f>Inputs!H70</f>
        <v>32532.858172304259</v>
      </c>
      <c r="I60" s="50">
        <f>Inputs!I70</f>
        <v>42924.555827153177</v>
      </c>
      <c r="J60" s="50">
        <f>Inputs!J70</f>
        <v>51302.747781142425</v>
      </c>
      <c r="K60" s="50">
        <f>Inputs!K70</f>
        <v>54199.645904280587</v>
      </c>
    </row>
    <row r="61" spans="2:11" x14ac:dyDescent="0.45">
      <c r="C61" s="38" t="s">
        <v>214</v>
      </c>
      <c r="D61" s="38"/>
      <c r="E61" s="43"/>
      <c r="F61" s="50">
        <f>Inputs!F71</f>
        <v>8718.3779872818559</v>
      </c>
      <c r="G61" s="50">
        <f>Inputs!G71</f>
        <v>11406.695999780211</v>
      </c>
      <c r="H61" s="50">
        <f>Inputs!H71</f>
        <v>11890.990604347642</v>
      </c>
      <c r="I61" s="50">
        <f>Inputs!I71</f>
        <v>14675.474429999356</v>
      </c>
      <c r="J61" s="50">
        <f>Inputs!J71</f>
        <v>18226.424307663492</v>
      </c>
      <c r="K61" s="50">
        <f>Inputs!K71</f>
        <v>24213.979780276299</v>
      </c>
    </row>
    <row r="62" spans="2:11" x14ac:dyDescent="0.45">
      <c r="C62" s="38" t="s">
        <v>215</v>
      </c>
      <c r="D62" s="38"/>
      <c r="E62" s="43"/>
      <c r="F62" s="50">
        <f>Inputs!F72</f>
        <v>8994.2917552121016</v>
      </c>
      <c r="G62" s="50">
        <f>Inputs!G72</f>
        <v>12883.092178719062</v>
      </c>
      <c r="H62" s="50">
        <f>Inputs!H72</f>
        <v>16297.708812668399</v>
      </c>
      <c r="I62" s="50">
        <f>Inputs!I72</f>
        <v>21487.909284102443</v>
      </c>
      <c r="J62" s="50">
        <f>Inputs!J72</f>
        <v>21972.713631856113</v>
      </c>
      <c r="K62" s="50">
        <f>Inputs!K72</f>
        <v>19239.003456517097</v>
      </c>
    </row>
    <row r="63" spans="2:11" ht="18" x14ac:dyDescent="0.55000000000000004">
      <c r="B63" s="35" t="s">
        <v>45</v>
      </c>
      <c r="D63" s="22"/>
      <c r="E63" s="30"/>
      <c r="F63" s="30"/>
      <c r="G63" s="30"/>
      <c r="H63" s="30"/>
      <c r="I63" s="30"/>
      <c r="J63" s="30"/>
      <c r="K63" s="30"/>
    </row>
    <row r="64" spans="2:11" x14ac:dyDescent="0.45">
      <c r="C64" s="38" t="s">
        <v>23</v>
      </c>
      <c r="D64" s="36"/>
      <c r="E64" s="43"/>
      <c r="F64" s="50">
        <f>Inputs!F76</f>
        <v>31.396262948662731</v>
      </c>
      <c r="G64" s="50">
        <f>Inputs!G76</f>
        <v>30.154569009295788</v>
      </c>
      <c r="H64" s="50">
        <f>Inputs!H76</f>
        <v>28.982195942404946</v>
      </c>
      <c r="I64" s="50">
        <f>Inputs!I76</f>
        <v>27.87427438378457</v>
      </c>
      <c r="J64" s="50">
        <f>Inputs!J76</f>
        <v>26.826312457397126</v>
      </c>
      <c r="K64" s="50">
        <f>Inputs!K76</f>
        <v>25.834165470650905</v>
      </c>
    </row>
    <row r="65" spans="2:11" x14ac:dyDescent="0.45">
      <c r="C65" s="38" t="s">
        <v>213</v>
      </c>
      <c r="D65" s="34"/>
      <c r="E65" s="43"/>
      <c r="F65" s="50">
        <f>Inputs!F77</f>
        <v>20910.491770646422</v>
      </c>
      <c r="G65" s="50">
        <f>Inputs!G77</f>
        <v>27916.399257014065</v>
      </c>
      <c r="H65" s="50">
        <f>Inputs!H77</f>
        <v>41971.66642624222</v>
      </c>
      <c r="I65" s="50">
        <f>Inputs!I77</f>
        <v>57667.680467599843</v>
      </c>
      <c r="J65" s="50">
        <f>Inputs!J77</f>
        <v>64158.889466462089</v>
      </c>
      <c r="K65" s="50">
        <f>Inputs!K77</f>
        <v>66696.067205199171</v>
      </c>
    </row>
    <row r="66" spans="2:11" x14ac:dyDescent="0.45">
      <c r="C66" s="38" t="s">
        <v>214</v>
      </c>
      <c r="D66" s="38"/>
      <c r="E66" s="43"/>
      <c r="F66" s="50">
        <f>Inputs!F78</f>
        <v>9192.0157146543443</v>
      </c>
      <c r="G66" s="50">
        <f>Inputs!G78</f>
        <v>11519.540698761899</v>
      </c>
      <c r="H66" s="50">
        <f>Inputs!H78</f>
        <v>13872.343421661151</v>
      </c>
      <c r="I66" s="50">
        <f>Inputs!I78</f>
        <v>18202.126706183797</v>
      </c>
      <c r="J66" s="50">
        <f>Inputs!J78</f>
        <v>24459.319979151871</v>
      </c>
      <c r="K66" s="50">
        <f>Inputs!K78</f>
        <v>31017.329404036496</v>
      </c>
    </row>
    <row r="67" spans="2:11" x14ac:dyDescent="0.45">
      <c r="C67" s="38" t="s">
        <v>215</v>
      </c>
      <c r="D67" s="38"/>
      <c r="E67" s="43"/>
      <c r="F67" s="50">
        <f>Inputs!F79</f>
        <v>11003.007590746241</v>
      </c>
      <c r="G67" s="50">
        <f>Inputs!G79</f>
        <v>14023.570095233663</v>
      </c>
      <c r="H67" s="50">
        <f>Inputs!H79</f>
        <v>18395.874437335933</v>
      </c>
      <c r="I67" s="50">
        <f>Inputs!I79</f>
        <v>19309.428967538861</v>
      </c>
      <c r="J67" s="50">
        <f>Inputs!J79</f>
        <v>16165.780378265943</v>
      </c>
      <c r="K67" s="50">
        <f>Inputs!K79</f>
        <v>15837.242192180756</v>
      </c>
    </row>
    <row r="68" spans="2:11" ht="18" x14ac:dyDescent="0.55000000000000004">
      <c r="B68" s="35" t="s">
        <v>218</v>
      </c>
      <c r="D68" s="22"/>
      <c r="E68" s="30"/>
      <c r="F68" s="30"/>
      <c r="G68" s="30"/>
      <c r="H68" s="30"/>
      <c r="I68" s="30"/>
      <c r="J68" s="30"/>
      <c r="K68" s="30"/>
    </row>
    <row r="69" spans="2:11" x14ac:dyDescent="0.45">
      <c r="C69" s="38" t="s">
        <v>23</v>
      </c>
      <c r="D69" s="36"/>
      <c r="E69" s="43"/>
      <c r="F69" s="50">
        <f>Inputs!F83</f>
        <v>0</v>
      </c>
      <c r="G69" s="50">
        <f>Inputs!G83</f>
        <v>0</v>
      </c>
      <c r="H69" s="50">
        <f>Inputs!H83</f>
        <v>0</v>
      </c>
      <c r="I69" s="50">
        <f>Inputs!I83</f>
        <v>0</v>
      </c>
      <c r="J69" s="50">
        <f>Inputs!J83</f>
        <v>0</v>
      </c>
      <c r="K69" s="50">
        <f>Inputs!K83</f>
        <v>0</v>
      </c>
    </row>
    <row r="70" spans="2:11" x14ac:dyDescent="0.45">
      <c r="C70" s="38" t="s">
        <v>213</v>
      </c>
      <c r="D70" s="36"/>
      <c r="E70" s="43"/>
      <c r="F70" s="50">
        <f>Inputs!F84</f>
        <v>273.72646316205305</v>
      </c>
      <c r="G70" s="50">
        <f>Inputs!G84</f>
        <v>7710.6604317353904</v>
      </c>
      <c r="H70" s="50">
        <f>Inputs!H84</f>
        <v>850.57874041636728</v>
      </c>
      <c r="I70" s="50">
        <f>Inputs!I84</f>
        <v>645.7660308449199</v>
      </c>
      <c r="J70" s="50">
        <f>Inputs!J84</f>
        <v>221.22798944976705</v>
      </c>
      <c r="K70" s="50">
        <f>Inputs!K84</f>
        <v>1882.2410443272067</v>
      </c>
    </row>
    <row r="71" spans="2:11" x14ac:dyDescent="0.45">
      <c r="C71" s="38" t="s">
        <v>214</v>
      </c>
      <c r="D71" s="38"/>
      <c r="E71" s="43"/>
      <c r="F71" s="50">
        <f>Inputs!F85</f>
        <v>201.87210537792012</v>
      </c>
      <c r="G71" s="50">
        <f>Inputs!G85</f>
        <v>62.144233794727235</v>
      </c>
      <c r="H71" s="50">
        <f>Inputs!H85</f>
        <v>216.4900702318437</v>
      </c>
      <c r="I71" s="50">
        <f>Inputs!I85</f>
        <v>260.13283639791581</v>
      </c>
      <c r="J71" s="50">
        <f>Inputs!J85</f>
        <v>413.13916696854528</v>
      </c>
      <c r="K71" s="50">
        <f>Inputs!K85</f>
        <v>323.09748499270364</v>
      </c>
    </row>
    <row r="72" spans="2:11" x14ac:dyDescent="0.45">
      <c r="C72" s="38" t="s">
        <v>215</v>
      </c>
      <c r="D72" s="38"/>
      <c r="E72" s="43"/>
      <c r="F72" s="50">
        <f>Inputs!F86</f>
        <v>53.458766842759914</v>
      </c>
      <c r="G72" s="50">
        <f>Inputs!G86</f>
        <v>45.705880194340764</v>
      </c>
      <c r="H72" s="50">
        <f>Inputs!H86</f>
        <v>79.058404851425223</v>
      </c>
      <c r="I72" s="50">
        <f>Inputs!I86</f>
        <v>29.319057384313165</v>
      </c>
      <c r="J72" s="50">
        <f>Inputs!J86</f>
        <v>20.813808288178045</v>
      </c>
      <c r="K72" s="50">
        <f>Inputs!K86</f>
        <v>48.291210420467827</v>
      </c>
    </row>
    <row r="73" spans="2:11" ht="18" x14ac:dyDescent="0.55000000000000004">
      <c r="B73" s="35" t="s">
        <v>25</v>
      </c>
      <c r="F73" s="50"/>
    </row>
    <row r="74" spans="2:11" x14ac:dyDescent="0.45">
      <c r="C74" s="38" t="s">
        <v>26</v>
      </c>
      <c r="D74" s="34"/>
      <c r="E74" s="43"/>
      <c r="F74" s="50">
        <f>Inputs!F90</f>
        <v>0</v>
      </c>
      <c r="G74" s="50">
        <f>Inputs!G90</f>
        <v>0</v>
      </c>
      <c r="H74" s="50">
        <f>Inputs!H90</f>
        <v>0</v>
      </c>
      <c r="I74" s="50">
        <f>Inputs!I90</f>
        <v>0</v>
      </c>
      <c r="J74" s="50">
        <f>Inputs!J90</f>
        <v>0</v>
      </c>
      <c r="K74" s="50">
        <f>Inputs!K90</f>
        <v>0</v>
      </c>
    </row>
    <row r="75" spans="2:11" x14ac:dyDescent="0.45">
      <c r="C75" s="38" t="s">
        <v>27</v>
      </c>
      <c r="D75" s="34"/>
      <c r="E75" s="43"/>
      <c r="F75" s="50">
        <f>Inputs!F91</f>
        <v>0</v>
      </c>
      <c r="G75" s="50">
        <f>Inputs!G91</f>
        <v>0</v>
      </c>
      <c r="H75" s="50">
        <f>Inputs!H91</f>
        <v>0</v>
      </c>
      <c r="I75" s="50">
        <f>Inputs!I91</f>
        <v>0</v>
      </c>
      <c r="J75" s="50">
        <f>Inputs!J91</f>
        <v>0</v>
      </c>
      <c r="K75" s="50">
        <f>Inputs!K91</f>
        <v>0</v>
      </c>
    </row>
    <row r="76" spans="2:11" x14ac:dyDescent="0.45">
      <c r="C76" s="38" t="s">
        <v>28</v>
      </c>
      <c r="D76" s="38"/>
      <c r="E76" s="43"/>
      <c r="F76" s="50">
        <f>Inputs!F92</f>
        <v>0</v>
      </c>
      <c r="G76" s="50">
        <f>Inputs!G92</f>
        <v>0</v>
      </c>
      <c r="H76" s="50">
        <f>Inputs!H92</f>
        <v>0</v>
      </c>
      <c r="I76" s="50">
        <f>Inputs!I92</f>
        <v>0</v>
      </c>
      <c r="J76" s="50">
        <f>Inputs!J92</f>
        <v>0</v>
      </c>
      <c r="K76" s="50">
        <f>Inputs!K92</f>
        <v>0</v>
      </c>
    </row>
    <row r="77" spans="2:11" x14ac:dyDescent="0.45">
      <c r="C77" s="38" t="s">
        <v>29</v>
      </c>
      <c r="D77" s="38"/>
      <c r="E77" s="43"/>
      <c r="F77" s="50">
        <f>Inputs!F93</f>
        <v>0</v>
      </c>
      <c r="G77" s="50">
        <f>Inputs!G93</f>
        <v>0</v>
      </c>
      <c r="H77" s="50">
        <f>Inputs!H93</f>
        <v>0</v>
      </c>
      <c r="I77" s="50">
        <f>Inputs!I93</f>
        <v>0</v>
      </c>
      <c r="J77" s="50">
        <f>Inputs!J93</f>
        <v>0</v>
      </c>
      <c r="K77" s="50">
        <f>Inputs!K93</f>
        <v>0</v>
      </c>
    </row>
    <row r="78" spans="2:11" x14ac:dyDescent="0.45">
      <c r="C78" s="38" t="s">
        <v>30</v>
      </c>
      <c r="D78" s="38"/>
      <c r="E78" s="43"/>
      <c r="F78" s="50">
        <f>Inputs!F94</f>
        <v>0</v>
      </c>
      <c r="G78" s="50">
        <f>Inputs!G94</f>
        <v>0</v>
      </c>
      <c r="H78" s="50">
        <f>Inputs!H94</f>
        <v>0</v>
      </c>
      <c r="I78" s="50">
        <f>Inputs!I94</f>
        <v>0</v>
      </c>
      <c r="J78" s="50">
        <f>Inputs!J94</f>
        <v>0</v>
      </c>
      <c r="K78" s="50">
        <f>Inputs!K94</f>
        <v>0</v>
      </c>
    </row>
    <row r="79" spans="2:11" ht="18" x14ac:dyDescent="0.55000000000000004">
      <c r="B79" s="35" t="s">
        <v>172</v>
      </c>
      <c r="C79" s="38"/>
      <c r="D79" s="38"/>
      <c r="E79" s="51"/>
      <c r="F79" s="50"/>
      <c r="G79" s="50"/>
      <c r="H79" s="50"/>
      <c r="I79" s="50"/>
      <c r="J79" s="50"/>
      <c r="K79" s="50"/>
    </row>
    <row r="80" spans="2:11" x14ac:dyDescent="0.45">
      <c r="C80" s="38" t="s">
        <v>173</v>
      </c>
      <c r="D80" s="38"/>
      <c r="E80" s="43"/>
      <c r="F80" s="50">
        <f>Inputs!F96</f>
        <v>0</v>
      </c>
      <c r="G80" s="50">
        <f>Inputs!G96</f>
        <v>19795.548209019296</v>
      </c>
      <c r="H80" s="50">
        <f>Inputs!H96</f>
        <v>20601.002843398928</v>
      </c>
      <c r="I80" s="50">
        <f>Inputs!I96</f>
        <v>21246.277096596659</v>
      </c>
      <c r="J80" s="50">
        <f>Inputs!J96</f>
        <v>21894.931071468731</v>
      </c>
      <c r="K80" s="50">
        <f>Inputs!K96</f>
        <v>22590.194414847098</v>
      </c>
    </row>
    <row r="82" spans="1:11" ht="21" x14ac:dyDescent="0.65">
      <c r="A82" s="42" t="s">
        <v>197</v>
      </c>
    </row>
    <row r="83" spans="1:11" ht="21" x14ac:dyDescent="0.65">
      <c r="A83" s="42"/>
      <c r="E83" s="30" t="s">
        <v>12</v>
      </c>
      <c r="F83" s="30">
        <v>2017</v>
      </c>
      <c r="G83" s="30">
        <f>F83+1</f>
        <v>2018</v>
      </c>
      <c r="H83" s="30">
        <f t="shared" ref="H83" si="1">G83+1</f>
        <v>2019</v>
      </c>
      <c r="I83" s="30">
        <f t="shared" ref="I83" si="2">H83+1</f>
        <v>2020</v>
      </c>
      <c r="J83" s="30">
        <f t="shared" ref="J83" si="3">I83+1</f>
        <v>2021</v>
      </c>
      <c r="K83" s="30">
        <f t="shared" ref="K83" si="4">J83+1</f>
        <v>2022</v>
      </c>
    </row>
    <row r="84" spans="1:11" ht="18" x14ac:dyDescent="0.55000000000000004">
      <c r="B84" s="35" t="s">
        <v>144</v>
      </c>
    </row>
    <row r="85" spans="1:11" x14ac:dyDescent="0.45">
      <c r="C85" s="38" t="s">
        <v>21</v>
      </c>
      <c r="D85" s="38"/>
      <c r="E85" s="50"/>
      <c r="F85" s="50">
        <f>CHOOSE($E$4,Inputs!F36,Inputs!F100,Inputs!F36,Inputs!F36,Inputs!F36,Inputs!F36,Inputs!F36)</f>
        <v>0</v>
      </c>
      <c r="G85" s="50">
        <f>CHOOSE($E$4,Inputs!G36,Inputs!G100,Inputs!G36,Inputs!G36,Inputs!G36,Inputs!G36,Inputs!G36)</f>
        <v>0</v>
      </c>
      <c r="H85" s="50">
        <f>CHOOSE($E$4,Inputs!H36,Inputs!H100,Inputs!H36,Inputs!H36,Inputs!H36,Inputs!H36,Inputs!H36)</f>
        <v>0</v>
      </c>
      <c r="I85" s="50">
        <f>CHOOSE($E$4,Inputs!I36,Inputs!I100,Inputs!I36,Inputs!I36,Inputs!I36,Inputs!I36,Inputs!I36)</f>
        <v>0</v>
      </c>
      <c r="J85" s="50">
        <f>CHOOSE($E$4,Inputs!J36,Inputs!J100,Inputs!J36,Inputs!J36,Inputs!J36,Inputs!J36,Inputs!J36)</f>
        <v>0</v>
      </c>
      <c r="K85" s="50">
        <f>CHOOSE($E$4,Inputs!K36,Inputs!K100,Inputs!K36,Inputs!K36,Inputs!K36,Inputs!K36,Inputs!K36)</f>
        <v>0</v>
      </c>
    </row>
    <row r="86" spans="1:11" ht="18" x14ac:dyDescent="0.55000000000000004">
      <c r="B86" s="35" t="s">
        <v>22</v>
      </c>
      <c r="D86" s="22"/>
    </row>
    <row r="87" spans="1:11" x14ac:dyDescent="0.45">
      <c r="C87" s="38" t="s">
        <v>69</v>
      </c>
      <c r="D87" s="97"/>
      <c r="E87" s="37"/>
      <c r="F87" s="50">
        <f>CHOOSE($E$4,Inputs!F39,Inputs!F39,Inputs!F39,Inputs!F39,Inputs!F39,Inputs!F124,Inputs!F127)</f>
        <v>0</v>
      </c>
      <c r="G87" s="50">
        <f>CHOOSE($E$4,Inputs!G39,Inputs!G39,Inputs!G39,Inputs!G39,Inputs!G39,Inputs!G124,Inputs!G127)</f>
        <v>113722.41460501539</v>
      </c>
      <c r="H87" s="50">
        <f>CHOOSE($E$4,Inputs!H39,Inputs!H39,Inputs!H39,Inputs!H39,Inputs!H39,Inputs!H124,Inputs!H127)</f>
        <v>122465.18313167134</v>
      </c>
      <c r="I87" s="50">
        <f>CHOOSE($E$4,Inputs!I39,Inputs!I39,Inputs!I39,Inputs!I39,Inputs!I39,Inputs!I124,Inputs!I127)</f>
        <v>127281.02918927144</v>
      </c>
      <c r="J87" s="50">
        <f>CHOOSE($E$4,Inputs!J39,Inputs!J39,Inputs!J39,Inputs!J39,Inputs!J39,Inputs!J124,Inputs!J127)</f>
        <v>132044.87124116445</v>
      </c>
      <c r="K87" s="50">
        <f>CHOOSE($E$4,Inputs!K39,Inputs!K39,Inputs!K39,Inputs!K39,Inputs!K39,Inputs!K124,Inputs!K127)</f>
        <v>137398.28336272476</v>
      </c>
    </row>
    <row r="88" spans="1:11" ht="18" x14ac:dyDescent="0.55000000000000004">
      <c r="B88" s="35" t="s">
        <v>101</v>
      </c>
      <c r="D88" s="22"/>
    </row>
    <row r="89" spans="1:11" x14ac:dyDescent="0.45">
      <c r="C89" s="38" t="s">
        <v>23</v>
      </c>
      <c r="D89" s="97"/>
      <c r="E89" s="43"/>
      <c r="F89" s="50">
        <f>CHOOSE($E$4,Inputs!F42,Inputs!F42,Inputs!F103,Inputs!F110,Inputs!F117,Inputs!F42,Inputs!F42)</f>
        <v>0</v>
      </c>
      <c r="G89" s="50">
        <f>CHOOSE($E$4,Inputs!G42,Inputs!G42,Inputs!G103,Inputs!G110,Inputs!G117,Inputs!G42,Inputs!G42)</f>
        <v>0</v>
      </c>
      <c r="H89" s="50">
        <f>CHOOSE($E$4,Inputs!H42,Inputs!H42,Inputs!H103,Inputs!H110,Inputs!H117,Inputs!H42,Inputs!H42)</f>
        <v>0</v>
      </c>
      <c r="I89" s="50">
        <f>CHOOSE($E$4,Inputs!I42,Inputs!I42,Inputs!I103,Inputs!I110,Inputs!I117,Inputs!I42,Inputs!I42)</f>
        <v>0</v>
      </c>
      <c r="J89" s="50">
        <f>CHOOSE($E$4,Inputs!J42,Inputs!J42,Inputs!J103,Inputs!J110,Inputs!J117,Inputs!J42,Inputs!J42)</f>
        <v>0</v>
      </c>
      <c r="K89" s="50">
        <f>CHOOSE($E$4,Inputs!K42,Inputs!K42,Inputs!K103,Inputs!K110,Inputs!K117,Inputs!K42,Inputs!K42)</f>
        <v>0</v>
      </c>
    </row>
    <row r="90" spans="1:11" x14ac:dyDescent="0.45">
      <c r="C90" s="38" t="s">
        <v>213</v>
      </c>
      <c r="D90" s="97"/>
      <c r="E90" s="43"/>
      <c r="F90" s="50">
        <f>CHOOSE($E$4,Inputs!F43,Inputs!F43,Inputs!F104,Inputs!F111,Inputs!F118,Inputs!F43,Inputs!F43)</f>
        <v>97106.941745002987</v>
      </c>
      <c r="G90" s="50">
        <f>CHOOSE($E$4,Inputs!G43,Inputs!G43,Inputs!G104,Inputs!G111,Inputs!G118,Inputs!G43,Inputs!G43)</f>
        <v>166231.14128076352</v>
      </c>
      <c r="H90" s="50">
        <f>CHOOSE($E$4,Inputs!H43,Inputs!H43,Inputs!H104,Inputs!H111,Inputs!H118,Inputs!H43,Inputs!H43)</f>
        <v>307155.00999404798</v>
      </c>
      <c r="I90" s="50">
        <f>CHOOSE($E$4,Inputs!I43,Inputs!I43,Inputs!I104,Inputs!I111,Inputs!I118,Inputs!I43,Inputs!I43)</f>
        <v>234374.14389380498</v>
      </c>
      <c r="J90" s="50">
        <f>CHOOSE($E$4,Inputs!J43,Inputs!J43,Inputs!J104,Inputs!J111,Inputs!J118,Inputs!J43,Inputs!J43)</f>
        <v>80741.38783568592</v>
      </c>
      <c r="K90" s="50">
        <f>CHOOSE($E$4,Inputs!K43,Inputs!K43,Inputs!K104,Inputs!K111,Inputs!K118,Inputs!K43,Inputs!K43)</f>
        <v>137732.14257628622</v>
      </c>
    </row>
    <row r="91" spans="1:11" x14ac:dyDescent="0.45">
      <c r="C91" s="38" t="s">
        <v>214</v>
      </c>
      <c r="D91" s="38"/>
      <c r="E91" s="43"/>
      <c r="F91" s="50">
        <f>CHOOSE($E$4,Inputs!F44,Inputs!F44,Inputs!F105,Inputs!F112,Inputs!F119,Inputs!F44,Inputs!F44)</f>
        <v>74631.403914217241</v>
      </c>
      <c r="G91" s="50">
        <f>CHOOSE($E$4,Inputs!G44,Inputs!G44,Inputs!G105,Inputs!G112,Inputs!G119,Inputs!G44,Inputs!G44)</f>
        <v>22688.883339393677</v>
      </c>
      <c r="H91" s="50">
        <f>CHOOSE($E$4,Inputs!H44,Inputs!H44,Inputs!H105,Inputs!H112,Inputs!H119,Inputs!H44,Inputs!H44)</f>
        <v>78177.370919385547</v>
      </c>
      <c r="I91" s="50">
        <f>CHOOSE($E$4,Inputs!I44,Inputs!I44,Inputs!I105,Inputs!I112,Inputs!I119,Inputs!I44,Inputs!I44)</f>
        <v>94412.539398608074</v>
      </c>
      <c r="J91" s="50">
        <f>CHOOSE($E$4,Inputs!J44,Inputs!J44,Inputs!J105,Inputs!J112,Inputs!J119,Inputs!J44,Inputs!J44)</f>
        <v>150783.04419474828</v>
      </c>
      <c r="K91" s="50">
        <f>CHOOSE($E$4,Inputs!K44,Inputs!K44,Inputs!K105,Inputs!K112,Inputs!K119,Inputs!K44,Inputs!K44)</f>
        <v>118601.655061221</v>
      </c>
    </row>
    <row r="92" spans="1:11" x14ac:dyDescent="0.45">
      <c r="C92" s="38" t="s">
        <v>215</v>
      </c>
      <c r="D92" s="38"/>
      <c r="E92" s="43"/>
      <c r="F92" s="50">
        <f>CHOOSE($E$4,Inputs!F45,Inputs!F45,Inputs!F106,Inputs!F113,Inputs!F120,Inputs!F45,Inputs!F45)</f>
        <v>21252.563890343492</v>
      </c>
      <c r="G92" s="50">
        <f>CHOOSE($E$4,Inputs!G45,Inputs!G45,Inputs!G106,Inputs!G113,Inputs!G120,Inputs!G45,Inputs!G45)</f>
        <v>20221.342870105698</v>
      </c>
      <c r="H92" s="50">
        <f>CHOOSE($E$4,Inputs!H45,Inputs!H45,Inputs!H106,Inputs!H113,Inputs!H120,Inputs!H45,Inputs!H45)</f>
        <v>31834.205371412158</v>
      </c>
      <c r="I92" s="50">
        <f>CHOOSE($E$4,Inputs!I45,Inputs!I45,Inputs!I106,Inputs!I113,Inputs!I120,Inputs!I45,Inputs!I45)</f>
        <v>12151.662603484141</v>
      </c>
      <c r="J92" s="50">
        <f>CHOOSE($E$4,Inputs!J45,Inputs!J45,Inputs!J106,Inputs!J113,Inputs!J120,Inputs!J45,Inputs!J45)</f>
        <v>9122.9424729848961</v>
      </c>
      <c r="K92" s="50">
        <f>CHOOSE($E$4,Inputs!K45,Inputs!K45,Inputs!K106,Inputs!K113,Inputs!K120,Inputs!K45,Inputs!K45)</f>
        <v>11268.898445665996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&amp;L&amp;F&amp;C&amp;A&amp;R&amp;P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0"/>
  <sheetViews>
    <sheetView showGridLines="0" view="pageBreakPreview" zoomScaleNormal="100" zoomScaleSheetLayoutView="100" workbookViewId="0"/>
  </sheetViews>
  <sheetFormatPr defaultRowHeight="14.25" x14ac:dyDescent="0.45"/>
  <cols>
    <col min="1" max="1" width="40.3984375" customWidth="1"/>
    <col min="2" max="2" width="18" customWidth="1"/>
    <col min="14" max="14" width="21.86328125" customWidth="1"/>
  </cols>
  <sheetData>
    <row r="1" spans="1:16" s="1" customFormat="1" ht="25.5" x14ac:dyDescent="0.75">
      <c r="A1" s="18" t="s">
        <v>112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" customFormat="1" ht="20.100000000000001" customHeight="1" x14ac:dyDescent="0.5">
      <c r="A2" s="75" t="s">
        <v>195</v>
      </c>
      <c r="B2" s="76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1" customFormat="1" ht="39.950000000000003" customHeight="1" x14ac:dyDescent="0.7">
      <c r="A3" s="77" t="s">
        <v>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1" customFormat="1" x14ac:dyDescent="0.45">
      <c r="A4" s="74"/>
      <c r="B4" s="78" t="s">
        <v>113</v>
      </c>
      <c r="C4" s="79" t="s">
        <v>12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s="1" customFormat="1" x14ac:dyDescent="0.45">
      <c r="A5" s="80" t="s">
        <v>124</v>
      </c>
      <c r="B5" s="81" t="s">
        <v>31</v>
      </c>
      <c r="C5" s="47">
        <f>EOMONTH('Scenario Manager'!E10,12)</f>
        <v>43281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s="1" customFormat="1" x14ac:dyDescent="0.45">
      <c r="A6" s="80" t="s">
        <v>114</v>
      </c>
      <c r="B6" s="81" t="s">
        <v>31</v>
      </c>
      <c r="C6" s="82">
        <f>'Scenario Manager'!E11</f>
        <v>365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s="1" customFormat="1" x14ac:dyDescent="0.45">
      <c r="A7" s="80" t="s">
        <v>115</v>
      </c>
      <c r="B7" s="81" t="s">
        <v>31</v>
      </c>
      <c r="C7" s="82">
        <f>'Scenario Manager'!E13</f>
        <v>182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s="1" customFormat="1" x14ac:dyDescent="0.45">
      <c r="A8" s="80" t="s">
        <v>116</v>
      </c>
      <c r="B8" s="81" t="s">
        <v>31</v>
      </c>
      <c r="C8" s="82">
        <f>'Scenario Manager'!E12</f>
        <v>148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s="1" customFormat="1" x14ac:dyDescent="0.45">
      <c r="A9" s="80" t="s">
        <v>125</v>
      </c>
      <c r="B9" s="81" t="s">
        <v>31</v>
      </c>
      <c r="C9" s="54">
        <f>'Scenario Manager'!E17</f>
        <v>6.6433320000000004E-2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s="1" customFormat="1" ht="39.950000000000003" customHeight="1" x14ac:dyDescent="0.7">
      <c r="A10" s="77" t="s">
        <v>6</v>
      </c>
      <c r="B10" s="31"/>
      <c r="C10" s="3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s="1" customFormat="1" x14ac:dyDescent="0.45">
      <c r="A11" s="78"/>
      <c r="B11" s="78"/>
      <c r="C11" s="79" t="s">
        <v>12</v>
      </c>
      <c r="D11" s="83"/>
      <c r="E11" s="83"/>
      <c r="F11" s="83"/>
      <c r="G11" s="83"/>
      <c r="H11" s="83"/>
      <c r="I11" s="83"/>
      <c r="J11" s="83"/>
      <c r="K11" s="83"/>
      <c r="L11" s="74"/>
      <c r="M11" s="74"/>
      <c r="N11" s="74"/>
      <c r="O11" s="74"/>
      <c r="P11" s="74"/>
    </row>
    <row r="12" spans="1:16" s="1" customFormat="1" x14ac:dyDescent="0.45">
      <c r="A12" s="84" t="s">
        <v>117</v>
      </c>
      <c r="B12" s="85"/>
      <c r="C12" s="86">
        <f>EOMONTH(C5,-6)</f>
        <v>43100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s="1" customFormat="1" x14ac:dyDescent="0.45">
      <c r="A13" s="84" t="s">
        <v>118</v>
      </c>
      <c r="B13" s="85"/>
      <c r="C13" s="86">
        <f>C5-C8</f>
        <v>43133</v>
      </c>
      <c r="D13" s="87" t="s">
        <v>129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1" customFormat="1" x14ac:dyDescent="0.45">
      <c r="A14" s="84" t="s">
        <v>126</v>
      </c>
      <c r="B14" s="85"/>
      <c r="C14" s="86">
        <f>C12</f>
        <v>43100</v>
      </c>
      <c r="D14" s="87" t="s">
        <v>119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s="1" customFormat="1" x14ac:dyDescent="0.45">
      <c r="A15" s="84" t="s">
        <v>127</v>
      </c>
      <c r="B15" s="85"/>
      <c r="C15" s="88">
        <f>(1+$C$9)^(C7/C6)</f>
        <v>1.0325915994859556</v>
      </c>
      <c r="D15" s="87" t="s">
        <v>120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s="1" customFormat="1" ht="15.75" x14ac:dyDescent="0.55000000000000004">
      <c r="A16" s="80" t="s">
        <v>121</v>
      </c>
      <c r="B16" s="80"/>
      <c r="C16" s="89">
        <f>(1+$C$9)^(C8/C6)</f>
        <v>1.0264233985588214</v>
      </c>
      <c r="D16" s="87" t="s">
        <v>122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s="1" customFormat="1" ht="39.950000000000003" customHeight="1" x14ac:dyDescent="0.7">
      <c r="A17" s="77" t="s">
        <v>7</v>
      </c>
      <c r="B17" s="31"/>
      <c r="C17" s="3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s="1" customFormat="1" x14ac:dyDescent="0.45">
      <c r="A18" s="90"/>
      <c r="B18" s="90"/>
      <c r="C18" s="79" t="s">
        <v>12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s="1" customFormat="1" x14ac:dyDescent="0.45">
      <c r="A19" s="29" t="s">
        <v>128</v>
      </c>
      <c r="B19" s="29"/>
      <c r="C19" s="91">
        <f>$C$15</f>
        <v>1.0325915994859556</v>
      </c>
      <c r="D19" s="9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s="1" customFormat="1" x14ac:dyDescent="0.45">
      <c r="A20" s="29" t="s">
        <v>123</v>
      </c>
      <c r="B20" s="29"/>
      <c r="C20" s="91">
        <f>$C$16</f>
        <v>1.0264233985588214</v>
      </c>
      <c r="D20" s="93"/>
      <c r="E20" s="74"/>
      <c r="F20" s="94"/>
      <c r="G20" s="74"/>
      <c r="H20" s="74"/>
      <c r="I20" s="74"/>
      <c r="J20" s="74"/>
      <c r="K20" s="74"/>
      <c r="L20" s="74"/>
      <c r="M20" s="74"/>
      <c r="N20" s="74"/>
      <c r="O20" s="74"/>
      <c r="P20" s="74"/>
    </row>
  </sheetData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FD162"/>
  <sheetViews>
    <sheetView showGridLines="0" view="pageBreakPreview" zoomScaleNormal="100" zoomScaleSheetLayoutView="100" workbookViewId="0"/>
  </sheetViews>
  <sheetFormatPr defaultRowHeight="14.25" x14ac:dyDescent="0.45"/>
  <cols>
    <col min="1" max="1" width="8.3984375" customWidth="1"/>
    <col min="2" max="2" width="7.59765625" customWidth="1"/>
    <col min="3" max="3" width="39.86328125" customWidth="1"/>
    <col min="4" max="4" width="17.3984375" style="1" customWidth="1"/>
    <col min="5" max="5" width="12.86328125" bestFit="1" customWidth="1"/>
    <col min="6" max="11" width="9.86328125" customWidth="1"/>
    <col min="12" max="12" width="7.86328125" customWidth="1"/>
  </cols>
  <sheetData>
    <row r="1" spans="1:11" ht="25.5" x14ac:dyDescent="0.75">
      <c r="A1" s="18" t="s">
        <v>164</v>
      </c>
      <c r="E1" s="28"/>
    </row>
    <row r="2" spans="1:11" x14ac:dyDescent="0.45">
      <c r="A2" s="75" t="s">
        <v>203</v>
      </c>
    </row>
    <row r="3" spans="1:11" s="1" customFormat="1" ht="23.25" x14ac:dyDescent="0.7">
      <c r="A3" s="27" t="s">
        <v>5</v>
      </c>
    </row>
    <row r="4" spans="1:11" s="1" customFormat="1" x14ac:dyDescent="0.45">
      <c r="D4" s="30" t="s">
        <v>53</v>
      </c>
      <c r="E4" s="30" t="s">
        <v>12</v>
      </c>
      <c r="F4" s="30">
        <v>2017</v>
      </c>
      <c r="G4" s="30">
        <f>F4+1</f>
        <v>2018</v>
      </c>
      <c r="H4" s="30">
        <f t="shared" ref="H4:K4" si="0">G4+1</f>
        <v>2019</v>
      </c>
      <c r="I4" s="30">
        <f t="shared" si="0"/>
        <v>2020</v>
      </c>
      <c r="J4" s="30">
        <f t="shared" si="0"/>
        <v>2021</v>
      </c>
      <c r="K4" s="30">
        <f t="shared" si="0"/>
        <v>2022</v>
      </c>
    </row>
    <row r="5" spans="1:11" s="1" customFormat="1" ht="18" x14ac:dyDescent="0.55000000000000004">
      <c r="B5" s="35" t="s">
        <v>210</v>
      </c>
    </row>
    <row r="6" spans="1:11" s="1" customFormat="1" x14ac:dyDescent="0.45">
      <c r="C6" s="38" t="str">
        <f>'Scenario Manager'!B23</f>
        <v>Land</v>
      </c>
      <c r="D6" s="38" t="s">
        <v>31</v>
      </c>
      <c r="E6" s="52">
        <f>'Scenario Manager'!E23</f>
        <v>334761.86924423126</v>
      </c>
    </row>
    <row r="7" spans="1:11" s="1" customFormat="1" x14ac:dyDescent="0.45">
      <c r="C7" s="38" t="str">
        <f>'Scenario Manager'!B24</f>
        <v>Infrastructure &amp; Buildings</v>
      </c>
      <c r="D7" s="38" t="s">
        <v>31</v>
      </c>
      <c r="E7" s="52">
        <f>'Scenario Manager'!E24</f>
        <v>522413.42904351326</v>
      </c>
    </row>
    <row r="8" spans="1:11" s="1" customFormat="1" x14ac:dyDescent="0.45">
      <c r="C8" s="38" t="str">
        <f>'Scenario Manager'!B25</f>
        <v>Sealed Surfaces</v>
      </c>
      <c r="D8" s="38" t="s">
        <v>31</v>
      </c>
      <c r="E8" s="52">
        <f>'Scenario Manager'!E25</f>
        <v>218029.78127999936</v>
      </c>
    </row>
    <row r="9" spans="1:11" s="1" customFormat="1" x14ac:dyDescent="0.45">
      <c r="C9" s="38" t="str">
        <f>'Scenario Manager'!B26</f>
        <v>Vehicles, Plant &amp; Equipment</v>
      </c>
      <c r="D9" s="38" t="s">
        <v>31</v>
      </c>
      <c r="E9" s="52">
        <f>'Scenario Manager'!E26</f>
        <v>32020.215491697654</v>
      </c>
    </row>
    <row r="10" spans="1:11" s="1" customFormat="1" x14ac:dyDescent="0.45">
      <c r="C10" s="38" t="str">
        <f>'Scenario Manager'!B27</f>
        <v>Tax value - Land</v>
      </c>
      <c r="D10" s="38" t="s">
        <v>31</v>
      </c>
      <c r="E10" s="52">
        <f>'Scenario Manager'!E27</f>
        <v>76319.640198870082</v>
      </c>
    </row>
    <row r="11" spans="1:11" s="1" customFormat="1" x14ac:dyDescent="0.45">
      <c r="C11" s="38" t="str">
        <f>'Scenario Manager'!B28</f>
        <v>Tax value - Infrastructure &amp; Buildings</v>
      </c>
      <c r="D11" s="38" t="s">
        <v>31</v>
      </c>
      <c r="E11" s="52">
        <f>'Scenario Manager'!E28</f>
        <v>388285.35883291031</v>
      </c>
    </row>
    <row r="12" spans="1:11" s="1" customFormat="1" x14ac:dyDescent="0.45">
      <c r="C12" s="38" t="str">
        <f>'Scenario Manager'!B29</f>
        <v>Tax value - Sealed Surfaces</v>
      </c>
      <c r="D12" s="38" t="s">
        <v>31</v>
      </c>
      <c r="E12" s="52">
        <f>'Scenario Manager'!E29</f>
        <v>128593.20864000083</v>
      </c>
    </row>
    <row r="13" spans="1:11" s="1" customFormat="1" x14ac:dyDescent="0.45">
      <c r="C13" s="38" t="str">
        <f>'Scenario Manager'!B30</f>
        <v>Tax value - Vehicles, Plant &amp; Equipment</v>
      </c>
      <c r="D13" s="38" t="s">
        <v>31</v>
      </c>
      <c r="E13" s="52">
        <f>'Scenario Manager'!E30</f>
        <v>25172.643369017624</v>
      </c>
    </row>
    <row r="14" spans="1:11" s="1" customFormat="1" ht="18" x14ac:dyDescent="0.55000000000000004">
      <c r="B14" s="35" t="s">
        <v>9</v>
      </c>
      <c r="C14" s="38"/>
      <c r="D14" s="38"/>
      <c r="E14" s="52"/>
    </row>
    <row r="15" spans="1:11" s="1" customFormat="1" x14ac:dyDescent="0.45">
      <c r="C15" s="38" t="s">
        <v>73</v>
      </c>
      <c r="D15" s="38" t="s">
        <v>31</v>
      </c>
      <c r="E15" s="48">
        <f>'Scenario Manager'!E15</f>
        <v>0.19</v>
      </c>
    </row>
    <row r="16" spans="1:11" s="1" customFormat="1" x14ac:dyDescent="0.45">
      <c r="C16" s="38" t="s">
        <v>74</v>
      </c>
      <c r="D16" s="38" t="s">
        <v>31</v>
      </c>
      <c r="E16" s="54">
        <f>'Scenario Manager'!E16</f>
        <v>4.41E-2</v>
      </c>
    </row>
    <row r="17" spans="2:11" s="1" customFormat="1" x14ac:dyDescent="0.45">
      <c r="C17" s="38" t="s">
        <v>64</v>
      </c>
      <c r="D17" s="38" t="s">
        <v>31</v>
      </c>
      <c r="E17" s="48">
        <f>'Scenario Manager'!E21</f>
        <v>0.5</v>
      </c>
    </row>
    <row r="18" spans="2:11" s="1" customFormat="1" ht="18" x14ac:dyDescent="0.55000000000000004">
      <c r="B18" s="35" t="s">
        <v>216</v>
      </c>
      <c r="D18" s="22"/>
    </row>
    <row r="19" spans="2:11" s="1" customFormat="1" x14ac:dyDescent="0.45">
      <c r="C19" s="38" t="s">
        <v>23</v>
      </c>
      <c r="D19" s="38" t="s">
        <v>31</v>
      </c>
      <c r="E19" s="43"/>
      <c r="F19" s="50">
        <f>'Scenario Manager'!F39</f>
        <v>0</v>
      </c>
      <c r="G19" s="50">
        <f>'Scenario Manager'!G39</f>
        <v>0</v>
      </c>
      <c r="H19" s="50">
        <f>'Scenario Manager'!H39</f>
        <v>0</v>
      </c>
      <c r="I19" s="50">
        <f>'Scenario Manager'!I39</f>
        <v>0</v>
      </c>
      <c r="J19" s="50">
        <f>'Scenario Manager'!J39</f>
        <v>0</v>
      </c>
      <c r="K19" s="50">
        <f>'Scenario Manager'!K39</f>
        <v>0</v>
      </c>
    </row>
    <row r="20" spans="2:11" s="1" customFormat="1" x14ac:dyDescent="0.45">
      <c r="C20" s="38" t="s">
        <v>213</v>
      </c>
      <c r="D20" s="38" t="s">
        <v>31</v>
      </c>
      <c r="E20" s="43"/>
      <c r="F20" s="50">
        <f>'Scenario Manager'!F40</f>
        <v>97106.941745002987</v>
      </c>
      <c r="G20" s="50">
        <f>'Scenario Manager'!G40</f>
        <v>166231.14128076352</v>
      </c>
      <c r="H20" s="50">
        <f>'Scenario Manager'!H40</f>
        <v>307155.00999404798</v>
      </c>
      <c r="I20" s="50">
        <f>'Scenario Manager'!I40</f>
        <v>234374.14389380498</v>
      </c>
      <c r="J20" s="50">
        <f>'Scenario Manager'!J40</f>
        <v>80741.38783568592</v>
      </c>
      <c r="K20" s="50">
        <f>'Scenario Manager'!K40</f>
        <v>137732.14257628622</v>
      </c>
    </row>
    <row r="21" spans="2:11" s="1" customFormat="1" x14ac:dyDescent="0.45">
      <c r="C21" s="38" t="s">
        <v>214</v>
      </c>
      <c r="D21" s="38" t="s">
        <v>31</v>
      </c>
      <c r="E21" s="43"/>
      <c r="F21" s="50">
        <f>'Scenario Manager'!F41</f>
        <v>74631.403914217241</v>
      </c>
      <c r="G21" s="50">
        <f>'Scenario Manager'!G41</f>
        <v>22688.883339393677</v>
      </c>
      <c r="H21" s="50">
        <f>'Scenario Manager'!H41</f>
        <v>78177.370919385547</v>
      </c>
      <c r="I21" s="50">
        <f>'Scenario Manager'!I41</f>
        <v>94412.539398608074</v>
      </c>
      <c r="J21" s="50">
        <f>'Scenario Manager'!J41</f>
        <v>150783.04419474828</v>
      </c>
      <c r="K21" s="50">
        <f>'Scenario Manager'!K41</f>
        <v>118601.655061221</v>
      </c>
    </row>
    <row r="22" spans="2:11" s="1" customFormat="1" x14ac:dyDescent="0.45">
      <c r="C22" s="38" t="s">
        <v>215</v>
      </c>
      <c r="D22" s="38" t="s">
        <v>31</v>
      </c>
      <c r="E22" s="43"/>
      <c r="F22" s="50">
        <f>'Scenario Manager'!F42</f>
        <v>21252.563890343492</v>
      </c>
      <c r="G22" s="50">
        <f>'Scenario Manager'!G42</f>
        <v>20221.342870105698</v>
      </c>
      <c r="H22" s="50">
        <f>'Scenario Manager'!H42</f>
        <v>31834.205371412158</v>
      </c>
      <c r="I22" s="50">
        <f>'Scenario Manager'!I42</f>
        <v>12151.662603484141</v>
      </c>
      <c r="J22" s="50">
        <f>'Scenario Manager'!J42</f>
        <v>9122.9424729848961</v>
      </c>
      <c r="K22" s="50">
        <f>'Scenario Manager'!K42</f>
        <v>11268.898445665996</v>
      </c>
    </row>
    <row r="23" spans="2:11" s="1" customFormat="1" ht="18" x14ac:dyDescent="0.55000000000000004">
      <c r="B23" s="35" t="s">
        <v>56</v>
      </c>
      <c r="D23" s="22"/>
      <c r="E23" s="30"/>
      <c r="F23" s="30"/>
      <c r="G23" s="30"/>
      <c r="H23" s="30"/>
      <c r="I23" s="30"/>
      <c r="J23" s="30"/>
      <c r="K23" s="30"/>
    </row>
    <row r="24" spans="2:11" s="1" customFormat="1" x14ac:dyDescent="0.45">
      <c r="C24" s="38" t="s">
        <v>23</v>
      </c>
      <c r="D24" s="38" t="s">
        <v>31</v>
      </c>
      <c r="E24" s="43"/>
      <c r="F24" s="50">
        <f>'Scenario Manager'!F44</f>
        <v>0</v>
      </c>
      <c r="G24" s="50">
        <f>'Scenario Manager'!G44</f>
        <v>0</v>
      </c>
      <c r="H24" s="50">
        <f>'Scenario Manager'!H44</f>
        <v>0</v>
      </c>
      <c r="I24" s="50">
        <f>'Scenario Manager'!I44</f>
        <v>0</v>
      </c>
      <c r="J24" s="50">
        <f>'Scenario Manager'!J44</f>
        <v>0</v>
      </c>
      <c r="K24" s="50">
        <f>'Scenario Manager'!K44</f>
        <v>0</v>
      </c>
    </row>
    <row r="25" spans="2:11" s="1" customFormat="1" x14ac:dyDescent="0.45">
      <c r="C25" s="38" t="s">
        <v>213</v>
      </c>
      <c r="D25" s="38" t="s">
        <v>31</v>
      </c>
      <c r="E25" s="43"/>
      <c r="F25" s="50">
        <f>'Scenario Manager'!F45</f>
        <v>485.53470872501492</v>
      </c>
      <c r="G25" s="50">
        <f>'Scenario Manager'!G45</f>
        <v>13821.120003377895</v>
      </c>
      <c r="H25" s="50">
        <f>'Scenario Manager'!H45</f>
        <v>1535.7750499702399</v>
      </c>
      <c r="I25" s="50">
        <f>'Scenario Manager'!I45</f>
        <v>1171.8707194690251</v>
      </c>
      <c r="J25" s="50">
        <f>'Scenario Manager'!J45</f>
        <v>403.70693917842971</v>
      </c>
      <c r="K25" s="50">
        <f>'Scenario Manager'!K45</f>
        <v>3454.6369664005433</v>
      </c>
    </row>
    <row r="26" spans="2:11" s="1" customFormat="1" x14ac:dyDescent="0.45">
      <c r="C26" s="38" t="s">
        <v>214</v>
      </c>
      <c r="D26" s="38" t="s">
        <v>31</v>
      </c>
      <c r="E26" s="43"/>
      <c r="F26" s="50">
        <f>'Scenario Manager'!F46</f>
        <v>358.07978794635596</v>
      </c>
      <c r="G26" s="50">
        <f>'Scenario Manager'!G46</f>
        <v>111.39161429802313</v>
      </c>
      <c r="H26" s="50">
        <f>'Scenario Manager'!H46</f>
        <v>390.88685459692778</v>
      </c>
      <c r="I26" s="50">
        <f>'Scenario Manager'!I46</f>
        <v>472.06269699304039</v>
      </c>
      <c r="J26" s="50">
        <f>'Scenario Manager'!J46</f>
        <v>753.91522097374138</v>
      </c>
      <c r="K26" s="50">
        <f>'Scenario Manager'!K46</f>
        <v>593.00827530610502</v>
      </c>
    </row>
    <row r="27" spans="2:11" s="1" customFormat="1" x14ac:dyDescent="0.45">
      <c r="C27" s="38" t="s">
        <v>215</v>
      </c>
      <c r="D27" s="38" t="s">
        <v>31</v>
      </c>
      <c r="E27" s="43"/>
      <c r="F27" s="50">
        <f>'Scenario Manager'!F47</f>
        <v>94.824908370044056</v>
      </c>
      <c r="G27" s="50">
        <f>'Scenario Manager'!G47</f>
        <v>81.926374610666443</v>
      </c>
      <c r="H27" s="50">
        <f>'Scenario Manager'!H47</f>
        <v>142.74507449108197</v>
      </c>
      <c r="I27" s="50">
        <f>'Scenario Manager'!I47</f>
        <v>53.20525272311788</v>
      </c>
      <c r="J27" s="50">
        <f>'Scenario Manager'!J47</f>
        <v>37.981987982469725</v>
      </c>
      <c r="K27" s="50">
        <f>'Scenario Manager'!K47</f>
        <v>88.632962910660012</v>
      </c>
    </row>
    <row r="28" spans="2:11" s="1" customFormat="1" ht="18" x14ac:dyDescent="0.55000000000000004">
      <c r="B28" s="35" t="s">
        <v>84</v>
      </c>
    </row>
    <row r="29" spans="2:11" s="1" customFormat="1" x14ac:dyDescent="0.45">
      <c r="C29" s="38" t="s">
        <v>23</v>
      </c>
      <c r="D29" s="38" t="s">
        <v>31</v>
      </c>
      <c r="E29" s="38"/>
      <c r="F29" s="50">
        <f>'Scenario Manager'!F49</f>
        <v>340.075981569281</v>
      </c>
      <c r="G29" s="50">
        <f>'Scenario Manager'!G49</f>
        <v>340.0513426038371</v>
      </c>
      <c r="H29" s="50">
        <f>'Scenario Manager'!H49</f>
        <v>446.28504852539066</v>
      </c>
      <c r="I29" s="50">
        <f>'Scenario Manager'!I49</f>
        <v>552.50335509354159</v>
      </c>
      <c r="J29" s="50">
        <f>'Scenario Manager'!J49</f>
        <v>556.85990067688783</v>
      </c>
      <c r="K29" s="50">
        <f>'Scenario Manager'!K49</f>
        <v>561.01637984474928</v>
      </c>
    </row>
    <row r="30" spans="2:11" s="1" customFormat="1" x14ac:dyDescent="0.45">
      <c r="C30" s="38" t="s">
        <v>213</v>
      </c>
      <c r="D30" s="38" t="s">
        <v>31</v>
      </c>
      <c r="E30" s="38"/>
      <c r="F30" s="50">
        <f>'Scenario Manager'!F50</f>
        <v>414.22713883138454</v>
      </c>
      <c r="G30" s="50">
        <f>'Scenario Manager'!G50</f>
        <v>457.10738330201468</v>
      </c>
      <c r="H30" s="50">
        <f>'Scenario Manager'!H50</f>
        <v>729.49397153716995</v>
      </c>
      <c r="I30" s="50">
        <f>'Scenario Manager'!I50</f>
        <v>1142.2499002070749</v>
      </c>
      <c r="J30" s="50">
        <f>'Scenario Manager'!J50</f>
        <v>1286.3555486197165</v>
      </c>
      <c r="K30" s="50">
        <f>'Scenario Manager'!K50</f>
        <v>1265.6121564483644</v>
      </c>
    </row>
    <row r="31" spans="2:11" s="1" customFormat="1" x14ac:dyDescent="0.45">
      <c r="C31" s="38" t="s">
        <v>214</v>
      </c>
      <c r="D31" s="38" t="s">
        <v>31</v>
      </c>
      <c r="E31" s="38"/>
      <c r="F31" s="50">
        <f>'Scenario Manager'!F51</f>
        <v>0</v>
      </c>
      <c r="G31" s="50">
        <f>'Scenario Manager'!G51</f>
        <v>0.92328395552216536</v>
      </c>
      <c r="H31" s="50">
        <f>'Scenario Manager'!H51</f>
        <v>1.1639683193421884</v>
      </c>
      <c r="I31" s="50">
        <f>'Scenario Manager'!I51</f>
        <v>1.3820975965056561</v>
      </c>
      <c r="J31" s="50">
        <f>'Scenario Manager'!J51</f>
        <v>1.333837089505725</v>
      </c>
      <c r="K31" s="50">
        <f>'Scenario Manager'!K51</f>
        <v>1.2841690618020811</v>
      </c>
    </row>
    <row r="32" spans="2:11" s="1" customFormat="1" x14ac:dyDescent="0.45">
      <c r="C32" s="38" t="s">
        <v>215</v>
      </c>
      <c r="D32" s="38" t="s">
        <v>31</v>
      </c>
      <c r="E32" s="38"/>
      <c r="F32" s="50">
        <f>'Scenario Manager'!F52</f>
        <v>2.2607092813914567</v>
      </c>
      <c r="G32" s="50">
        <f>'Scenario Manager'!G52</f>
        <v>5.6361429719822249</v>
      </c>
      <c r="H32" s="50">
        <f>'Scenario Manager'!H52</f>
        <v>56.793214649078756</v>
      </c>
      <c r="I32" s="50">
        <f>'Scenario Manager'!I52</f>
        <v>116.65731282929735</v>
      </c>
      <c r="J32" s="50">
        <f>'Scenario Manager'!J52</f>
        <v>84.076285310923907</v>
      </c>
      <c r="K32" s="50">
        <f>'Scenario Manager'!K52</f>
        <v>50.939454378207714</v>
      </c>
    </row>
    <row r="33" spans="2:11" s="1" customFormat="1" ht="18" x14ac:dyDescent="0.55000000000000004">
      <c r="B33" s="35" t="s">
        <v>57</v>
      </c>
      <c r="D33" s="22"/>
      <c r="E33" s="30"/>
      <c r="F33" s="30"/>
      <c r="G33" s="30"/>
      <c r="H33" s="30"/>
      <c r="I33" s="30"/>
      <c r="J33" s="30"/>
      <c r="K33" s="30"/>
    </row>
    <row r="34" spans="2:11" s="1" customFormat="1" x14ac:dyDescent="0.45">
      <c r="C34" s="38" t="s">
        <v>23</v>
      </c>
      <c r="D34" s="38" t="s">
        <v>31</v>
      </c>
      <c r="E34" s="43"/>
      <c r="F34" s="50">
        <f>'Scenario Manager'!F54</f>
        <v>0</v>
      </c>
      <c r="G34" s="50">
        <f>'Scenario Manager'!G54</f>
        <v>0</v>
      </c>
      <c r="H34" s="50">
        <f>'Scenario Manager'!H54</f>
        <v>0</v>
      </c>
      <c r="I34" s="50">
        <f>'Scenario Manager'!I54</f>
        <v>0</v>
      </c>
      <c r="J34" s="50">
        <f>'Scenario Manager'!J54</f>
        <v>0</v>
      </c>
      <c r="K34" s="50">
        <f>'Scenario Manager'!K54</f>
        <v>0</v>
      </c>
    </row>
    <row r="35" spans="2:11" s="1" customFormat="1" x14ac:dyDescent="0.45">
      <c r="C35" s="38" t="s">
        <v>213</v>
      </c>
      <c r="D35" s="38" t="s">
        <v>31</v>
      </c>
      <c r="E35" s="43"/>
      <c r="F35" s="50">
        <f>'Scenario Manager'!F55</f>
        <v>-10361.997387036216</v>
      </c>
      <c r="G35" s="50">
        <f>'Scenario Manager'!G55</f>
        <v>0</v>
      </c>
      <c r="H35" s="50">
        <f>'Scenario Manager'!H55</f>
        <v>0</v>
      </c>
      <c r="I35" s="50">
        <f>'Scenario Manager'!I55</f>
        <v>0</v>
      </c>
      <c r="J35" s="50">
        <f>'Scenario Manager'!J55</f>
        <v>0</v>
      </c>
      <c r="K35" s="50">
        <f>'Scenario Manager'!K55</f>
        <v>0</v>
      </c>
    </row>
    <row r="36" spans="2:11" s="1" customFormat="1" x14ac:dyDescent="0.45">
      <c r="C36" s="38" t="s">
        <v>214</v>
      </c>
      <c r="D36" s="38" t="s">
        <v>31</v>
      </c>
      <c r="E36" s="43"/>
      <c r="F36" s="50">
        <f>'Scenario Manager'!F56</f>
        <v>0</v>
      </c>
      <c r="G36" s="50">
        <f>'Scenario Manager'!G56</f>
        <v>0</v>
      </c>
      <c r="H36" s="50">
        <f>'Scenario Manager'!H56</f>
        <v>0</v>
      </c>
      <c r="I36" s="50">
        <f>'Scenario Manager'!I56</f>
        <v>0</v>
      </c>
      <c r="J36" s="50">
        <f>'Scenario Manager'!J56</f>
        <v>0</v>
      </c>
      <c r="K36" s="50">
        <f>'Scenario Manager'!K56</f>
        <v>0</v>
      </c>
    </row>
    <row r="37" spans="2:11" s="1" customFormat="1" x14ac:dyDescent="0.45">
      <c r="C37" s="38" t="s">
        <v>215</v>
      </c>
      <c r="D37" s="38" t="s">
        <v>31</v>
      </c>
      <c r="E37" s="43"/>
      <c r="F37" s="50">
        <f>'Scenario Manager'!F57</f>
        <v>0</v>
      </c>
      <c r="G37" s="50">
        <f>'Scenario Manager'!G57</f>
        <v>0</v>
      </c>
      <c r="H37" s="50">
        <f>'Scenario Manager'!H57</f>
        <v>0</v>
      </c>
      <c r="I37" s="50">
        <f>'Scenario Manager'!I57</f>
        <v>0</v>
      </c>
      <c r="J37" s="50">
        <f>'Scenario Manager'!J57</f>
        <v>0</v>
      </c>
      <c r="K37" s="50">
        <f>'Scenario Manager'!K57</f>
        <v>0</v>
      </c>
    </row>
    <row r="38" spans="2:11" s="1" customFormat="1" ht="18" x14ac:dyDescent="0.55000000000000004">
      <c r="B38" s="35" t="s">
        <v>217</v>
      </c>
      <c r="D38" s="22"/>
      <c r="E38" s="30"/>
      <c r="F38" s="30"/>
      <c r="G38" s="30"/>
      <c r="H38" s="30"/>
      <c r="I38" s="30"/>
      <c r="J38" s="30"/>
      <c r="K38" s="30"/>
    </row>
    <row r="39" spans="2:11" s="1" customFormat="1" x14ac:dyDescent="0.45">
      <c r="C39" s="38" t="s">
        <v>23</v>
      </c>
      <c r="D39" s="38" t="s">
        <v>31</v>
      </c>
      <c r="E39" s="43"/>
      <c r="F39" s="50">
        <f>'Scenario Manager'!F59</f>
        <v>3.5285231625543192</v>
      </c>
      <c r="G39" s="50">
        <f>'Scenario Manager'!G59</f>
        <v>3.5531621279987022</v>
      </c>
      <c r="H39" s="50">
        <f>'Scenario Manager'!H59</f>
        <v>3.5855007701444537</v>
      </c>
      <c r="I39" s="50">
        <f>'Scenario Manager'!I59</f>
        <v>3.6255390889915762</v>
      </c>
      <c r="J39" s="50">
        <f>'Scenario Manager'!J59</f>
        <v>3.6658960386378285</v>
      </c>
      <c r="K39" s="50">
        <f>'Scenario Manager'!K59</f>
        <v>3.7065571649348033</v>
      </c>
    </row>
    <row r="40" spans="2:11" s="1" customFormat="1" x14ac:dyDescent="0.45">
      <c r="C40" s="38" t="s">
        <v>213</v>
      </c>
      <c r="D40" s="38" t="s">
        <v>31</v>
      </c>
      <c r="E40" s="43"/>
      <c r="F40" s="50">
        <f>'Scenario Manager'!F60</f>
        <v>27371.88474706986</v>
      </c>
      <c r="G40" s="50">
        <f>'Scenario Manager'!G60</f>
        <v>28018.995818783231</v>
      </c>
      <c r="H40" s="50">
        <f>'Scenario Manager'!H60</f>
        <v>32532.858172304259</v>
      </c>
      <c r="I40" s="50">
        <f>'Scenario Manager'!I60</f>
        <v>42924.555827153177</v>
      </c>
      <c r="J40" s="50">
        <f>'Scenario Manager'!J60</f>
        <v>51302.747781142425</v>
      </c>
      <c r="K40" s="50">
        <f>'Scenario Manager'!K60</f>
        <v>54199.645904280587</v>
      </c>
    </row>
    <row r="41" spans="2:11" s="1" customFormat="1" x14ac:dyDescent="0.45">
      <c r="C41" s="38" t="s">
        <v>214</v>
      </c>
      <c r="D41" s="38" t="s">
        <v>31</v>
      </c>
      <c r="E41" s="43"/>
      <c r="F41" s="50">
        <f>'Scenario Manager'!F61</f>
        <v>8718.3779872818559</v>
      </c>
      <c r="G41" s="50">
        <f>'Scenario Manager'!G61</f>
        <v>11406.695999780211</v>
      </c>
      <c r="H41" s="50">
        <f>'Scenario Manager'!H61</f>
        <v>11890.990604347642</v>
      </c>
      <c r="I41" s="50">
        <f>'Scenario Manager'!I61</f>
        <v>14675.474429999356</v>
      </c>
      <c r="J41" s="50">
        <f>'Scenario Manager'!J61</f>
        <v>18226.424307663492</v>
      </c>
      <c r="K41" s="50">
        <f>'Scenario Manager'!K61</f>
        <v>24213.979780276299</v>
      </c>
    </row>
    <row r="42" spans="2:11" s="1" customFormat="1" x14ac:dyDescent="0.45">
      <c r="C42" s="38" t="s">
        <v>215</v>
      </c>
      <c r="D42" s="38" t="s">
        <v>31</v>
      </c>
      <c r="E42" s="43"/>
      <c r="F42" s="50">
        <f>'Scenario Manager'!F62</f>
        <v>8994.2917552121016</v>
      </c>
      <c r="G42" s="50">
        <f>'Scenario Manager'!G62</f>
        <v>12883.092178719062</v>
      </c>
      <c r="H42" s="50">
        <f>'Scenario Manager'!H62</f>
        <v>16297.708812668399</v>
      </c>
      <c r="I42" s="50">
        <f>'Scenario Manager'!I62</f>
        <v>21487.909284102443</v>
      </c>
      <c r="J42" s="50">
        <f>'Scenario Manager'!J62</f>
        <v>21972.713631856113</v>
      </c>
      <c r="K42" s="50">
        <f>'Scenario Manager'!K62</f>
        <v>19239.003456517097</v>
      </c>
    </row>
    <row r="43" spans="2:11" s="1" customFormat="1" ht="18" x14ac:dyDescent="0.55000000000000004">
      <c r="B43" s="35" t="s">
        <v>45</v>
      </c>
      <c r="D43" s="22"/>
      <c r="E43" s="30"/>
      <c r="F43" s="30"/>
      <c r="G43" s="30"/>
      <c r="H43" s="30"/>
      <c r="I43" s="30"/>
      <c r="J43" s="30"/>
      <c r="K43" s="30"/>
    </row>
    <row r="44" spans="2:11" s="1" customFormat="1" x14ac:dyDescent="0.45">
      <c r="C44" s="38" t="s">
        <v>23</v>
      </c>
      <c r="D44" s="38" t="s">
        <v>31</v>
      </c>
      <c r="E44" s="43"/>
      <c r="F44" s="50">
        <f>'Scenario Manager'!F64</f>
        <v>31.396262948662731</v>
      </c>
      <c r="G44" s="50">
        <f>'Scenario Manager'!G64</f>
        <v>30.154569009295788</v>
      </c>
      <c r="H44" s="50">
        <f>'Scenario Manager'!H64</f>
        <v>28.982195942404946</v>
      </c>
      <c r="I44" s="50">
        <f>'Scenario Manager'!I64</f>
        <v>27.87427438378457</v>
      </c>
      <c r="J44" s="50">
        <f>'Scenario Manager'!J64</f>
        <v>26.826312457397126</v>
      </c>
      <c r="K44" s="50">
        <f>'Scenario Manager'!K64</f>
        <v>25.834165470650905</v>
      </c>
    </row>
    <row r="45" spans="2:11" s="1" customFormat="1" x14ac:dyDescent="0.45">
      <c r="C45" s="38" t="s">
        <v>213</v>
      </c>
      <c r="D45" s="38" t="s">
        <v>31</v>
      </c>
      <c r="E45" s="43"/>
      <c r="F45" s="50">
        <f>'Scenario Manager'!F65</f>
        <v>20910.491770646422</v>
      </c>
      <c r="G45" s="50">
        <f>'Scenario Manager'!G65</f>
        <v>27916.399257014065</v>
      </c>
      <c r="H45" s="50">
        <f>'Scenario Manager'!H65</f>
        <v>41971.66642624222</v>
      </c>
      <c r="I45" s="50">
        <f>'Scenario Manager'!I65</f>
        <v>57667.680467599843</v>
      </c>
      <c r="J45" s="50">
        <f>'Scenario Manager'!J65</f>
        <v>64158.889466462089</v>
      </c>
      <c r="K45" s="50">
        <f>'Scenario Manager'!K65</f>
        <v>66696.067205199171</v>
      </c>
    </row>
    <row r="46" spans="2:11" s="1" customFormat="1" x14ac:dyDescent="0.45">
      <c r="C46" s="38" t="s">
        <v>214</v>
      </c>
      <c r="D46" s="38" t="s">
        <v>31</v>
      </c>
      <c r="E46" s="43"/>
      <c r="F46" s="50">
        <f>'Scenario Manager'!F66</f>
        <v>9192.0157146543443</v>
      </c>
      <c r="G46" s="50">
        <f>'Scenario Manager'!G66</f>
        <v>11519.540698761899</v>
      </c>
      <c r="H46" s="50">
        <f>'Scenario Manager'!H66</f>
        <v>13872.343421661151</v>
      </c>
      <c r="I46" s="50">
        <f>'Scenario Manager'!I66</f>
        <v>18202.126706183797</v>
      </c>
      <c r="J46" s="50">
        <f>'Scenario Manager'!J66</f>
        <v>24459.319979151871</v>
      </c>
      <c r="K46" s="50">
        <f>'Scenario Manager'!K66</f>
        <v>31017.329404036496</v>
      </c>
    </row>
    <row r="47" spans="2:11" s="1" customFormat="1" x14ac:dyDescent="0.45">
      <c r="C47" s="38" t="s">
        <v>215</v>
      </c>
      <c r="D47" s="38" t="s">
        <v>31</v>
      </c>
      <c r="E47" s="43"/>
      <c r="F47" s="50">
        <f>'Scenario Manager'!F67</f>
        <v>11003.007590746241</v>
      </c>
      <c r="G47" s="50">
        <f>'Scenario Manager'!G67</f>
        <v>14023.570095233663</v>
      </c>
      <c r="H47" s="50">
        <f>'Scenario Manager'!H67</f>
        <v>18395.874437335933</v>
      </c>
      <c r="I47" s="50">
        <f>'Scenario Manager'!I67</f>
        <v>19309.428967538861</v>
      </c>
      <c r="J47" s="50">
        <f>'Scenario Manager'!J67</f>
        <v>16165.780378265943</v>
      </c>
      <c r="K47" s="50">
        <f>'Scenario Manager'!K67</f>
        <v>15837.242192180756</v>
      </c>
    </row>
    <row r="48" spans="2:11" s="1" customFormat="1" ht="18" x14ac:dyDescent="0.55000000000000004">
      <c r="B48" s="35" t="s">
        <v>218</v>
      </c>
      <c r="D48" s="22"/>
      <c r="E48" s="30"/>
      <c r="F48" s="30"/>
      <c r="G48" s="30"/>
      <c r="H48" s="30"/>
      <c r="I48" s="30"/>
      <c r="J48" s="30"/>
      <c r="K48" s="30"/>
    </row>
    <row r="49" spans="1:11" s="1" customFormat="1" x14ac:dyDescent="0.45">
      <c r="C49" s="38" t="s">
        <v>23</v>
      </c>
      <c r="D49" s="38" t="s">
        <v>31</v>
      </c>
      <c r="E49" s="43"/>
      <c r="F49" s="50">
        <f>'Scenario Manager'!F69</f>
        <v>0</v>
      </c>
      <c r="G49" s="50">
        <f>'Scenario Manager'!G69</f>
        <v>0</v>
      </c>
      <c r="H49" s="50">
        <f>'Scenario Manager'!H69</f>
        <v>0</v>
      </c>
      <c r="I49" s="50">
        <f>'Scenario Manager'!I69</f>
        <v>0</v>
      </c>
      <c r="J49" s="50">
        <f>'Scenario Manager'!J69</f>
        <v>0</v>
      </c>
      <c r="K49" s="50">
        <f>'Scenario Manager'!K69</f>
        <v>0</v>
      </c>
    </row>
    <row r="50" spans="1:11" s="1" customFormat="1" x14ac:dyDescent="0.45">
      <c r="C50" s="38" t="s">
        <v>213</v>
      </c>
      <c r="D50" s="38" t="s">
        <v>31</v>
      </c>
      <c r="E50" s="43"/>
      <c r="F50" s="50">
        <f>'Scenario Manager'!F70</f>
        <v>273.72646316205305</v>
      </c>
      <c r="G50" s="50">
        <f>'Scenario Manager'!G70</f>
        <v>7710.6604317353904</v>
      </c>
      <c r="H50" s="50">
        <f>'Scenario Manager'!H70</f>
        <v>850.57874041636728</v>
      </c>
      <c r="I50" s="50">
        <f>'Scenario Manager'!I70</f>
        <v>645.7660308449199</v>
      </c>
      <c r="J50" s="50">
        <f>'Scenario Manager'!J70</f>
        <v>221.22798944976705</v>
      </c>
      <c r="K50" s="50">
        <f>'Scenario Manager'!K70</f>
        <v>1882.2410443272067</v>
      </c>
    </row>
    <row r="51" spans="1:11" s="1" customFormat="1" x14ac:dyDescent="0.45">
      <c r="C51" s="38" t="s">
        <v>214</v>
      </c>
      <c r="D51" s="38" t="s">
        <v>31</v>
      </c>
      <c r="E51" s="43"/>
      <c r="F51" s="50">
        <f>'Scenario Manager'!F71</f>
        <v>201.87210537792012</v>
      </c>
      <c r="G51" s="50">
        <f>'Scenario Manager'!G71</f>
        <v>62.144233794727235</v>
      </c>
      <c r="H51" s="50">
        <f>'Scenario Manager'!H71</f>
        <v>216.4900702318437</v>
      </c>
      <c r="I51" s="50">
        <f>'Scenario Manager'!I71</f>
        <v>260.13283639791581</v>
      </c>
      <c r="J51" s="50">
        <f>'Scenario Manager'!J71</f>
        <v>413.13916696854528</v>
      </c>
      <c r="K51" s="50">
        <f>'Scenario Manager'!K71</f>
        <v>323.09748499270364</v>
      </c>
    </row>
    <row r="52" spans="1:11" s="1" customFormat="1" x14ac:dyDescent="0.45">
      <c r="C52" s="38" t="s">
        <v>215</v>
      </c>
      <c r="D52" s="38" t="s">
        <v>31</v>
      </c>
      <c r="E52" s="43"/>
      <c r="F52" s="50">
        <f>'Scenario Manager'!F72</f>
        <v>53.458766842759914</v>
      </c>
      <c r="G52" s="50">
        <f>'Scenario Manager'!G72</f>
        <v>45.705880194340764</v>
      </c>
      <c r="H52" s="50">
        <f>'Scenario Manager'!H72</f>
        <v>79.058404851425223</v>
      </c>
      <c r="I52" s="50">
        <f>'Scenario Manager'!I72</f>
        <v>29.319057384313165</v>
      </c>
      <c r="J52" s="50">
        <f>'Scenario Manager'!J72</f>
        <v>20.813808288178045</v>
      </c>
      <c r="K52" s="50">
        <f>'Scenario Manager'!K72</f>
        <v>48.291210420467827</v>
      </c>
    </row>
    <row r="53" spans="1:11" s="1" customFormat="1" x14ac:dyDescent="0.45">
      <c r="C53" s="51"/>
      <c r="D53" s="51"/>
      <c r="E53" s="51"/>
      <c r="F53" s="51"/>
      <c r="G53" s="51"/>
      <c r="H53" s="51"/>
      <c r="I53" s="51"/>
      <c r="J53" s="51"/>
      <c r="K53" s="51"/>
    </row>
    <row r="54" spans="1:11" s="1" customFormat="1" ht="23.25" x14ac:dyDescent="0.7">
      <c r="A54" s="27" t="s">
        <v>6</v>
      </c>
    </row>
    <row r="55" spans="1:11" s="1" customFormat="1" ht="21" x14ac:dyDescent="0.65">
      <c r="A55" s="42" t="s">
        <v>63</v>
      </c>
    </row>
    <row r="56" spans="1:11" s="1" customFormat="1" ht="18" x14ac:dyDescent="0.55000000000000004">
      <c r="B56" s="35" t="s">
        <v>23</v>
      </c>
      <c r="C56" s="55"/>
      <c r="D56" s="55"/>
      <c r="E56" s="30">
        <v>2016</v>
      </c>
      <c r="F56" s="30">
        <f>E56+1</f>
        <v>2017</v>
      </c>
      <c r="G56" s="30">
        <f>F56+1</f>
        <v>2018</v>
      </c>
      <c r="H56" s="30">
        <f t="shared" ref="H56" si="1">G56+1</f>
        <v>2019</v>
      </c>
      <c r="I56" s="30">
        <f t="shared" ref="I56" si="2">H56+1</f>
        <v>2020</v>
      </c>
      <c r="J56" s="30">
        <f t="shared" ref="J56" si="3">I56+1</f>
        <v>2021</v>
      </c>
      <c r="K56" s="30">
        <f t="shared" ref="K56" si="4">J56+1</f>
        <v>2022</v>
      </c>
    </row>
    <row r="57" spans="1:11" s="1" customFormat="1" x14ac:dyDescent="0.45">
      <c r="B57" s="55"/>
      <c r="C57" s="62" t="s">
        <v>54</v>
      </c>
      <c r="D57" s="62"/>
      <c r="E57" s="62"/>
      <c r="F57" s="62">
        <f>E63</f>
        <v>334761.86924423126</v>
      </c>
      <c r="G57" s="62">
        <f t="shared" ref="G57:K57" si="5">F63</f>
        <v>335098.41670263803</v>
      </c>
      <c r="H57" s="62">
        <f t="shared" si="5"/>
        <v>335434.91488311382</v>
      </c>
      <c r="I57" s="62">
        <f t="shared" si="5"/>
        <v>335877.61443086906</v>
      </c>
      <c r="J57" s="62">
        <f t="shared" si="5"/>
        <v>336426.49224687362</v>
      </c>
      <c r="K57" s="62">
        <f t="shared" si="5"/>
        <v>336979.68625151186</v>
      </c>
    </row>
    <row r="58" spans="1:11" s="1" customFormat="1" x14ac:dyDescent="0.45">
      <c r="B58" s="55"/>
      <c r="C58" s="62" t="s">
        <v>55</v>
      </c>
      <c r="D58" s="62"/>
      <c r="E58" s="63"/>
      <c r="F58" s="62">
        <f t="shared" ref="F58:K58" si="6">F19</f>
        <v>0</v>
      </c>
      <c r="G58" s="62">
        <f t="shared" si="6"/>
        <v>0</v>
      </c>
      <c r="H58" s="62">
        <f t="shared" si="6"/>
        <v>0</v>
      </c>
      <c r="I58" s="62">
        <f t="shared" si="6"/>
        <v>0</v>
      </c>
      <c r="J58" s="62">
        <f t="shared" si="6"/>
        <v>0</v>
      </c>
      <c r="K58" s="62">
        <f t="shared" si="6"/>
        <v>0</v>
      </c>
    </row>
    <row r="59" spans="1:11" s="1" customFormat="1" x14ac:dyDescent="0.45">
      <c r="B59" s="55"/>
      <c r="C59" s="62" t="s">
        <v>38</v>
      </c>
      <c r="D59" s="62"/>
      <c r="E59" s="62"/>
      <c r="F59" s="62">
        <f t="shared" ref="F59:K59" si="7">F29</f>
        <v>340.075981569281</v>
      </c>
      <c r="G59" s="62">
        <f t="shared" si="7"/>
        <v>340.0513426038371</v>
      </c>
      <c r="H59" s="62">
        <f t="shared" si="7"/>
        <v>446.28504852539066</v>
      </c>
      <c r="I59" s="62">
        <f t="shared" si="7"/>
        <v>552.50335509354159</v>
      </c>
      <c r="J59" s="62">
        <f t="shared" si="7"/>
        <v>556.85990067688783</v>
      </c>
      <c r="K59" s="62">
        <f t="shared" si="7"/>
        <v>561.01637984474928</v>
      </c>
    </row>
    <row r="60" spans="1:11" s="1" customFormat="1" x14ac:dyDescent="0.45">
      <c r="B60" s="55"/>
      <c r="C60" s="62" t="s">
        <v>59</v>
      </c>
      <c r="D60" s="62"/>
      <c r="E60" s="62"/>
      <c r="F60" s="62">
        <f>-F39</f>
        <v>-3.5285231625543192</v>
      </c>
      <c r="G60" s="62">
        <f t="shared" ref="G60:K60" si="8">-G39</f>
        <v>-3.5531621279987022</v>
      </c>
      <c r="H60" s="62">
        <f t="shared" si="8"/>
        <v>-3.5855007701444537</v>
      </c>
      <c r="I60" s="62">
        <f t="shared" si="8"/>
        <v>-3.6255390889915762</v>
      </c>
      <c r="J60" s="62">
        <f t="shared" si="8"/>
        <v>-3.6658960386378285</v>
      </c>
      <c r="K60" s="62">
        <f t="shared" si="8"/>
        <v>-3.7065571649348033</v>
      </c>
    </row>
    <row r="61" spans="1:11" s="1" customFormat="1" x14ac:dyDescent="0.45">
      <c r="B61" s="55"/>
      <c r="C61" s="62" t="s">
        <v>56</v>
      </c>
      <c r="D61" s="62"/>
      <c r="E61" s="62"/>
      <c r="F61" s="62">
        <f t="shared" ref="F61:K61" si="9">-F24</f>
        <v>0</v>
      </c>
      <c r="G61" s="62">
        <f t="shared" si="9"/>
        <v>0</v>
      </c>
      <c r="H61" s="62">
        <f t="shared" si="9"/>
        <v>0</v>
      </c>
      <c r="I61" s="62">
        <f t="shared" si="9"/>
        <v>0</v>
      </c>
      <c r="J61" s="62">
        <f t="shared" si="9"/>
        <v>0</v>
      </c>
      <c r="K61" s="62">
        <f t="shared" si="9"/>
        <v>0</v>
      </c>
    </row>
    <row r="62" spans="1:11" s="1" customFormat="1" x14ac:dyDescent="0.45">
      <c r="B62" s="55"/>
      <c r="C62" s="62" t="s">
        <v>57</v>
      </c>
      <c r="D62" s="62"/>
      <c r="E62" s="62"/>
      <c r="F62" s="62">
        <f t="shared" ref="F62:K62" si="10">F34</f>
        <v>0</v>
      </c>
      <c r="G62" s="62">
        <f t="shared" si="10"/>
        <v>0</v>
      </c>
      <c r="H62" s="62">
        <f t="shared" si="10"/>
        <v>0</v>
      </c>
      <c r="I62" s="62">
        <f t="shared" si="10"/>
        <v>0</v>
      </c>
      <c r="J62" s="62">
        <f t="shared" si="10"/>
        <v>0</v>
      </c>
      <c r="K62" s="62">
        <f t="shared" si="10"/>
        <v>0</v>
      </c>
    </row>
    <row r="63" spans="1:11" s="1" customFormat="1" x14ac:dyDescent="0.45">
      <c r="B63" s="59"/>
      <c r="C63" s="62" t="s">
        <v>58</v>
      </c>
      <c r="D63" s="62"/>
      <c r="E63" s="62">
        <f>E6</f>
        <v>334761.86924423126</v>
      </c>
      <c r="F63" s="62">
        <f t="shared" ref="F63:K63" si="11">SUM(F57:F62)</f>
        <v>335098.41670263803</v>
      </c>
      <c r="G63" s="62">
        <f t="shared" si="11"/>
        <v>335434.91488311382</v>
      </c>
      <c r="H63" s="62">
        <f t="shared" si="11"/>
        <v>335877.61443086906</v>
      </c>
      <c r="I63" s="62">
        <f t="shared" si="11"/>
        <v>336426.49224687362</v>
      </c>
      <c r="J63" s="62">
        <f t="shared" si="11"/>
        <v>336979.68625151186</v>
      </c>
      <c r="K63" s="62">
        <f t="shared" si="11"/>
        <v>337536.99607419164</v>
      </c>
    </row>
    <row r="64" spans="1:11" s="1" customFormat="1" x14ac:dyDescent="0.45">
      <c r="B64" s="59"/>
      <c r="C64" s="62" t="s">
        <v>158</v>
      </c>
      <c r="D64" s="62"/>
      <c r="E64" s="62"/>
      <c r="F64" s="67">
        <f>-F60/F57</f>
        <v>1.0540397478722478E-5</v>
      </c>
      <c r="G64" s="67">
        <f>-G60/G57</f>
        <v>1.060333905173814E-5</v>
      </c>
      <c r="H64" s="67">
        <f t="shared" ref="H64:K64" si="12">-H60/H57</f>
        <v>1.0689110200093104E-5</v>
      </c>
      <c r="I64" s="67">
        <f t="shared" si="12"/>
        <v>1.079422662666848E-5</v>
      </c>
      <c r="J64" s="67">
        <f t="shared" si="12"/>
        <v>1.0896573614505221E-5</v>
      </c>
      <c r="K64" s="67">
        <f t="shared" si="12"/>
        <v>1.0999348970158208E-5</v>
      </c>
    </row>
    <row r="65" spans="2:16384" s="1" customFormat="1" x14ac:dyDescent="0.45">
      <c r="B65" s="55"/>
      <c r="C65" s="55"/>
      <c r="D65" s="55"/>
      <c r="E65" s="55"/>
      <c r="F65" s="55"/>
      <c r="G65" s="55"/>
      <c r="H65" s="55"/>
      <c r="I65" s="55"/>
      <c r="J65" s="55"/>
      <c r="K65" s="55"/>
    </row>
    <row r="66" spans="2:16384" ht="18" x14ac:dyDescent="0.55000000000000004">
      <c r="B66" s="35" t="s">
        <v>213</v>
      </c>
      <c r="C66" s="55"/>
      <c r="D66" s="55"/>
      <c r="E66" s="30">
        <v>2016</v>
      </c>
      <c r="F66" s="30">
        <f>E66+1</f>
        <v>2017</v>
      </c>
      <c r="G66" s="30">
        <f>F66+1</f>
        <v>2018</v>
      </c>
      <c r="H66" s="30">
        <f t="shared" ref="H66" si="13">G66+1</f>
        <v>2019</v>
      </c>
      <c r="I66" s="30">
        <f t="shared" ref="I66" si="14">H66+1</f>
        <v>2020</v>
      </c>
      <c r="J66" s="30">
        <f t="shared" ref="J66" si="15">I66+1</f>
        <v>2021</v>
      </c>
      <c r="K66" s="30">
        <f t="shared" ref="K66" si="16">J66+1</f>
        <v>2022</v>
      </c>
    </row>
    <row r="67" spans="2:16384" x14ac:dyDescent="0.45">
      <c r="B67" s="55"/>
      <c r="C67" s="62" t="s">
        <v>54</v>
      </c>
      <c r="D67" s="62"/>
      <c r="E67" s="62"/>
      <c r="F67" s="62">
        <f>E73</f>
        <v>522413.42904351326</v>
      </c>
      <c r="G67" s="62">
        <f t="shared" ref="G67:K67" si="17">F73</f>
        <v>581715.18108451646</v>
      </c>
      <c r="H67" s="62">
        <f t="shared" si="17"/>
        <v>706563.31392642099</v>
      </c>
      <c r="I67" s="62">
        <f t="shared" si="17"/>
        <v>980379.18466973177</v>
      </c>
      <c r="J67" s="62">
        <f t="shared" si="17"/>
        <v>1171799.1519171218</v>
      </c>
      <c r="K67" s="62">
        <f t="shared" si="17"/>
        <v>1202120.4405811066</v>
      </c>
    </row>
    <row r="68" spans="2:16384" x14ac:dyDescent="0.45">
      <c r="B68" s="55"/>
      <c r="C68" s="62" t="s">
        <v>216</v>
      </c>
      <c r="D68" s="62"/>
      <c r="E68" s="63"/>
      <c r="F68" s="62">
        <f t="shared" ref="F68:K68" si="18">F20</f>
        <v>97106.941745002987</v>
      </c>
      <c r="G68" s="62">
        <f t="shared" si="18"/>
        <v>166231.14128076352</v>
      </c>
      <c r="H68" s="62">
        <f t="shared" si="18"/>
        <v>307155.00999404798</v>
      </c>
      <c r="I68" s="62">
        <f t="shared" si="18"/>
        <v>234374.14389380498</v>
      </c>
      <c r="J68" s="62">
        <f t="shared" si="18"/>
        <v>80741.38783568592</v>
      </c>
      <c r="K68" s="62">
        <f t="shared" si="18"/>
        <v>137732.14257628622</v>
      </c>
    </row>
    <row r="69" spans="2:16384" x14ac:dyDescent="0.45">
      <c r="B69" s="55"/>
      <c r="C69" s="62" t="s">
        <v>38</v>
      </c>
      <c r="D69" s="62"/>
      <c r="E69" s="62"/>
      <c r="F69" s="62">
        <f t="shared" ref="F69:K69" si="19">F30</f>
        <v>414.22713883138454</v>
      </c>
      <c r="G69" s="62">
        <f t="shared" si="19"/>
        <v>457.10738330201468</v>
      </c>
      <c r="H69" s="62">
        <f t="shared" si="19"/>
        <v>729.49397153716995</v>
      </c>
      <c r="I69" s="62">
        <f t="shared" si="19"/>
        <v>1142.2499002070749</v>
      </c>
      <c r="J69" s="62">
        <f t="shared" si="19"/>
        <v>1286.3555486197165</v>
      </c>
      <c r="K69" s="62">
        <f t="shared" si="19"/>
        <v>1265.6121564483644</v>
      </c>
    </row>
    <row r="70" spans="2:16384" x14ac:dyDescent="0.45">
      <c r="B70" s="55"/>
      <c r="C70" s="62" t="s">
        <v>59</v>
      </c>
      <c r="D70" s="62"/>
      <c r="E70" s="62"/>
      <c r="F70" s="62">
        <f t="shared" ref="F70:K70" si="20">-F40</f>
        <v>-27371.88474706986</v>
      </c>
      <c r="G70" s="62">
        <f t="shared" si="20"/>
        <v>-28018.995818783231</v>
      </c>
      <c r="H70" s="62">
        <f t="shared" si="20"/>
        <v>-32532.858172304259</v>
      </c>
      <c r="I70" s="62">
        <f t="shared" si="20"/>
        <v>-42924.555827153177</v>
      </c>
      <c r="J70" s="62">
        <f t="shared" si="20"/>
        <v>-51302.747781142425</v>
      </c>
      <c r="K70" s="62">
        <f t="shared" si="20"/>
        <v>-54199.645904280587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pans="2:16384" x14ac:dyDescent="0.45">
      <c r="B71" s="55"/>
      <c r="C71" s="62" t="s">
        <v>56</v>
      </c>
      <c r="D71" s="62"/>
      <c r="E71" s="62"/>
      <c r="F71" s="62">
        <f t="shared" ref="F71:K71" si="21">-F25</f>
        <v>-485.53470872501492</v>
      </c>
      <c r="G71" s="62">
        <f t="shared" si="21"/>
        <v>-13821.120003377895</v>
      </c>
      <c r="H71" s="62">
        <f t="shared" si="21"/>
        <v>-1535.7750499702399</v>
      </c>
      <c r="I71" s="62">
        <f t="shared" si="21"/>
        <v>-1171.8707194690251</v>
      </c>
      <c r="J71" s="62">
        <f t="shared" si="21"/>
        <v>-403.70693917842971</v>
      </c>
      <c r="K71" s="62">
        <f t="shared" si="21"/>
        <v>-3454.6369664005433</v>
      </c>
    </row>
    <row r="72" spans="2:16384" x14ac:dyDescent="0.45">
      <c r="B72" s="55"/>
      <c r="C72" s="62" t="s">
        <v>57</v>
      </c>
      <c r="D72" s="62"/>
      <c r="E72" s="62"/>
      <c r="F72" s="62">
        <f t="shared" ref="F72:K72" si="22">F35</f>
        <v>-10361.997387036216</v>
      </c>
      <c r="G72" s="62">
        <f t="shared" si="22"/>
        <v>0</v>
      </c>
      <c r="H72" s="62">
        <f t="shared" si="22"/>
        <v>0</v>
      </c>
      <c r="I72" s="62">
        <f t="shared" si="22"/>
        <v>0</v>
      </c>
      <c r="J72" s="62">
        <f t="shared" si="22"/>
        <v>0</v>
      </c>
      <c r="K72" s="62">
        <f t="shared" si="22"/>
        <v>0</v>
      </c>
    </row>
    <row r="73" spans="2:16384" x14ac:dyDescent="0.45">
      <c r="B73" s="55"/>
      <c r="C73" s="62" t="s">
        <v>58</v>
      </c>
      <c r="D73" s="62"/>
      <c r="E73" s="62">
        <f>E7</f>
        <v>522413.42904351326</v>
      </c>
      <c r="F73" s="62">
        <f t="shared" ref="F73:K73" si="23">SUM(F67:F72)</f>
        <v>581715.18108451646</v>
      </c>
      <c r="G73" s="62">
        <f t="shared" si="23"/>
        <v>706563.31392642099</v>
      </c>
      <c r="H73" s="62">
        <f t="shared" si="23"/>
        <v>980379.18466973177</v>
      </c>
      <c r="I73" s="62">
        <f t="shared" si="23"/>
        <v>1171799.1519171218</v>
      </c>
      <c r="J73" s="62">
        <f t="shared" si="23"/>
        <v>1202120.4405811066</v>
      </c>
      <c r="K73" s="62">
        <f t="shared" si="23"/>
        <v>1283463.9124431601</v>
      </c>
    </row>
    <row r="74" spans="2:16384" s="1" customFormat="1" x14ac:dyDescent="0.45">
      <c r="B74" s="55"/>
      <c r="C74" s="62" t="s">
        <v>224</v>
      </c>
      <c r="D74" s="62"/>
      <c r="E74" s="62"/>
      <c r="F74" s="67">
        <f>-F70/F67</f>
        <v>5.239506342167552E-2</v>
      </c>
      <c r="G74" s="67">
        <f>-G70/G67</f>
        <v>4.816617604262316E-2</v>
      </c>
      <c r="H74" s="67">
        <f t="shared" ref="H74:K74" si="24">-H70/H67</f>
        <v>4.6043797535307809E-2</v>
      </c>
      <c r="I74" s="67">
        <f t="shared" si="24"/>
        <v>4.3783626272740093E-2</v>
      </c>
      <c r="J74" s="67">
        <f t="shared" si="24"/>
        <v>4.3781178452987075E-2</v>
      </c>
      <c r="K74" s="67">
        <f t="shared" si="24"/>
        <v>4.5086701859990343E-2</v>
      </c>
    </row>
    <row r="75" spans="2:16384" x14ac:dyDescent="0.45">
      <c r="B75" s="55"/>
      <c r="C75" s="55"/>
      <c r="D75" s="55"/>
      <c r="E75" s="55"/>
      <c r="F75" s="55"/>
      <c r="G75" s="55"/>
      <c r="H75" s="55"/>
      <c r="I75" s="55"/>
      <c r="J75" s="55"/>
      <c r="K75" s="55"/>
    </row>
    <row r="76" spans="2:16384" ht="18" x14ac:dyDescent="0.55000000000000004">
      <c r="B76" s="35" t="s">
        <v>214</v>
      </c>
      <c r="C76" s="55"/>
      <c r="D76" s="55"/>
      <c r="E76" s="30">
        <v>2016</v>
      </c>
      <c r="F76" s="30">
        <f>E76+1</f>
        <v>2017</v>
      </c>
      <c r="G76" s="30">
        <f>F76+1</f>
        <v>2018</v>
      </c>
      <c r="H76" s="30">
        <f t="shared" ref="H76" si="25">G76+1</f>
        <v>2019</v>
      </c>
      <c r="I76" s="30">
        <f t="shared" ref="I76" si="26">H76+1</f>
        <v>2020</v>
      </c>
      <c r="J76" s="30">
        <f t="shared" ref="J76" si="27">I76+1</f>
        <v>2021</v>
      </c>
      <c r="K76" s="30">
        <f t="shared" ref="K76" si="28">J76+1</f>
        <v>2022</v>
      </c>
    </row>
    <row r="77" spans="2:16384" x14ac:dyDescent="0.45">
      <c r="B77" s="55"/>
      <c r="C77" s="62" t="s">
        <v>54</v>
      </c>
      <c r="D77" s="62"/>
      <c r="E77" s="62"/>
      <c r="F77" s="62">
        <f>E83</f>
        <v>218029.78127999936</v>
      </c>
      <c r="G77" s="62">
        <f t="shared" ref="G77:K77" si="29">F83</f>
        <v>283584.72741898842</v>
      </c>
      <c r="H77" s="62">
        <f t="shared" si="29"/>
        <v>294756.44642825937</v>
      </c>
      <c r="I77" s="62">
        <f t="shared" si="29"/>
        <v>360653.10385701974</v>
      </c>
      <c r="J77" s="62">
        <f t="shared" si="29"/>
        <v>439919.48822623189</v>
      </c>
      <c r="K77" s="62">
        <f t="shared" si="29"/>
        <v>571723.5267294324</v>
      </c>
    </row>
    <row r="78" spans="2:16384" x14ac:dyDescent="0.45">
      <c r="B78" s="55"/>
      <c r="C78" s="62" t="s">
        <v>216</v>
      </c>
      <c r="D78" s="62"/>
      <c r="E78" s="63"/>
      <c r="F78" s="62">
        <f t="shared" ref="F78:K78" si="30">F21</f>
        <v>74631.403914217241</v>
      </c>
      <c r="G78" s="62">
        <f t="shared" si="30"/>
        <v>22688.883339393677</v>
      </c>
      <c r="H78" s="62">
        <f t="shared" si="30"/>
        <v>78177.370919385547</v>
      </c>
      <c r="I78" s="62">
        <f t="shared" si="30"/>
        <v>94412.539398608074</v>
      </c>
      <c r="J78" s="62">
        <f t="shared" si="30"/>
        <v>150783.04419474828</v>
      </c>
      <c r="K78" s="62">
        <f t="shared" si="30"/>
        <v>118601.655061221</v>
      </c>
    </row>
    <row r="79" spans="2:16384" x14ac:dyDescent="0.45">
      <c r="B79" s="55"/>
      <c r="C79" s="62" t="s">
        <v>38</v>
      </c>
      <c r="D79" s="62"/>
      <c r="E79" s="62"/>
      <c r="F79" s="62">
        <f t="shared" ref="F79:K79" si="31">F31</f>
        <v>0</v>
      </c>
      <c r="G79" s="62">
        <f t="shared" si="31"/>
        <v>0.92328395552216536</v>
      </c>
      <c r="H79" s="62">
        <f t="shared" si="31"/>
        <v>1.1639683193421884</v>
      </c>
      <c r="I79" s="62">
        <f t="shared" si="31"/>
        <v>1.3820975965056561</v>
      </c>
      <c r="J79" s="62">
        <f t="shared" si="31"/>
        <v>1.333837089505725</v>
      </c>
      <c r="K79" s="62">
        <f t="shared" si="31"/>
        <v>1.2841690618020811</v>
      </c>
    </row>
    <row r="80" spans="2:16384" x14ac:dyDescent="0.45">
      <c r="B80" s="55"/>
      <c r="C80" s="62" t="s">
        <v>59</v>
      </c>
      <c r="D80" s="62"/>
      <c r="E80" s="62"/>
      <c r="F80" s="62">
        <f t="shared" ref="F80:K80" si="32">-F41</f>
        <v>-8718.3779872818559</v>
      </c>
      <c r="G80" s="62">
        <f t="shared" si="32"/>
        <v>-11406.695999780211</v>
      </c>
      <c r="H80" s="62">
        <f t="shared" si="32"/>
        <v>-11890.990604347642</v>
      </c>
      <c r="I80" s="62">
        <f t="shared" si="32"/>
        <v>-14675.474429999356</v>
      </c>
      <c r="J80" s="62">
        <f t="shared" si="32"/>
        <v>-18226.424307663492</v>
      </c>
      <c r="K80" s="62">
        <f t="shared" si="32"/>
        <v>-24213.979780276299</v>
      </c>
    </row>
    <row r="81" spans="2:11" x14ac:dyDescent="0.45">
      <c r="B81" s="55"/>
      <c r="C81" s="62" t="s">
        <v>56</v>
      </c>
      <c r="D81" s="62"/>
      <c r="E81" s="62"/>
      <c r="F81" s="62">
        <f t="shared" ref="F81:K81" si="33">-F26</f>
        <v>-358.07978794635596</v>
      </c>
      <c r="G81" s="62">
        <f t="shared" si="33"/>
        <v>-111.39161429802313</v>
      </c>
      <c r="H81" s="62">
        <f t="shared" si="33"/>
        <v>-390.88685459692778</v>
      </c>
      <c r="I81" s="62">
        <f t="shared" si="33"/>
        <v>-472.06269699304039</v>
      </c>
      <c r="J81" s="62">
        <f t="shared" si="33"/>
        <v>-753.91522097374138</v>
      </c>
      <c r="K81" s="62">
        <f t="shared" si="33"/>
        <v>-593.00827530610502</v>
      </c>
    </row>
    <row r="82" spans="2:11" x14ac:dyDescent="0.45">
      <c r="B82" s="55"/>
      <c r="C82" s="62" t="s">
        <v>57</v>
      </c>
      <c r="D82" s="62"/>
      <c r="E82" s="62"/>
      <c r="F82" s="62">
        <f t="shared" ref="F82:K82" si="34">F36</f>
        <v>0</v>
      </c>
      <c r="G82" s="62">
        <f t="shared" si="34"/>
        <v>0</v>
      </c>
      <c r="H82" s="62">
        <f t="shared" si="34"/>
        <v>0</v>
      </c>
      <c r="I82" s="62">
        <f t="shared" si="34"/>
        <v>0</v>
      </c>
      <c r="J82" s="62">
        <f t="shared" si="34"/>
        <v>0</v>
      </c>
      <c r="K82" s="62">
        <f t="shared" si="34"/>
        <v>0</v>
      </c>
    </row>
    <row r="83" spans="2:11" x14ac:dyDescent="0.45">
      <c r="B83" s="55"/>
      <c r="C83" s="62" t="s">
        <v>58</v>
      </c>
      <c r="D83" s="62"/>
      <c r="E83" s="62">
        <f>E8</f>
        <v>218029.78127999936</v>
      </c>
      <c r="F83" s="62">
        <f t="shared" ref="F83:K83" si="35">SUM(F77:F82)</f>
        <v>283584.72741898842</v>
      </c>
      <c r="G83" s="62">
        <f t="shared" si="35"/>
        <v>294756.44642825937</v>
      </c>
      <c r="H83" s="62">
        <f t="shared" si="35"/>
        <v>360653.10385701974</v>
      </c>
      <c r="I83" s="62">
        <f t="shared" si="35"/>
        <v>439919.48822623189</v>
      </c>
      <c r="J83" s="62">
        <f t="shared" si="35"/>
        <v>571723.5267294324</v>
      </c>
      <c r="K83" s="62">
        <f t="shared" si="35"/>
        <v>665519.4779041328</v>
      </c>
    </row>
    <row r="84" spans="2:11" s="1" customFormat="1" x14ac:dyDescent="0.45">
      <c r="B84" s="55"/>
      <c r="C84" s="62" t="s">
        <v>225</v>
      </c>
      <c r="D84" s="62"/>
      <c r="E84" s="62"/>
      <c r="F84" s="67">
        <f>-F80/F77</f>
        <v>3.9987096882354314E-2</v>
      </c>
      <c r="G84" s="67">
        <f>-G80/G77</f>
        <v>4.0223238055154993E-2</v>
      </c>
      <c r="H84" s="67">
        <f t="shared" ref="H84:K84" si="36">-H80/H77</f>
        <v>4.0341749089588728E-2</v>
      </c>
      <c r="I84" s="67">
        <f t="shared" si="36"/>
        <v>4.0691385359094043E-2</v>
      </c>
      <c r="J84" s="67">
        <f t="shared" si="36"/>
        <v>4.1431272756642275E-2</v>
      </c>
      <c r="K84" s="67">
        <f t="shared" si="36"/>
        <v>4.2352603396948435E-2</v>
      </c>
    </row>
    <row r="85" spans="2:11" x14ac:dyDescent="0.45"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2:11" ht="18" x14ac:dyDescent="0.55000000000000004">
      <c r="B86" s="35" t="s">
        <v>215</v>
      </c>
      <c r="C86" s="55"/>
      <c r="D86" s="55"/>
      <c r="E86" s="30">
        <v>2016</v>
      </c>
      <c r="F86" s="30">
        <f>E86+1</f>
        <v>2017</v>
      </c>
      <c r="G86" s="30">
        <f>F86+1</f>
        <v>2018</v>
      </c>
      <c r="H86" s="30">
        <f t="shared" ref="H86" si="37">G86+1</f>
        <v>2019</v>
      </c>
      <c r="I86" s="30">
        <f t="shared" ref="I86" si="38">H86+1</f>
        <v>2020</v>
      </c>
      <c r="J86" s="30">
        <f t="shared" ref="J86" si="39">I86+1</f>
        <v>2021</v>
      </c>
      <c r="K86" s="30">
        <f t="shared" ref="K86" si="40">J86+1</f>
        <v>2022</v>
      </c>
    </row>
    <row r="87" spans="2:11" x14ac:dyDescent="0.45">
      <c r="B87" s="55"/>
      <c r="C87" s="62" t="s">
        <v>54</v>
      </c>
      <c r="D87" s="62"/>
      <c r="E87" s="62"/>
      <c r="F87" s="62">
        <f>E93</f>
        <v>32020.215491697654</v>
      </c>
      <c r="G87" s="62">
        <f t="shared" ref="G87:K87" si="41">F93</f>
        <v>44185.923427740396</v>
      </c>
      <c r="H87" s="62">
        <f t="shared" si="41"/>
        <v>51447.883887488351</v>
      </c>
      <c r="I87" s="62">
        <f t="shared" si="41"/>
        <v>66898.428586390117</v>
      </c>
      <c r="J87" s="62">
        <f t="shared" si="41"/>
        <v>57625.633965877998</v>
      </c>
      <c r="K87" s="62">
        <f t="shared" si="41"/>
        <v>44821.957104335226</v>
      </c>
    </row>
    <row r="88" spans="2:11" x14ac:dyDescent="0.45">
      <c r="B88" s="55"/>
      <c r="C88" s="62" t="s">
        <v>216</v>
      </c>
      <c r="D88" s="62"/>
      <c r="E88" s="63"/>
      <c r="F88" s="62">
        <f t="shared" ref="F88:K88" si="42">F22</f>
        <v>21252.563890343492</v>
      </c>
      <c r="G88" s="62">
        <f t="shared" si="42"/>
        <v>20221.342870105698</v>
      </c>
      <c r="H88" s="62">
        <f t="shared" si="42"/>
        <v>31834.205371412158</v>
      </c>
      <c r="I88" s="62">
        <f t="shared" si="42"/>
        <v>12151.662603484141</v>
      </c>
      <c r="J88" s="62">
        <f t="shared" si="42"/>
        <v>9122.9424729848961</v>
      </c>
      <c r="K88" s="62">
        <f t="shared" si="42"/>
        <v>11268.898445665996</v>
      </c>
    </row>
    <row r="89" spans="2:11" x14ac:dyDescent="0.45">
      <c r="B89" s="55"/>
      <c r="C89" s="62" t="s">
        <v>38</v>
      </c>
      <c r="D89" s="62"/>
      <c r="E89" s="62"/>
      <c r="F89" s="62">
        <f t="shared" ref="F89:K89" si="43">F32</f>
        <v>2.2607092813914567</v>
      </c>
      <c r="G89" s="62">
        <f t="shared" si="43"/>
        <v>5.6361429719822249</v>
      </c>
      <c r="H89" s="62">
        <f t="shared" si="43"/>
        <v>56.793214649078756</v>
      </c>
      <c r="I89" s="62">
        <f t="shared" si="43"/>
        <v>116.65731282929735</v>
      </c>
      <c r="J89" s="62">
        <f t="shared" si="43"/>
        <v>84.076285310923907</v>
      </c>
      <c r="K89" s="62">
        <f t="shared" si="43"/>
        <v>50.939454378207714</v>
      </c>
    </row>
    <row r="90" spans="2:11" x14ac:dyDescent="0.45">
      <c r="B90" s="55"/>
      <c r="C90" s="62" t="s">
        <v>59</v>
      </c>
      <c r="D90" s="62"/>
      <c r="E90" s="62"/>
      <c r="F90" s="62">
        <f t="shared" ref="F90:K90" si="44">-F42</f>
        <v>-8994.2917552121016</v>
      </c>
      <c r="G90" s="62">
        <f t="shared" si="44"/>
        <v>-12883.092178719062</v>
      </c>
      <c r="H90" s="62">
        <f t="shared" si="44"/>
        <v>-16297.708812668399</v>
      </c>
      <c r="I90" s="62">
        <f t="shared" si="44"/>
        <v>-21487.909284102443</v>
      </c>
      <c r="J90" s="62">
        <f t="shared" si="44"/>
        <v>-21972.713631856113</v>
      </c>
      <c r="K90" s="62">
        <f t="shared" si="44"/>
        <v>-19239.003456517097</v>
      </c>
    </row>
    <row r="91" spans="2:11" x14ac:dyDescent="0.45">
      <c r="B91" s="55"/>
      <c r="C91" s="62" t="s">
        <v>56</v>
      </c>
      <c r="D91" s="62"/>
      <c r="E91" s="62"/>
      <c r="F91" s="62">
        <f t="shared" ref="F91:K91" si="45">-F27</f>
        <v>-94.824908370044056</v>
      </c>
      <c r="G91" s="62">
        <f t="shared" si="45"/>
        <v>-81.926374610666443</v>
      </c>
      <c r="H91" s="62">
        <f t="shared" si="45"/>
        <v>-142.74507449108197</v>
      </c>
      <c r="I91" s="62">
        <f t="shared" si="45"/>
        <v>-53.20525272311788</v>
      </c>
      <c r="J91" s="62">
        <f t="shared" si="45"/>
        <v>-37.981987982469725</v>
      </c>
      <c r="K91" s="62">
        <f t="shared" si="45"/>
        <v>-88.632962910660012</v>
      </c>
    </row>
    <row r="92" spans="2:11" x14ac:dyDescent="0.45">
      <c r="B92" s="55"/>
      <c r="C92" s="62" t="s">
        <v>57</v>
      </c>
      <c r="D92" s="62"/>
      <c r="E92" s="62"/>
      <c r="F92" s="62">
        <f t="shared" ref="F92:K92" si="46">F37</f>
        <v>0</v>
      </c>
      <c r="G92" s="62">
        <f t="shared" si="46"/>
        <v>0</v>
      </c>
      <c r="H92" s="62">
        <f t="shared" si="46"/>
        <v>0</v>
      </c>
      <c r="I92" s="62">
        <f t="shared" si="46"/>
        <v>0</v>
      </c>
      <c r="J92" s="62">
        <f t="shared" si="46"/>
        <v>0</v>
      </c>
      <c r="K92" s="62">
        <f t="shared" si="46"/>
        <v>0</v>
      </c>
    </row>
    <row r="93" spans="2:11" x14ac:dyDescent="0.45">
      <c r="B93" s="55"/>
      <c r="C93" s="62" t="s">
        <v>58</v>
      </c>
      <c r="D93" s="62"/>
      <c r="E93" s="62">
        <f>E9</f>
        <v>32020.215491697654</v>
      </c>
      <c r="F93" s="62">
        <f t="shared" ref="F93:K93" si="47">SUM(F87:F92)</f>
        <v>44185.923427740396</v>
      </c>
      <c r="G93" s="62">
        <f t="shared" si="47"/>
        <v>51447.883887488351</v>
      </c>
      <c r="H93" s="62">
        <f t="shared" si="47"/>
        <v>66898.428586390117</v>
      </c>
      <c r="I93" s="62">
        <f t="shared" si="47"/>
        <v>57625.633965877998</v>
      </c>
      <c r="J93" s="62">
        <f t="shared" si="47"/>
        <v>44821.957104335226</v>
      </c>
      <c r="K93" s="62">
        <f t="shared" si="47"/>
        <v>36814.15858495167</v>
      </c>
    </row>
    <row r="94" spans="2:11" s="1" customFormat="1" x14ac:dyDescent="0.45">
      <c r="B94" s="55"/>
      <c r="C94" s="62" t="s">
        <v>226</v>
      </c>
      <c r="D94" s="62"/>
      <c r="E94" s="62"/>
      <c r="F94" s="67">
        <f>-F90/F87</f>
        <v>0.28089416692227392</v>
      </c>
      <c r="G94" s="67">
        <f>-G90/G87</f>
        <v>0.29156552990880619</v>
      </c>
      <c r="H94" s="67">
        <f t="shared" ref="H94:K94" si="48">-H90/H87</f>
        <v>0.31678093599165214</v>
      </c>
      <c r="I94" s="67">
        <f t="shared" si="48"/>
        <v>0.32120200336774374</v>
      </c>
      <c r="J94" s="67">
        <f t="shared" si="48"/>
        <v>0.38130103080283451</v>
      </c>
      <c r="K94" s="67">
        <f t="shared" si="48"/>
        <v>0.42923166901733262</v>
      </c>
    </row>
    <row r="95" spans="2:11" s="1" customFormat="1" x14ac:dyDescent="0.45">
      <c r="B95" s="55"/>
      <c r="C95" s="62"/>
      <c r="D95" s="62"/>
      <c r="E95" s="62"/>
      <c r="F95" s="62"/>
      <c r="G95" s="62"/>
      <c r="H95" s="62"/>
      <c r="I95" s="62"/>
      <c r="J95" s="62"/>
      <c r="K95" s="62"/>
    </row>
    <row r="96" spans="2:11" ht="18" x14ac:dyDescent="0.55000000000000004">
      <c r="B96" s="35" t="s">
        <v>60</v>
      </c>
      <c r="C96" s="61"/>
      <c r="D96" s="61"/>
      <c r="E96" s="30">
        <v>2016</v>
      </c>
      <c r="F96" s="30">
        <f>E96+1</f>
        <v>2017</v>
      </c>
      <c r="G96" s="30">
        <f>F96+1</f>
        <v>2018</v>
      </c>
      <c r="H96" s="30">
        <f t="shared" ref="H96" si="49">G96+1</f>
        <v>2019</v>
      </c>
      <c r="I96" s="30">
        <f t="shared" ref="I96" si="50">H96+1</f>
        <v>2020</v>
      </c>
      <c r="J96" s="30">
        <f t="shared" ref="J96" si="51">I96+1</f>
        <v>2021</v>
      </c>
      <c r="K96" s="30">
        <f t="shared" ref="K96" si="52">J96+1</f>
        <v>2022</v>
      </c>
    </row>
    <row r="97" spans="2:16384" x14ac:dyDescent="0.45">
      <c r="B97" s="61"/>
      <c r="C97" s="62" t="s">
        <v>54</v>
      </c>
      <c r="D97" s="62"/>
      <c r="E97" s="62"/>
      <c r="F97" s="62">
        <f>SUM(F57,F67,F77,F87,)</f>
        <v>1107225.2950594416</v>
      </c>
      <c r="G97" s="62">
        <f t="shared" ref="G97:K97" si="53">SUM(G57,G67,G77,G87,)</f>
        <v>1244584.2486338832</v>
      </c>
      <c r="H97" s="62">
        <f t="shared" si="53"/>
        <v>1388202.5591252826</v>
      </c>
      <c r="I97" s="62">
        <f t="shared" si="53"/>
        <v>1743808.3315440107</v>
      </c>
      <c r="J97" s="62">
        <f t="shared" si="53"/>
        <v>2005770.7663561055</v>
      </c>
      <c r="K97" s="62">
        <f t="shared" si="53"/>
        <v>2155645.6106663859</v>
      </c>
    </row>
    <row r="98" spans="2:16384" x14ac:dyDescent="0.45">
      <c r="B98" s="61"/>
      <c r="C98" s="62" t="s">
        <v>216</v>
      </c>
      <c r="D98" s="62"/>
      <c r="E98" s="63"/>
      <c r="F98" s="62">
        <f>SUM(F58,F68,F78,F88,)</f>
        <v>192990.90954956374</v>
      </c>
      <c r="G98" s="62">
        <f t="shared" ref="G98:K99" si="54">SUM(G58,G68,G78,G88,)</f>
        <v>209141.3674902629</v>
      </c>
      <c r="H98" s="62">
        <f t="shared" si="54"/>
        <v>417166.58628484566</v>
      </c>
      <c r="I98" s="62">
        <f t="shared" si="54"/>
        <v>340938.34589589719</v>
      </c>
      <c r="J98" s="62">
        <f t="shared" si="54"/>
        <v>240647.37450341909</v>
      </c>
      <c r="K98" s="62">
        <f t="shared" si="54"/>
        <v>267602.69608317321</v>
      </c>
    </row>
    <row r="99" spans="2:16384" x14ac:dyDescent="0.45">
      <c r="B99" s="61"/>
      <c r="C99" s="62" t="s">
        <v>38</v>
      </c>
      <c r="D99" s="62"/>
      <c r="E99" s="62"/>
      <c r="F99" s="62">
        <f>SUM(F59,F69,F79,F89,)</f>
        <v>756.56382968205696</v>
      </c>
      <c r="G99" s="62">
        <f t="shared" si="54"/>
        <v>803.71815283335616</v>
      </c>
      <c r="H99" s="62">
        <f t="shared" si="54"/>
        <v>1233.7362030309814</v>
      </c>
      <c r="I99" s="62">
        <f t="shared" si="54"/>
        <v>1812.7926657264195</v>
      </c>
      <c r="J99" s="62">
        <f t="shared" si="54"/>
        <v>1928.6255716970338</v>
      </c>
      <c r="K99" s="62">
        <f t="shared" si="54"/>
        <v>1878.8521597331235</v>
      </c>
    </row>
    <row r="100" spans="2:16384" x14ac:dyDescent="0.45">
      <c r="B100" s="61"/>
      <c r="C100" s="62" t="s">
        <v>59</v>
      </c>
      <c r="D100" s="62"/>
      <c r="E100" s="62"/>
      <c r="F100" s="62">
        <f t="shared" ref="F100:K100" si="55">SUM(F60,F70,F80,F90,)</f>
        <v>-45088.083012726369</v>
      </c>
      <c r="G100" s="62">
        <f t="shared" si="55"/>
        <v>-52312.337159410497</v>
      </c>
      <c r="H100" s="62">
        <f t="shared" si="55"/>
        <v>-60725.143090090438</v>
      </c>
      <c r="I100" s="62">
        <f t="shared" si="55"/>
        <v>-79091.565080343964</v>
      </c>
      <c r="J100" s="62">
        <f t="shared" si="55"/>
        <v>-91505.551616700672</v>
      </c>
      <c r="K100" s="62">
        <f t="shared" si="55"/>
        <v>-97656.335698238923</v>
      </c>
      <c r="N100" s="55"/>
      <c r="O100" s="55"/>
      <c r="P100" s="55"/>
      <c r="Q100" s="55"/>
      <c r="R100" s="55"/>
      <c r="S100" s="55"/>
      <c r="T100" s="55"/>
      <c r="U100" s="55"/>
    </row>
    <row r="101" spans="2:16384" x14ac:dyDescent="0.45">
      <c r="B101" s="61"/>
      <c r="C101" s="62" t="s">
        <v>56</v>
      </c>
      <c r="D101" s="63"/>
      <c r="E101" s="62"/>
      <c r="F101" s="62">
        <f t="shared" ref="F101:K101" si="56">SUM(F61,F71,F81,F91,)</f>
        <v>-938.43940504141506</v>
      </c>
      <c r="G101" s="62">
        <f t="shared" si="56"/>
        <v>-14014.437992286585</v>
      </c>
      <c r="H101" s="62">
        <f t="shared" si="56"/>
        <v>-2069.4069790582498</v>
      </c>
      <c r="I101" s="62">
        <f t="shared" si="56"/>
        <v>-1697.1386691851833</v>
      </c>
      <c r="J101" s="62">
        <f t="shared" si="56"/>
        <v>-1195.6041481346408</v>
      </c>
      <c r="K101" s="62">
        <f t="shared" si="56"/>
        <v>-4136.2782046173088</v>
      </c>
    </row>
    <row r="102" spans="2:16384" x14ac:dyDescent="0.45">
      <c r="B102" s="61"/>
      <c r="C102" s="62" t="s">
        <v>57</v>
      </c>
      <c r="D102" s="62"/>
      <c r="E102" s="62"/>
      <c r="F102" s="62">
        <f t="shared" ref="F102:K102" si="57">SUM(F62,F72,F82,F92,)</f>
        <v>-10361.997387036216</v>
      </c>
      <c r="G102" s="62">
        <f t="shared" si="57"/>
        <v>0</v>
      </c>
      <c r="H102" s="62">
        <f t="shared" si="57"/>
        <v>0</v>
      </c>
      <c r="I102" s="62">
        <f t="shared" si="57"/>
        <v>0</v>
      </c>
      <c r="J102" s="62">
        <f t="shared" si="57"/>
        <v>0</v>
      </c>
      <c r="K102" s="62">
        <f t="shared" si="57"/>
        <v>0</v>
      </c>
    </row>
    <row r="103" spans="2:16384" x14ac:dyDescent="0.45">
      <c r="B103" s="60"/>
      <c r="C103" s="62" t="s">
        <v>58</v>
      </c>
      <c r="D103" s="62"/>
      <c r="E103" s="62"/>
      <c r="F103" s="62">
        <f>SUM(F63,F73,F83,F93)</f>
        <v>1244584.2486338832</v>
      </c>
      <c r="G103" s="62">
        <f t="shared" ref="G103:K103" si="58">SUM(G63,G73,G83,G93)</f>
        <v>1388202.5591252826</v>
      </c>
      <c r="H103" s="62">
        <f t="shared" si="58"/>
        <v>1743808.3315440107</v>
      </c>
      <c r="I103" s="62">
        <f t="shared" si="58"/>
        <v>2005770.7663561055</v>
      </c>
      <c r="J103" s="62">
        <f t="shared" si="58"/>
        <v>2155645.6106663859</v>
      </c>
      <c r="K103" s="62">
        <f t="shared" si="58"/>
        <v>2323334.5450064368</v>
      </c>
    </row>
    <row r="104" spans="2:16384" x14ac:dyDescent="0.45">
      <c r="B104" s="60"/>
      <c r="C104" s="62"/>
      <c r="D104" s="62"/>
      <c r="E104" s="62"/>
      <c r="F104" s="62"/>
      <c r="G104" s="62"/>
      <c r="H104" s="62"/>
      <c r="I104" s="62"/>
      <c r="J104" s="62"/>
      <c r="K104" s="62"/>
    </row>
    <row r="105" spans="2:16384" ht="18" x14ac:dyDescent="0.55000000000000004">
      <c r="B105" s="35" t="s">
        <v>61</v>
      </c>
      <c r="C105" s="61"/>
      <c r="D105" s="61"/>
      <c r="E105" s="30">
        <v>2016</v>
      </c>
      <c r="F105" s="30">
        <f>E105+1</f>
        <v>2017</v>
      </c>
      <c r="G105" s="30">
        <f>F105+1</f>
        <v>2018</v>
      </c>
      <c r="H105" s="30">
        <f t="shared" ref="H105" si="59">G105+1</f>
        <v>2019</v>
      </c>
      <c r="I105" s="30">
        <f t="shared" ref="I105" si="60">H105+1</f>
        <v>2020</v>
      </c>
      <c r="J105" s="30">
        <f t="shared" ref="J105" si="61">I105+1</f>
        <v>2021</v>
      </c>
      <c r="K105" s="30">
        <f t="shared" ref="K105" si="62">J105+1</f>
        <v>2022</v>
      </c>
    </row>
    <row r="106" spans="2:16384" x14ac:dyDescent="0.45">
      <c r="B106" s="60"/>
      <c r="C106" s="62" t="s">
        <v>62</v>
      </c>
      <c r="D106" s="62"/>
      <c r="E106" s="62"/>
      <c r="F106" s="62"/>
      <c r="G106" s="62">
        <f>F103</f>
        <v>1244584.2486338832</v>
      </c>
      <c r="H106" s="62">
        <f t="shared" ref="H106:K106" si="63">G103</f>
        <v>1388202.5591252826</v>
      </c>
      <c r="I106" s="62">
        <f t="shared" si="63"/>
        <v>1743808.3315440107</v>
      </c>
      <c r="J106" s="62">
        <f t="shared" si="63"/>
        <v>2005770.7663561055</v>
      </c>
      <c r="K106" s="62">
        <f t="shared" si="63"/>
        <v>2155645.6106663859</v>
      </c>
    </row>
    <row r="107" spans="2:16384" x14ac:dyDescent="0.45">
      <c r="B107" s="60"/>
      <c r="C107" s="62" t="s">
        <v>230</v>
      </c>
      <c r="D107" s="62"/>
      <c r="E107" s="63"/>
      <c r="F107" s="62"/>
      <c r="G107" s="62">
        <f>G58*RIVProp</f>
        <v>0</v>
      </c>
      <c r="H107" s="62">
        <f>H58*RIVProp</f>
        <v>0</v>
      </c>
      <c r="I107" s="62">
        <f>I58*RIVProp</f>
        <v>0</v>
      </c>
      <c r="J107" s="62">
        <f>J58*RIVProp</f>
        <v>0</v>
      </c>
      <c r="K107" s="62">
        <f>K58*RIVProp</f>
        <v>0</v>
      </c>
    </row>
    <row r="108" spans="2:16384" x14ac:dyDescent="0.45">
      <c r="B108" s="60"/>
      <c r="C108" s="62" t="s">
        <v>231</v>
      </c>
      <c r="D108" s="62"/>
      <c r="E108" s="62"/>
      <c r="F108" s="62"/>
      <c r="G108" s="62">
        <f>G68*RIVProp</f>
        <v>83115.57064038176</v>
      </c>
      <c r="H108" s="62">
        <f>H68*RIVProp</f>
        <v>153577.50499702399</v>
      </c>
      <c r="I108" s="62">
        <f>I68*RIVProp</f>
        <v>117187.07194690249</v>
      </c>
      <c r="J108" s="62">
        <f>J68*RIVProp</f>
        <v>40370.69391784296</v>
      </c>
      <c r="K108" s="62">
        <f>K68*RIVProp</f>
        <v>68866.07128814311</v>
      </c>
    </row>
    <row r="109" spans="2:16384" x14ac:dyDescent="0.45">
      <c r="B109" s="60"/>
      <c r="C109" s="62" t="s">
        <v>232</v>
      </c>
      <c r="D109" s="62"/>
      <c r="E109" s="62"/>
      <c r="F109" s="62"/>
      <c r="G109" s="62">
        <f>G78*RIVProp</f>
        <v>11344.441669696838</v>
      </c>
      <c r="H109" s="62">
        <f>H78*RIVProp</f>
        <v>39088.685459692773</v>
      </c>
      <c r="I109" s="62">
        <f>I78*RIVProp</f>
        <v>47206.269699304037</v>
      </c>
      <c r="J109" s="62">
        <f>J78*RIVProp</f>
        <v>75391.522097374138</v>
      </c>
      <c r="K109" s="62">
        <f>K78*RIVProp</f>
        <v>59300.827530610499</v>
      </c>
    </row>
    <row r="110" spans="2:16384" x14ac:dyDescent="0.45">
      <c r="B110" s="60"/>
      <c r="C110" s="62" t="s">
        <v>233</v>
      </c>
      <c r="D110" s="63"/>
      <c r="E110" s="62"/>
      <c r="F110" s="62"/>
      <c r="G110" s="62">
        <f>G88*RIVProp</f>
        <v>10110.671435052849</v>
      </c>
      <c r="H110" s="62">
        <f>H88*RIVProp</f>
        <v>15917.102685706079</v>
      </c>
      <c r="I110" s="62">
        <f>I88*RIVProp</f>
        <v>6075.8313017420705</v>
      </c>
      <c r="J110" s="62">
        <f>J88*RIVProp</f>
        <v>4561.471236492448</v>
      </c>
      <c r="K110" s="62">
        <f>K88*RIVProp</f>
        <v>5634.4492228329982</v>
      </c>
    </row>
    <row r="111" spans="2:16384" x14ac:dyDescent="0.45">
      <c r="B111" s="61"/>
      <c r="C111" s="62" t="s">
        <v>61</v>
      </c>
      <c r="D111" s="62"/>
      <c r="E111" s="62"/>
      <c r="F111" s="62">
        <f>F103</f>
        <v>1244584.2486338832</v>
      </c>
      <c r="G111" s="62">
        <f>SUM(G106:G110)</f>
        <v>1349154.9323790146</v>
      </c>
      <c r="H111" s="62">
        <f>SUM(H106:H110)</f>
        <v>1596785.8522677054</v>
      </c>
      <c r="I111" s="62">
        <f>SUM(I106:I110)</f>
        <v>1914277.5044919592</v>
      </c>
      <c r="J111" s="62">
        <f>SUM(J106:J110)</f>
        <v>2126094.4536078153</v>
      </c>
      <c r="K111" s="62">
        <f>SUM(K106:K110)</f>
        <v>2289446.9587079724</v>
      </c>
    </row>
    <row r="112" spans="2:16384" x14ac:dyDescent="0.45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  <c r="WVQ112" s="1"/>
      <c r="WVR112" s="1"/>
      <c r="WVS112" s="1"/>
      <c r="WVT112" s="1"/>
      <c r="WVU112" s="1"/>
      <c r="WVV112" s="1"/>
      <c r="WVW112" s="1"/>
      <c r="WVX112" s="1"/>
      <c r="WVY112" s="1"/>
      <c r="WVZ112" s="1"/>
      <c r="WWA112" s="1"/>
      <c r="WWB112" s="1"/>
      <c r="WWC112" s="1"/>
      <c r="WWD112" s="1"/>
      <c r="WWE112" s="1"/>
      <c r="WWF112" s="1"/>
      <c r="WWG112" s="1"/>
      <c r="WWH112" s="1"/>
      <c r="WWI112" s="1"/>
      <c r="WWJ112" s="1"/>
      <c r="WWK112" s="1"/>
      <c r="WWL112" s="1"/>
      <c r="WWM112" s="1"/>
      <c r="WWN112" s="1"/>
      <c r="WWO112" s="1"/>
      <c r="WWP112" s="1"/>
      <c r="WWQ112" s="1"/>
      <c r="WWR112" s="1"/>
      <c r="WWS112" s="1"/>
      <c r="WWT112" s="1"/>
      <c r="WWU112" s="1"/>
      <c r="WWV112" s="1"/>
      <c r="WWW112" s="1"/>
      <c r="WWX112" s="1"/>
      <c r="WWY112" s="1"/>
      <c r="WWZ112" s="1"/>
      <c r="WXA112" s="1"/>
      <c r="WXB112" s="1"/>
      <c r="WXC112" s="1"/>
      <c r="WXD112" s="1"/>
      <c r="WXE112" s="1"/>
      <c r="WXF112" s="1"/>
      <c r="WXG112" s="1"/>
      <c r="WXH112" s="1"/>
      <c r="WXI112" s="1"/>
      <c r="WXJ112" s="1"/>
      <c r="WXK112" s="1"/>
      <c r="WXL112" s="1"/>
      <c r="WXM112" s="1"/>
      <c r="WXN112" s="1"/>
      <c r="WXO112" s="1"/>
      <c r="WXP112" s="1"/>
      <c r="WXQ112" s="1"/>
      <c r="WXR112" s="1"/>
      <c r="WXS112" s="1"/>
      <c r="WXT112" s="1"/>
      <c r="WXU112" s="1"/>
      <c r="WXV112" s="1"/>
      <c r="WXW112" s="1"/>
      <c r="WXX112" s="1"/>
      <c r="WXY112" s="1"/>
      <c r="WXZ112" s="1"/>
      <c r="WYA112" s="1"/>
      <c r="WYB112" s="1"/>
      <c r="WYC112" s="1"/>
      <c r="WYD112" s="1"/>
      <c r="WYE112" s="1"/>
      <c r="WYF112" s="1"/>
      <c r="WYG112" s="1"/>
      <c r="WYH112" s="1"/>
      <c r="WYI112" s="1"/>
      <c r="WYJ112" s="1"/>
      <c r="WYK112" s="1"/>
      <c r="WYL112" s="1"/>
      <c r="WYM112" s="1"/>
      <c r="WYN112" s="1"/>
      <c r="WYO112" s="1"/>
      <c r="WYP112" s="1"/>
      <c r="WYQ112" s="1"/>
      <c r="WYR112" s="1"/>
      <c r="WYS112" s="1"/>
      <c r="WYT112" s="1"/>
      <c r="WYU112" s="1"/>
      <c r="WYV112" s="1"/>
      <c r="WYW112" s="1"/>
      <c r="WYX112" s="1"/>
      <c r="WYY112" s="1"/>
      <c r="WYZ112" s="1"/>
      <c r="WZA112" s="1"/>
      <c r="WZB112" s="1"/>
      <c r="WZC112" s="1"/>
      <c r="WZD112" s="1"/>
      <c r="WZE112" s="1"/>
      <c r="WZF112" s="1"/>
      <c r="WZG112" s="1"/>
      <c r="WZH112" s="1"/>
      <c r="WZI112" s="1"/>
      <c r="WZJ112" s="1"/>
      <c r="WZK112" s="1"/>
      <c r="WZL112" s="1"/>
      <c r="WZM112" s="1"/>
      <c r="WZN112" s="1"/>
      <c r="WZO112" s="1"/>
      <c r="WZP112" s="1"/>
      <c r="WZQ112" s="1"/>
      <c r="WZR112" s="1"/>
      <c r="WZS112" s="1"/>
      <c r="WZT112" s="1"/>
      <c r="WZU112" s="1"/>
      <c r="WZV112" s="1"/>
      <c r="WZW112" s="1"/>
      <c r="WZX112" s="1"/>
      <c r="WZY112" s="1"/>
      <c r="WZZ112" s="1"/>
      <c r="XAA112" s="1"/>
      <c r="XAB112" s="1"/>
      <c r="XAC112" s="1"/>
      <c r="XAD112" s="1"/>
      <c r="XAE112" s="1"/>
      <c r="XAF112" s="1"/>
      <c r="XAG112" s="1"/>
      <c r="XAH112" s="1"/>
      <c r="XAI112" s="1"/>
      <c r="XAJ112" s="1"/>
      <c r="XAK112" s="1"/>
      <c r="XAL112" s="1"/>
      <c r="XAM112" s="1"/>
      <c r="XAN112" s="1"/>
      <c r="XAO112" s="1"/>
      <c r="XAP112" s="1"/>
      <c r="XAQ112" s="1"/>
      <c r="XAR112" s="1"/>
      <c r="XAS112" s="1"/>
      <c r="XAT112" s="1"/>
      <c r="XAU112" s="1"/>
      <c r="XAV112" s="1"/>
      <c r="XAW112" s="1"/>
      <c r="XAX112" s="1"/>
      <c r="XAY112" s="1"/>
      <c r="XAZ112" s="1"/>
      <c r="XBA112" s="1"/>
      <c r="XBB112" s="1"/>
      <c r="XBC112" s="1"/>
      <c r="XBD112" s="1"/>
      <c r="XBE112" s="1"/>
      <c r="XBF112" s="1"/>
      <c r="XBG112" s="1"/>
      <c r="XBH112" s="1"/>
      <c r="XBI112" s="1"/>
      <c r="XBJ112" s="1"/>
      <c r="XBK112" s="1"/>
      <c r="XBL112" s="1"/>
      <c r="XBM112" s="1"/>
      <c r="XBN112" s="1"/>
      <c r="XBO112" s="1"/>
      <c r="XBP112" s="1"/>
      <c r="XBQ112" s="1"/>
      <c r="XBR112" s="1"/>
      <c r="XBS112" s="1"/>
      <c r="XBT112" s="1"/>
      <c r="XBU112" s="1"/>
      <c r="XBV112" s="1"/>
      <c r="XBW112" s="1"/>
      <c r="XBX112" s="1"/>
      <c r="XBY112" s="1"/>
      <c r="XBZ112" s="1"/>
      <c r="XCA112" s="1"/>
      <c r="XCB112" s="1"/>
      <c r="XCC112" s="1"/>
      <c r="XCD112" s="1"/>
      <c r="XCE112" s="1"/>
      <c r="XCF112" s="1"/>
      <c r="XCG112" s="1"/>
      <c r="XCH112" s="1"/>
      <c r="XCI112" s="1"/>
      <c r="XCJ112" s="1"/>
      <c r="XCK112" s="1"/>
      <c r="XCL112" s="1"/>
      <c r="XCM112" s="1"/>
      <c r="XCN112" s="1"/>
      <c r="XCO112" s="1"/>
      <c r="XCP112" s="1"/>
      <c r="XCQ112" s="1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  <c r="XEA112" s="1"/>
      <c r="XEB112" s="1"/>
      <c r="XEC112" s="1"/>
      <c r="XED112" s="1"/>
      <c r="XEE112" s="1"/>
      <c r="XEF112" s="1"/>
      <c r="XEG112" s="1"/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  <c r="XEU112" s="1"/>
      <c r="XEV112" s="1"/>
      <c r="XEW112" s="1"/>
      <c r="XEX112" s="1"/>
      <c r="XEY112" s="1"/>
      <c r="XEZ112" s="1"/>
      <c r="XFA112" s="1"/>
      <c r="XFB112" s="1"/>
      <c r="XFC112" s="1"/>
      <c r="XFD112" s="1"/>
    </row>
    <row r="113" spans="1:16384" ht="21" x14ac:dyDescent="0.65">
      <c r="A113" s="42" t="s">
        <v>65</v>
      </c>
      <c r="B113" s="1"/>
      <c r="C113" s="1"/>
      <c r="E113" s="1"/>
      <c r="F113" s="1"/>
      <c r="G113" s="1"/>
      <c r="H113" s="1"/>
      <c r="I113" s="1"/>
      <c r="J113" s="1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  <c r="XEU113" s="1"/>
      <c r="XEV113" s="1"/>
      <c r="XEW113" s="1"/>
      <c r="XEX113" s="1"/>
      <c r="XEY113" s="1"/>
      <c r="XEZ113" s="1"/>
      <c r="XFA113" s="1"/>
      <c r="XFB113" s="1"/>
      <c r="XFC113" s="1"/>
      <c r="XFD113" s="1"/>
    </row>
    <row r="114" spans="1:16384" ht="18" x14ac:dyDescent="0.55000000000000004">
      <c r="B114" s="35" t="s">
        <v>23</v>
      </c>
      <c r="C114" s="55"/>
      <c r="D114" s="55"/>
      <c r="E114" s="30">
        <v>2016</v>
      </c>
      <c r="F114" s="30">
        <f>E114+1</f>
        <v>2017</v>
      </c>
      <c r="G114" s="30">
        <f>F114+1</f>
        <v>2018</v>
      </c>
      <c r="H114" s="30">
        <f t="shared" ref="H114" si="64">G114+1</f>
        <v>2019</v>
      </c>
      <c r="I114" s="30">
        <f t="shared" ref="I114" si="65">H114+1</f>
        <v>2020</v>
      </c>
      <c r="J114" s="30">
        <f t="shared" ref="J114" si="66">I114+1</f>
        <v>2021</v>
      </c>
      <c r="K114" s="30">
        <f t="shared" ref="K114" si="67">J114+1</f>
        <v>2022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  <c r="WVQ114" s="1"/>
      <c r="WVR114" s="1"/>
      <c r="WVS114" s="1"/>
      <c r="WVT114" s="1"/>
      <c r="WVU114" s="1"/>
      <c r="WVV114" s="1"/>
      <c r="WVW114" s="1"/>
      <c r="WVX114" s="1"/>
      <c r="WVY114" s="1"/>
      <c r="WVZ114" s="1"/>
      <c r="WWA114" s="1"/>
      <c r="WWB114" s="1"/>
      <c r="WWC114" s="1"/>
      <c r="WWD114" s="1"/>
      <c r="WWE114" s="1"/>
      <c r="WWF114" s="1"/>
      <c r="WWG114" s="1"/>
      <c r="WWH114" s="1"/>
      <c r="WWI114" s="1"/>
      <c r="WWJ114" s="1"/>
      <c r="WWK114" s="1"/>
      <c r="WWL114" s="1"/>
      <c r="WWM114" s="1"/>
      <c r="WWN114" s="1"/>
      <c r="WWO114" s="1"/>
      <c r="WWP114" s="1"/>
      <c r="WWQ114" s="1"/>
      <c r="WWR114" s="1"/>
      <c r="WWS114" s="1"/>
      <c r="WWT114" s="1"/>
      <c r="WWU114" s="1"/>
      <c r="WWV114" s="1"/>
      <c r="WWW114" s="1"/>
      <c r="WWX114" s="1"/>
      <c r="WWY114" s="1"/>
      <c r="WWZ114" s="1"/>
      <c r="WXA114" s="1"/>
      <c r="WXB114" s="1"/>
      <c r="WXC114" s="1"/>
      <c r="WXD114" s="1"/>
      <c r="WXE114" s="1"/>
      <c r="WXF114" s="1"/>
      <c r="WXG114" s="1"/>
      <c r="WXH114" s="1"/>
      <c r="WXI114" s="1"/>
      <c r="WXJ114" s="1"/>
      <c r="WXK114" s="1"/>
      <c r="WXL114" s="1"/>
      <c r="WXM114" s="1"/>
      <c r="WXN114" s="1"/>
      <c r="WXO114" s="1"/>
      <c r="WXP114" s="1"/>
      <c r="WXQ114" s="1"/>
      <c r="WXR114" s="1"/>
      <c r="WXS114" s="1"/>
      <c r="WXT114" s="1"/>
      <c r="WXU114" s="1"/>
      <c r="WXV114" s="1"/>
      <c r="WXW114" s="1"/>
      <c r="WXX114" s="1"/>
      <c r="WXY114" s="1"/>
      <c r="WXZ114" s="1"/>
      <c r="WYA114" s="1"/>
      <c r="WYB114" s="1"/>
      <c r="WYC114" s="1"/>
      <c r="WYD114" s="1"/>
      <c r="WYE114" s="1"/>
      <c r="WYF114" s="1"/>
      <c r="WYG114" s="1"/>
      <c r="WYH114" s="1"/>
      <c r="WYI114" s="1"/>
      <c r="WYJ114" s="1"/>
      <c r="WYK114" s="1"/>
      <c r="WYL114" s="1"/>
      <c r="WYM114" s="1"/>
      <c r="WYN114" s="1"/>
      <c r="WYO114" s="1"/>
      <c r="WYP114" s="1"/>
      <c r="WYQ114" s="1"/>
      <c r="WYR114" s="1"/>
      <c r="WYS114" s="1"/>
      <c r="WYT114" s="1"/>
      <c r="WYU114" s="1"/>
      <c r="WYV114" s="1"/>
      <c r="WYW114" s="1"/>
      <c r="WYX114" s="1"/>
      <c r="WYY114" s="1"/>
      <c r="WYZ114" s="1"/>
      <c r="WZA114" s="1"/>
      <c r="WZB114" s="1"/>
      <c r="WZC114" s="1"/>
      <c r="WZD114" s="1"/>
      <c r="WZE114" s="1"/>
      <c r="WZF114" s="1"/>
      <c r="WZG114" s="1"/>
      <c r="WZH114" s="1"/>
      <c r="WZI114" s="1"/>
      <c r="WZJ114" s="1"/>
      <c r="WZK114" s="1"/>
      <c r="WZL114" s="1"/>
      <c r="WZM114" s="1"/>
      <c r="WZN114" s="1"/>
      <c r="WZO114" s="1"/>
      <c r="WZP114" s="1"/>
      <c r="WZQ114" s="1"/>
      <c r="WZR114" s="1"/>
      <c r="WZS114" s="1"/>
      <c r="WZT114" s="1"/>
      <c r="WZU114" s="1"/>
      <c r="WZV114" s="1"/>
      <c r="WZW114" s="1"/>
      <c r="WZX114" s="1"/>
      <c r="WZY114" s="1"/>
      <c r="WZZ114" s="1"/>
      <c r="XAA114" s="1"/>
      <c r="XAB114" s="1"/>
      <c r="XAC114" s="1"/>
      <c r="XAD114" s="1"/>
      <c r="XAE114" s="1"/>
      <c r="XAF114" s="1"/>
      <c r="XAG114" s="1"/>
      <c r="XAH114" s="1"/>
      <c r="XAI114" s="1"/>
      <c r="XAJ114" s="1"/>
      <c r="XAK114" s="1"/>
      <c r="XAL114" s="1"/>
      <c r="XAM114" s="1"/>
      <c r="XAN114" s="1"/>
      <c r="XAO114" s="1"/>
      <c r="XAP114" s="1"/>
      <c r="XAQ114" s="1"/>
      <c r="XAR114" s="1"/>
      <c r="XAS114" s="1"/>
      <c r="XAT114" s="1"/>
      <c r="XAU114" s="1"/>
      <c r="XAV114" s="1"/>
      <c r="XAW114" s="1"/>
      <c r="XAX114" s="1"/>
      <c r="XAY114" s="1"/>
      <c r="XAZ114" s="1"/>
      <c r="XBA114" s="1"/>
      <c r="XBB114" s="1"/>
      <c r="XBC114" s="1"/>
      <c r="XBD114" s="1"/>
      <c r="XBE114" s="1"/>
      <c r="XBF114" s="1"/>
      <c r="XBG114" s="1"/>
      <c r="XBH114" s="1"/>
      <c r="XBI114" s="1"/>
      <c r="XBJ114" s="1"/>
      <c r="XBK114" s="1"/>
      <c r="XBL114" s="1"/>
      <c r="XBM114" s="1"/>
      <c r="XBN114" s="1"/>
      <c r="XBO114" s="1"/>
      <c r="XBP114" s="1"/>
      <c r="XBQ114" s="1"/>
      <c r="XBR114" s="1"/>
      <c r="XBS114" s="1"/>
      <c r="XBT114" s="1"/>
      <c r="XBU114" s="1"/>
      <c r="XBV114" s="1"/>
      <c r="XBW114" s="1"/>
      <c r="XBX114" s="1"/>
      <c r="XBY114" s="1"/>
      <c r="XBZ114" s="1"/>
      <c r="XCA114" s="1"/>
      <c r="XCB114" s="1"/>
      <c r="XCC114" s="1"/>
      <c r="XCD114" s="1"/>
      <c r="XCE114" s="1"/>
      <c r="XCF114" s="1"/>
      <c r="XCG114" s="1"/>
      <c r="XCH114" s="1"/>
      <c r="XCI114" s="1"/>
      <c r="XCJ114" s="1"/>
      <c r="XCK114" s="1"/>
      <c r="XCL114" s="1"/>
      <c r="XCM114" s="1"/>
      <c r="XCN114" s="1"/>
      <c r="XCO114" s="1"/>
      <c r="XCP114" s="1"/>
      <c r="XCQ114" s="1"/>
      <c r="XCR114" s="1"/>
      <c r="XCS114" s="1"/>
      <c r="XCT114" s="1"/>
      <c r="XCU114" s="1"/>
      <c r="XCV114" s="1"/>
      <c r="XCW114" s="1"/>
      <c r="XCX114" s="1"/>
      <c r="XCY114" s="1"/>
      <c r="XCZ114" s="1"/>
      <c r="XDA114" s="1"/>
      <c r="XDB114" s="1"/>
      <c r="XDC114" s="1"/>
      <c r="XDD114" s="1"/>
      <c r="XDE114" s="1"/>
      <c r="XDF114" s="1"/>
      <c r="XDG114" s="1"/>
      <c r="XDH114" s="1"/>
      <c r="XDI114" s="1"/>
      <c r="XDJ114" s="1"/>
      <c r="XDK114" s="1"/>
      <c r="XDL114" s="1"/>
      <c r="XDM114" s="1"/>
      <c r="XDN114" s="1"/>
      <c r="XDO114" s="1"/>
      <c r="XDP114" s="1"/>
      <c r="XDQ114" s="1"/>
      <c r="XDR114" s="1"/>
      <c r="XDS114" s="1"/>
      <c r="XDT114" s="1"/>
      <c r="XDU114" s="1"/>
      <c r="XDV114" s="1"/>
      <c r="XDW114" s="1"/>
      <c r="XDX114" s="1"/>
      <c r="XDY114" s="1"/>
      <c r="XDZ114" s="1"/>
      <c r="XEA114" s="1"/>
      <c r="XEB114" s="1"/>
      <c r="XEC114" s="1"/>
      <c r="XED114" s="1"/>
      <c r="XEE114" s="1"/>
      <c r="XEF114" s="1"/>
      <c r="XEG114" s="1"/>
      <c r="XEH114" s="1"/>
      <c r="XEI114" s="1"/>
      <c r="XEJ114" s="1"/>
      <c r="XEK114" s="1"/>
      <c r="XEL114" s="1"/>
      <c r="XEM114" s="1"/>
      <c r="XEN114" s="1"/>
      <c r="XEO114" s="1"/>
      <c r="XEP114" s="1"/>
      <c r="XEQ114" s="1"/>
      <c r="XER114" s="1"/>
      <c r="XES114" s="1"/>
      <c r="XET114" s="1"/>
      <c r="XEU114" s="1"/>
      <c r="XEV114" s="1"/>
      <c r="XEW114" s="1"/>
      <c r="XEX114" s="1"/>
      <c r="XEY114" s="1"/>
      <c r="XEZ114" s="1"/>
      <c r="XFA114" s="1"/>
      <c r="XFB114" s="1"/>
      <c r="XFC114" s="1"/>
      <c r="XFD114" s="1"/>
    </row>
    <row r="115" spans="1:16384" x14ac:dyDescent="0.45">
      <c r="B115" s="55"/>
      <c r="C115" s="62" t="s">
        <v>54</v>
      </c>
      <c r="D115" s="62"/>
      <c r="E115" s="62"/>
      <c r="F115" s="62">
        <f>E119</f>
        <v>76319.640198870082</v>
      </c>
      <c r="G115" s="62">
        <f t="shared" ref="G115:K115" si="68">F119</f>
        <v>76288.243935921419</v>
      </c>
      <c r="H115" s="62">
        <f t="shared" si="68"/>
        <v>76258.089366912129</v>
      </c>
      <c r="I115" s="62">
        <f t="shared" si="68"/>
        <v>76229.107170969728</v>
      </c>
      <c r="J115" s="62">
        <f t="shared" si="68"/>
        <v>76201.232896585949</v>
      </c>
      <c r="K115" s="62">
        <f t="shared" si="68"/>
        <v>76174.406584128548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  <c r="WVQ115" s="1"/>
      <c r="WVR115" s="1"/>
      <c r="WVS115" s="1"/>
      <c r="WVT115" s="1"/>
      <c r="WVU115" s="1"/>
      <c r="WVV115" s="1"/>
      <c r="WVW115" s="1"/>
      <c r="WVX115" s="1"/>
      <c r="WVY115" s="1"/>
      <c r="WVZ115" s="1"/>
      <c r="WWA115" s="1"/>
      <c r="WWB115" s="1"/>
      <c r="WWC115" s="1"/>
      <c r="WWD115" s="1"/>
      <c r="WWE115" s="1"/>
      <c r="WWF115" s="1"/>
      <c r="WWG115" s="1"/>
      <c r="WWH115" s="1"/>
      <c r="WWI115" s="1"/>
      <c r="WWJ115" s="1"/>
      <c r="WWK115" s="1"/>
      <c r="WWL115" s="1"/>
      <c r="WWM115" s="1"/>
      <c r="WWN115" s="1"/>
      <c r="WWO115" s="1"/>
      <c r="WWP115" s="1"/>
      <c r="WWQ115" s="1"/>
      <c r="WWR115" s="1"/>
      <c r="WWS115" s="1"/>
      <c r="WWT115" s="1"/>
      <c r="WWU115" s="1"/>
      <c r="WWV115" s="1"/>
      <c r="WWW115" s="1"/>
      <c r="WWX115" s="1"/>
      <c r="WWY115" s="1"/>
      <c r="WWZ115" s="1"/>
      <c r="WXA115" s="1"/>
      <c r="WXB115" s="1"/>
      <c r="WXC115" s="1"/>
      <c r="WXD115" s="1"/>
      <c r="WXE115" s="1"/>
      <c r="WXF115" s="1"/>
      <c r="WXG115" s="1"/>
      <c r="WXH115" s="1"/>
      <c r="WXI115" s="1"/>
      <c r="WXJ115" s="1"/>
      <c r="WXK115" s="1"/>
      <c r="WXL115" s="1"/>
      <c r="WXM115" s="1"/>
      <c r="WXN115" s="1"/>
      <c r="WXO115" s="1"/>
      <c r="WXP115" s="1"/>
      <c r="WXQ115" s="1"/>
      <c r="WXR115" s="1"/>
      <c r="WXS115" s="1"/>
      <c r="WXT115" s="1"/>
      <c r="WXU115" s="1"/>
      <c r="WXV115" s="1"/>
      <c r="WXW115" s="1"/>
      <c r="WXX115" s="1"/>
      <c r="WXY115" s="1"/>
      <c r="WXZ115" s="1"/>
      <c r="WYA115" s="1"/>
      <c r="WYB115" s="1"/>
      <c r="WYC115" s="1"/>
      <c r="WYD115" s="1"/>
      <c r="WYE115" s="1"/>
      <c r="WYF115" s="1"/>
      <c r="WYG115" s="1"/>
      <c r="WYH115" s="1"/>
      <c r="WYI115" s="1"/>
      <c r="WYJ115" s="1"/>
      <c r="WYK115" s="1"/>
      <c r="WYL115" s="1"/>
      <c r="WYM115" s="1"/>
      <c r="WYN115" s="1"/>
      <c r="WYO115" s="1"/>
      <c r="WYP115" s="1"/>
      <c r="WYQ115" s="1"/>
      <c r="WYR115" s="1"/>
      <c r="WYS115" s="1"/>
      <c r="WYT115" s="1"/>
      <c r="WYU115" s="1"/>
      <c r="WYV115" s="1"/>
      <c r="WYW115" s="1"/>
      <c r="WYX115" s="1"/>
      <c r="WYY115" s="1"/>
      <c r="WYZ115" s="1"/>
      <c r="WZA115" s="1"/>
      <c r="WZB115" s="1"/>
      <c r="WZC115" s="1"/>
      <c r="WZD115" s="1"/>
      <c r="WZE115" s="1"/>
      <c r="WZF115" s="1"/>
      <c r="WZG115" s="1"/>
      <c r="WZH115" s="1"/>
      <c r="WZI115" s="1"/>
      <c r="WZJ115" s="1"/>
      <c r="WZK115" s="1"/>
      <c r="WZL115" s="1"/>
      <c r="WZM115" s="1"/>
      <c r="WZN115" s="1"/>
      <c r="WZO115" s="1"/>
      <c r="WZP115" s="1"/>
      <c r="WZQ115" s="1"/>
      <c r="WZR115" s="1"/>
      <c r="WZS115" s="1"/>
      <c r="WZT115" s="1"/>
      <c r="WZU115" s="1"/>
      <c r="WZV115" s="1"/>
      <c r="WZW115" s="1"/>
      <c r="WZX115" s="1"/>
      <c r="WZY115" s="1"/>
      <c r="WZZ115" s="1"/>
      <c r="XAA115" s="1"/>
      <c r="XAB115" s="1"/>
      <c r="XAC115" s="1"/>
      <c r="XAD115" s="1"/>
      <c r="XAE115" s="1"/>
      <c r="XAF115" s="1"/>
      <c r="XAG115" s="1"/>
      <c r="XAH115" s="1"/>
      <c r="XAI115" s="1"/>
      <c r="XAJ115" s="1"/>
      <c r="XAK115" s="1"/>
      <c r="XAL115" s="1"/>
      <c r="XAM115" s="1"/>
      <c r="XAN115" s="1"/>
      <c r="XAO115" s="1"/>
      <c r="XAP115" s="1"/>
      <c r="XAQ115" s="1"/>
      <c r="XAR115" s="1"/>
      <c r="XAS115" s="1"/>
      <c r="XAT115" s="1"/>
      <c r="XAU115" s="1"/>
      <c r="XAV115" s="1"/>
      <c r="XAW115" s="1"/>
      <c r="XAX115" s="1"/>
      <c r="XAY115" s="1"/>
      <c r="XAZ115" s="1"/>
      <c r="XBA115" s="1"/>
      <c r="XBB115" s="1"/>
      <c r="XBC115" s="1"/>
      <c r="XBD115" s="1"/>
      <c r="XBE115" s="1"/>
      <c r="XBF115" s="1"/>
      <c r="XBG115" s="1"/>
      <c r="XBH115" s="1"/>
      <c r="XBI115" s="1"/>
      <c r="XBJ115" s="1"/>
      <c r="XBK115" s="1"/>
      <c r="XBL115" s="1"/>
      <c r="XBM115" s="1"/>
      <c r="XBN115" s="1"/>
      <c r="XBO115" s="1"/>
      <c r="XBP115" s="1"/>
      <c r="XBQ115" s="1"/>
      <c r="XBR115" s="1"/>
      <c r="XBS115" s="1"/>
      <c r="XBT115" s="1"/>
      <c r="XBU115" s="1"/>
      <c r="XBV115" s="1"/>
      <c r="XBW115" s="1"/>
      <c r="XBX115" s="1"/>
      <c r="XBY115" s="1"/>
      <c r="XBZ115" s="1"/>
      <c r="XCA115" s="1"/>
      <c r="XCB115" s="1"/>
      <c r="XCC115" s="1"/>
      <c r="XCD115" s="1"/>
      <c r="XCE115" s="1"/>
      <c r="XCF115" s="1"/>
      <c r="XCG115" s="1"/>
      <c r="XCH115" s="1"/>
      <c r="XCI115" s="1"/>
      <c r="XCJ115" s="1"/>
      <c r="XCK115" s="1"/>
      <c r="XCL115" s="1"/>
      <c r="XCM115" s="1"/>
      <c r="XCN115" s="1"/>
      <c r="XCO115" s="1"/>
      <c r="XCP115" s="1"/>
      <c r="XCQ115" s="1"/>
      <c r="XCR115" s="1"/>
      <c r="XCS115" s="1"/>
      <c r="XCT115" s="1"/>
      <c r="XCU115" s="1"/>
      <c r="XCV115" s="1"/>
      <c r="XCW115" s="1"/>
      <c r="XCX115" s="1"/>
      <c r="XCY115" s="1"/>
      <c r="XCZ115" s="1"/>
      <c r="XDA115" s="1"/>
      <c r="XDB115" s="1"/>
      <c r="XDC115" s="1"/>
      <c r="XDD115" s="1"/>
      <c r="XDE115" s="1"/>
      <c r="XDF115" s="1"/>
      <c r="XDG115" s="1"/>
      <c r="XDH115" s="1"/>
      <c r="XDI115" s="1"/>
      <c r="XDJ115" s="1"/>
      <c r="XDK115" s="1"/>
      <c r="XDL115" s="1"/>
      <c r="XDM115" s="1"/>
      <c r="XDN115" s="1"/>
      <c r="XDO115" s="1"/>
      <c r="XDP115" s="1"/>
      <c r="XDQ115" s="1"/>
      <c r="XDR115" s="1"/>
      <c r="XDS115" s="1"/>
      <c r="XDT115" s="1"/>
      <c r="XDU115" s="1"/>
      <c r="XDV115" s="1"/>
      <c r="XDW115" s="1"/>
      <c r="XDX115" s="1"/>
      <c r="XDY115" s="1"/>
      <c r="XDZ115" s="1"/>
      <c r="XEA115" s="1"/>
      <c r="XEB115" s="1"/>
      <c r="XEC115" s="1"/>
      <c r="XED115" s="1"/>
      <c r="XEE115" s="1"/>
      <c r="XEF115" s="1"/>
      <c r="XEG115" s="1"/>
      <c r="XEH115" s="1"/>
      <c r="XEI115" s="1"/>
      <c r="XEJ115" s="1"/>
      <c r="XEK115" s="1"/>
      <c r="XEL115" s="1"/>
      <c r="XEM115" s="1"/>
      <c r="XEN115" s="1"/>
      <c r="XEO115" s="1"/>
      <c r="XEP115" s="1"/>
      <c r="XEQ115" s="1"/>
      <c r="XER115" s="1"/>
      <c r="XES115" s="1"/>
      <c r="XET115" s="1"/>
      <c r="XEU115" s="1"/>
      <c r="XEV115" s="1"/>
      <c r="XEW115" s="1"/>
      <c r="XEX115" s="1"/>
      <c r="XEY115" s="1"/>
      <c r="XEZ115" s="1"/>
      <c r="XFA115" s="1"/>
      <c r="XFB115" s="1"/>
      <c r="XFC115" s="1"/>
      <c r="XFD115" s="1"/>
    </row>
    <row r="116" spans="1:16384" x14ac:dyDescent="0.45">
      <c r="B116" s="55"/>
      <c r="C116" s="62" t="s">
        <v>216</v>
      </c>
      <c r="D116" s="62"/>
      <c r="E116" s="62"/>
      <c r="F116" s="62">
        <f t="shared" ref="F116:K116" si="69">F19</f>
        <v>0</v>
      </c>
      <c r="G116" s="62">
        <f t="shared" si="69"/>
        <v>0</v>
      </c>
      <c r="H116" s="62">
        <f t="shared" si="69"/>
        <v>0</v>
      </c>
      <c r="I116" s="62">
        <f t="shared" si="69"/>
        <v>0</v>
      </c>
      <c r="J116" s="62">
        <f t="shared" si="69"/>
        <v>0</v>
      </c>
      <c r="K116" s="62">
        <f t="shared" si="6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  <c r="XEU116" s="1"/>
      <c r="XEV116" s="1"/>
      <c r="XEW116" s="1"/>
      <c r="XEX116" s="1"/>
      <c r="XEY116" s="1"/>
      <c r="XEZ116" s="1"/>
      <c r="XFA116" s="1"/>
      <c r="XFB116" s="1"/>
      <c r="XFC116" s="1"/>
      <c r="XFD116" s="1"/>
    </row>
    <row r="117" spans="1:16384" s="1" customFormat="1" x14ac:dyDescent="0.45">
      <c r="B117" s="55"/>
      <c r="C117" s="62" t="s">
        <v>66</v>
      </c>
      <c r="D117" s="62"/>
      <c r="E117" s="62"/>
      <c r="F117" s="62">
        <f t="shared" ref="F117:K117" si="70">-F44</f>
        <v>-31.396262948662731</v>
      </c>
      <c r="G117" s="62">
        <f t="shared" si="70"/>
        <v>-30.154569009295788</v>
      </c>
      <c r="H117" s="62">
        <f t="shared" si="70"/>
        <v>-28.982195942404946</v>
      </c>
      <c r="I117" s="62">
        <f t="shared" si="70"/>
        <v>-27.87427438378457</v>
      </c>
      <c r="J117" s="62">
        <f t="shared" si="70"/>
        <v>-26.826312457397126</v>
      </c>
      <c r="K117" s="62">
        <f t="shared" si="70"/>
        <v>-25.834165470650905</v>
      </c>
    </row>
    <row r="118" spans="1:16384" x14ac:dyDescent="0.45">
      <c r="B118" s="55"/>
      <c r="C118" s="62" t="s">
        <v>56</v>
      </c>
      <c r="D118" s="62"/>
      <c r="E118" s="62"/>
      <c r="F118" s="62">
        <f t="shared" ref="F118:K118" si="71">-F49</f>
        <v>0</v>
      </c>
      <c r="G118" s="62">
        <f t="shared" si="71"/>
        <v>0</v>
      </c>
      <c r="H118" s="62">
        <f t="shared" si="71"/>
        <v>0</v>
      </c>
      <c r="I118" s="62">
        <f t="shared" si="71"/>
        <v>0</v>
      </c>
      <c r="J118" s="62">
        <f t="shared" si="71"/>
        <v>0</v>
      </c>
      <c r="K118" s="62">
        <f t="shared" si="71"/>
        <v>0</v>
      </c>
    </row>
    <row r="119" spans="1:16384" x14ac:dyDescent="0.45">
      <c r="B119" s="59"/>
      <c r="C119" s="62" t="s">
        <v>58</v>
      </c>
      <c r="D119" s="62"/>
      <c r="E119" s="62">
        <f>E10</f>
        <v>76319.640198870082</v>
      </c>
      <c r="F119" s="62">
        <f t="shared" ref="F119:K119" si="72">SUM(F115:F118)</f>
        <v>76288.243935921419</v>
      </c>
      <c r="G119" s="62">
        <f t="shared" si="72"/>
        <v>76258.089366912129</v>
      </c>
      <c r="H119" s="62">
        <f t="shared" si="72"/>
        <v>76229.107170969728</v>
      </c>
      <c r="I119" s="62">
        <f t="shared" si="72"/>
        <v>76201.232896585949</v>
      </c>
      <c r="J119" s="62">
        <f t="shared" si="72"/>
        <v>76174.406584128548</v>
      </c>
      <c r="K119" s="62">
        <f t="shared" si="72"/>
        <v>76148.572418657903</v>
      </c>
    </row>
    <row r="120" spans="1:16384" s="1" customFormat="1" x14ac:dyDescent="0.45">
      <c r="B120" s="59"/>
      <c r="C120" s="62" t="s">
        <v>160</v>
      </c>
      <c r="D120" s="62"/>
      <c r="E120" s="62"/>
      <c r="F120" s="67">
        <f>-F117/F115</f>
        <v>4.1137855035547658E-4</v>
      </c>
      <c r="G120" s="67">
        <f t="shared" ref="G120:K120" si="73">-G117/G115</f>
        <v>3.9527150519579697E-4</v>
      </c>
      <c r="H120" s="67">
        <f t="shared" si="73"/>
        <v>3.8005405305866641E-4</v>
      </c>
      <c r="I120" s="67">
        <f t="shared" si="73"/>
        <v>3.6566444785017641E-4</v>
      </c>
      <c r="J120" s="67">
        <f t="shared" si="73"/>
        <v>3.5204564857636351E-4</v>
      </c>
      <c r="K120" s="67">
        <f t="shared" si="73"/>
        <v>3.3914495207939865E-4</v>
      </c>
    </row>
    <row r="121" spans="1:16384" x14ac:dyDescent="0.45">
      <c r="B121" s="55"/>
      <c r="C121" s="55"/>
      <c r="D121" s="55"/>
      <c r="E121" s="55"/>
      <c r="F121" s="55"/>
      <c r="G121" s="55"/>
      <c r="H121" s="55"/>
      <c r="I121" s="55"/>
      <c r="J121" s="55"/>
      <c r="K121" s="55"/>
    </row>
    <row r="122" spans="1:16384" ht="18" x14ac:dyDescent="0.55000000000000004">
      <c r="B122" s="35" t="s">
        <v>213</v>
      </c>
      <c r="C122" s="55"/>
      <c r="D122" s="55"/>
      <c r="E122" s="30">
        <v>2016</v>
      </c>
      <c r="F122" s="30">
        <f>E122+1</f>
        <v>2017</v>
      </c>
      <c r="G122" s="30">
        <f>F122+1</f>
        <v>2018</v>
      </c>
      <c r="H122" s="30">
        <f t="shared" ref="H122" si="74">G122+1</f>
        <v>2019</v>
      </c>
      <c r="I122" s="30">
        <f t="shared" ref="I122" si="75">H122+1</f>
        <v>2020</v>
      </c>
      <c r="J122" s="30">
        <f t="shared" ref="J122" si="76">I122+1</f>
        <v>2021</v>
      </c>
      <c r="K122" s="30">
        <f t="shared" ref="K122" si="77">J122+1</f>
        <v>2022</v>
      </c>
    </row>
    <row r="123" spans="1:16384" x14ac:dyDescent="0.45">
      <c r="B123" s="55"/>
      <c r="C123" s="62" t="s">
        <v>54</v>
      </c>
      <c r="D123" s="62"/>
      <c r="E123" s="62"/>
      <c r="F123" s="62">
        <f>E127</f>
        <v>388285.35883291031</v>
      </c>
      <c r="G123" s="62">
        <f t="shared" ref="G123:K123" si="78">F127</f>
        <v>464208.08234410483</v>
      </c>
      <c r="H123" s="62">
        <f t="shared" si="78"/>
        <v>594812.16393611894</v>
      </c>
      <c r="I123" s="62">
        <f t="shared" si="78"/>
        <v>859144.92876350845</v>
      </c>
      <c r="J123" s="62">
        <f t="shared" si="78"/>
        <v>1035205.6261588687</v>
      </c>
      <c r="K123" s="62">
        <f t="shared" si="78"/>
        <v>1051566.8965386425</v>
      </c>
    </row>
    <row r="124" spans="1:16384" x14ac:dyDescent="0.45">
      <c r="B124" s="55"/>
      <c r="C124" s="62" t="s">
        <v>216</v>
      </c>
      <c r="D124" s="62"/>
      <c r="E124" s="62"/>
      <c r="F124" s="62">
        <f t="shared" ref="F124:K124" si="79">F20</f>
        <v>97106.941745002987</v>
      </c>
      <c r="G124" s="62">
        <f t="shared" si="79"/>
        <v>166231.14128076352</v>
      </c>
      <c r="H124" s="62">
        <f t="shared" si="79"/>
        <v>307155.00999404798</v>
      </c>
      <c r="I124" s="62">
        <f t="shared" si="79"/>
        <v>234374.14389380498</v>
      </c>
      <c r="J124" s="62">
        <f t="shared" si="79"/>
        <v>80741.38783568592</v>
      </c>
      <c r="K124" s="62">
        <f t="shared" si="79"/>
        <v>137732.14257628622</v>
      </c>
    </row>
    <row r="125" spans="1:16384" x14ac:dyDescent="0.45">
      <c r="B125" s="55"/>
      <c r="C125" s="62" t="s">
        <v>66</v>
      </c>
      <c r="D125" s="62"/>
      <c r="E125" s="62"/>
      <c r="F125" s="62">
        <f t="shared" ref="F125:K125" si="80">-F45</f>
        <v>-20910.491770646422</v>
      </c>
      <c r="G125" s="62">
        <f t="shared" si="80"/>
        <v>-27916.399257014065</v>
      </c>
      <c r="H125" s="62">
        <f t="shared" si="80"/>
        <v>-41971.66642624222</v>
      </c>
      <c r="I125" s="62">
        <f t="shared" si="80"/>
        <v>-57667.680467599843</v>
      </c>
      <c r="J125" s="62">
        <f t="shared" si="80"/>
        <v>-64158.889466462089</v>
      </c>
      <c r="K125" s="62">
        <f t="shared" si="80"/>
        <v>-66696.067205199171</v>
      </c>
    </row>
    <row r="126" spans="1:16384" x14ac:dyDescent="0.45">
      <c r="B126" s="55"/>
      <c r="C126" s="62" t="s">
        <v>56</v>
      </c>
      <c r="D126" s="62"/>
      <c r="E126" s="62"/>
      <c r="F126" s="62">
        <f t="shared" ref="F126:K126" si="81">-F50</f>
        <v>-273.72646316205305</v>
      </c>
      <c r="G126" s="62">
        <f t="shared" si="81"/>
        <v>-7710.6604317353904</v>
      </c>
      <c r="H126" s="62">
        <f t="shared" si="81"/>
        <v>-850.57874041636728</v>
      </c>
      <c r="I126" s="62">
        <f t="shared" si="81"/>
        <v>-645.7660308449199</v>
      </c>
      <c r="J126" s="62">
        <f t="shared" si="81"/>
        <v>-221.22798944976705</v>
      </c>
      <c r="K126" s="62">
        <f t="shared" si="81"/>
        <v>-1882.2410443272067</v>
      </c>
    </row>
    <row r="127" spans="1:16384" x14ac:dyDescent="0.45">
      <c r="B127" s="55"/>
      <c r="C127" s="62" t="s">
        <v>58</v>
      </c>
      <c r="D127" s="62"/>
      <c r="E127" s="62">
        <f>+E11</f>
        <v>388285.35883291031</v>
      </c>
      <c r="F127" s="62">
        <f t="shared" ref="F127:K127" si="82">SUM(F123:F126)</f>
        <v>464208.08234410483</v>
      </c>
      <c r="G127" s="62">
        <f t="shared" si="82"/>
        <v>594812.16393611894</v>
      </c>
      <c r="H127" s="62">
        <f t="shared" si="82"/>
        <v>859144.92876350845</v>
      </c>
      <c r="I127" s="62">
        <f t="shared" si="82"/>
        <v>1035205.6261588687</v>
      </c>
      <c r="J127" s="62">
        <f t="shared" si="82"/>
        <v>1051566.8965386425</v>
      </c>
      <c r="K127" s="62">
        <f t="shared" si="82"/>
        <v>1120720.7308654024</v>
      </c>
    </row>
    <row r="128" spans="1:16384" s="1" customFormat="1" x14ac:dyDescent="0.45">
      <c r="B128" s="55"/>
      <c r="C128" s="62" t="s">
        <v>227</v>
      </c>
      <c r="D128" s="62"/>
      <c r="E128" s="62"/>
      <c r="F128" s="67">
        <f>-F125/F123</f>
        <v>5.3853412947369908E-2</v>
      </c>
      <c r="G128" s="67">
        <f t="shared" ref="G128:K128" si="83">-G125/G123</f>
        <v>6.0137684626353397E-2</v>
      </c>
      <c r="H128" s="67">
        <f t="shared" si="83"/>
        <v>7.0562891902711408E-2</v>
      </c>
      <c r="I128" s="67">
        <f t="shared" si="83"/>
        <v>6.7122179898792919E-2</v>
      </c>
      <c r="J128" s="67">
        <f t="shared" si="83"/>
        <v>6.1976952061711353E-2</v>
      </c>
      <c r="K128" s="67">
        <f t="shared" si="83"/>
        <v>6.3425415372752036E-2</v>
      </c>
    </row>
    <row r="129" spans="2:11" x14ac:dyDescent="0.45">
      <c r="B129" s="55"/>
      <c r="C129" s="55"/>
      <c r="D129" s="55"/>
      <c r="E129" s="55"/>
      <c r="F129" s="55"/>
      <c r="G129" s="55"/>
      <c r="H129" s="55"/>
      <c r="I129" s="55"/>
      <c r="J129" s="55"/>
      <c r="K129" s="55"/>
    </row>
    <row r="130" spans="2:11" ht="18" x14ac:dyDescent="0.55000000000000004">
      <c r="B130" s="35" t="s">
        <v>214</v>
      </c>
      <c r="C130" s="55"/>
      <c r="D130" s="55"/>
      <c r="E130" s="30">
        <v>2016</v>
      </c>
      <c r="F130" s="30">
        <f>E130+1</f>
        <v>2017</v>
      </c>
      <c r="G130" s="30">
        <f>F130+1</f>
        <v>2018</v>
      </c>
      <c r="H130" s="30">
        <f t="shared" ref="H130" si="84">G130+1</f>
        <v>2019</v>
      </c>
      <c r="I130" s="30">
        <f t="shared" ref="I130" si="85">H130+1</f>
        <v>2020</v>
      </c>
      <c r="J130" s="30">
        <f t="shared" ref="J130" si="86">I130+1</f>
        <v>2021</v>
      </c>
      <c r="K130" s="30">
        <f t="shared" ref="K130" si="87">J130+1</f>
        <v>2022</v>
      </c>
    </row>
    <row r="131" spans="2:11" x14ac:dyDescent="0.45">
      <c r="B131" s="55"/>
      <c r="C131" s="62" t="s">
        <v>54</v>
      </c>
      <c r="D131" s="62"/>
      <c r="E131" s="62"/>
      <c r="F131" s="62">
        <f>E135</f>
        <v>128593.20864000083</v>
      </c>
      <c r="G131" s="62">
        <f t="shared" ref="G131:K131" si="88">F135</f>
        <v>193830.72473418579</v>
      </c>
      <c r="H131" s="62">
        <f t="shared" si="88"/>
        <v>204937.92314102282</v>
      </c>
      <c r="I131" s="62">
        <f t="shared" si="88"/>
        <v>269026.46056851535</v>
      </c>
      <c r="J131" s="62">
        <f t="shared" si="88"/>
        <v>344976.74042454176</v>
      </c>
      <c r="K131" s="62">
        <f t="shared" si="88"/>
        <v>470887.32547316962</v>
      </c>
    </row>
    <row r="132" spans="2:11" x14ac:dyDescent="0.45">
      <c r="B132" s="55"/>
      <c r="C132" s="62" t="s">
        <v>216</v>
      </c>
      <c r="D132" s="62"/>
      <c r="E132" s="62"/>
      <c r="F132" s="62">
        <f t="shared" ref="F132:K132" si="89">+F21</f>
        <v>74631.403914217241</v>
      </c>
      <c r="G132" s="62">
        <f t="shared" si="89"/>
        <v>22688.883339393677</v>
      </c>
      <c r="H132" s="62">
        <f t="shared" si="89"/>
        <v>78177.370919385547</v>
      </c>
      <c r="I132" s="62">
        <f t="shared" si="89"/>
        <v>94412.539398608074</v>
      </c>
      <c r="J132" s="62">
        <f t="shared" si="89"/>
        <v>150783.04419474828</v>
      </c>
      <c r="K132" s="62">
        <f t="shared" si="89"/>
        <v>118601.655061221</v>
      </c>
    </row>
    <row r="133" spans="2:11" x14ac:dyDescent="0.45">
      <c r="B133" s="55"/>
      <c r="C133" s="62" t="s">
        <v>59</v>
      </c>
      <c r="D133" s="62"/>
      <c r="E133" s="62"/>
      <c r="F133" s="62">
        <f t="shared" ref="F133:K133" si="90">-F46</f>
        <v>-9192.0157146543443</v>
      </c>
      <c r="G133" s="62">
        <f t="shared" si="90"/>
        <v>-11519.540698761899</v>
      </c>
      <c r="H133" s="62">
        <f t="shared" si="90"/>
        <v>-13872.343421661151</v>
      </c>
      <c r="I133" s="62">
        <f t="shared" si="90"/>
        <v>-18202.126706183797</v>
      </c>
      <c r="J133" s="62">
        <f t="shared" si="90"/>
        <v>-24459.319979151871</v>
      </c>
      <c r="K133" s="62">
        <f t="shared" si="90"/>
        <v>-31017.329404036496</v>
      </c>
    </row>
    <row r="134" spans="2:11" x14ac:dyDescent="0.45">
      <c r="B134" s="55"/>
      <c r="C134" s="62" t="s">
        <v>56</v>
      </c>
      <c r="D134" s="62"/>
      <c r="E134" s="62"/>
      <c r="F134" s="62">
        <f t="shared" ref="F134:K134" si="91">-F51</f>
        <v>-201.87210537792012</v>
      </c>
      <c r="G134" s="62">
        <f t="shared" si="91"/>
        <v>-62.144233794727235</v>
      </c>
      <c r="H134" s="62">
        <f t="shared" si="91"/>
        <v>-216.4900702318437</v>
      </c>
      <c r="I134" s="62">
        <f t="shared" si="91"/>
        <v>-260.13283639791581</v>
      </c>
      <c r="J134" s="62">
        <f t="shared" si="91"/>
        <v>-413.13916696854528</v>
      </c>
      <c r="K134" s="62">
        <f t="shared" si="91"/>
        <v>-323.09748499270364</v>
      </c>
    </row>
    <row r="135" spans="2:11" x14ac:dyDescent="0.45">
      <c r="B135" s="55"/>
      <c r="C135" s="62" t="s">
        <v>58</v>
      </c>
      <c r="D135" s="62"/>
      <c r="E135" s="62">
        <f>E12</f>
        <v>128593.20864000083</v>
      </c>
      <c r="F135" s="62">
        <f t="shared" ref="F135:K135" si="92">SUM(F131:F134)</f>
        <v>193830.72473418579</v>
      </c>
      <c r="G135" s="62">
        <f t="shared" si="92"/>
        <v>204937.92314102282</v>
      </c>
      <c r="H135" s="62">
        <f t="shared" si="92"/>
        <v>269026.46056851535</v>
      </c>
      <c r="I135" s="62">
        <f t="shared" si="92"/>
        <v>344976.74042454176</v>
      </c>
      <c r="J135" s="62">
        <f t="shared" si="92"/>
        <v>470887.32547316962</v>
      </c>
      <c r="K135" s="62">
        <f t="shared" si="92"/>
        <v>558148.55364536145</v>
      </c>
    </row>
    <row r="136" spans="2:11" s="1" customFormat="1" x14ac:dyDescent="0.45">
      <c r="B136" s="55"/>
      <c r="C136" s="62" t="s">
        <v>228</v>
      </c>
      <c r="D136" s="62"/>
      <c r="E136" s="62"/>
      <c r="F136" s="67">
        <f>-F133/F131</f>
        <v>7.1481346580188149E-2</v>
      </c>
      <c r="G136" s="67">
        <f t="shared" ref="G136:K136" si="93">-G133/G131</f>
        <v>5.9430932400214083E-2</v>
      </c>
      <c r="H136" s="67">
        <f t="shared" si="93"/>
        <v>6.7690465527530747E-2</v>
      </c>
      <c r="I136" s="67">
        <f t="shared" si="93"/>
        <v>6.7659243138085676E-2</v>
      </c>
      <c r="J136" s="67">
        <f t="shared" si="93"/>
        <v>7.0901359752693127E-2</v>
      </c>
      <c r="K136" s="67">
        <f t="shared" si="93"/>
        <v>6.5869960234900854E-2</v>
      </c>
    </row>
    <row r="137" spans="2:11" x14ac:dyDescent="0.45">
      <c r="B137" s="59"/>
      <c r="C137" s="59"/>
      <c r="D137" s="59"/>
      <c r="E137" s="59"/>
      <c r="F137" s="59"/>
      <c r="G137" s="59"/>
      <c r="H137" s="59"/>
      <c r="I137" s="59"/>
      <c r="J137" s="59"/>
      <c r="K137" s="59"/>
    </row>
    <row r="138" spans="2:11" ht="18" x14ac:dyDescent="0.55000000000000004">
      <c r="B138" s="35" t="s">
        <v>215</v>
      </c>
      <c r="C138" s="55"/>
      <c r="D138" s="55"/>
      <c r="E138" s="30">
        <v>2016</v>
      </c>
      <c r="F138" s="30">
        <f>E138+1</f>
        <v>2017</v>
      </c>
      <c r="G138" s="30">
        <f>F138+1</f>
        <v>2018</v>
      </c>
      <c r="H138" s="30">
        <f t="shared" ref="H138" si="94">G138+1</f>
        <v>2019</v>
      </c>
      <c r="I138" s="30">
        <f t="shared" ref="I138" si="95">H138+1</f>
        <v>2020</v>
      </c>
      <c r="J138" s="30">
        <f t="shared" ref="J138" si="96">I138+1</f>
        <v>2021</v>
      </c>
      <c r="K138" s="30">
        <f t="shared" ref="K138" si="97">J138+1</f>
        <v>2022</v>
      </c>
    </row>
    <row r="139" spans="2:11" x14ac:dyDescent="0.45">
      <c r="B139" s="55"/>
      <c r="C139" s="62" t="s">
        <v>54</v>
      </c>
      <c r="D139" s="62"/>
      <c r="E139" s="62"/>
      <c r="F139" s="62">
        <f>E143</f>
        <v>25172.643369017624</v>
      </c>
      <c r="G139" s="62">
        <f t="shared" ref="G139:K139" si="98">F143</f>
        <v>35368.740901772115</v>
      </c>
      <c r="H139" s="62">
        <f t="shared" si="98"/>
        <v>41520.807796449808</v>
      </c>
      <c r="I139" s="62">
        <f t="shared" si="98"/>
        <v>54880.0803256746</v>
      </c>
      <c r="J139" s="62">
        <f t="shared" si="98"/>
        <v>47692.994904235573</v>
      </c>
      <c r="K139" s="62">
        <f t="shared" si="98"/>
        <v>40629.343190666346</v>
      </c>
    </row>
    <row r="140" spans="2:11" x14ac:dyDescent="0.45">
      <c r="B140" s="55"/>
      <c r="C140" s="62" t="s">
        <v>216</v>
      </c>
      <c r="D140" s="62"/>
      <c r="E140" s="62"/>
      <c r="F140" s="62">
        <f t="shared" ref="F140:K140" si="99">+F22</f>
        <v>21252.563890343492</v>
      </c>
      <c r="G140" s="62">
        <f t="shared" si="99"/>
        <v>20221.342870105698</v>
      </c>
      <c r="H140" s="62">
        <f t="shared" si="99"/>
        <v>31834.205371412158</v>
      </c>
      <c r="I140" s="62">
        <f t="shared" si="99"/>
        <v>12151.662603484141</v>
      </c>
      <c r="J140" s="62">
        <f t="shared" si="99"/>
        <v>9122.9424729848961</v>
      </c>
      <c r="K140" s="62">
        <f t="shared" si="99"/>
        <v>11268.898445665996</v>
      </c>
    </row>
    <row r="141" spans="2:11" x14ac:dyDescent="0.45">
      <c r="B141" s="55"/>
      <c r="C141" s="62" t="s">
        <v>59</v>
      </c>
      <c r="D141" s="62"/>
      <c r="E141" s="62"/>
      <c r="F141" s="62">
        <f t="shared" ref="F141:K141" si="100">-F47</f>
        <v>-11003.007590746241</v>
      </c>
      <c r="G141" s="62">
        <f t="shared" si="100"/>
        <v>-14023.570095233663</v>
      </c>
      <c r="H141" s="62">
        <f t="shared" si="100"/>
        <v>-18395.874437335933</v>
      </c>
      <c r="I141" s="62">
        <f t="shared" si="100"/>
        <v>-19309.428967538861</v>
      </c>
      <c r="J141" s="62">
        <f t="shared" si="100"/>
        <v>-16165.780378265943</v>
      </c>
      <c r="K141" s="62">
        <f t="shared" si="100"/>
        <v>-15837.242192180756</v>
      </c>
    </row>
    <row r="142" spans="2:11" x14ac:dyDescent="0.45">
      <c r="B142" s="55"/>
      <c r="C142" s="62" t="s">
        <v>56</v>
      </c>
      <c r="D142" s="62"/>
      <c r="E142" s="62"/>
      <c r="F142" s="62">
        <f t="shared" ref="F142:K142" si="101">-F52</f>
        <v>-53.458766842759914</v>
      </c>
      <c r="G142" s="62">
        <f t="shared" si="101"/>
        <v>-45.705880194340764</v>
      </c>
      <c r="H142" s="62">
        <f t="shared" si="101"/>
        <v>-79.058404851425223</v>
      </c>
      <c r="I142" s="62">
        <f t="shared" si="101"/>
        <v>-29.319057384313165</v>
      </c>
      <c r="J142" s="62">
        <f t="shared" si="101"/>
        <v>-20.813808288178045</v>
      </c>
      <c r="K142" s="62">
        <f t="shared" si="101"/>
        <v>-48.291210420467827</v>
      </c>
    </row>
    <row r="143" spans="2:11" x14ac:dyDescent="0.45">
      <c r="B143" s="55"/>
      <c r="C143" s="62" t="s">
        <v>58</v>
      </c>
      <c r="D143" s="62"/>
      <c r="E143" s="62">
        <f>E13</f>
        <v>25172.643369017624</v>
      </c>
      <c r="F143" s="62">
        <f t="shared" ref="F143:K143" si="102">SUM(F139:F142)</f>
        <v>35368.740901772115</v>
      </c>
      <c r="G143" s="62">
        <f t="shared" si="102"/>
        <v>41520.807796449808</v>
      </c>
      <c r="H143" s="62">
        <f t="shared" si="102"/>
        <v>54880.0803256746</v>
      </c>
      <c r="I143" s="62">
        <f t="shared" si="102"/>
        <v>47692.994904235573</v>
      </c>
      <c r="J143" s="62">
        <f t="shared" si="102"/>
        <v>40629.343190666346</v>
      </c>
      <c r="K143" s="62">
        <f t="shared" si="102"/>
        <v>36012.708233731122</v>
      </c>
    </row>
    <row r="144" spans="2:11" s="1" customFormat="1" x14ac:dyDescent="0.45">
      <c r="B144" s="55"/>
      <c r="C144" s="62" t="s">
        <v>229</v>
      </c>
      <c r="D144" s="62"/>
      <c r="E144" s="62"/>
      <c r="F144" s="67">
        <f>-F141/F139</f>
        <v>0.43710179457309967</v>
      </c>
      <c r="G144" s="67">
        <f t="shared" ref="G144:K144" si="103">-G141/G139</f>
        <v>0.39649616406138521</v>
      </c>
      <c r="H144" s="67">
        <f t="shared" si="103"/>
        <v>0.44305193982543017</v>
      </c>
      <c r="I144" s="67">
        <f t="shared" si="103"/>
        <v>0.3518476804871824</v>
      </c>
      <c r="J144" s="67">
        <f t="shared" si="103"/>
        <v>0.33895502705849734</v>
      </c>
      <c r="K144" s="67">
        <f t="shared" si="103"/>
        <v>0.3897981347584028</v>
      </c>
    </row>
    <row r="146" spans="1:11" s="1" customFormat="1" ht="18" x14ac:dyDescent="0.55000000000000004">
      <c r="B146" s="35" t="s">
        <v>60</v>
      </c>
      <c r="C146" s="61"/>
      <c r="D146" s="61"/>
      <c r="E146" s="30">
        <v>2016</v>
      </c>
      <c r="F146" s="30">
        <f>E146+1</f>
        <v>2017</v>
      </c>
      <c r="G146" s="30">
        <f>F146+1</f>
        <v>2018</v>
      </c>
      <c r="H146" s="30">
        <f t="shared" ref="H146" si="104">G146+1</f>
        <v>2019</v>
      </c>
      <c r="I146" s="30">
        <f t="shared" ref="I146" si="105">H146+1</f>
        <v>2020</v>
      </c>
      <c r="J146" s="30">
        <f t="shared" ref="J146" si="106">I146+1</f>
        <v>2021</v>
      </c>
      <c r="K146" s="30">
        <f t="shared" ref="K146" si="107">J146+1</f>
        <v>2022</v>
      </c>
    </row>
    <row r="147" spans="1:11" s="1" customFormat="1" x14ac:dyDescent="0.45">
      <c r="B147" s="61"/>
      <c r="C147" s="62" t="s">
        <v>54</v>
      </c>
      <c r="D147" s="62"/>
      <c r="E147" s="62"/>
      <c r="F147" s="62">
        <f t="shared" ref="F147:K150" si="108">SUM(F115,F123,F131,F139)</f>
        <v>618370.85104079882</v>
      </c>
      <c r="G147" s="62">
        <f t="shared" si="108"/>
        <v>769695.79191598413</v>
      </c>
      <c r="H147" s="62">
        <f t="shared" si="108"/>
        <v>917528.98424050375</v>
      </c>
      <c r="I147" s="62">
        <f t="shared" si="108"/>
        <v>1259280.5768286681</v>
      </c>
      <c r="J147" s="62">
        <f t="shared" si="108"/>
        <v>1504076.5943842318</v>
      </c>
      <c r="K147" s="62">
        <f t="shared" si="108"/>
        <v>1639257.9717866068</v>
      </c>
    </row>
    <row r="148" spans="1:11" s="1" customFormat="1" x14ac:dyDescent="0.45">
      <c r="B148" s="61"/>
      <c r="C148" s="62" t="s">
        <v>55</v>
      </c>
      <c r="D148" s="62"/>
      <c r="E148" s="63"/>
      <c r="F148" s="62">
        <f t="shared" si="108"/>
        <v>192990.90954956374</v>
      </c>
      <c r="G148" s="62">
        <f t="shared" si="108"/>
        <v>209141.3674902629</v>
      </c>
      <c r="H148" s="62">
        <f t="shared" si="108"/>
        <v>417166.58628484566</v>
      </c>
      <c r="I148" s="62">
        <f t="shared" si="108"/>
        <v>340938.34589589719</v>
      </c>
      <c r="J148" s="62">
        <f t="shared" si="108"/>
        <v>240647.37450341909</v>
      </c>
      <c r="K148" s="62">
        <f t="shared" si="108"/>
        <v>267602.69608317321</v>
      </c>
    </row>
    <row r="149" spans="1:11" s="1" customFormat="1" x14ac:dyDescent="0.45">
      <c r="B149" s="61"/>
      <c r="C149" s="62" t="s">
        <v>59</v>
      </c>
      <c r="D149" s="62"/>
      <c r="E149" s="62"/>
      <c r="F149" s="62">
        <f t="shared" si="108"/>
        <v>-41136.911338995676</v>
      </c>
      <c r="G149" s="62">
        <f t="shared" si="108"/>
        <v>-53489.664620018928</v>
      </c>
      <c r="H149" s="62">
        <f t="shared" si="108"/>
        <v>-74268.866481181714</v>
      </c>
      <c r="I149" s="62">
        <f t="shared" si="108"/>
        <v>-95207.11041570628</v>
      </c>
      <c r="J149" s="62">
        <f t="shared" si="108"/>
        <v>-104810.81613633731</v>
      </c>
      <c r="K149" s="62">
        <f t="shared" si="108"/>
        <v>-113576.47296688707</v>
      </c>
    </row>
    <row r="150" spans="1:11" s="1" customFormat="1" x14ac:dyDescent="0.45">
      <c r="B150" s="61"/>
      <c r="C150" s="62" t="s">
        <v>56</v>
      </c>
      <c r="D150" s="62"/>
      <c r="E150" s="62"/>
      <c r="F150" s="62">
        <f t="shared" si="108"/>
        <v>-529.05733538273307</v>
      </c>
      <c r="G150" s="62">
        <f t="shared" si="108"/>
        <v>-7818.5105457244581</v>
      </c>
      <c r="H150" s="62">
        <f t="shared" si="108"/>
        <v>-1146.1272154996361</v>
      </c>
      <c r="I150" s="62">
        <f t="shared" si="108"/>
        <v>-935.21792462714882</v>
      </c>
      <c r="J150" s="62">
        <f t="shared" si="108"/>
        <v>-655.18096470649039</v>
      </c>
      <c r="K150" s="62">
        <f t="shared" si="108"/>
        <v>-2253.6297397403782</v>
      </c>
    </row>
    <row r="151" spans="1:11" s="1" customFormat="1" x14ac:dyDescent="0.45">
      <c r="B151" s="61"/>
      <c r="C151" s="62" t="s">
        <v>58</v>
      </c>
      <c r="D151" s="62"/>
      <c r="E151" s="62"/>
      <c r="F151" s="62">
        <f>SUM(F119,F127,F135,F143)</f>
        <v>769695.79191598413</v>
      </c>
      <c r="G151" s="62">
        <f t="shared" ref="G151:K151" si="109">SUM(G119,G127,G135,G143)</f>
        <v>917528.98424050375</v>
      </c>
      <c r="H151" s="62">
        <f t="shared" si="109"/>
        <v>1259280.5768286681</v>
      </c>
      <c r="I151" s="62">
        <f t="shared" si="109"/>
        <v>1504076.5943842318</v>
      </c>
      <c r="J151" s="62">
        <f t="shared" si="109"/>
        <v>1639257.9717866068</v>
      </c>
      <c r="K151" s="62">
        <f t="shared" si="109"/>
        <v>1791030.5651631528</v>
      </c>
    </row>
    <row r="152" spans="1:11" s="1" customFormat="1" x14ac:dyDescent="0.45">
      <c r="B152" s="60"/>
      <c r="C152" s="62"/>
      <c r="D152" s="62"/>
      <c r="E152" s="62"/>
      <c r="F152" s="62"/>
      <c r="G152" s="62"/>
      <c r="H152" s="62"/>
      <c r="I152" s="62"/>
      <c r="J152" s="62"/>
      <c r="K152" s="62"/>
    </row>
    <row r="154" spans="1:11" ht="21" x14ac:dyDescent="0.65">
      <c r="A154" s="42" t="s">
        <v>7</v>
      </c>
      <c r="E154" s="30">
        <v>2016</v>
      </c>
      <c r="F154" s="30">
        <f>E154+1</f>
        <v>2017</v>
      </c>
      <c r="G154" s="30">
        <f>F154+1</f>
        <v>2018</v>
      </c>
      <c r="H154" s="30">
        <f t="shared" ref="H154" si="110">G154+1</f>
        <v>2019</v>
      </c>
      <c r="I154" s="30">
        <f t="shared" ref="I154" si="111">H154+1</f>
        <v>2020</v>
      </c>
      <c r="J154" s="30">
        <f t="shared" ref="J154" si="112">I154+1</f>
        <v>2021</v>
      </c>
      <c r="K154" s="30">
        <f t="shared" ref="K154" si="113">J154+1</f>
        <v>2022</v>
      </c>
    </row>
    <row r="155" spans="1:11" x14ac:dyDescent="0.45">
      <c r="C155" s="62" t="s">
        <v>158</v>
      </c>
      <c r="D155" s="62"/>
      <c r="E155" s="62"/>
      <c r="F155" s="112">
        <f t="shared" ref="F155:K155" si="114">F64</f>
        <v>1.0540397478722478E-5</v>
      </c>
      <c r="G155" s="112">
        <f t="shared" si="114"/>
        <v>1.060333905173814E-5</v>
      </c>
      <c r="H155" s="112">
        <f t="shared" si="114"/>
        <v>1.0689110200093104E-5</v>
      </c>
      <c r="I155" s="112">
        <f t="shared" si="114"/>
        <v>1.079422662666848E-5</v>
      </c>
      <c r="J155" s="112">
        <f t="shared" si="114"/>
        <v>1.0896573614505221E-5</v>
      </c>
      <c r="K155" s="112">
        <f t="shared" si="114"/>
        <v>1.0999348970158208E-5</v>
      </c>
    </row>
    <row r="156" spans="1:11" s="1" customFormat="1" x14ac:dyDescent="0.45">
      <c r="C156" s="62" t="s">
        <v>224</v>
      </c>
      <c r="D156" s="62"/>
      <c r="E156" s="62"/>
      <c r="F156" s="112">
        <f t="shared" ref="F156:K156" si="115">F74</f>
        <v>5.239506342167552E-2</v>
      </c>
      <c r="G156" s="112">
        <f t="shared" si="115"/>
        <v>4.816617604262316E-2</v>
      </c>
      <c r="H156" s="112">
        <f t="shared" si="115"/>
        <v>4.6043797535307809E-2</v>
      </c>
      <c r="I156" s="112">
        <f t="shared" si="115"/>
        <v>4.3783626272740093E-2</v>
      </c>
      <c r="J156" s="112">
        <f t="shared" si="115"/>
        <v>4.3781178452987075E-2</v>
      </c>
      <c r="K156" s="112">
        <f t="shared" si="115"/>
        <v>4.5086701859990343E-2</v>
      </c>
    </row>
    <row r="157" spans="1:11" s="1" customFormat="1" x14ac:dyDescent="0.45">
      <c r="C157" s="62" t="s">
        <v>225</v>
      </c>
      <c r="D157" s="62"/>
      <c r="E157" s="62"/>
      <c r="F157" s="112">
        <f t="shared" ref="F157:K157" si="116">F84</f>
        <v>3.9987096882354314E-2</v>
      </c>
      <c r="G157" s="112">
        <f t="shared" si="116"/>
        <v>4.0223238055154993E-2</v>
      </c>
      <c r="H157" s="112">
        <f t="shared" si="116"/>
        <v>4.0341749089588728E-2</v>
      </c>
      <c r="I157" s="112">
        <f t="shared" si="116"/>
        <v>4.0691385359094043E-2</v>
      </c>
      <c r="J157" s="112">
        <f t="shared" si="116"/>
        <v>4.1431272756642275E-2</v>
      </c>
      <c r="K157" s="112">
        <f t="shared" si="116"/>
        <v>4.2352603396948435E-2</v>
      </c>
    </row>
    <row r="158" spans="1:11" s="1" customFormat="1" x14ac:dyDescent="0.45">
      <c r="C158" s="62" t="s">
        <v>226</v>
      </c>
      <c r="D158" s="62"/>
      <c r="E158" s="62"/>
      <c r="F158" s="112">
        <f t="shared" ref="F158:K158" si="117">F94</f>
        <v>0.28089416692227392</v>
      </c>
      <c r="G158" s="112">
        <f t="shared" si="117"/>
        <v>0.29156552990880619</v>
      </c>
      <c r="H158" s="112">
        <f t="shared" si="117"/>
        <v>0.31678093599165214</v>
      </c>
      <c r="I158" s="112">
        <f t="shared" si="117"/>
        <v>0.32120200336774374</v>
      </c>
      <c r="J158" s="112">
        <f t="shared" si="117"/>
        <v>0.38130103080283451</v>
      </c>
      <c r="K158" s="112">
        <f t="shared" si="117"/>
        <v>0.42923166901733262</v>
      </c>
    </row>
    <row r="159" spans="1:11" s="1" customFormat="1" x14ac:dyDescent="0.45">
      <c r="C159" s="62" t="s">
        <v>160</v>
      </c>
      <c r="D159" s="62"/>
      <c r="E159" s="62"/>
      <c r="F159" s="112">
        <f>F120</f>
        <v>4.1137855035547658E-4</v>
      </c>
      <c r="G159" s="112">
        <f t="shared" ref="G159:K159" si="118">G120</f>
        <v>3.9527150519579697E-4</v>
      </c>
      <c r="H159" s="112">
        <f t="shared" si="118"/>
        <v>3.8005405305866641E-4</v>
      </c>
      <c r="I159" s="112">
        <f t="shared" si="118"/>
        <v>3.6566444785017641E-4</v>
      </c>
      <c r="J159" s="112">
        <f t="shared" si="118"/>
        <v>3.5204564857636351E-4</v>
      </c>
      <c r="K159" s="112">
        <f t="shared" si="118"/>
        <v>3.3914495207939865E-4</v>
      </c>
    </row>
    <row r="160" spans="1:11" s="1" customFormat="1" x14ac:dyDescent="0.45">
      <c r="C160" s="62" t="s">
        <v>227</v>
      </c>
      <c r="D160" s="62"/>
      <c r="E160" s="62"/>
      <c r="F160" s="112">
        <f>F128</f>
        <v>5.3853412947369908E-2</v>
      </c>
      <c r="G160" s="112">
        <f t="shared" ref="G160:K160" si="119">G128</f>
        <v>6.0137684626353397E-2</v>
      </c>
      <c r="H160" s="112">
        <f t="shared" si="119"/>
        <v>7.0562891902711408E-2</v>
      </c>
      <c r="I160" s="112">
        <f t="shared" si="119"/>
        <v>6.7122179898792919E-2</v>
      </c>
      <c r="J160" s="112">
        <f t="shared" si="119"/>
        <v>6.1976952061711353E-2</v>
      </c>
      <c r="K160" s="112">
        <f t="shared" si="119"/>
        <v>6.3425415372752036E-2</v>
      </c>
    </row>
    <row r="161" spans="3:11" s="1" customFormat="1" x14ac:dyDescent="0.45">
      <c r="C161" s="62" t="s">
        <v>228</v>
      </c>
      <c r="D161" s="62"/>
      <c r="E161" s="62"/>
      <c r="F161" s="112">
        <f>F136</f>
        <v>7.1481346580188149E-2</v>
      </c>
      <c r="G161" s="112">
        <f t="shared" ref="G161:K161" si="120">G136</f>
        <v>5.9430932400214083E-2</v>
      </c>
      <c r="H161" s="112">
        <f t="shared" si="120"/>
        <v>6.7690465527530747E-2</v>
      </c>
      <c r="I161" s="112">
        <f t="shared" si="120"/>
        <v>6.7659243138085676E-2</v>
      </c>
      <c r="J161" s="112">
        <f t="shared" si="120"/>
        <v>7.0901359752693127E-2</v>
      </c>
      <c r="K161" s="112">
        <f t="shared" si="120"/>
        <v>6.5869960234900854E-2</v>
      </c>
    </row>
    <row r="162" spans="3:11" s="1" customFormat="1" x14ac:dyDescent="0.45">
      <c r="C162" s="62" t="s">
        <v>229</v>
      </c>
      <c r="D162" s="62"/>
      <c r="E162" s="62"/>
      <c r="F162" s="112">
        <f>F144</f>
        <v>0.43710179457309967</v>
      </c>
      <c r="G162" s="112">
        <f t="shared" ref="G162:K162" si="121">G144</f>
        <v>0.39649616406138521</v>
      </c>
      <c r="H162" s="112">
        <f t="shared" si="121"/>
        <v>0.44305193982543017</v>
      </c>
      <c r="I162" s="112">
        <f t="shared" si="121"/>
        <v>0.3518476804871824</v>
      </c>
      <c r="J162" s="112">
        <f t="shared" si="121"/>
        <v>0.33895502705849734</v>
      </c>
      <c r="K162" s="112">
        <f t="shared" si="121"/>
        <v>0.3897981347584028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&amp;L&amp;F&amp;C&amp;A&amp;R&amp;P</oddFooter>
  </headerFooter>
  <rowBreaks count="1" manualBreakCount="1">
    <brk id="72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K167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1" width="8.3984375" style="1" customWidth="1"/>
    <col min="2" max="2" width="7.59765625" style="1" customWidth="1"/>
    <col min="3" max="3" width="30.86328125" style="1" customWidth="1"/>
    <col min="4" max="4" width="19" style="1" customWidth="1"/>
    <col min="5" max="5" width="12.86328125" style="1" bestFit="1" customWidth="1"/>
    <col min="6" max="11" width="11.59765625" style="1" customWidth="1"/>
    <col min="12" max="12" width="7.86328125" style="1" customWidth="1"/>
    <col min="13" max="16384" width="8.86328125" style="1"/>
  </cols>
  <sheetData>
    <row r="1" spans="1:11" ht="25.5" x14ac:dyDescent="0.75">
      <c r="A1" s="18" t="s">
        <v>165</v>
      </c>
      <c r="E1" s="28"/>
    </row>
    <row r="2" spans="1:11" x14ac:dyDescent="0.45">
      <c r="A2" s="75" t="s">
        <v>211</v>
      </c>
    </row>
    <row r="3" spans="1:11" ht="23.25" x14ac:dyDescent="0.7">
      <c r="A3" s="27" t="s">
        <v>5</v>
      </c>
    </row>
    <row r="4" spans="1:11" x14ac:dyDescent="0.45">
      <c r="D4" s="30" t="s">
        <v>53</v>
      </c>
      <c r="E4" s="30" t="s">
        <v>12</v>
      </c>
      <c r="F4" s="30">
        <v>2017</v>
      </c>
      <c r="G4" s="30">
        <f>F4+1</f>
        <v>2018</v>
      </c>
      <c r="H4" s="30">
        <f t="shared" ref="H4:K4" si="0">G4+1</f>
        <v>2019</v>
      </c>
      <c r="I4" s="30">
        <f t="shared" si="0"/>
        <v>2020</v>
      </c>
      <c r="J4" s="30">
        <f t="shared" si="0"/>
        <v>2021</v>
      </c>
      <c r="K4" s="30">
        <f t="shared" si="0"/>
        <v>2022</v>
      </c>
    </row>
    <row r="5" spans="1:11" ht="18" x14ac:dyDescent="0.55000000000000004">
      <c r="B5" s="35" t="s">
        <v>210</v>
      </c>
    </row>
    <row r="6" spans="1:11" x14ac:dyDescent="0.45">
      <c r="C6" s="38" t="str">
        <f>'Scenario Manager'!B23</f>
        <v>Land</v>
      </c>
      <c r="D6" s="38" t="s">
        <v>31</v>
      </c>
      <c r="E6" s="52">
        <f>'Scenario Manager'!E23</f>
        <v>334761.86924423126</v>
      </c>
    </row>
    <row r="7" spans="1:11" x14ac:dyDescent="0.45">
      <c r="C7" s="38" t="str">
        <f>'Scenario Manager'!B24</f>
        <v>Infrastructure &amp; Buildings</v>
      </c>
      <c r="D7" s="38" t="s">
        <v>31</v>
      </c>
      <c r="E7" s="52">
        <f>'Scenario Manager'!E24</f>
        <v>522413.42904351326</v>
      </c>
    </row>
    <row r="8" spans="1:11" x14ac:dyDescent="0.45">
      <c r="C8" s="38" t="str">
        <f>'Scenario Manager'!B25</f>
        <v>Sealed Surfaces</v>
      </c>
      <c r="D8" s="38" t="s">
        <v>31</v>
      </c>
      <c r="E8" s="52">
        <f>'Scenario Manager'!E25</f>
        <v>218029.78127999936</v>
      </c>
    </row>
    <row r="9" spans="1:11" x14ac:dyDescent="0.45">
      <c r="C9" s="38" t="str">
        <f>'Scenario Manager'!B26</f>
        <v>Vehicles, Plant &amp; Equipment</v>
      </c>
      <c r="D9" s="38" t="s">
        <v>31</v>
      </c>
      <c r="E9" s="52">
        <f>'Scenario Manager'!E26</f>
        <v>32020.215491697654</v>
      </c>
    </row>
    <row r="10" spans="1:11" x14ac:dyDescent="0.45">
      <c r="C10" s="38" t="str">
        <f>'Scenario Manager'!B27</f>
        <v>Tax value - Land</v>
      </c>
      <c r="D10" s="38" t="s">
        <v>31</v>
      </c>
      <c r="E10" s="52">
        <f>'Scenario Manager'!E27</f>
        <v>76319.640198870082</v>
      </c>
    </row>
    <row r="11" spans="1:11" x14ac:dyDescent="0.45">
      <c r="C11" s="38" t="str">
        <f>'Scenario Manager'!B28</f>
        <v>Tax value - Infrastructure &amp; Buildings</v>
      </c>
      <c r="D11" s="38" t="s">
        <v>31</v>
      </c>
      <c r="E11" s="52">
        <f>'Scenario Manager'!E28</f>
        <v>388285.35883291031</v>
      </c>
    </row>
    <row r="12" spans="1:11" x14ac:dyDescent="0.45">
      <c r="C12" s="38" t="str">
        <f>'Scenario Manager'!B29</f>
        <v>Tax value - Sealed Surfaces</v>
      </c>
      <c r="D12" s="38" t="s">
        <v>31</v>
      </c>
      <c r="E12" s="52">
        <f>'Scenario Manager'!E29</f>
        <v>128593.20864000083</v>
      </c>
    </row>
    <row r="13" spans="1:11" x14ac:dyDescent="0.45">
      <c r="C13" s="38" t="str">
        <f>'Scenario Manager'!B30</f>
        <v>Tax value - Vehicles, Plant &amp; Equipment</v>
      </c>
      <c r="D13" s="38" t="s">
        <v>31</v>
      </c>
      <c r="E13" s="52">
        <f>'Scenario Manager'!E30</f>
        <v>25172.643369017624</v>
      </c>
    </row>
    <row r="14" spans="1:11" ht="18" x14ac:dyDescent="0.55000000000000004">
      <c r="B14" s="35" t="s">
        <v>9</v>
      </c>
      <c r="C14" s="38"/>
      <c r="D14" s="38"/>
      <c r="E14" s="52"/>
    </row>
    <row r="15" spans="1:11" x14ac:dyDescent="0.45">
      <c r="C15" s="38" t="s">
        <v>73</v>
      </c>
      <c r="D15" s="38" t="s">
        <v>31</v>
      </c>
      <c r="E15" s="48">
        <f>'Scenario Manager'!E15</f>
        <v>0.19</v>
      </c>
    </row>
    <row r="16" spans="1:11" x14ac:dyDescent="0.45">
      <c r="C16" s="38" t="s">
        <v>74</v>
      </c>
      <c r="D16" s="38" t="s">
        <v>31</v>
      </c>
      <c r="E16" s="54">
        <f>'Scenario Manager'!E16</f>
        <v>4.41E-2</v>
      </c>
    </row>
    <row r="17" spans="2:11" x14ac:dyDescent="0.45">
      <c r="C17" s="38" t="s">
        <v>64</v>
      </c>
      <c r="D17" s="38" t="s">
        <v>31</v>
      </c>
      <c r="E17" s="48">
        <f>'Scenario Manager'!E21</f>
        <v>0.5</v>
      </c>
    </row>
    <row r="18" spans="2:11" ht="18" x14ac:dyDescent="0.55000000000000004">
      <c r="B18" s="35" t="s">
        <v>216</v>
      </c>
      <c r="D18" s="22"/>
    </row>
    <row r="19" spans="2:11" x14ac:dyDescent="0.45">
      <c r="C19" s="38" t="s">
        <v>23</v>
      </c>
      <c r="D19" s="38" t="s">
        <v>31</v>
      </c>
      <c r="E19" s="43"/>
      <c r="F19" s="50">
        <f>'Scenario Manager'!F89</f>
        <v>0</v>
      </c>
      <c r="G19" s="50">
        <f>'Scenario Manager'!G89</f>
        <v>0</v>
      </c>
      <c r="H19" s="50">
        <f>'Scenario Manager'!H89</f>
        <v>0</v>
      </c>
      <c r="I19" s="50">
        <f>'Scenario Manager'!I89</f>
        <v>0</v>
      </c>
      <c r="J19" s="50">
        <f>'Scenario Manager'!J89</f>
        <v>0</v>
      </c>
      <c r="K19" s="50">
        <f>'Scenario Manager'!K89</f>
        <v>0</v>
      </c>
    </row>
    <row r="20" spans="2:11" x14ac:dyDescent="0.45">
      <c r="C20" s="38" t="s">
        <v>213</v>
      </c>
      <c r="D20" s="38" t="s">
        <v>31</v>
      </c>
      <c r="E20" s="43"/>
      <c r="F20" s="50">
        <f>'Scenario Manager'!F90</f>
        <v>97106.941745002987</v>
      </c>
      <c r="G20" s="50">
        <f>'Scenario Manager'!G90</f>
        <v>166231.14128076352</v>
      </c>
      <c r="H20" s="50">
        <f>'Scenario Manager'!H90</f>
        <v>307155.00999404798</v>
      </c>
      <c r="I20" s="50">
        <f>'Scenario Manager'!I90</f>
        <v>234374.14389380498</v>
      </c>
      <c r="J20" s="50">
        <f>'Scenario Manager'!J90</f>
        <v>80741.38783568592</v>
      </c>
      <c r="K20" s="50">
        <f>'Scenario Manager'!K90</f>
        <v>137732.14257628622</v>
      </c>
    </row>
    <row r="21" spans="2:11" x14ac:dyDescent="0.45">
      <c r="C21" s="38" t="s">
        <v>214</v>
      </c>
      <c r="D21" s="38" t="s">
        <v>31</v>
      </c>
      <c r="E21" s="43"/>
      <c r="F21" s="50">
        <f>'Scenario Manager'!F91</f>
        <v>74631.403914217241</v>
      </c>
      <c r="G21" s="50">
        <f>'Scenario Manager'!G91</f>
        <v>22688.883339393677</v>
      </c>
      <c r="H21" s="50">
        <f>'Scenario Manager'!H91</f>
        <v>78177.370919385547</v>
      </c>
      <c r="I21" s="50">
        <f>'Scenario Manager'!I91</f>
        <v>94412.539398608074</v>
      </c>
      <c r="J21" s="50">
        <f>'Scenario Manager'!J91</f>
        <v>150783.04419474828</v>
      </c>
      <c r="K21" s="50">
        <f>'Scenario Manager'!K91</f>
        <v>118601.655061221</v>
      </c>
    </row>
    <row r="22" spans="2:11" x14ac:dyDescent="0.45">
      <c r="C22" s="38" t="s">
        <v>215</v>
      </c>
      <c r="D22" s="38" t="s">
        <v>31</v>
      </c>
      <c r="E22" s="43"/>
      <c r="F22" s="50">
        <f>'Scenario Manager'!F92</f>
        <v>21252.563890343492</v>
      </c>
      <c r="G22" s="50">
        <f>'Scenario Manager'!G92</f>
        <v>20221.342870105698</v>
      </c>
      <c r="H22" s="50">
        <f>'Scenario Manager'!H92</f>
        <v>31834.205371412158</v>
      </c>
      <c r="I22" s="50">
        <f>'Scenario Manager'!I92</f>
        <v>12151.662603484141</v>
      </c>
      <c r="J22" s="50">
        <f>'Scenario Manager'!J92</f>
        <v>9122.9424729848961</v>
      </c>
      <c r="K22" s="50">
        <f>'Scenario Manager'!K92</f>
        <v>11268.898445665996</v>
      </c>
    </row>
    <row r="23" spans="2:11" ht="18" x14ac:dyDescent="0.55000000000000004">
      <c r="B23" s="35" t="s">
        <v>56</v>
      </c>
      <c r="D23" s="22"/>
      <c r="E23" s="30"/>
      <c r="F23" s="30"/>
      <c r="G23" s="30"/>
      <c r="H23" s="30"/>
      <c r="I23" s="30"/>
      <c r="J23" s="30"/>
      <c r="K23" s="30"/>
    </row>
    <row r="24" spans="2:11" x14ac:dyDescent="0.45">
      <c r="C24" s="38" t="s">
        <v>23</v>
      </c>
      <c r="D24" s="38" t="s">
        <v>31</v>
      </c>
      <c r="E24" s="43"/>
      <c r="F24" s="50">
        <f>'Scenario Manager'!F44</f>
        <v>0</v>
      </c>
      <c r="G24" s="50">
        <f>'Scenario Manager'!G44</f>
        <v>0</v>
      </c>
      <c r="H24" s="50">
        <f>'Scenario Manager'!H44</f>
        <v>0</v>
      </c>
      <c r="I24" s="50">
        <f>'Scenario Manager'!I44</f>
        <v>0</v>
      </c>
      <c r="J24" s="50">
        <f>'Scenario Manager'!J44</f>
        <v>0</v>
      </c>
      <c r="K24" s="50">
        <f>'Scenario Manager'!K44</f>
        <v>0</v>
      </c>
    </row>
    <row r="25" spans="2:11" x14ac:dyDescent="0.45">
      <c r="C25" s="38" t="s">
        <v>213</v>
      </c>
      <c r="D25" s="38" t="s">
        <v>31</v>
      </c>
      <c r="E25" s="43"/>
      <c r="F25" s="50">
        <f>'Scenario Manager'!F45</f>
        <v>485.53470872501492</v>
      </c>
      <c r="G25" s="50">
        <f>'Scenario Manager'!G45</f>
        <v>13821.120003377895</v>
      </c>
      <c r="H25" s="50">
        <f>'Scenario Manager'!H45</f>
        <v>1535.7750499702399</v>
      </c>
      <c r="I25" s="50">
        <f>'Scenario Manager'!I45</f>
        <v>1171.8707194690251</v>
      </c>
      <c r="J25" s="50">
        <f>'Scenario Manager'!J45</f>
        <v>403.70693917842971</v>
      </c>
      <c r="K25" s="50">
        <f>'Scenario Manager'!K45</f>
        <v>3454.6369664005433</v>
      </c>
    </row>
    <row r="26" spans="2:11" x14ac:dyDescent="0.45">
      <c r="C26" s="38" t="s">
        <v>214</v>
      </c>
      <c r="D26" s="38" t="s">
        <v>31</v>
      </c>
      <c r="E26" s="43"/>
      <c r="F26" s="50">
        <f>'Scenario Manager'!F46</f>
        <v>358.07978794635596</v>
      </c>
      <c r="G26" s="50">
        <f>'Scenario Manager'!G46</f>
        <v>111.39161429802313</v>
      </c>
      <c r="H26" s="50">
        <f>'Scenario Manager'!H46</f>
        <v>390.88685459692778</v>
      </c>
      <c r="I26" s="50">
        <f>'Scenario Manager'!I46</f>
        <v>472.06269699304039</v>
      </c>
      <c r="J26" s="50">
        <f>'Scenario Manager'!J46</f>
        <v>753.91522097374138</v>
      </c>
      <c r="K26" s="50">
        <f>'Scenario Manager'!K46</f>
        <v>593.00827530610502</v>
      </c>
    </row>
    <row r="27" spans="2:11" x14ac:dyDescent="0.45">
      <c r="C27" s="38" t="s">
        <v>215</v>
      </c>
      <c r="D27" s="38" t="s">
        <v>31</v>
      </c>
      <c r="E27" s="43"/>
      <c r="F27" s="50">
        <f>'Scenario Manager'!F47</f>
        <v>94.824908370044056</v>
      </c>
      <c r="G27" s="50">
        <f>'Scenario Manager'!G47</f>
        <v>81.926374610666443</v>
      </c>
      <c r="H27" s="50">
        <f>'Scenario Manager'!H47</f>
        <v>142.74507449108197</v>
      </c>
      <c r="I27" s="50">
        <f>'Scenario Manager'!I47</f>
        <v>53.20525272311788</v>
      </c>
      <c r="J27" s="50">
        <f>'Scenario Manager'!J47</f>
        <v>37.981987982469725</v>
      </c>
      <c r="K27" s="50">
        <f>'Scenario Manager'!K47</f>
        <v>88.632962910660012</v>
      </c>
    </row>
    <row r="28" spans="2:11" ht="18" x14ac:dyDescent="0.55000000000000004">
      <c r="B28" s="35" t="s">
        <v>84</v>
      </c>
    </row>
    <row r="29" spans="2:11" x14ac:dyDescent="0.45">
      <c r="C29" s="38" t="s">
        <v>23</v>
      </c>
      <c r="D29" s="38" t="s">
        <v>31</v>
      </c>
      <c r="E29" s="38"/>
      <c r="F29" s="50">
        <f>'Scenario Manager'!F49</f>
        <v>340.075981569281</v>
      </c>
      <c r="G29" s="50">
        <f>'Scenario Manager'!G49</f>
        <v>340.0513426038371</v>
      </c>
      <c r="H29" s="50">
        <f>'Scenario Manager'!H49</f>
        <v>446.28504852539066</v>
      </c>
      <c r="I29" s="50">
        <f>'Scenario Manager'!I49</f>
        <v>552.50335509354159</v>
      </c>
      <c r="J29" s="50">
        <f>'Scenario Manager'!J49</f>
        <v>556.85990067688783</v>
      </c>
      <c r="K29" s="50">
        <f>'Scenario Manager'!K49</f>
        <v>561.01637984474928</v>
      </c>
    </row>
    <row r="30" spans="2:11" x14ac:dyDescent="0.45">
      <c r="C30" s="38" t="s">
        <v>213</v>
      </c>
      <c r="D30" s="38" t="s">
        <v>31</v>
      </c>
      <c r="E30" s="38"/>
      <c r="F30" s="50">
        <f>'Scenario Manager'!F50</f>
        <v>414.22713883138454</v>
      </c>
      <c r="G30" s="50">
        <f>'Scenario Manager'!G50</f>
        <v>457.10738330201468</v>
      </c>
      <c r="H30" s="50">
        <f>'Scenario Manager'!H50</f>
        <v>729.49397153716995</v>
      </c>
      <c r="I30" s="50">
        <f>'Scenario Manager'!I50</f>
        <v>1142.2499002070749</v>
      </c>
      <c r="J30" s="50">
        <f>'Scenario Manager'!J50</f>
        <v>1286.3555486197165</v>
      </c>
      <c r="K30" s="50">
        <f>'Scenario Manager'!K50</f>
        <v>1265.6121564483644</v>
      </c>
    </row>
    <row r="31" spans="2:11" x14ac:dyDescent="0.45">
      <c r="C31" s="38" t="s">
        <v>214</v>
      </c>
      <c r="D31" s="38" t="s">
        <v>31</v>
      </c>
      <c r="E31" s="38"/>
      <c r="F31" s="50">
        <f>'Scenario Manager'!F51</f>
        <v>0</v>
      </c>
      <c r="G31" s="50">
        <f>'Scenario Manager'!G51</f>
        <v>0.92328395552216536</v>
      </c>
      <c r="H31" s="50">
        <f>'Scenario Manager'!H51</f>
        <v>1.1639683193421884</v>
      </c>
      <c r="I31" s="50">
        <f>'Scenario Manager'!I51</f>
        <v>1.3820975965056561</v>
      </c>
      <c r="J31" s="50">
        <f>'Scenario Manager'!J51</f>
        <v>1.333837089505725</v>
      </c>
      <c r="K31" s="50">
        <f>'Scenario Manager'!K51</f>
        <v>1.2841690618020811</v>
      </c>
    </row>
    <row r="32" spans="2:11" x14ac:dyDescent="0.45">
      <c r="C32" s="38" t="s">
        <v>215</v>
      </c>
      <c r="D32" s="38" t="s">
        <v>31</v>
      </c>
      <c r="E32" s="38"/>
      <c r="F32" s="50">
        <f>'Scenario Manager'!F52</f>
        <v>2.2607092813914567</v>
      </c>
      <c r="G32" s="50">
        <f>'Scenario Manager'!G52</f>
        <v>5.6361429719822249</v>
      </c>
      <c r="H32" s="50">
        <f>'Scenario Manager'!H52</f>
        <v>56.793214649078756</v>
      </c>
      <c r="I32" s="50">
        <f>'Scenario Manager'!I52</f>
        <v>116.65731282929735</v>
      </c>
      <c r="J32" s="50">
        <f>'Scenario Manager'!J52</f>
        <v>84.076285310923907</v>
      </c>
      <c r="K32" s="50">
        <f>'Scenario Manager'!K52</f>
        <v>50.939454378207714</v>
      </c>
    </row>
    <row r="33" spans="2:11" ht="18" x14ac:dyDescent="0.55000000000000004">
      <c r="B33" s="35" t="s">
        <v>57</v>
      </c>
      <c r="D33" s="22"/>
      <c r="E33" s="30"/>
      <c r="F33" s="30"/>
      <c r="G33" s="30"/>
      <c r="H33" s="30"/>
      <c r="I33" s="30"/>
      <c r="J33" s="30"/>
      <c r="K33" s="30"/>
    </row>
    <row r="34" spans="2:11" x14ac:dyDescent="0.45">
      <c r="C34" s="38" t="s">
        <v>23</v>
      </c>
      <c r="D34" s="38" t="s">
        <v>31</v>
      </c>
      <c r="E34" s="43"/>
      <c r="F34" s="50">
        <f>'Scenario Manager'!F54</f>
        <v>0</v>
      </c>
      <c r="G34" s="50">
        <f>'Scenario Manager'!G54</f>
        <v>0</v>
      </c>
      <c r="H34" s="50">
        <f>'Scenario Manager'!H54</f>
        <v>0</v>
      </c>
      <c r="I34" s="50">
        <f>'Scenario Manager'!I54</f>
        <v>0</v>
      </c>
      <c r="J34" s="50">
        <f>'Scenario Manager'!J54</f>
        <v>0</v>
      </c>
      <c r="K34" s="50">
        <f>'Scenario Manager'!K54</f>
        <v>0</v>
      </c>
    </row>
    <row r="35" spans="2:11" x14ac:dyDescent="0.45">
      <c r="C35" s="38" t="s">
        <v>213</v>
      </c>
      <c r="D35" s="38" t="s">
        <v>31</v>
      </c>
      <c r="E35" s="43"/>
      <c r="F35" s="50">
        <f>'Scenario Manager'!F55</f>
        <v>-10361.997387036216</v>
      </c>
      <c r="G35" s="50">
        <f>'Scenario Manager'!G55</f>
        <v>0</v>
      </c>
      <c r="H35" s="50">
        <f>'Scenario Manager'!H55</f>
        <v>0</v>
      </c>
      <c r="I35" s="50">
        <f>'Scenario Manager'!I55</f>
        <v>0</v>
      </c>
      <c r="J35" s="50">
        <f>'Scenario Manager'!J55</f>
        <v>0</v>
      </c>
      <c r="K35" s="50">
        <f>'Scenario Manager'!K55</f>
        <v>0</v>
      </c>
    </row>
    <row r="36" spans="2:11" x14ac:dyDescent="0.45">
      <c r="C36" s="38" t="s">
        <v>214</v>
      </c>
      <c r="D36" s="38" t="s">
        <v>31</v>
      </c>
      <c r="E36" s="43"/>
      <c r="F36" s="50">
        <f>'Scenario Manager'!F56</f>
        <v>0</v>
      </c>
      <c r="G36" s="50">
        <f>'Scenario Manager'!G56</f>
        <v>0</v>
      </c>
      <c r="H36" s="50">
        <f>'Scenario Manager'!H56</f>
        <v>0</v>
      </c>
      <c r="I36" s="50">
        <f>'Scenario Manager'!I56</f>
        <v>0</v>
      </c>
      <c r="J36" s="50">
        <f>'Scenario Manager'!J56</f>
        <v>0</v>
      </c>
      <c r="K36" s="50">
        <f>'Scenario Manager'!K56</f>
        <v>0</v>
      </c>
    </row>
    <row r="37" spans="2:11" x14ac:dyDescent="0.45">
      <c r="C37" s="38" t="s">
        <v>215</v>
      </c>
      <c r="D37" s="38" t="s">
        <v>31</v>
      </c>
      <c r="E37" s="43"/>
      <c r="F37" s="50">
        <f>'Scenario Manager'!F57</f>
        <v>0</v>
      </c>
      <c r="G37" s="50">
        <f>'Scenario Manager'!G57</f>
        <v>0</v>
      </c>
      <c r="H37" s="50">
        <f>'Scenario Manager'!H57</f>
        <v>0</v>
      </c>
      <c r="I37" s="50">
        <f>'Scenario Manager'!I57</f>
        <v>0</v>
      </c>
      <c r="J37" s="50">
        <f>'Scenario Manager'!J57</f>
        <v>0</v>
      </c>
      <c r="K37" s="50">
        <f>'Scenario Manager'!K57</f>
        <v>0</v>
      </c>
    </row>
    <row r="38" spans="2:11" ht="18" x14ac:dyDescent="0.55000000000000004">
      <c r="B38" s="35" t="s">
        <v>217</v>
      </c>
      <c r="D38" s="22"/>
      <c r="E38" s="30"/>
      <c r="F38" s="30"/>
      <c r="G38" s="30"/>
      <c r="H38" s="30"/>
      <c r="I38" s="30"/>
      <c r="J38" s="30"/>
      <c r="K38" s="30"/>
    </row>
    <row r="39" spans="2:11" x14ac:dyDescent="0.45">
      <c r="C39" s="38" t="s">
        <v>23</v>
      </c>
      <c r="D39" s="38" t="s">
        <v>31</v>
      </c>
      <c r="E39" s="43"/>
      <c r="F39" s="50">
        <f>'Scenario Manager'!F59</f>
        <v>3.5285231625543192</v>
      </c>
      <c r="G39" s="50">
        <f>'Scenario Manager'!G59</f>
        <v>3.5531621279987022</v>
      </c>
      <c r="H39" s="50">
        <f>'Scenario Manager'!H59</f>
        <v>3.5855007701444537</v>
      </c>
      <c r="I39" s="50">
        <f>'Scenario Manager'!I59</f>
        <v>3.6255390889915762</v>
      </c>
      <c r="J39" s="50">
        <f>'Scenario Manager'!J59</f>
        <v>3.6658960386378285</v>
      </c>
      <c r="K39" s="50">
        <f>'Scenario Manager'!K59</f>
        <v>3.7065571649348033</v>
      </c>
    </row>
    <row r="40" spans="2:11" x14ac:dyDescent="0.45">
      <c r="C40" s="38" t="s">
        <v>213</v>
      </c>
      <c r="D40" s="38" t="s">
        <v>31</v>
      </c>
      <c r="E40" s="43"/>
      <c r="F40" s="50">
        <f>'Scenario Manager'!F60</f>
        <v>27371.88474706986</v>
      </c>
      <c r="G40" s="50">
        <f>'Scenario Manager'!G60</f>
        <v>28018.995818783231</v>
      </c>
      <c r="H40" s="50">
        <f>'Scenario Manager'!H60</f>
        <v>32532.858172304259</v>
      </c>
      <c r="I40" s="50">
        <f>'Scenario Manager'!I60</f>
        <v>42924.555827153177</v>
      </c>
      <c r="J40" s="50">
        <f>'Scenario Manager'!J60</f>
        <v>51302.747781142425</v>
      </c>
      <c r="K40" s="50">
        <f>'Scenario Manager'!K60</f>
        <v>54199.645904280587</v>
      </c>
    </row>
    <row r="41" spans="2:11" x14ac:dyDescent="0.45">
      <c r="C41" s="38" t="s">
        <v>214</v>
      </c>
      <c r="D41" s="38" t="s">
        <v>31</v>
      </c>
      <c r="E41" s="43"/>
      <c r="F41" s="50">
        <f>'Scenario Manager'!F61</f>
        <v>8718.3779872818559</v>
      </c>
      <c r="G41" s="50">
        <f>'Scenario Manager'!G61</f>
        <v>11406.695999780211</v>
      </c>
      <c r="H41" s="50">
        <f>'Scenario Manager'!H61</f>
        <v>11890.990604347642</v>
      </c>
      <c r="I41" s="50">
        <f>'Scenario Manager'!I61</f>
        <v>14675.474429999356</v>
      </c>
      <c r="J41" s="50">
        <f>'Scenario Manager'!J61</f>
        <v>18226.424307663492</v>
      </c>
      <c r="K41" s="50">
        <f>'Scenario Manager'!K61</f>
        <v>24213.979780276299</v>
      </c>
    </row>
    <row r="42" spans="2:11" x14ac:dyDescent="0.45">
      <c r="C42" s="38" t="s">
        <v>215</v>
      </c>
      <c r="D42" s="38" t="s">
        <v>31</v>
      </c>
      <c r="E42" s="43"/>
      <c r="F42" s="50">
        <f>'Scenario Manager'!F62</f>
        <v>8994.2917552121016</v>
      </c>
      <c r="G42" s="50">
        <f>'Scenario Manager'!G62</f>
        <v>12883.092178719062</v>
      </c>
      <c r="H42" s="50">
        <f>'Scenario Manager'!H62</f>
        <v>16297.708812668399</v>
      </c>
      <c r="I42" s="50">
        <f>'Scenario Manager'!I62</f>
        <v>21487.909284102443</v>
      </c>
      <c r="J42" s="50">
        <f>'Scenario Manager'!J62</f>
        <v>21972.713631856113</v>
      </c>
      <c r="K42" s="50">
        <f>'Scenario Manager'!K62</f>
        <v>19239.003456517097</v>
      </c>
    </row>
    <row r="43" spans="2:11" ht="18" x14ac:dyDescent="0.55000000000000004">
      <c r="B43" s="35" t="s">
        <v>45</v>
      </c>
      <c r="D43" s="22"/>
      <c r="E43" s="30"/>
      <c r="F43" s="30"/>
      <c r="G43" s="30"/>
      <c r="H43" s="30"/>
      <c r="I43" s="30"/>
      <c r="J43" s="30"/>
      <c r="K43" s="30"/>
    </row>
    <row r="44" spans="2:11" x14ac:dyDescent="0.45">
      <c r="C44" s="38" t="s">
        <v>23</v>
      </c>
      <c r="D44" s="38" t="s">
        <v>31</v>
      </c>
      <c r="E44" s="43"/>
      <c r="F44" s="50">
        <f>'Scenario Manager'!F64</f>
        <v>31.396262948662731</v>
      </c>
      <c r="G44" s="50">
        <f>'Scenario Manager'!G64</f>
        <v>30.154569009295788</v>
      </c>
      <c r="H44" s="50">
        <f>'Scenario Manager'!H64</f>
        <v>28.982195942404946</v>
      </c>
      <c r="I44" s="50">
        <f>'Scenario Manager'!I64</f>
        <v>27.87427438378457</v>
      </c>
      <c r="J44" s="50">
        <f>'Scenario Manager'!J64</f>
        <v>26.826312457397126</v>
      </c>
      <c r="K44" s="50">
        <f>'Scenario Manager'!K64</f>
        <v>25.834165470650905</v>
      </c>
    </row>
    <row r="45" spans="2:11" x14ac:dyDescent="0.45">
      <c r="C45" s="38" t="s">
        <v>213</v>
      </c>
      <c r="D45" s="38" t="s">
        <v>31</v>
      </c>
      <c r="E45" s="43"/>
      <c r="F45" s="50">
        <f>'Scenario Manager'!F65</f>
        <v>20910.491770646422</v>
      </c>
      <c r="G45" s="50">
        <f>'Scenario Manager'!G65</f>
        <v>27916.399257014065</v>
      </c>
      <c r="H45" s="50">
        <f>'Scenario Manager'!H65</f>
        <v>41971.66642624222</v>
      </c>
      <c r="I45" s="50">
        <f>'Scenario Manager'!I65</f>
        <v>57667.680467599843</v>
      </c>
      <c r="J45" s="50">
        <f>'Scenario Manager'!J65</f>
        <v>64158.889466462089</v>
      </c>
      <c r="K45" s="50">
        <f>'Scenario Manager'!K65</f>
        <v>66696.067205199171</v>
      </c>
    </row>
    <row r="46" spans="2:11" x14ac:dyDescent="0.45">
      <c r="C46" s="38" t="s">
        <v>214</v>
      </c>
      <c r="D46" s="38" t="s">
        <v>31</v>
      </c>
      <c r="E46" s="43"/>
      <c r="F46" s="50">
        <f>'Scenario Manager'!F66</f>
        <v>9192.0157146543443</v>
      </c>
      <c r="G46" s="50">
        <f>'Scenario Manager'!G66</f>
        <v>11519.540698761899</v>
      </c>
      <c r="H46" s="50">
        <f>'Scenario Manager'!H66</f>
        <v>13872.343421661151</v>
      </c>
      <c r="I46" s="50">
        <f>'Scenario Manager'!I66</f>
        <v>18202.126706183797</v>
      </c>
      <c r="J46" s="50">
        <f>'Scenario Manager'!J66</f>
        <v>24459.319979151871</v>
      </c>
      <c r="K46" s="50">
        <f>'Scenario Manager'!K66</f>
        <v>31017.329404036496</v>
      </c>
    </row>
    <row r="47" spans="2:11" x14ac:dyDescent="0.45">
      <c r="C47" s="38" t="s">
        <v>215</v>
      </c>
      <c r="D47" s="38" t="s">
        <v>31</v>
      </c>
      <c r="E47" s="43"/>
      <c r="F47" s="50">
        <f>'Scenario Manager'!F67</f>
        <v>11003.007590746241</v>
      </c>
      <c r="G47" s="50">
        <f>'Scenario Manager'!G67</f>
        <v>14023.570095233663</v>
      </c>
      <c r="H47" s="50">
        <f>'Scenario Manager'!H67</f>
        <v>18395.874437335933</v>
      </c>
      <c r="I47" s="50">
        <f>'Scenario Manager'!I67</f>
        <v>19309.428967538861</v>
      </c>
      <c r="J47" s="50">
        <f>'Scenario Manager'!J67</f>
        <v>16165.780378265943</v>
      </c>
      <c r="K47" s="50">
        <f>'Scenario Manager'!K67</f>
        <v>15837.242192180756</v>
      </c>
    </row>
    <row r="48" spans="2:11" ht="18" x14ac:dyDescent="0.55000000000000004">
      <c r="B48" s="35" t="s">
        <v>218</v>
      </c>
      <c r="D48" s="22"/>
      <c r="E48" s="30"/>
      <c r="F48" s="30"/>
      <c r="G48" s="30"/>
      <c r="H48" s="30"/>
      <c r="I48" s="30"/>
      <c r="J48" s="30"/>
      <c r="K48" s="30"/>
    </row>
    <row r="49" spans="1:11" x14ac:dyDescent="0.45">
      <c r="C49" s="38" t="s">
        <v>23</v>
      </c>
      <c r="D49" s="38" t="s">
        <v>31</v>
      </c>
      <c r="E49" s="43"/>
      <c r="F49" s="50">
        <f>'Scenario Manager'!F69</f>
        <v>0</v>
      </c>
      <c r="G49" s="50">
        <f>'Scenario Manager'!G69</f>
        <v>0</v>
      </c>
      <c r="H49" s="50">
        <f>'Scenario Manager'!H69</f>
        <v>0</v>
      </c>
      <c r="I49" s="50">
        <f>'Scenario Manager'!I69</f>
        <v>0</v>
      </c>
      <c r="J49" s="50">
        <f>'Scenario Manager'!J69</f>
        <v>0</v>
      </c>
      <c r="K49" s="50">
        <f>'Scenario Manager'!K69</f>
        <v>0</v>
      </c>
    </row>
    <row r="50" spans="1:11" x14ac:dyDescent="0.45">
      <c r="C50" s="38" t="s">
        <v>213</v>
      </c>
      <c r="D50" s="38" t="s">
        <v>31</v>
      </c>
      <c r="E50" s="43"/>
      <c r="F50" s="50">
        <f>'Scenario Manager'!F70</f>
        <v>273.72646316205305</v>
      </c>
      <c r="G50" s="50">
        <f>'Scenario Manager'!G70</f>
        <v>7710.6604317353904</v>
      </c>
      <c r="H50" s="50">
        <f>'Scenario Manager'!H70</f>
        <v>850.57874041636728</v>
      </c>
      <c r="I50" s="50">
        <f>'Scenario Manager'!I70</f>
        <v>645.7660308449199</v>
      </c>
      <c r="J50" s="50">
        <f>'Scenario Manager'!J70</f>
        <v>221.22798944976705</v>
      </c>
      <c r="K50" s="50">
        <f>'Scenario Manager'!K70</f>
        <v>1882.2410443272067</v>
      </c>
    </row>
    <row r="51" spans="1:11" x14ac:dyDescent="0.45">
      <c r="C51" s="38" t="s">
        <v>214</v>
      </c>
      <c r="D51" s="38" t="s">
        <v>31</v>
      </c>
      <c r="E51" s="43"/>
      <c r="F51" s="50">
        <f>'Scenario Manager'!F71</f>
        <v>201.87210537792012</v>
      </c>
      <c r="G51" s="50">
        <f>'Scenario Manager'!G71</f>
        <v>62.144233794727235</v>
      </c>
      <c r="H51" s="50">
        <f>'Scenario Manager'!H71</f>
        <v>216.4900702318437</v>
      </c>
      <c r="I51" s="50">
        <f>'Scenario Manager'!I71</f>
        <v>260.13283639791581</v>
      </c>
      <c r="J51" s="50">
        <f>'Scenario Manager'!J71</f>
        <v>413.13916696854528</v>
      </c>
      <c r="K51" s="50">
        <f>'Scenario Manager'!K71</f>
        <v>323.09748499270364</v>
      </c>
    </row>
    <row r="52" spans="1:11" x14ac:dyDescent="0.45">
      <c r="C52" s="38" t="s">
        <v>215</v>
      </c>
      <c r="D52" s="38" t="s">
        <v>31</v>
      </c>
      <c r="E52" s="43"/>
      <c r="F52" s="50">
        <f>'Scenario Manager'!F72</f>
        <v>53.458766842759914</v>
      </c>
      <c r="G52" s="50">
        <f>'Scenario Manager'!G72</f>
        <v>45.705880194340764</v>
      </c>
      <c r="H52" s="50">
        <f>'Scenario Manager'!H72</f>
        <v>79.058404851425223</v>
      </c>
      <c r="I52" s="50">
        <f>'Scenario Manager'!I72</f>
        <v>29.319057384313165</v>
      </c>
      <c r="J52" s="50">
        <f>'Scenario Manager'!J72</f>
        <v>20.813808288178045</v>
      </c>
      <c r="K52" s="50">
        <f>'Scenario Manager'!K72</f>
        <v>48.291210420467827</v>
      </c>
    </row>
    <row r="53" spans="1:11" ht="18" x14ac:dyDescent="0.55000000000000004">
      <c r="B53" s="35" t="s">
        <v>159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45">
      <c r="C54" s="38" t="s">
        <v>23</v>
      </c>
      <c r="D54" s="38" t="s">
        <v>164</v>
      </c>
      <c r="E54" s="43"/>
      <c r="F54" s="113">
        <f>'Default asset base'!F155</f>
        <v>1.0540397478722478E-5</v>
      </c>
      <c r="G54" s="53">
        <f>'Default asset base'!G155</f>
        <v>1.060333905173814E-5</v>
      </c>
      <c r="H54" s="53">
        <f>'Default asset base'!H155</f>
        <v>1.0689110200093104E-5</v>
      </c>
      <c r="I54" s="53">
        <f>'Default asset base'!I155</f>
        <v>1.079422662666848E-5</v>
      </c>
      <c r="J54" s="53">
        <f>'Default asset base'!J155</f>
        <v>1.0896573614505221E-5</v>
      </c>
      <c r="K54" s="53">
        <f>'Default asset base'!K155</f>
        <v>1.0999348970158208E-5</v>
      </c>
    </row>
    <row r="55" spans="1:11" x14ac:dyDescent="0.45">
      <c r="C55" s="38" t="s">
        <v>213</v>
      </c>
      <c r="D55" s="38" t="s">
        <v>164</v>
      </c>
      <c r="E55" s="43"/>
      <c r="F55" s="53">
        <f>'Default asset base'!F156</f>
        <v>5.239506342167552E-2</v>
      </c>
      <c r="G55" s="53">
        <f>'Default asset base'!G156</f>
        <v>4.816617604262316E-2</v>
      </c>
      <c r="H55" s="53">
        <f>'Default asset base'!H156</f>
        <v>4.6043797535307809E-2</v>
      </c>
      <c r="I55" s="53">
        <f>'Default asset base'!I156</f>
        <v>4.3783626272740093E-2</v>
      </c>
      <c r="J55" s="53">
        <f>'Default asset base'!J156</f>
        <v>4.3781178452987075E-2</v>
      </c>
      <c r="K55" s="53">
        <f>'Default asset base'!K156</f>
        <v>4.5086701859990343E-2</v>
      </c>
    </row>
    <row r="56" spans="1:11" x14ac:dyDescent="0.45">
      <c r="C56" s="38" t="s">
        <v>214</v>
      </c>
      <c r="D56" s="38" t="s">
        <v>164</v>
      </c>
      <c r="E56" s="43"/>
      <c r="F56" s="53">
        <f>'Default asset base'!F157</f>
        <v>3.9987096882354314E-2</v>
      </c>
      <c r="G56" s="53">
        <f>'Default asset base'!G157</f>
        <v>4.0223238055154993E-2</v>
      </c>
      <c r="H56" s="53">
        <f>'Default asset base'!H157</f>
        <v>4.0341749089588728E-2</v>
      </c>
      <c r="I56" s="53">
        <f>'Default asset base'!I157</f>
        <v>4.0691385359094043E-2</v>
      </c>
      <c r="J56" s="53">
        <f>'Default asset base'!J157</f>
        <v>4.1431272756642275E-2</v>
      </c>
      <c r="K56" s="53">
        <f>'Default asset base'!K157</f>
        <v>4.2352603396948435E-2</v>
      </c>
    </row>
    <row r="57" spans="1:11" x14ac:dyDescent="0.45">
      <c r="C57" s="38" t="s">
        <v>215</v>
      </c>
      <c r="D57" s="38" t="s">
        <v>164</v>
      </c>
      <c r="E57" s="43"/>
      <c r="F57" s="53">
        <f>'Default asset base'!F158</f>
        <v>0.28089416692227392</v>
      </c>
      <c r="G57" s="53">
        <f>'Default asset base'!G158</f>
        <v>0.29156552990880619</v>
      </c>
      <c r="H57" s="53">
        <f>'Default asset base'!H158</f>
        <v>0.31678093599165214</v>
      </c>
      <c r="I57" s="53">
        <f>'Default asset base'!I158</f>
        <v>0.32120200336774374</v>
      </c>
      <c r="J57" s="53">
        <f>'Default asset base'!J158</f>
        <v>0.38130103080283451</v>
      </c>
      <c r="K57" s="53">
        <f>'Default asset base'!K158</f>
        <v>0.42923166901733262</v>
      </c>
    </row>
    <row r="58" spans="1:11" ht="18" x14ac:dyDescent="0.55000000000000004">
      <c r="B58" s="35" t="s">
        <v>161</v>
      </c>
      <c r="C58" s="51"/>
      <c r="D58" s="51"/>
      <c r="E58" s="51"/>
      <c r="F58" s="51"/>
      <c r="G58" s="51"/>
      <c r="H58" s="51"/>
      <c r="I58" s="51"/>
      <c r="J58" s="51"/>
      <c r="K58" s="51"/>
    </row>
    <row r="59" spans="1:11" x14ac:dyDescent="0.45">
      <c r="C59" s="38" t="s">
        <v>23</v>
      </c>
      <c r="D59" s="38" t="s">
        <v>164</v>
      </c>
      <c r="E59" s="43"/>
      <c r="F59" s="113">
        <f>'Default asset base'!F159</f>
        <v>4.1137855035547658E-4</v>
      </c>
      <c r="G59" s="113">
        <f>'Default asset base'!G159</f>
        <v>3.9527150519579697E-4</v>
      </c>
      <c r="H59" s="113">
        <f>'Default asset base'!H159</f>
        <v>3.8005405305866641E-4</v>
      </c>
      <c r="I59" s="113">
        <f>'Default asset base'!I159</f>
        <v>3.6566444785017641E-4</v>
      </c>
      <c r="J59" s="113">
        <f>'Default asset base'!J159</f>
        <v>3.5204564857636351E-4</v>
      </c>
      <c r="K59" s="113">
        <f>'Default asset base'!K159</f>
        <v>3.3914495207939865E-4</v>
      </c>
    </row>
    <row r="60" spans="1:11" x14ac:dyDescent="0.45">
      <c r="C60" s="38" t="s">
        <v>213</v>
      </c>
      <c r="D60" s="38" t="s">
        <v>164</v>
      </c>
      <c r="E60" s="43"/>
      <c r="F60" s="113">
        <f>'Default asset base'!F160</f>
        <v>5.3853412947369908E-2</v>
      </c>
      <c r="G60" s="113">
        <f>'Default asset base'!G160</f>
        <v>6.0137684626353397E-2</v>
      </c>
      <c r="H60" s="113">
        <f>'Default asset base'!H160</f>
        <v>7.0562891902711408E-2</v>
      </c>
      <c r="I60" s="113">
        <f>'Default asset base'!I160</f>
        <v>6.7122179898792919E-2</v>
      </c>
      <c r="J60" s="113">
        <f>'Default asset base'!J160</f>
        <v>6.1976952061711353E-2</v>
      </c>
      <c r="K60" s="113">
        <f>'Default asset base'!K160</f>
        <v>6.3425415372752036E-2</v>
      </c>
    </row>
    <row r="61" spans="1:11" x14ac:dyDescent="0.45">
      <c r="C61" s="38" t="s">
        <v>214</v>
      </c>
      <c r="D61" s="38" t="s">
        <v>164</v>
      </c>
      <c r="E61" s="43"/>
      <c r="F61" s="113">
        <f>'Default asset base'!F161</f>
        <v>7.1481346580188149E-2</v>
      </c>
      <c r="G61" s="113">
        <f>'Default asset base'!G161</f>
        <v>5.9430932400214083E-2</v>
      </c>
      <c r="H61" s="113">
        <f>'Default asset base'!H161</f>
        <v>6.7690465527530747E-2</v>
      </c>
      <c r="I61" s="113">
        <f>'Default asset base'!I161</f>
        <v>6.7659243138085676E-2</v>
      </c>
      <c r="J61" s="113">
        <f>'Default asset base'!J161</f>
        <v>7.0901359752693127E-2</v>
      </c>
      <c r="K61" s="113">
        <f>'Default asset base'!K161</f>
        <v>6.5869960234900854E-2</v>
      </c>
    </row>
    <row r="62" spans="1:11" x14ac:dyDescent="0.45">
      <c r="C62" s="38" t="s">
        <v>215</v>
      </c>
      <c r="D62" s="38" t="s">
        <v>164</v>
      </c>
      <c r="E62" s="43"/>
      <c r="F62" s="113">
        <f>'Default asset base'!F162</f>
        <v>0.43710179457309967</v>
      </c>
      <c r="G62" s="113">
        <f>'Default asset base'!G162</f>
        <v>0.39649616406138521</v>
      </c>
      <c r="H62" s="113">
        <f>'Default asset base'!H162</f>
        <v>0.44305193982543017</v>
      </c>
      <c r="I62" s="113">
        <f>'Default asset base'!I162</f>
        <v>0.3518476804871824</v>
      </c>
      <c r="J62" s="113">
        <f>'Default asset base'!J162</f>
        <v>0.33895502705849734</v>
      </c>
      <c r="K62" s="113">
        <f>'Default asset base'!K162</f>
        <v>0.3897981347584028</v>
      </c>
    </row>
    <row r="63" spans="1:11" ht="23.25" x14ac:dyDescent="0.7">
      <c r="A63" s="27" t="s">
        <v>6</v>
      </c>
    </row>
    <row r="64" spans="1:11" ht="21" x14ac:dyDescent="0.65">
      <c r="A64" s="42" t="s">
        <v>63</v>
      </c>
    </row>
    <row r="65" spans="2:11" ht="18" x14ac:dyDescent="0.55000000000000004">
      <c r="B65" s="35" t="s">
        <v>23</v>
      </c>
      <c r="C65" s="55"/>
      <c r="D65" s="55"/>
      <c r="E65" s="30">
        <v>2016</v>
      </c>
      <c r="F65" s="30">
        <f>E65+1</f>
        <v>2017</v>
      </c>
      <c r="G65" s="30">
        <f>F65+1</f>
        <v>2018</v>
      </c>
      <c r="H65" s="30">
        <f t="shared" ref="H65:K65" si="1">G65+1</f>
        <v>2019</v>
      </c>
      <c r="I65" s="30">
        <f t="shared" si="1"/>
        <v>2020</v>
      </c>
      <c r="J65" s="30">
        <f t="shared" si="1"/>
        <v>2021</v>
      </c>
      <c r="K65" s="30">
        <f t="shared" si="1"/>
        <v>2022</v>
      </c>
    </row>
    <row r="66" spans="2:11" x14ac:dyDescent="0.45">
      <c r="B66" s="55"/>
      <c r="C66" s="62" t="s">
        <v>54</v>
      </c>
      <c r="D66" s="62"/>
      <c r="E66" s="62"/>
      <c r="F66" s="62">
        <f>E72</f>
        <v>334761.86924423126</v>
      </c>
      <c r="G66" s="62">
        <f t="shared" ref="G66:K66" si="2">F72</f>
        <v>335098.41670263803</v>
      </c>
      <c r="H66" s="62">
        <f t="shared" si="2"/>
        <v>335434.91488311382</v>
      </c>
      <c r="I66" s="62">
        <f t="shared" si="2"/>
        <v>335877.61443086906</v>
      </c>
      <c r="J66" s="62">
        <f t="shared" si="2"/>
        <v>336426.49224687362</v>
      </c>
      <c r="K66" s="62">
        <f t="shared" si="2"/>
        <v>336979.68625151186</v>
      </c>
    </row>
    <row r="67" spans="2:11" x14ac:dyDescent="0.45">
      <c r="B67" s="55"/>
      <c r="C67" s="62" t="s">
        <v>55</v>
      </c>
      <c r="D67" s="62"/>
      <c r="E67" s="63"/>
      <c r="F67" s="62">
        <f t="shared" ref="F67:K67" si="3">F19</f>
        <v>0</v>
      </c>
      <c r="G67" s="62">
        <f t="shared" si="3"/>
        <v>0</v>
      </c>
      <c r="H67" s="62">
        <f t="shared" si="3"/>
        <v>0</v>
      </c>
      <c r="I67" s="62">
        <f t="shared" si="3"/>
        <v>0</v>
      </c>
      <c r="J67" s="62">
        <f t="shared" si="3"/>
        <v>0</v>
      </c>
      <c r="K67" s="62">
        <f t="shared" si="3"/>
        <v>0</v>
      </c>
    </row>
    <row r="68" spans="2:11" x14ac:dyDescent="0.45">
      <c r="B68" s="55"/>
      <c r="C68" s="62" t="s">
        <v>38</v>
      </c>
      <c r="D68" s="62"/>
      <c r="E68" s="62"/>
      <c r="F68" s="62">
        <f t="shared" ref="F68:K68" si="4">F29</f>
        <v>340.075981569281</v>
      </c>
      <c r="G68" s="62">
        <f t="shared" si="4"/>
        <v>340.0513426038371</v>
      </c>
      <c r="H68" s="62">
        <f t="shared" si="4"/>
        <v>446.28504852539066</v>
      </c>
      <c r="I68" s="62">
        <f t="shared" si="4"/>
        <v>552.50335509354159</v>
      </c>
      <c r="J68" s="62">
        <f t="shared" si="4"/>
        <v>556.85990067688783</v>
      </c>
      <c r="K68" s="62">
        <f t="shared" si="4"/>
        <v>561.01637984474928</v>
      </c>
    </row>
    <row r="69" spans="2:11" x14ac:dyDescent="0.45">
      <c r="B69" s="55"/>
      <c r="C69" s="62" t="s">
        <v>59</v>
      </c>
      <c r="D69" s="62"/>
      <c r="E69" s="62"/>
      <c r="F69" s="62">
        <f>-F54*F66</f>
        <v>-3.5285231625543192</v>
      </c>
      <c r="G69" s="62">
        <f t="shared" ref="G69:K69" si="5">-G54*G66</f>
        <v>-3.5531621279987022</v>
      </c>
      <c r="H69" s="62">
        <f t="shared" si="5"/>
        <v>-3.5855007701444541</v>
      </c>
      <c r="I69" s="62">
        <f t="shared" si="5"/>
        <v>-3.6255390889915762</v>
      </c>
      <c r="J69" s="62">
        <f t="shared" si="5"/>
        <v>-3.6658960386378285</v>
      </c>
      <c r="K69" s="62">
        <f t="shared" si="5"/>
        <v>-3.7065571649348033</v>
      </c>
    </row>
    <row r="70" spans="2:11" x14ac:dyDescent="0.45">
      <c r="B70" s="55"/>
      <c r="C70" s="62" t="s">
        <v>56</v>
      </c>
      <c r="D70" s="62"/>
      <c r="E70" s="62"/>
      <c r="F70" s="62">
        <f t="shared" ref="F70:K70" si="6">-F24</f>
        <v>0</v>
      </c>
      <c r="G70" s="62">
        <f t="shared" si="6"/>
        <v>0</v>
      </c>
      <c r="H70" s="62">
        <f t="shared" si="6"/>
        <v>0</v>
      </c>
      <c r="I70" s="62">
        <f t="shared" si="6"/>
        <v>0</v>
      </c>
      <c r="J70" s="62">
        <f t="shared" si="6"/>
        <v>0</v>
      </c>
      <c r="K70" s="62">
        <f t="shared" si="6"/>
        <v>0</v>
      </c>
    </row>
    <row r="71" spans="2:11" x14ac:dyDescent="0.45">
      <c r="B71" s="55"/>
      <c r="C71" s="62" t="s">
        <v>57</v>
      </c>
      <c r="D71" s="62"/>
      <c r="E71" s="62"/>
      <c r="F71" s="62">
        <f t="shared" ref="F71:K71" si="7">F34</f>
        <v>0</v>
      </c>
      <c r="G71" s="62">
        <f t="shared" si="7"/>
        <v>0</v>
      </c>
      <c r="H71" s="62">
        <f t="shared" si="7"/>
        <v>0</v>
      </c>
      <c r="I71" s="62">
        <f t="shared" si="7"/>
        <v>0</v>
      </c>
      <c r="J71" s="62">
        <f t="shared" si="7"/>
        <v>0</v>
      </c>
      <c r="K71" s="62">
        <f t="shared" si="7"/>
        <v>0</v>
      </c>
    </row>
    <row r="72" spans="2:11" x14ac:dyDescent="0.45">
      <c r="B72" s="59"/>
      <c r="C72" s="62" t="s">
        <v>58</v>
      </c>
      <c r="D72" s="62"/>
      <c r="E72" s="62">
        <f>E6</f>
        <v>334761.86924423126</v>
      </c>
      <c r="F72" s="62">
        <f t="shared" ref="F72:K72" si="8">SUM(F66:F71)</f>
        <v>335098.41670263803</v>
      </c>
      <c r="G72" s="62">
        <f t="shared" si="8"/>
        <v>335434.91488311382</v>
      </c>
      <c r="H72" s="62">
        <f t="shared" si="8"/>
        <v>335877.61443086906</v>
      </c>
      <c r="I72" s="62">
        <f t="shared" si="8"/>
        <v>336426.49224687362</v>
      </c>
      <c r="J72" s="62">
        <f t="shared" si="8"/>
        <v>336979.68625151186</v>
      </c>
      <c r="K72" s="62">
        <f t="shared" si="8"/>
        <v>337536.99607419164</v>
      </c>
    </row>
    <row r="73" spans="2:11" x14ac:dyDescent="0.45"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2:11" ht="18" x14ac:dyDescent="0.55000000000000004">
      <c r="B74" s="35" t="s">
        <v>213</v>
      </c>
      <c r="C74" s="55"/>
      <c r="D74" s="55"/>
      <c r="E74" s="30">
        <v>2016</v>
      </c>
      <c r="F74" s="30">
        <f>E74+1</f>
        <v>2017</v>
      </c>
      <c r="G74" s="30">
        <f>F74+1</f>
        <v>2018</v>
      </c>
      <c r="H74" s="30">
        <f t="shared" ref="H74:K74" si="9">G74+1</f>
        <v>2019</v>
      </c>
      <c r="I74" s="30">
        <f t="shared" si="9"/>
        <v>2020</v>
      </c>
      <c r="J74" s="30">
        <f t="shared" si="9"/>
        <v>2021</v>
      </c>
      <c r="K74" s="30">
        <f t="shared" si="9"/>
        <v>2022</v>
      </c>
    </row>
    <row r="75" spans="2:11" x14ac:dyDescent="0.45">
      <c r="B75" s="55"/>
      <c r="C75" s="62" t="s">
        <v>54</v>
      </c>
      <c r="D75" s="62"/>
      <c r="E75" s="62"/>
      <c r="F75" s="62">
        <f>E81</f>
        <v>522413.42904351326</v>
      </c>
      <c r="G75" s="62">
        <f t="shared" ref="G75:K75" si="10">F81</f>
        <v>581715.18108451646</v>
      </c>
      <c r="H75" s="62">
        <f t="shared" si="10"/>
        <v>706563.31392642099</v>
      </c>
      <c r="I75" s="62">
        <f t="shared" si="10"/>
        <v>980379.18466973177</v>
      </c>
      <c r="J75" s="62">
        <f t="shared" si="10"/>
        <v>1171799.1519171218</v>
      </c>
      <c r="K75" s="62">
        <f t="shared" si="10"/>
        <v>1202120.4405811066</v>
      </c>
    </row>
    <row r="76" spans="2:11" x14ac:dyDescent="0.45">
      <c r="B76" s="55"/>
      <c r="C76" s="62" t="s">
        <v>216</v>
      </c>
      <c r="D76" s="62"/>
      <c r="E76" s="63"/>
      <c r="F76" s="62">
        <f t="shared" ref="F76:K76" si="11">F20</f>
        <v>97106.941745002987</v>
      </c>
      <c r="G76" s="62">
        <f t="shared" si="11"/>
        <v>166231.14128076352</v>
      </c>
      <c r="H76" s="62">
        <f t="shared" si="11"/>
        <v>307155.00999404798</v>
      </c>
      <c r="I76" s="62">
        <f t="shared" si="11"/>
        <v>234374.14389380498</v>
      </c>
      <c r="J76" s="62">
        <f t="shared" si="11"/>
        <v>80741.38783568592</v>
      </c>
      <c r="K76" s="62">
        <f t="shared" si="11"/>
        <v>137732.14257628622</v>
      </c>
    </row>
    <row r="77" spans="2:11" x14ac:dyDescent="0.45">
      <c r="B77" s="55"/>
      <c r="C77" s="62" t="s">
        <v>38</v>
      </c>
      <c r="D77" s="62"/>
      <c r="E77" s="62"/>
      <c r="F77" s="62">
        <f t="shared" ref="F77:K77" si="12">F30</f>
        <v>414.22713883138454</v>
      </c>
      <c r="G77" s="62">
        <f t="shared" si="12"/>
        <v>457.10738330201468</v>
      </c>
      <c r="H77" s="62">
        <f t="shared" si="12"/>
        <v>729.49397153716995</v>
      </c>
      <c r="I77" s="62">
        <f t="shared" si="12"/>
        <v>1142.2499002070749</v>
      </c>
      <c r="J77" s="62">
        <f t="shared" si="12"/>
        <v>1286.3555486197165</v>
      </c>
      <c r="K77" s="62">
        <f t="shared" si="12"/>
        <v>1265.6121564483644</v>
      </c>
    </row>
    <row r="78" spans="2:11" x14ac:dyDescent="0.45">
      <c r="B78" s="55"/>
      <c r="C78" s="62" t="s">
        <v>59</v>
      </c>
      <c r="D78" s="62"/>
      <c r="E78" s="62"/>
      <c r="F78" s="62">
        <f>-F55*F75</f>
        <v>-27371.88474706986</v>
      </c>
      <c r="G78" s="62">
        <f>-G55*G75</f>
        <v>-28018.995818783231</v>
      </c>
      <c r="H78" s="62">
        <f t="shared" ref="H78:K78" si="13">-H55*H75</f>
        <v>-32532.858172304263</v>
      </c>
      <c r="I78" s="62">
        <f t="shared" si="13"/>
        <v>-42924.555827153177</v>
      </c>
      <c r="J78" s="62">
        <f t="shared" si="13"/>
        <v>-51302.747781142425</v>
      </c>
      <c r="K78" s="62">
        <f t="shared" si="13"/>
        <v>-54199.645904280587</v>
      </c>
    </row>
    <row r="79" spans="2:11" x14ac:dyDescent="0.45">
      <c r="B79" s="55"/>
      <c r="C79" s="62" t="s">
        <v>56</v>
      </c>
      <c r="D79" s="62"/>
      <c r="E79" s="62"/>
      <c r="F79" s="62">
        <f t="shared" ref="F79:K79" si="14">-F25</f>
        <v>-485.53470872501492</v>
      </c>
      <c r="G79" s="62">
        <f t="shared" si="14"/>
        <v>-13821.120003377895</v>
      </c>
      <c r="H79" s="62">
        <f t="shared" si="14"/>
        <v>-1535.7750499702399</v>
      </c>
      <c r="I79" s="62">
        <f t="shared" si="14"/>
        <v>-1171.8707194690251</v>
      </c>
      <c r="J79" s="62">
        <f t="shared" si="14"/>
        <v>-403.70693917842971</v>
      </c>
      <c r="K79" s="62">
        <f t="shared" si="14"/>
        <v>-3454.6369664005433</v>
      </c>
    </row>
    <row r="80" spans="2:11" x14ac:dyDescent="0.45">
      <c r="B80" s="55"/>
      <c r="C80" s="62" t="s">
        <v>57</v>
      </c>
      <c r="D80" s="62"/>
      <c r="E80" s="62"/>
      <c r="F80" s="62">
        <f t="shared" ref="F80:K80" si="15">F35</f>
        <v>-10361.997387036216</v>
      </c>
      <c r="G80" s="62">
        <f t="shared" si="15"/>
        <v>0</v>
      </c>
      <c r="H80" s="62">
        <f t="shared" si="15"/>
        <v>0</v>
      </c>
      <c r="I80" s="62">
        <f t="shared" si="15"/>
        <v>0</v>
      </c>
      <c r="J80" s="62">
        <f t="shared" si="15"/>
        <v>0</v>
      </c>
      <c r="K80" s="62">
        <f t="shared" si="15"/>
        <v>0</v>
      </c>
    </row>
    <row r="81" spans="2:11" x14ac:dyDescent="0.45">
      <c r="B81" s="55"/>
      <c r="C81" s="62" t="s">
        <v>58</v>
      </c>
      <c r="D81" s="62"/>
      <c r="E81" s="62">
        <f>E7</f>
        <v>522413.42904351326</v>
      </c>
      <c r="F81" s="62">
        <f t="shared" ref="F81:K81" si="16">SUM(F75:F80)</f>
        <v>581715.18108451646</v>
      </c>
      <c r="G81" s="62">
        <f t="shared" si="16"/>
        <v>706563.31392642099</v>
      </c>
      <c r="H81" s="62">
        <f t="shared" si="16"/>
        <v>980379.18466973177</v>
      </c>
      <c r="I81" s="62">
        <f t="shared" si="16"/>
        <v>1171799.1519171218</v>
      </c>
      <c r="J81" s="62">
        <f t="shared" si="16"/>
        <v>1202120.4405811066</v>
      </c>
      <c r="K81" s="62">
        <f t="shared" si="16"/>
        <v>1283463.9124431601</v>
      </c>
    </row>
    <row r="82" spans="2:11" x14ac:dyDescent="0.45">
      <c r="B82" s="55"/>
      <c r="C82" s="55"/>
      <c r="D82" s="55"/>
      <c r="E82" s="55"/>
      <c r="F82" s="55"/>
      <c r="G82" s="55"/>
      <c r="H82" s="55"/>
      <c r="I82" s="55"/>
      <c r="J82" s="55"/>
      <c r="K82" s="55"/>
    </row>
    <row r="83" spans="2:11" ht="18" x14ac:dyDescent="0.55000000000000004">
      <c r="B83" s="35" t="s">
        <v>214</v>
      </c>
      <c r="C83" s="55"/>
      <c r="D83" s="55"/>
      <c r="E83" s="30">
        <v>2016</v>
      </c>
      <c r="F83" s="30">
        <f>E83+1</f>
        <v>2017</v>
      </c>
      <c r="G83" s="30">
        <f>F83+1</f>
        <v>2018</v>
      </c>
      <c r="H83" s="30">
        <f t="shared" ref="H83:K83" si="17">G83+1</f>
        <v>2019</v>
      </c>
      <c r="I83" s="30">
        <f t="shared" si="17"/>
        <v>2020</v>
      </c>
      <c r="J83" s="30">
        <f t="shared" si="17"/>
        <v>2021</v>
      </c>
      <c r="K83" s="30">
        <f t="shared" si="17"/>
        <v>2022</v>
      </c>
    </row>
    <row r="84" spans="2:11" x14ac:dyDescent="0.45">
      <c r="B84" s="55"/>
      <c r="C84" s="62" t="s">
        <v>54</v>
      </c>
      <c r="D84" s="62"/>
      <c r="E84" s="62"/>
      <c r="F84" s="62">
        <f>E90</f>
        <v>218029.78127999936</v>
      </c>
      <c r="G84" s="62">
        <f t="shared" ref="G84:K84" si="18">F90</f>
        <v>283584.72741898842</v>
      </c>
      <c r="H84" s="62">
        <f t="shared" si="18"/>
        <v>294756.44642825937</v>
      </c>
      <c r="I84" s="62">
        <f t="shared" si="18"/>
        <v>360653.10385701974</v>
      </c>
      <c r="J84" s="62">
        <f t="shared" si="18"/>
        <v>439919.48822623189</v>
      </c>
      <c r="K84" s="62">
        <f t="shared" si="18"/>
        <v>571723.5267294324</v>
      </c>
    </row>
    <row r="85" spans="2:11" x14ac:dyDescent="0.45">
      <c r="B85" s="55"/>
      <c r="C85" s="62" t="s">
        <v>216</v>
      </c>
      <c r="D85" s="62"/>
      <c r="E85" s="63"/>
      <c r="F85" s="62">
        <f t="shared" ref="F85:K85" si="19">F21</f>
        <v>74631.403914217241</v>
      </c>
      <c r="G85" s="62">
        <f t="shared" si="19"/>
        <v>22688.883339393677</v>
      </c>
      <c r="H85" s="62">
        <f t="shared" si="19"/>
        <v>78177.370919385547</v>
      </c>
      <c r="I85" s="62">
        <f t="shared" si="19"/>
        <v>94412.539398608074</v>
      </c>
      <c r="J85" s="62">
        <f t="shared" si="19"/>
        <v>150783.04419474828</v>
      </c>
      <c r="K85" s="62">
        <f t="shared" si="19"/>
        <v>118601.655061221</v>
      </c>
    </row>
    <row r="86" spans="2:11" x14ac:dyDescent="0.45">
      <c r="B86" s="55"/>
      <c r="C86" s="62" t="s">
        <v>38</v>
      </c>
      <c r="D86" s="62"/>
      <c r="E86" s="62"/>
      <c r="F86" s="62">
        <f t="shared" ref="F86:K86" si="20">F31</f>
        <v>0</v>
      </c>
      <c r="G86" s="62">
        <f t="shared" si="20"/>
        <v>0.92328395552216536</v>
      </c>
      <c r="H86" s="62">
        <f t="shared" si="20"/>
        <v>1.1639683193421884</v>
      </c>
      <c r="I86" s="62">
        <f t="shared" si="20"/>
        <v>1.3820975965056561</v>
      </c>
      <c r="J86" s="62">
        <f t="shared" si="20"/>
        <v>1.333837089505725</v>
      </c>
      <c r="K86" s="62">
        <f t="shared" si="20"/>
        <v>1.2841690618020811</v>
      </c>
    </row>
    <row r="87" spans="2:11" x14ac:dyDescent="0.45">
      <c r="B87" s="55"/>
      <c r="C87" s="62" t="s">
        <v>59</v>
      </c>
      <c r="D87" s="62"/>
      <c r="E87" s="62"/>
      <c r="F87" s="62">
        <f>-F56*F84</f>
        <v>-8718.3779872818559</v>
      </c>
      <c r="G87" s="62">
        <f t="shared" ref="G87:K87" si="21">-G56*G84</f>
        <v>-11406.695999780211</v>
      </c>
      <c r="H87" s="62">
        <f t="shared" si="21"/>
        <v>-11890.99060434764</v>
      </c>
      <c r="I87" s="62">
        <f t="shared" si="21"/>
        <v>-14675.474429999356</v>
      </c>
      <c r="J87" s="62">
        <f t="shared" si="21"/>
        <v>-18226.424307663492</v>
      </c>
      <c r="K87" s="62">
        <f t="shared" si="21"/>
        <v>-24213.979780276299</v>
      </c>
    </row>
    <row r="88" spans="2:11" x14ac:dyDescent="0.45">
      <c r="B88" s="55"/>
      <c r="C88" s="62" t="s">
        <v>56</v>
      </c>
      <c r="D88" s="62"/>
      <c r="E88" s="62"/>
      <c r="F88" s="62">
        <f t="shared" ref="F88:K88" si="22">-F26</f>
        <v>-358.07978794635596</v>
      </c>
      <c r="G88" s="62">
        <f t="shared" si="22"/>
        <v>-111.39161429802313</v>
      </c>
      <c r="H88" s="62">
        <f t="shared" si="22"/>
        <v>-390.88685459692778</v>
      </c>
      <c r="I88" s="62">
        <f t="shared" si="22"/>
        <v>-472.06269699304039</v>
      </c>
      <c r="J88" s="62">
        <f t="shared" si="22"/>
        <v>-753.91522097374138</v>
      </c>
      <c r="K88" s="62">
        <f t="shared" si="22"/>
        <v>-593.00827530610502</v>
      </c>
    </row>
    <row r="89" spans="2:11" x14ac:dyDescent="0.45">
      <c r="B89" s="55"/>
      <c r="C89" s="62" t="s">
        <v>57</v>
      </c>
      <c r="D89" s="62"/>
      <c r="E89" s="62"/>
      <c r="F89" s="62">
        <f t="shared" ref="F89:K89" si="23">F36</f>
        <v>0</v>
      </c>
      <c r="G89" s="62">
        <f t="shared" si="23"/>
        <v>0</v>
      </c>
      <c r="H89" s="62">
        <f t="shared" si="23"/>
        <v>0</v>
      </c>
      <c r="I89" s="62">
        <f t="shared" si="23"/>
        <v>0</v>
      </c>
      <c r="J89" s="62">
        <f t="shared" si="23"/>
        <v>0</v>
      </c>
      <c r="K89" s="62">
        <f t="shared" si="23"/>
        <v>0</v>
      </c>
    </row>
    <row r="90" spans="2:11" x14ac:dyDescent="0.45">
      <c r="B90" s="55"/>
      <c r="C90" s="62" t="s">
        <v>58</v>
      </c>
      <c r="D90" s="62"/>
      <c r="E90" s="62">
        <f>E8</f>
        <v>218029.78127999936</v>
      </c>
      <c r="F90" s="62">
        <f t="shared" ref="F90:K90" si="24">SUM(F84:F89)</f>
        <v>283584.72741898842</v>
      </c>
      <c r="G90" s="62">
        <f t="shared" si="24"/>
        <v>294756.44642825937</v>
      </c>
      <c r="H90" s="62">
        <f t="shared" si="24"/>
        <v>360653.10385701974</v>
      </c>
      <c r="I90" s="62">
        <f t="shared" si="24"/>
        <v>439919.48822623189</v>
      </c>
      <c r="J90" s="62">
        <f t="shared" si="24"/>
        <v>571723.5267294324</v>
      </c>
      <c r="K90" s="62">
        <f t="shared" si="24"/>
        <v>665519.4779041328</v>
      </c>
    </row>
    <row r="91" spans="2:11" x14ac:dyDescent="0.45"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2:11" ht="18" x14ac:dyDescent="0.55000000000000004">
      <c r="B92" s="35" t="s">
        <v>215</v>
      </c>
      <c r="C92" s="55"/>
      <c r="D92" s="55"/>
      <c r="E92" s="30">
        <v>2016</v>
      </c>
      <c r="F92" s="30">
        <f>E92+1</f>
        <v>2017</v>
      </c>
      <c r="G92" s="30">
        <f>F92+1</f>
        <v>2018</v>
      </c>
      <c r="H92" s="30">
        <f t="shared" ref="H92:K92" si="25">G92+1</f>
        <v>2019</v>
      </c>
      <c r="I92" s="30">
        <f t="shared" si="25"/>
        <v>2020</v>
      </c>
      <c r="J92" s="30">
        <f t="shared" si="25"/>
        <v>2021</v>
      </c>
      <c r="K92" s="30">
        <f t="shared" si="25"/>
        <v>2022</v>
      </c>
    </row>
    <row r="93" spans="2:11" x14ac:dyDescent="0.45">
      <c r="B93" s="55"/>
      <c r="C93" s="62" t="s">
        <v>54</v>
      </c>
      <c r="D93" s="62"/>
      <c r="E93" s="62"/>
      <c r="F93" s="62">
        <f>E99</f>
        <v>32020.215491697654</v>
      </c>
      <c r="G93" s="62">
        <f t="shared" ref="G93:K93" si="26">F99</f>
        <v>44185.923427740396</v>
      </c>
      <c r="H93" s="62">
        <f t="shared" si="26"/>
        <v>51447.883887488351</v>
      </c>
      <c r="I93" s="62">
        <f t="shared" si="26"/>
        <v>66898.428586390117</v>
      </c>
      <c r="J93" s="62">
        <f t="shared" si="26"/>
        <v>57625.633965877998</v>
      </c>
      <c r="K93" s="62">
        <f t="shared" si="26"/>
        <v>44821.957104335226</v>
      </c>
    </row>
    <row r="94" spans="2:11" x14ac:dyDescent="0.45">
      <c r="B94" s="55"/>
      <c r="C94" s="62" t="s">
        <v>216</v>
      </c>
      <c r="D94" s="62"/>
      <c r="E94" s="63"/>
      <c r="F94" s="62">
        <f t="shared" ref="F94:K94" si="27">F22</f>
        <v>21252.563890343492</v>
      </c>
      <c r="G94" s="62">
        <f t="shared" si="27"/>
        <v>20221.342870105698</v>
      </c>
      <c r="H94" s="62">
        <f t="shared" si="27"/>
        <v>31834.205371412158</v>
      </c>
      <c r="I94" s="62">
        <f t="shared" si="27"/>
        <v>12151.662603484141</v>
      </c>
      <c r="J94" s="62">
        <f t="shared" si="27"/>
        <v>9122.9424729848961</v>
      </c>
      <c r="K94" s="62">
        <f t="shared" si="27"/>
        <v>11268.898445665996</v>
      </c>
    </row>
    <row r="95" spans="2:11" x14ac:dyDescent="0.45">
      <c r="B95" s="55"/>
      <c r="C95" s="62" t="s">
        <v>38</v>
      </c>
      <c r="D95" s="62"/>
      <c r="E95" s="62"/>
      <c r="F95" s="62">
        <f t="shared" ref="F95:K95" si="28">F32</f>
        <v>2.2607092813914567</v>
      </c>
      <c r="G95" s="62">
        <f t="shared" si="28"/>
        <v>5.6361429719822249</v>
      </c>
      <c r="H95" s="62">
        <f t="shared" si="28"/>
        <v>56.793214649078756</v>
      </c>
      <c r="I95" s="62">
        <f t="shared" si="28"/>
        <v>116.65731282929735</v>
      </c>
      <c r="J95" s="62">
        <f t="shared" si="28"/>
        <v>84.076285310923907</v>
      </c>
      <c r="K95" s="62">
        <f t="shared" si="28"/>
        <v>50.939454378207714</v>
      </c>
    </row>
    <row r="96" spans="2:11" x14ac:dyDescent="0.45">
      <c r="B96" s="55"/>
      <c r="C96" s="62" t="s">
        <v>59</v>
      </c>
      <c r="D96" s="62"/>
      <c r="E96" s="62"/>
      <c r="F96" s="62">
        <f>-F57*F93</f>
        <v>-8994.2917552121016</v>
      </c>
      <c r="G96" s="62">
        <f t="shared" ref="G96:K96" si="29">-G57*G93</f>
        <v>-12883.092178719062</v>
      </c>
      <c r="H96" s="62">
        <f t="shared" si="29"/>
        <v>-16297.708812668399</v>
      </c>
      <c r="I96" s="62">
        <f t="shared" si="29"/>
        <v>-21487.909284102443</v>
      </c>
      <c r="J96" s="62">
        <f t="shared" si="29"/>
        <v>-21972.713631856113</v>
      </c>
      <c r="K96" s="62">
        <f t="shared" si="29"/>
        <v>-19239.003456517097</v>
      </c>
    </row>
    <row r="97" spans="2:11" x14ac:dyDescent="0.45">
      <c r="B97" s="55"/>
      <c r="C97" s="62" t="s">
        <v>56</v>
      </c>
      <c r="D97" s="62"/>
      <c r="E97" s="62"/>
      <c r="F97" s="62">
        <f t="shared" ref="F97:K97" si="30">-F27</f>
        <v>-94.824908370044056</v>
      </c>
      <c r="G97" s="62">
        <f t="shared" si="30"/>
        <v>-81.926374610666443</v>
      </c>
      <c r="H97" s="62">
        <f t="shared" si="30"/>
        <v>-142.74507449108197</v>
      </c>
      <c r="I97" s="62">
        <f t="shared" si="30"/>
        <v>-53.20525272311788</v>
      </c>
      <c r="J97" s="62">
        <f t="shared" si="30"/>
        <v>-37.981987982469725</v>
      </c>
      <c r="K97" s="62">
        <f t="shared" si="30"/>
        <v>-88.632962910660012</v>
      </c>
    </row>
    <row r="98" spans="2:11" x14ac:dyDescent="0.45">
      <c r="B98" s="55"/>
      <c r="C98" s="62" t="s">
        <v>57</v>
      </c>
      <c r="D98" s="62"/>
      <c r="E98" s="62"/>
      <c r="F98" s="62">
        <f t="shared" ref="F98:K98" si="31">F37</f>
        <v>0</v>
      </c>
      <c r="G98" s="62">
        <f t="shared" si="31"/>
        <v>0</v>
      </c>
      <c r="H98" s="62">
        <f t="shared" si="31"/>
        <v>0</v>
      </c>
      <c r="I98" s="62">
        <f t="shared" si="31"/>
        <v>0</v>
      </c>
      <c r="J98" s="62">
        <f t="shared" si="31"/>
        <v>0</v>
      </c>
      <c r="K98" s="62">
        <f t="shared" si="31"/>
        <v>0</v>
      </c>
    </row>
    <row r="99" spans="2:11" x14ac:dyDescent="0.45">
      <c r="B99" s="55"/>
      <c r="C99" s="62" t="s">
        <v>58</v>
      </c>
      <c r="D99" s="62"/>
      <c r="E99" s="62">
        <f>E9</f>
        <v>32020.215491697654</v>
      </c>
      <c r="F99" s="62">
        <f t="shared" ref="F99:K99" si="32">SUM(F93:F98)</f>
        <v>44185.923427740396</v>
      </c>
      <c r="G99" s="62">
        <f t="shared" si="32"/>
        <v>51447.883887488351</v>
      </c>
      <c r="H99" s="62">
        <f t="shared" si="32"/>
        <v>66898.428586390117</v>
      </c>
      <c r="I99" s="62">
        <f t="shared" si="32"/>
        <v>57625.633965877998</v>
      </c>
      <c r="J99" s="62">
        <f t="shared" si="32"/>
        <v>44821.957104335226</v>
      </c>
      <c r="K99" s="62">
        <f t="shared" si="32"/>
        <v>36814.15858495167</v>
      </c>
    </row>
    <row r="100" spans="2:11" x14ac:dyDescent="0.45">
      <c r="B100" s="55"/>
      <c r="C100" s="62"/>
      <c r="D100" s="62"/>
      <c r="E100" s="62"/>
      <c r="F100" s="62"/>
      <c r="G100" s="62"/>
      <c r="H100" s="62"/>
      <c r="I100" s="62"/>
      <c r="J100" s="62"/>
      <c r="K100" s="62"/>
    </row>
    <row r="101" spans="2:11" ht="18" x14ac:dyDescent="0.55000000000000004">
      <c r="B101" s="35" t="s">
        <v>60</v>
      </c>
      <c r="C101" s="61"/>
      <c r="D101" s="61"/>
      <c r="E101" s="30">
        <v>2016</v>
      </c>
      <c r="F101" s="30">
        <f>E101+1</f>
        <v>2017</v>
      </c>
      <c r="G101" s="30">
        <f>F101+1</f>
        <v>2018</v>
      </c>
      <c r="H101" s="30">
        <f t="shared" ref="H101:K101" si="33">G101+1</f>
        <v>2019</v>
      </c>
      <c r="I101" s="30">
        <f t="shared" si="33"/>
        <v>2020</v>
      </c>
      <c r="J101" s="30">
        <f t="shared" si="33"/>
        <v>2021</v>
      </c>
      <c r="K101" s="30">
        <f t="shared" si="33"/>
        <v>2022</v>
      </c>
    </row>
    <row r="102" spans="2:11" x14ac:dyDescent="0.45">
      <c r="B102" s="61"/>
      <c r="C102" s="62" t="s">
        <v>54</v>
      </c>
      <c r="D102" s="62"/>
      <c r="E102" s="62"/>
      <c r="F102" s="62">
        <f t="shared" ref="F102:K107" si="34">SUM(F66,F75,F84,F93,)</f>
        <v>1107225.2950594416</v>
      </c>
      <c r="G102" s="62">
        <f t="shared" si="34"/>
        <v>1244584.2486338832</v>
      </c>
      <c r="H102" s="62">
        <f t="shared" si="34"/>
        <v>1388202.5591252826</v>
      </c>
      <c r="I102" s="62">
        <f t="shared" si="34"/>
        <v>1743808.3315440107</v>
      </c>
      <c r="J102" s="62">
        <f t="shared" si="34"/>
        <v>2005770.7663561055</v>
      </c>
      <c r="K102" s="62">
        <f t="shared" si="34"/>
        <v>2155645.6106663859</v>
      </c>
    </row>
    <row r="103" spans="2:11" x14ac:dyDescent="0.45">
      <c r="B103" s="61"/>
      <c r="C103" s="62" t="s">
        <v>216</v>
      </c>
      <c r="D103" s="62"/>
      <c r="E103" s="63"/>
      <c r="F103" s="62">
        <f t="shared" si="34"/>
        <v>192990.90954956374</v>
      </c>
      <c r="G103" s="62">
        <f t="shared" si="34"/>
        <v>209141.3674902629</v>
      </c>
      <c r="H103" s="62">
        <f t="shared" si="34"/>
        <v>417166.58628484566</v>
      </c>
      <c r="I103" s="62">
        <f t="shared" si="34"/>
        <v>340938.34589589719</v>
      </c>
      <c r="J103" s="62">
        <f t="shared" si="34"/>
        <v>240647.37450341909</v>
      </c>
      <c r="K103" s="62">
        <f t="shared" si="34"/>
        <v>267602.69608317321</v>
      </c>
    </row>
    <row r="104" spans="2:11" x14ac:dyDescent="0.45">
      <c r="B104" s="61"/>
      <c r="C104" s="62" t="s">
        <v>38</v>
      </c>
      <c r="D104" s="62"/>
      <c r="E104" s="62"/>
      <c r="F104" s="62">
        <f t="shared" si="34"/>
        <v>756.56382968205696</v>
      </c>
      <c r="G104" s="62">
        <f t="shared" si="34"/>
        <v>803.71815283335616</v>
      </c>
      <c r="H104" s="62">
        <f t="shared" si="34"/>
        <v>1233.7362030309814</v>
      </c>
      <c r="I104" s="62">
        <f t="shared" si="34"/>
        <v>1812.7926657264195</v>
      </c>
      <c r="J104" s="62">
        <f t="shared" si="34"/>
        <v>1928.6255716970338</v>
      </c>
      <c r="K104" s="62">
        <f t="shared" si="34"/>
        <v>1878.8521597331235</v>
      </c>
    </row>
    <row r="105" spans="2:11" x14ac:dyDescent="0.45">
      <c r="B105" s="61"/>
      <c r="C105" s="62" t="s">
        <v>59</v>
      </c>
      <c r="D105" s="62"/>
      <c r="E105" s="62"/>
      <c r="F105" s="62">
        <f t="shared" si="34"/>
        <v>-45088.083012726369</v>
      </c>
      <c r="G105" s="62">
        <f t="shared" si="34"/>
        <v>-52312.337159410497</v>
      </c>
      <c r="H105" s="62">
        <f t="shared" si="34"/>
        <v>-60725.143090090438</v>
      </c>
      <c r="I105" s="62">
        <f t="shared" si="34"/>
        <v>-79091.565080343964</v>
      </c>
      <c r="J105" s="62">
        <f t="shared" si="34"/>
        <v>-91505.551616700672</v>
      </c>
      <c r="K105" s="62">
        <f t="shared" si="34"/>
        <v>-97656.335698238923</v>
      </c>
    </row>
    <row r="106" spans="2:11" x14ac:dyDescent="0.45">
      <c r="B106" s="61"/>
      <c r="C106" s="62" t="s">
        <v>56</v>
      </c>
      <c r="D106" s="63"/>
      <c r="E106" s="62"/>
      <c r="F106" s="62">
        <f t="shared" si="34"/>
        <v>-938.43940504141506</v>
      </c>
      <c r="G106" s="62">
        <f t="shared" si="34"/>
        <v>-14014.437992286585</v>
      </c>
      <c r="H106" s="62">
        <f t="shared" si="34"/>
        <v>-2069.4069790582498</v>
      </c>
      <c r="I106" s="62">
        <f t="shared" si="34"/>
        <v>-1697.1386691851833</v>
      </c>
      <c r="J106" s="62">
        <f t="shared" si="34"/>
        <v>-1195.6041481346408</v>
      </c>
      <c r="K106" s="62">
        <f t="shared" si="34"/>
        <v>-4136.2782046173088</v>
      </c>
    </row>
    <row r="107" spans="2:11" x14ac:dyDescent="0.45">
      <c r="B107" s="61"/>
      <c r="C107" s="62" t="s">
        <v>57</v>
      </c>
      <c r="D107" s="62"/>
      <c r="E107" s="62"/>
      <c r="F107" s="62">
        <f t="shared" si="34"/>
        <v>-10361.997387036216</v>
      </c>
      <c r="G107" s="62">
        <f t="shared" si="34"/>
        <v>0</v>
      </c>
      <c r="H107" s="62">
        <f t="shared" si="34"/>
        <v>0</v>
      </c>
      <c r="I107" s="62">
        <f t="shared" si="34"/>
        <v>0</v>
      </c>
      <c r="J107" s="62">
        <f t="shared" si="34"/>
        <v>0</v>
      </c>
      <c r="K107" s="62">
        <f t="shared" si="34"/>
        <v>0</v>
      </c>
    </row>
    <row r="108" spans="2:11" x14ac:dyDescent="0.45">
      <c r="B108" s="60"/>
      <c r="C108" s="62" t="s">
        <v>58</v>
      </c>
      <c r="D108" s="62"/>
      <c r="E108" s="62"/>
      <c r="F108" s="62">
        <f>SUM(F72,F81,F90,F99)</f>
        <v>1244584.2486338832</v>
      </c>
      <c r="G108" s="62">
        <f t="shared" ref="G108:K108" si="35">SUM(G72,G81,G90,G99)</f>
        <v>1388202.5591252826</v>
      </c>
      <c r="H108" s="62">
        <f t="shared" si="35"/>
        <v>1743808.3315440107</v>
      </c>
      <c r="I108" s="62">
        <f t="shared" si="35"/>
        <v>2005770.7663561055</v>
      </c>
      <c r="J108" s="62">
        <f t="shared" si="35"/>
        <v>2155645.6106663859</v>
      </c>
      <c r="K108" s="62">
        <f t="shared" si="35"/>
        <v>2323334.5450064368</v>
      </c>
    </row>
    <row r="109" spans="2:11" x14ac:dyDescent="0.45">
      <c r="B109" s="60"/>
      <c r="C109" s="62"/>
      <c r="D109" s="62"/>
      <c r="E109" s="62"/>
      <c r="F109" s="62"/>
      <c r="G109" s="62"/>
      <c r="H109" s="62"/>
      <c r="I109" s="62"/>
      <c r="J109" s="62"/>
      <c r="K109" s="62"/>
    </row>
    <row r="110" spans="2:11" ht="18" x14ac:dyDescent="0.55000000000000004">
      <c r="B110" s="35" t="s">
        <v>61</v>
      </c>
      <c r="C110" s="61"/>
      <c r="D110" s="61"/>
      <c r="E110" s="30">
        <v>2016</v>
      </c>
      <c r="F110" s="30">
        <f>E110+1</f>
        <v>2017</v>
      </c>
      <c r="G110" s="30">
        <f>F110+1</f>
        <v>2018</v>
      </c>
      <c r="H110" s="30">
        <f t="shared" ref="H110:K110" si="36">G110+1</f>
        <v>2019</v>
      </c>
      <c r="I110" s="30">
        <f t="shared" si="36"/>
        <v>2020</v>
      </c>
      <c r="J110" s="30">
        <f t="shared" si="36"/>
        <v>2021</v>
      </c>
      <c r="K110" s="30">
        <f t="shared" si="36"/>
        <v>2022</v>
      </c>
    </row>
    <row r="111" spans="2:11" x14ac:dyDescent="0.45">
      <c r="B111" s="60"/>
      <c r="C111" s="62" t="s">
        <v>62</v>
      </c>
      <c r="D111" s="62"/>
      <c r="E111" s="62"/>
      <c r="F111" s="62"/>
      <c r="G111" s="62">
        <f>F108</f>
        <v>1244584.2486338832</v>
      </c>
      <c r="H111" s="62">
        <f t="shared" ref="H111:K111" si="37">G108</f>
        <v>1388202.5591252826</v>
      </c>
      <c r="I111" s="62">
        <f t="shared" si="37"/>
        <v>1743808.3315440107</v>
      </c>
      <c r="J111" s="62">
        <f t="shared" si="37"/>
        <v>2005770.7663561055</v>
      </c>
      <c r="K111" s="62">
        <f t="shared" si="37"/>
        <v>2155645.6106663859</v>
      </c>
    </row>
    <row r="112" spans="2:11" x14ac:dyDescent="0.45">
      <c r="B112" s="60"/>
      <c r="C112" s="62" t="s">
        <v>230</v>
      </c>
      <c r="D112" s="62"/>
      <c r="E112" s="63"/>
      <c r="F112" s="62"/>
      <c r="G112" s="62">
        <f>G67*RIVProp</f>
        <v>0</v>
      </c>
      <c r="H112" s="62">
        <f>H67*RIVProp</f>
        <v>0</v>
      </c>
      <c r="I112" s="62">
        <f>I67*RIVProp</f>
        <v>0</v>
      </c>
      <c r="J112" s="62">
        <f>J67*RIVProp</f>
        <v>0</v>
      </c>
      <c r="K112" s="62">
        <f>K67*RIVProp</f>
        <v>0</v>
      </c>
    </row>
    <row r="113" spans="1:11" x14ac:dyDescent="0.45">
      <c r="B113" s="60"/>
      <c r="C113" s="62" t="s">
        <v>231</v>
      </c>
      <c r="D113" s="62"/>
      <c r="E113" s="62"/>
      <c r="F113" s="62"/>
      <c r="G113" s="62">
        <f>G76*RIVProp</f>
        <v>83115.57064038176</v>
      </c>
      <c r="H113" s="62">
        <f>H76*RIVProp</f>
        <v>153577.50499702399</v>
      </c>
      <c r="I113" s="62">
        <f>I76*RIVProp</f>
        <v>117187.07194690249</v>
      </c>
      <c r="J113" s="62">
        <f>J76*RIVProp</f>
        <v>40370.69391784296</v>
      </c>
      <c r="K113" s="62">
        <f>K76*RIVProp</f>
        <v>68866.07128814311</v>
      </c>
    </row>
    <row r="114" spans="1:11" x14ac:dyDescent="0.45">
      <c r="B114" s="60"/>
      <c r="C114" s="62" t="s">
        <v>232</v>
      </c>
      <c r="D114" s="62"/>
      <c r="E114" s="62"/>
      <c r="F114" s="62"/>
      <c r="G114" s="62">
        <f>G85*RIVProp</f>
        <v>11344.441669696838</v>
      </c>
      <c r="H114" s="62">
        <f>H85*RIVProp</f>
        <v>39088.685459692773</v>
      </c>
      <c r="I114" s="62">
        <f>I85*RIVProp</f>
        <v>47206.269699304037</v>
      </c>
      <c r="J114" s="62">
        <f>J85*RIVProp</f>
        <v>75391.522097374138</v>
      </c>
      <c r="K114" s="62">
        <f>K85*RIVProp</f>
        <v>59300.827530610499</v>
      </c>
    </row>
    <row r="115" spans="1:11" x14ac:dyDescent="0.45">
      <c r="B115" s="60"/>
      <c r="C115" s="62" t="s">
        <v>233</v>
      </c>
      <c r="D115" s="63"/>
      <c r="E115" s="62"/>
      <c r="F115" s="62"/>
      <c r="G115" s="62">
        <f>G94*RIVProp</f>
        <v>10110.671435052849</v>
      </c>
      <c r="H115" s="62">
        <f>H94*RIVProp</f>
        <v>15917.102685706079</v>
      </c>
      <c r="I115" s="62">
        <f>I94*RIVProp</f>
        <v>6075.8313017420705</v>
      </c>
      <c r="J115" s="62">
        <f>J94*RIVProp</f>
        <v>4561.471236492448</v>
      </c>
      <c r="K115" s="62">
        <f>K94*RIVProp</f>
        <v>5634.4492228329982</v>
      </c>
    </row>
    <row r="116" spans="1:11" x14ac:dyDescent="0.45">
      <c r="B116" s="61"/>
      <c r="C116" s="62" t="s">
        <v>61</v>
      </c>
      <c r="D116" s="62"/>
      <c r="E116" s="62"/>
      <c r="F116" s="62">
        <f>F108</f>
        <v>1244584.2486338832</v>
      </c>
      <c r="G116" s="62">
        <f>SUM(G111:G115)</f>
        <v>1349154.9323790146</v>
      </c>
      <c r="H116" s="62">
        <f>SUM(H111:H115)</f>
        <v>1596785.8522677054</v>
      </c>
      <c r="I116" s="62">
        <f>SUM(I111:I115)</f>
        <v>1914277.5044919592</v>
      </c>
      <c r="J116" s="62">
        <f>SUM(J111:J115)</f>
        <v>2126094.4536078153</v>
      </c>
      <c r="K116" s="62">
        <f>SUM(K111:K115)</f>
        <v>2289446.9587079724</v>
      </c>
    </row>
    <row r="117" spans="1:11" x14ac:dyDescent="0.45">
      <c r="B117" s="55"/>
      <c r="C117" s="55"/>
      <c r="D117" s="55"/>
      <c r="E117" s="55"/>
      <c r="F117" s="55"/>
      <c r="G117" s="55"/>
      <c r="H117" s="55"/>
      <c r="I117" s="55"/>
      <c r="J117" s="55"/>
      <c r="K117" s="55"/>
    </row>
    <row r="118" spans="1:11" ht="21" x14ac:dyDescent="0.65">
      <c r="A118" s="42" t="s">
        <v>65</v>
      </c>
    </row>
    <row r="119" spans="1:11" ht="18" x14ac:dyDescent="0.55000000000000004">
      <c r="B119" s="35" t="s">
        <v>23</v>
      </c>
      <c r="C119" s="55"/>
      <c r="D119" s="55"/>
      <c r="E119" s="30">
        <v>2016</v>
      </c>
      <c r="F119" s="30">
        <f>E119+1</f>
        <v>2017</v>
      </c>
      <c r="G119" s="30">
        <f>F119+1</f>
        <v>2018</v>
      </c>
      <c r="H119" s="30">
        <f t="shared" ref="H119:K119" si="38">G119+1</f>
        <v>2019</v>
      </c>
      <c r="I119" s="30">
        <f t="shared" si="38"/>
        <v>2020</v>
      </c>
      <c r="J119" s="30">
        <f t="shared" si="38"/>
        <v>2021</v>
      </c>
      <c r="K119" s="30">
        <f t="shared" si="38"/>
        <v>2022</v>
      </c>
    </row>
    <row r="120" spans="1:11" x14ac:dyDescent="0.45">
      <c r="B120" s="55"/>
      <c r="C120" s="62" t="s">
        <v>54</v>
      </c>
      <c r="D120" s="62"/>
      <c r="E120" s="62"/>
      <c r="F120" s="62">
        <f>E124</f>
        <v>76319.640198870082</v>
      </c>
      <c r="G120" s="62">
        <f t="shared" ref="G120:K120" si="39">F124</f>
        <v>76288.243935921419</v>
      </c>
      <c r="H120" s="62">
        <f t="shared" si="39"/>
        <v>76258.089366912129</v>
      </c>
      <c r="I120" s="62">
        <f t="shared" si="39"/>
        <v>76229.107170969728</v>
      </c>
      <c r="J120" s="62">
        <f t="shared" si="39"/>
        <v>76201.232896585949</v>
      </c>
      <c r="K120" s="62">
        <f t="shared" si="39"/>
        <v>76174.406584128548</v>
      </c>
    </row>
    <row r="121" spans="1:11" x14ac:dyDescent="0.45">
      <c r="B121" s="55"/>
      <c r="C121" s="62" t="s">
        <v>216</v>
      </c>
      <c r="D121" s="62"/>
      <c r="E121" s="62"/>
      <c r="F121" s="62">
        <f t="shared" ref="F121:K121" si="40">F19</f>
        <v>0</v>
      </c>
      <c r="G121" s="62">
        <f t="shared" si="40"/>
        <v>0</v>
      </c>
      <c r="H121" s="62">
        <f t="shared" si="40"/>
        <v>0</v>
      </c>
      <c r="I121" s="62">
        <f t="shared" si="40"/>
        <v>0</v>
      </c>
      <c r="J121" s="62">
        <f t="shared" si="40"/>
        <v>0</v>
      </c>
      <c r="K121" s="62">
        <f t="shared" si="40"/>
        <v>0</v>
      </c>
    </row>
    <row r="122" spans="1:11" x14ac:dyDescent="0.45">
      <c r="B122" s="55"/>
      <c r="C122" s="62" t="s">
        <v>66</v>
      </c>
      <c r="D122" s="62"/>
      <c r="E122" s="62"/>
      <c r="F122" s="62">
        <f t="shared" ref="F122:K122" si="41">-F120*F59</f>
        <v>-31.396262948662731</v>
      </c>
      <c r="G122" s="62">
        <f t="shared" si="41"/>
        <v>-30.154569009295791</v>
      </c>
      <c r="H122" s="62">
        <f t="shared" si="41"/>
        <v>-28.982195942404946</v>
      </c>
      <c r="I122" s="62">
        <f t="shared" si="41"/>
        <v>-27.87427438378457</v>
      </c>
      <c r="J122" s="62">
        <f t="shared" si="41"/>
        <v>-26.826312457397126</v>
      </c>
      <c r="K122" s="62">
        <f t="shared" si="41"/>
        <v>-25.834165470650905</v>
      </c>
    </row>
    <row r="123" spans="1:11" x14ac:dyDescent="0.45">
      <c r="B123" s="55"/>
      <c r="C123" s="62" t="s">
        <v>56</v>
      </c>
      <c r="D123" s="62"/>
      <c r="E123" s="62"/>
      <c r="F123" s="62">
        <f t="shared" ref="F123:K123" si="42">-F49</f>
        <v>0</v>
      </c>
      <c r="G123" s="62">
        <f t="shared" si="42"/>
        <v>0</v>
      </c>
      <c r="H123" s="62">
        <f t="shared" si="42"/>
        <v>0</v>
      </c>
      <c r="I123" s="62">
        <f t="shared" si="42"/>
        <v>0</v>
      </c>
      <c r="J123" s="62">
        <f t="shared" si="42"/>
        <v>0</v>
      </c>
      <c r="K123" s="62">
        <f t="shared" si="42"/>
        <v>0</v>
      </c>
    </row>
    <row r="124" spans="1:11" x14ac:dyDescent="0.45">
      <c r="B124" s="59"/>
      <c r="C124" s="62" t="s">
        <v>58</v>
      </c>
      <c r="D124" s="62"/>
      <c r="E124" s="62">
        <f>E10</f>
        <v>76319.640198870082</v>
      </c>
      <c r="F124" s="62">
        <f t="shared" ref="F124:K124" si="43">SUM(F120:F123)</f>
        <v>76288.243935921419</v>
      </c>
      <c r="G124" s="62">
        <f t="shared" si="43"/>
        <v>76258.089366912129</v>
      </c>
      <c r="H124" s="62">
        <f t="shared" si="43"/>
        <v>76229.107170969728</v>
      </c>
      <c r="I124" s="62">
        <f t="shared" si="43"/>
        <v>76201.232896585949</v>
      </c>
      <c r="J124" s="62">
        <f t="shared" si="43"/>
        <v>76174.406584128548</v>
      </c>
      <c r="K124" s="62">
        <f t="shared" si="43"/>
        <v>76148.572418657903</v>
      </c>
    </row>
    <row r="125" spans="1:11" x14ac:dyDescent="0.45">
      <c r="B125" s="55"/>
      <c r="C125" s="55"/>
      <c r="D125" s="55"/>
      <c r="E125" s="55"/>
      <c r="F125" s="55"/>
      <c r="G125" s="55"/>
      <c r="H125" s="55"/>
      <c r="I125" s="55"/>
      <c r="J125" s="55"/>
      <c r="K125" s="55"/>
    </row>
    <row r="126" spans="1:11" ht="18" x14ac:dyDescent="0.55000000000000004">
      <c r="B126" s="35" t="s">
        <v>213</v>
      </c>
      <c r="C126" s="55"/>
      <c r="D126" s="55"/>
      <c r="E126" s="30">
        <v>2016</v>
      </c>
      <c r="F126" s="30">
        <f>E126+1</f>
        <v>2017</v>
      </c>
      <c r="G126" s="30">
        <f>F126+1</f>
        <v>2018</v>
      </c>
      <c r="H126" s="30">
        <f t="shared" ref="H126:K126" si="44">G126+1</f>
        <v>2019</v>
      </c>
      <c r="I126" s="30">
        <f t="shared" si="44"/>
        <v>2020</v>
      </c>
      <c r="J126" s="30">
        <f t="shared" si="44"/>
        <v>2021</v>
      </c>
      <c r="K126" s="30">
        <f t="shared" si="44"/>
        <v>2022</v>
      </c>
    </row>
    <row r="127" spans="1:11" x14ac:dyDescent="0.45">
      <c r="B127" s="55"/>
      <c r="C127" s="62" t="s">
        <v>54</v>
      </c>
      <c r="D127" s="62"/>
      <c r="E127" s="62"/>
      <c r="F127" s="62">
        <f>E131</f>
        <v>388285.35883291031</v>
      </c>
      <c r="G127" s="62">
        <f t="shared" ref="G127:K127" si="45">F131</f>
        <v>464208.08234410483</v>
      </c>
      <c r="H127" s="62">
        <f t="shared" si="45"/>
        <v>594812.16393611894</v>
      </c>
      <c r="I127" s="62">
        <f t="shared" si="45"/>
        <v>859144.92876350845</v>
      </c>
      <c r="J127" s="62">
        <f t="shared" si="45"/>
        <v>1035205.6261588687</v>
      </c>
      <c r="K127" s="62">
        <f t="shared" si="45"/>
        <v>1051566.8965386425</v>
      </c>
    </row>
    <row r="128" spans="1:11" x14ac:dyDescent="0.45">
      <c r="B128" s="55"/>
      <c r="C128" s="62" t="s">
        <v>216</v>
      </c>
      <c r="D128" s="62"/>
      <c r="E128" s="62"/>
      <c r="F128" s="62">
        <f t="shared" ref="F128:K128" si="46">F20</f>
        <v>97106.941745002987</v>
      </c>
      <c r="G128" s="62">
        <f t="shared" si="46"/>
        <v>166231.14128076352</v>
      </c>
      <c r="H128" s="62">
        <f t="shared" si="46"/>
        <v>307155.00999404798</v>
      </c>
      <c r="I128" s="62">
        <f t="shared" si="46"/>
        <v>234374.14389380498</v>
      </c>
      <c r="J128" s="62">
        <f t="shared" si="46"/>
        <v>80741.38783568592</v>
      </c>
      <c r="K128" s="62">
        <f t="shared" si="46"/>
        <v>137732.14257628622</v>
      </c>
    </row>
    <row r="129" spans="2:11" x14ac:dyDescent="0.45">
      <c r="B129" s="55"/>
      <c r="C129" s="62" t="s">
        <v>66</v>
      </c>
      <c r="D129" s="62"/>
      <c r="E129" s="62"/>
      <c r="F129" s="62">
        <f t="shared" ref="F129:K129" si="47">-F127*F60</f>
        <v>-20910.491770646422</v>
      </c>
      <c r="G129" s="62">
        <f t="shared" si="47"/>
        <v>-27916.399257014065</v>
      </c>
      <c r="H129" s="62">
        <f t="shared" si="47"/>
        <v>-41971.66642624222</v>
      </c>
      <c r="I129" s="62">
        <f t="shared" si="47"/>
        <v>-57667.680467599843</v>
      </c>
      <c r="J129" s="62">
        <f t="shared" si="47"/>
        <v>-64158.889466462089</v>
      </c>
      <c r="K129" s="62">
        <f t="shared" si="47"/>
        <v>-66696.067205199171</v>
      </c>
    </row>
    <row r="130" spans="2:11" x14ac:dyDescent="0.45">
      <c r="B130" s="55"/>
      <c r="C130" s="62" t="s">
        <v>56</v>
      </c>
      <c r="D130" s="62"/>
      <c r="E130" s="62"/>
      <c r="F130" s="62">
        <f t="shared" ref="F130:K130" si="48">-F50</f>
        <v>-273.72646316205305</v>
      </c>
      <c r="G130" s="62">
        <f t="shared" si="48"/>
        <v>-7710.6604317353904</v>
      </c>
      <c r="H130" s="62">
        <f t="shared" si="48"/>
        <v>-850.57874041636728</v>
      </c>
      <c r="I130" s="62">
        <f t="shared" si="48"/>
        <v>-645.7660308449199</v>
      </c>
      <c r="J130" s="62">
        <f t="shared" si="48"/>
        <v>-221.22798944976705</v>
      </c>
      <c r="K130" s="62">
        <f t="shared" si="48"/>
        <v>-1882.2410443272067</v>
      </c>
    </row>
    <row r="131" spans="2:11" x14ac:dyDescent="0.45">
      <c r="B131" s="55"/>
      <c r="C131" s="62" t="s">
        <v>58</v>
      </c>
      <c r="D131" s="62"/>
      <c r="E131" s="62">
        <f>+E11</f>
        <v>388285.35883291031</v>
      </c>
      <c r="F131" s="62">
        <f t="shared" ref="F131:K131" si="49">SUM(F127:F130)</f>
        <v>464208.08234410483</v>
      </c>
      <c r="G131" s="62">
        <f t="shared" si="49"/>
        <v>594812.16393611894</v>
      </c>
      <c r="H131" s="62">
        <f t="shared" si="49"/>
        <v>859144.92876350845</v>
      </c>
      <c r="I131" s="62">
        <f t="shared" si="49"/>
        <v>1035205.6261588687</v>
      </c>
      <c r="J131" s="62">
        <f t="shared" si="49"/>
        <v>1051566.8965386425</v>
      </c>
      <c r="K131" s="62">
        <f t="shared" si="49"/>
        <v>1120720.7308654024</v>
      </c>
    </row>
    <row r="132" spans="2:11" x14ac:dyDescent="0.45">
      <c r="B132" s="55"/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2:11" ht="18" x14ac:dyDescent="0.55000000000000004">
      <c r="B133" s="35" t="s">
        <v>214</v>
      </c>
      <c r="C133" s="55"/>
      <c r="D133" s="55"/>
      <c r="E133" s="30">
        <v>2016</v>
      </c>
      <c r="F133" s="30">
        <f>E133+1</f>
        <v>2017</v>
      </c>
      <c r="G133" s="30">
        <f>F133+1</f>
        <v>2018</v>
      </c>
      <c r="H133" s="30">
        <f t="shared" ref="H133:K133" si="50">G133+1</f>
        <v>2019</v>
      </c>
      <c r="I133" s="30">
        <f t="shared" si="50"/>
        <v>2020</v>
      </c>
      <c r="J133" s="30">
        <f t="shared" si="50"/>
        <v>2021</v>
      </c>
      <c r="K133" s="30">
        <f t="shared" si="50"/>
        <v>2022</v>
      </c>
    </row>
    <row r="134" spans="2:11" x14ac:dyDescent="0.45">
      <c r="B134" s="55"/>
      <c r="C134" s="62" t="s">
        <v>54</v>
      </c>
      <c r="D134" s="62"/>
      <c r="E134" s="62"/>
      <c r="F134" s="62">
        <f>E138</f>
        <v>128593.20864000083</v>
      </c>
      <c r="G134" s="62">
        <f t="shared" ref="G134:K134" si="51">F138</f>
        <v>193830.72473418579</v>
      </c>
      <c r="H134" s="62">
        <f t="shared" si="51"/>
        <v>204937.92314102282</v>
      </c>
      <c r="I134" s="62">
        <f t="shared" si="51"/>
        <v>269026.46056851535</v>
      </c>
      <c r="J134" s="62">
        <f t="shared" si="51"/>
        <v>344976.74042454176</v>
      </c>
      <c r="K134" s="62">
        <f t="shared" si="51"/>
        <v>470887.32547316962</v>
      </c>
    </row>
    <row r="135" spans="2:11" x14ac:dyDescent="0.45">
      <c r="B135" s="55"/>
      <c r="C135" s="62" t="s">
        <v>216</v>
      </c>
      <c r="D135" s="62"/>
      <c r="E135" s="62"/>
      <c r="F135" s="62">
        <f t="shared" ref="F135:K135" si="52">+F21</f>
        <v>74631.403914217241</v>
      </c>
      <c r="G135" s="62">
        <f t="shared" si="52"/>
        <v>22688.883339393677</v>
      </c>
      <c r="H135" s="62">
        <f t="shared" si="52"/>
        <v>78177.370919385547</v>
      </c>
      <c r="I135" s="62">
        <f t="shared" si="52"/>
        <v>94412.539398608074</v>
      </c>
      <c r="J135" s="62">
        <f t="shared" si="52"/>
        <v>150783.04419474828</v>
      </c>
      <c r="K135" s="62">
        <f t="shared" si="52"/>
        <v>118601.655061221</v>
      </c>
    </row>
    <row r="136" spans="2:11" x14ac:dyDescent="0.45">
      <c r="B136" s="55"/>
      <c r="C136" s="62" t="s">
        <v>59</v>
      </c>
      <c r="D136" s="62"/>
      <c r="E136" s="62"/>
      <c r="F136" s="62">
        <f t="shared" ref="F136:K136" si="53">-F134*F61</f>
        <v>-9192.0157146543443</v>
      </c>
      <c r="G136" s="62">
        <f t="shared" si="53"/>
        <v>-11519.540698761899</v>
      </c>
      <c r="H136" s="62">
        <f t="shared" si="53"/>
        <v>-13872.343421661151</v>
      </c>
      <c r="I136" s="62">
        <f t="shared" si="53"/>
        <v>-18202.126706183797</v>
      </c>
      <c r="J136" s="62">
        <f t="shared" si="53"/>
        <v>-24459.319979151867</v>
      </c>
      <c r="K136" s="62">
        <f t="shared" si="53"/>
        <v>-31017.3294040365</v>
      </c>
    </row>
    <row r="137" spans="2:11" x14ac:dyDescent="0.45">
      <c r="B137" s="55"/>
      <c r="C137" s="62" t="s">
        <v>56</v>
      </c>
      <c r="D137" s="62"/>
      <c r="E137" s="62"/>
      <c r="F137" s="62">
        <f t="shared" ref="F137:K137" si="54">-F51</f>
        <v>-201.87210537792012</v>
      </c>
      <c r="G137" s="62">
        <f t="shared" si="54"/>
        <v>-62.144233794727235</v>
      </c>
      <c r="H137" s="62">
        <f t="shared" si="54"/>
        <v>-216.4900702318437</v>
      </c>
      <c r="I137" s="62">
        <f t="shared" si="54"/>
        <v>-260.13283639791581</v>
      </c>
      <c r="J137" s="62">
        <f t="shared" si="54"/>
        <v>-413.13916696854528</v>
      </c>
      <c r="K137" s="62">
        <f t="shared" si="54"/>
        <v>-323.09748499270364</v>
      </c>
    </row>
    <row r="138" spans="2:11" x14ac:dyDescent="0.45">
      <c r="B138" s="55"/>
      <c r="C138" s="62" t="s">
        <v>58</v>
      </c>
      <c r="D138" s="62"/>
      <c r="E138" s="62">
        <f>E12</f>
        <v>128593.20864000083</v>
      </c>
      <c r="F138" s="62">
        <f t="shared" ref="F138:K138" si="55">SUM(F134:F137)</f>
        <v>193830.72473418579</v>
      </c>
      <c r="G138" s="62">
        <f t="shared" si="55"/>
        <v>204937.92314102282</v>
      </c>
      <c r="H138" s="62">
        <f t="shared" si="55"/>
        <v>269026.46056851535</v>
      </c>
      <c r="I138" s="62">
        <f t="shared" si="55"/>
        <v>344976.74042454176</v>
      </c>
      <c r="J138" s="62">
        <f t="shared" si="55"/>
        <v>470887.32547316962</v>
      </c>
      <c r="K138" s="62">
        <f t="shared" si="55"/>
        <v>558148.55364536145</v>
      </c>
    </row>
    <row r="139" spans="2:11" x14ac:dyDescent="0.45">
      <c r="B139" s="59"/>
      <c r="C139" s="59"/>
      <c r="D139" s="59"/>
      <c r="E139" s="59"/>
      <c r="F139" s="59"/>
      <c r="G139" s="59"/>
      <c r="H139" s="59"/>
      <c r="I139" s="59"/>
      <c r="J139" s="59"/>
      <c r="K139" s="59"/>
    </row>
    <row r="140" spans="2:11" ht="18" x14ac:dyDescent="0.55000000000000004">
      <c r="B140" s="35" t="s">
        <v>215</v>
      </c>
      <c r="C140" s="55"/>
      <c r="D140" s="55"/>
      <c r="E140" s="30">
        <v>2016</v>
      </c>
      <c r="F140" s="30">
        <f>E140+1</f>
        <v>2017</v>
      </c>
      <c r="G140" s="30">
        <f>F140+1</f>
        <v>2018</v>
      </c>
      <c r="H140" s="30">
        <f t="shared" ref="H140:K140" si="56">G140+1</f>
        <v>2019</v>
      </c>
      <c r="I140" s="30">
        <f t="shared" si="56"/>
        <v>2020</v>
      </c>
      <c r="J140" s="30">
        <f t="shared" si="56"/>
        <v>2021</v>
      </c>
      <c r="K140" s="30">
        <f t="shared" si="56"/>
        <v>2022</v>
      </c>
    </row>
    <row r="141" spans="2:11" x14ac:dyDescent="0.45">
      <c r="B141" s="55"/>
      <c r="C141" s="62" t="s">
        <v>54</v>
      </c>
      <c r="D141" s="62"/>
      <c r="E141" s="62"/>
      <c r="F141" s="62">
        <f>E145</f>
        <v>25172.643369017624</v>
      </c>
      <c r="G141" s="62">
        <f t="shared" ref="G141:K141" si="57">F145</f>
        <v>35368.740901772115</v>
      </c>
      <c r="H141" s="62">
        <f t="shared" si="57"/>
        <v>41520.807796449808</v>
      </c>
      <c r="I141" s="62">
        <f t="shared" si="57"/>
        <v>54880.0803256746</v>
      </c>
      <c r="J141" s="62">
        <f t="shared" si="57"/>
        <v>47692.994904235573</v>
      </c>
      <c r="K141" s="62">
        <f t="shared" si="57"/>
        <v>40629.343190666346</v>
      </c>
    </row>
    <row r="142" spans="2:11" x14ac:dyDescent="0.45">
      <c r="B142" s="55"/>
      <c r="C142" s="62" t="s">
        <v>216</v>
      </c>
      <c r="D142" s="62"/>
      <c r="E142" s="62"/>
      <c r="F142" s="62">
        <f t="shared" ref="F142:K142" si="58">+F22</f>
        <v>21252.563890343492</v>
      </c>
      <c r="G142" s="62">
        <f t="shared" si="58"/>
        <v>20221.342870105698</v>
      </c>
      <c r="H142" s="62">
        <f t="shared" si="58"/>
        <v>31834.205371412158</v>
      </c>
      <c r="I142" s="62">
        <f t="shared" si="58"/>
        <v>12151.662603484141</v>
      </c>
      <c r="J142" s="62">
        <f t="shared" si="58"/>
        <v>9122.9424729848961</v>
      </c>
      <c r="K142" s="62">
        <f t="shared" si="58"/>
        <v>11268.898445665996</v>
      </c>
    </row>
    <row r="143" spans="2:11" x14ac:dyDescent="0.45">
      <c r="B143" s="55"/>
      <c r="C143" s="62" t="s">
        <v>59</v>
      </c>
      <c r="D143" s="62"/>
      <c r="E143" s="62"/>
      <c r="F143" s="62">
        <f t="shared" ref="F143:K143" si="59">-F141*F62</f>
        <v>-11003.007590746241</v>
      </c>
      <c r="G143" s="62">
        <f t="shared" si="59"/>
        <v>-14023.570095233663</v>
      </c>
      <c r="H143" s="62">
        <f t="shared" si="59"/>
        <v>-18395.874437335933</v>
      </c>
      <c r="I143" s="62">
        <f t="shared" si="59"/>
        <v>-19309.428967538861</v>
      </c>
      <c r="J143" s="62">
        <f t="shared" si="59"/>
        <v>-16165.780378265945</v>
      </c>
      <c r="K143" s="62">
        <f t="shared" si="59"/>
        <v>-15837.242192180756</v>
      </c>
    </row>
    <row r="144" spans="2:11" x14ac:dyDescent="0.45">
      <c r="B144" s="55"/>
      <c r="C144" s="62" t="s">
        <v>56</v>
      </c>
      <c r="D144" s="62"/>
      <c r="E144" s="62"/>
      <c r="F144" s="62">
        <f t="shared" ref="F144:K144" si="60">-F52</f>
        <v>-53.458766842759914</v>
      </c>
      <c r="G144" s="62">
        <f t="shared" si="60"/>
        <v>-45.705880194340764</v>
      </c>
      <c r="H144" s="62">
        <f t="shared" si="60"/>
        <v>-79.058404851425223</v>
      </c>
      <c r="I144" s="62">
        <f t="shared" si="60"/>
        <v>-29.319057384313165</v>
      </c>
      <c r="J144" s="62">
        <f t="shared" si="60"/>
        <v>-20.813808288178045</v>
      </c>
      <c r="K144" s="62">
        <f t="shared" si="60"/>
        <v>-48.291210420467827</v>
      </c>
    </row>
    <row r="145" spans="1:11" x14ac:dyDescent="0.45">
      <c r="B145" s="55"/>
      <c r="C145" s="62" t="s">
        <v>58</v>
      </c>
      <c r="D145" s="62"/>
      <c r="E145" s="62">
        <f>E13</f>
        <v>25172.643369017624</v>
      </c>
      <c r="F145" s="62">
        <f t="shared" ref="F145:K145" si="61">SUM(F141:F144)</f>
        <v>35368.740901772115</v>
      </c>
      <c r="G145" s="62">
        <f t="shared" si="61"/>
        <v>41520.807796449808</v>
      </c>
      <c r="H145" s="62">
        <f t="shared" si="61"/>
        <v>54880.0803256746</v>
      </c>
      <c r="I145" s="62">
        <f t="shared" si="61"/>
        <v>47692.994904235573</v>
      </c>
      <c r="J145" s="62">
        <f t="shared" si="61"/>
        <v>40629.343190666346</v>
      </c>
      <c r="K145" s="62">
        <f t="shared" si="61"/>
        <v>36012.708233731122</v>
      </c>
    </row>
    <row r="146" spans="1:11" x14ac:dyDescent="0.45"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8" spans="1:11" ht="18" x14ac:dyDescent="0.55000000000000004">
      <c r="B148" s="35" t="s">
        <v>60</v>
      </c>
      <c r="C148" s="61"/>
      <c r="D148" s="61"/>
      <c r="E148" s="30">
        <v>2016</v>
      </c>
      <c r="F148" s="30">
        <f>E148+1</f>
        <v>2017</v>
      </c>
      <c r="G148" s="30">
        <f>F148+1</f>
        <v>2018</v>
      </c>
      <c r="H148" s="30">
        <f t="shared" ref="H148:K148" si="62">G148+1</f>
        <v>2019</v>
      </c>
      <c r="I148" s="30">
        <f t="shared" si="62"/>
        <v>2020</v>
      </c>
      <c r="J148" s="30">
        <f t="shared" si="62"/>
        <v>2021</v>
      </c>
      <c r="K148" s="30">
        <f t="shared" si="62"/>
        <v>2022</v>
      </c>
    </row>
    <row r="149" spans="1:11" x14ac:dyDescent="0.45">
      <c r="B149" s="61"/>
      <c r="C149" s="62" t="s">
        <v>54</v>
      </c>
      <c r="D149" s="62"/>
      <c r="E149" s="62"/>
      <c r="F149" s="62">
        <f t="shared" ref="F149:K153" si="63">SUM(F120,F127,F134,F141)</f>
        <v>618370.85104079882</v>
      </c>
      <c r="G149" s="62">
        <f t="shared" si="63"/>
        <v>769695.79191598413</v>
      </c>
      <c r="H149" s="62">
        <f t="shared" si="63"/>
        <v>917528.98424050375</v>
      </c>
      <c r="I149" s="62">
        <f t="shared" si="63"/>
        <v>1259280.5768286681</v>
      </c>
      <c r="J149" s="62">
        <f t="shared" si="63"/>
        <v>1504076.5943842318</v>
      </c>
      <c r="K149" s="62">
        <f t="shared" si="63"/>
        <v>1639257.9717866068</v>
      </c>
    </row>
    <row r="150" spans="1:11" x14ac:dyDescent="0.45">
      <c r="B150" s="61"/>
      <c r="C150" s="62" t="s">
        <v>216</v>
      </c>
      <c r="D150" s="62"/>
      <c r="E150" s="63"/>
      <c r="F150" s="62">
        <f t="shared" si="63"/>
        <v>192990.90954956374</v>
      </c>
      <c r="G150" s="62">
        <f t="shared" si="63"/>
        <v>209141.3674902629</v>
      </c>
      <c r="H150" s="62">
        <f t="shared" si="63"/>
        <v>417166.58628484566</v>
      </c>
      <c r="I150" s="62">
        <f t="shared" si="63"/>
        <v>340938.34589589719</v>
      </c>
      <c r="J150" s="62">
        <f t="shared" si="63"/>
        <v>240647.37450341909</v>
      </c>
      <c r="K150" s="62">
        <f t="shared" si="63"/>
        <v>267602.69608317321</v>
      </c>
    </row>
    <row r="151" spans="1:11" x14ac:dyDescent="0.45">
      <c r="B151" s="61"/>
      <c r="C151" s="62" t="s">
        <v>59</v>
      </c>
      <c r="D151" s="62"/>
      <c r="E151" s="62"/>
      <c r="F151" s="62">
        <f t="shared" si="63"/>
        <v>-41136.911338995676</v>
      </c>
      <c r="G151" s="62">
        <f t="shared" si="63"/>
        <v>-53489.664620018928</v>
      </c>
      <c r="H151" s="62">
        <f t="shared" si="63"/>
        <v>-74268.866481181714</v>
      </c>
      <c r="I151" s="62">
        <f t="shared" si="63"/>
        <v>-95207.11041570628</v>
      </c>
      <c r="J151" s="62">
        <f t="shared" si="63"/>
        <v>-104810.81613633731</v>
      </c>
      <c r="K151" s="62">
        <f t="shared" si="63"/>
        <v>-113576.47296688707</v>
      </c>
    </row>
    <row r="152" spans="1:11" x14ac:dyDescent="0.45">
      <c r="B152" s="61"/>
      <c r="C152" s="62" t="s">
        <v>56</v>
      </c>
      <c r="D152" s="62"/>
      <c r="E152" s="62"/>
      <c r="F152" s="62">
        <f t="shared" si="63"/>
        <v>-529.05733538273307</v>
      </c>
      <c r="G152" s="62">
        <f t="shared" si="63"/>
        <v>-7818.5105457244581</v>
      </c>
      <c r="H152" s="62">
        <f t="shared" si="63"/>
        <v>-1146.1272154996361</v>
      </c>
      <c r="I152" s="62">
        <f t="shared" si="63"/>
        <v>-935.21792462714882</v>
      </c>
      <c r="J152" s="62">
        <f t="shared" si="63"/>
        <v>-655.18096470649039</v>
      </c>
      <c r="K152" s="62">
        <f t="shared" si="63"/>
        <v>-2253.6297397403782</v>
      </c>
    </row>
    <row r="153" spans="1:11" x14ac:dyDescent="0.45">
      <c r="B153" s="61"/>
      <c r="C153" s="62" t="s">
        <v>58</v>
      </c>
      <c r="D153" s="62"/>
      <c r="E153" s="62"/>
      <c r="F153" s="62">
        <f>SUM(F124,F131,F138,F145)</f>
        <v>769695.79191598413</v>
      </c>
      <c r="G153" s="62">
        <f t="shared" si="63"/>
        <v>917528.98424050375</v>
      </c>
      <c r="H153" s="62">
        <f t="shared" si="63"/>
        <v>1259280.5768286681</v>
      </c>
      <c r="I153" s="62">
        <f t="shared" si="63"/>
        <v>1504076.5943842318</v>
      </c>
      <c r="J153" s="62">
        <f t="shared" si="63"/>
        <v>1639257.9717866068</v>
      </c>
      <c r="K153" s="62">
        <f t="shared" si="63"/>
        <v>1791030.5651631528</v>
      </c>
    </row>
    <row r="154" spans="1:11" x14ac:dyDescent="0.45">
      <c r="B154" s="60"/>
      <c r="C154" s="62"/>
      <c r="D154" s="62"/>
      <c r="E154" s="62"/>
      <c r="F154" s="62"/>
      <c r="G154" s="62"/>
      <c r="H154" s="62"/>
      <c r="I154" s="62"/>
      <c r="J154" s="62"/>
      <c r="K154" s="62"/>
    </row>
    <row r="155" spans="1:11" ht="21" x14ac:dyDescent="0.65">
      <c r="A155" s="42" t="s">
        <v>72</v>
      </c>
      <c r="E155" s="30">
        <v>2016</v>
      </c>
      <c r="F155" s="30">
        <f>E155+1</f>
        <v>2017</v>
      </c>
      <c r="G155" s="30">
        <f>F155+1</f>
        <v>2018</v>
      </c>
      <c r="H155" s="30">
        <f t="shared" ref="H155:K155" si="64">G155+1</f>
        <v>2019</v>
      </c>
      <c r="I155" s="30">
        <f t="shared" si="64"/>
        <v>2020</v>
      </c>
      <c r="J155" s="30">
        <f t="shared" si="64"/>
        <v>2021</v>
      </c>
      <c r="K155" s="30">
        <f t="shared" si="64"/>
        <v>2022</v>
      </c>
    </row>
    <row r="156" spans="1:11" x14ac:dyDescent="0.45">
      <c r="C156" s="62" t="s">
        <v>75</v>
      </c>
      <c r="D156" s="62"/>
      <c r="E156" s="62"/>
      <c r="F156" s="62"/>
      <c r="G156" s="62">
        <f>G111</f>
        <v>1244584.2486338832</v>
      </c>
      <c r="H156" s="62">
        <f>H111</f>
        <v>1388202.5591252826</v>
      </c>
      <c r="I156" s="62">
        <f>I111</f>
        <v>1743808.3315440107</v>
      </c>
      <c r="J156" s="62">
        <f>J111</f>
        <v>2005770.7663561055</v>
      </c>
      <c r="K156" s="62">
        <f>K111</f>
        <v>2155645.6106663859</v>
      </c>
    </row>
    <row r="157" spans="1:11" x14ac:dyDescent="0.45">
      <c r="C157" s="62" t="s">
        <v>73</v>
      </c>
      <c r="D157" s="62"/>
      <c r="E157" s="62"/>
      <c r="F157" s="62"/>
      <c r="G157" s="67">
        <f>$E$15</f>
        <v>0.19</v>
      </c>
      <c r="H157" s="67">
        <f t="shared" ref="H157:K157" si="65">$E$15</f>
        <v>0.19</v>
      </c>
      <c r="I157" s="67">
        <f t="shared" si="65"/>
        <v>0.19</v>
      </c>
      <c r="J157" s="67">
        <f t="shared" si="65"/>
        <v>0.19</v>
      </c>
      <c r="K157" s="67">
        <f t="shared" si="65"/>
        <v>0.19</v>
      </c>
    </row>
    <row r="158" spans="1:11" x14ac:dyDescent="0.45">
      <c r="C158" s="62" t="s">
        <v>74</v>
      </c>
      <c r="D158" s="62"/>
      <c r="E158" s="62"/>
      <c r="F158" s="62"/>
      <c r="G158" s="68">
        <f>$E$16</f>
        <v>4.41E-2</v>
      </c>
      <c r="H158" s="68">
        <f t="shared" ref="H158:K158" si="66">$E$16</f>
        <v>4.41E-2</v>
      </c>
      <c r="I158" s="68">
        <f t="shared" si="66"/>
        <v>4.41E-2</v>
      </c>
      <c r="J158" s="68">
        <f t="shared" si="66"/>
        <v>4.41E-2</v>
      </c>
      <c r="K158" s="68">
        <f t="shared" si="66"/>
        <v>4.41E-2</v>
      </c>
    </row>
    <row r="159" spans="1:11" x14ac:dyDescent="0.45">
      <c r="C159" s="62" t="s">
        <v>46</v>
      </c>
      <c r="D159" s="62"/>
      <c r="E159" s="62"/>
      <c r="F159" s="62"/>
      <c r="G159" s="62">
        <f>G156*G157*G158</f>
        <v>10428.371419303308</v>
      </c>
      <c r="H159" s="62">
        <f t="shared" ref="H159:K159" si="67">H156*H157*H158</f>
        <v>11631.749242910742</v>
      </c>
      <c r="I159" s="62">
        <f t="shared" si="67"/>
        <v>14611.370010007266</v>
      </c>
      <c r="J159" s="62">
        <f t="shared" si="67"/>
        <v>16806.353251297809</v>
      </c>
      <c r="K159" s="62">
        <f t="shared" si="67"/>
        <v>18062.154571773648</v>
      </c>
    </row>
    <row r="161" spans="1:11" ht="21" x14ac:dyDescent="0.65">
      <c r="A161" s="42" t="s">
        <v>7</v>
      </c>
      <c r="E161" s="30">
        <v>2016</v>
      </c>
      <c r="F161" s="30">
        <f>E161+1</f>
        <v>2017</v>
      </c>
      <c r="G161" s="30">
        <f>F161+1</f>
        <v>2018</v>
      </c>
      <c r="H161" s="30">
        <f t="shared" ref="H161:K161" si="68">G161+1</f>
        <v>2019</v>
      </c>
      <c r="I161" s="30">
        <f t="shared" si="68"/>
        <v>2020</v>
      </c>
      <c r="J161" s="30">
        <f t="shared" si="68"/>
        <v>2021</v>
      </c>
      <c r="K161" s="30">
        <f t="shared" si="68"/>
        <v>2022</v>
      </c>
    </row>
    <row r="162" spans="1:11" x14ac:dyDescent="0.45">
      <c r="C162" s="62" t="s">
        <v>61</v>
      </c>
      <c r="D162" s="62"/>
      <c r="E162" s="62"/>
      <c r="F162" s="62"/>
      <c r="G162" s="70">
        <f>G116</f>
        <v>1349154.9323790146</v>
      </c>
      <c r="H162" s="70">
        <f>H116</f>
        <v>1596785.8522677054</v>
      </c>
      <c r="I162" s="70">
        <f>I116</f>
        <v>1914277.5044919592</v>
      </c>
      <c r="J162" s="70">
        <f>J116</f>
        <v>2126094.4536078153</v>
      </c>
      <c r="K162" s="70">
        <f>K116</f>
        <v>2289446.9587079724</v>
      </c>
    </row>
    <row r="163" spans="1:11" x14ac:dyDescent="0.45">
      <c r="C163" s="62" t="s">
        <v>80</v>
      </c>
      <c r="D163" s="62"/>
      <c r="E163" s="62"/>
      <c r="F163" s="112"/>
      <c r="G163" s="70">
        <f>G104</f>
        <v>803.71815283335616</v>
      </c>
      <c r="H163" s="70">
        <f>H104</f>
        <v>1233.7362030309814</v>
      </c>
      <c r="I163" s="70">
        <f>I104</f>
        <v>1812.7926657264195</v>
      </c>
      <c r="J163" s="70">
        <f>J104</f>
        <v>1928.6255716970338</v>
      </c>
      <c r="K163" s="70">
        <f>K104</f>
        <v>1878.8521597331235</v>
      </c>
    </row>
    <row r="164" spans="1:11" x14ac:dyDescent="0.45">
      <c r="C164" s="62" t="s">
        <v>162</v>
      </c>
      <c r="D164" s="62"/>
      <c r="E164" s="62"/>
      <c r="F164" s="112"/>
      <c r="G164" s="70">
        <f>-G105</f>
        <v>52312.337159410497</v>
      </c>
      <c r="H164" s="70">
        <f>-H105</f>
        <v>60725.143090090438</v>
      </c>
      <c r="I164" s="70">
        <f>-I105</f>
        <v>79091.565080343964</v>
      </c>
      <c r="J164" s="70">
        <f>-J105</f>
        <v>91505.551616700672</v>
      </c>
      <c r="K164" s="70">
        <f>-K105</f>
        <v>97656.335698238923</v>
      </c>
    </row>
    <row r="165" spans="1:11" x14ac:dyDescent="0.45">
      <c r="C165" s="62" t="s">
        <v>163</v>
      </c>
      <c r="D165" s="62"/>
      <c r="E165" s="62"/>
      <c r="F165" s="112"/>
      <c r="G165" s="70">
        <f>-G151</f>
        <v>53489.664620018928</v>
      </c>
      <c r="H165" s="70">
        <f t="shared" ref="H165:K165" si="69">-H151</f>
        <v>74268.866481181714</v>
      </c>
      <c r="I165" s="70">
        <f t="shared" si="69"/>
        <v>95207.11041570628</v>
      </c>
      <c r="J165" s="70">
        <f t="shared" si="69"/>
        <v>104810.81613633731</v>
      </c>
      <c r="K165" s="70">
        <f t="shared" si="69"/>
        <v>113576.47296688707</v>
      </c>
    </row>
    <row r="166" spans="1:11" x14ac:dyDescent="0.45">
      <c r="C166" s="62" t="s">
        <v>46</v>
      </c>
      <c r="D166" s="62"/>
      <c r="E166" s="62"/>
      <c r="F166" s="112"/>
      <c r="G166" s="70">
        <f>G159</f>
        <v>10428.371419303308</v>
      </c>
      <c r="H166" s="70">
        <f t="shared" ref="H166:K166" si="70">H159</f>
        <v>11631.749242910742</v>
      </c>
      <c r="I166" s="70">
        <f t="shared" si="70"/>
        <v>14611.370010007266</v>
      </c>
      <c r="J166" s="70">
        <f t="shared" si="70"/>
        <v>16806.353251297809</v>
      </c>
      <c r="K166" s="70">
        <f t="shared" si="70"/>
        <v>18062.154571773648</v>
      </c>
    </row>
    <row r="167" spans="1:11" x14ac:dyDescent="0.45">
      <c r="C167" s="62" t="s">
        <v>56</v>
      </c>
      <c r="D167" s="62"/>
      <c r="E167" s="62"/>
      <c r="F167" s="112"/>
      <c r="G167" s="70">
        <f>-G106</f>
        <v>14014.437992286585</v>
      </c>
      <c r="H167" s="70">
        <f t="shared" ref="H167:K167" si="71">-H106</f>
        <v>2069.4069790582498</v>
      </c>
      <c r="I167" s="70">
        <f t="shared" si="71"/>
        <v>1697.1386691851833</v>
      </c>
      <c r="J167" s="70">
        <f t="shared" si="71"/>
        <v>1195.6041481346408</v>
      </c>
      <c r="K167" s="70">
        <f t="shared" si="71"/>
        <v>4136.2782046173088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>&amp;L&amp;F&amp;C&amp;A&amp;R&amp;P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K68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2" width="4.86328125" style="1" customWidth="1"/>
    <col min="3" max="3" width="77.3984375" style="1" customWidth="1"/>
    <col min="4" max="4" width="15.3984375" style="1" customWidth="1"/>
    <col min="5" max="5" width="9.1328125" style="1" customWidth="1"/>
    <col min="6" max="6" width="10" style="1" bestFit="1" customWidth="1"/>
    <col min="7" max="7" width="10.3984375" style="1" bestFit="1" customWidth="1"/>
    <col min="8" max="11" width="10" style="1" bestFit="1" customWidth="1"/>
    <col min="12" max="12" width="7.59765625" style="1" customWidth="1"/>
    <col min="13" max="16384" width="8.86328125" style="1"/>
  </cols>
  <sheetData>
    <row r="1" spans="1:11" ht="25.5" x14ac:dyDescent="0.75">
      <c r="A1" s="18" t="s">
        <v>108</v>
      </c>
      <c r="E1" s="28"/>
    </row>
    <row r="2" spans="1:11" x14ac:dyDescent="0.45">
      <c r="A2" s="75" t="s">
        <v>204</v>
      </c>
    </row>
    <row r="3" spans="1:11" ht="28.5" x14ac:dyDescent="0.7">
      <c r="A3" s="27" t="s">
        <v>5</v>
      </c>
      <c r="D3" s="30" t="s">
        <v>53</v>
      </c>
      <c r="E3" s="30" t="s">
        <v>12</v>
      </c>
      <c r="F3" s="30">
        <v>2017</v>
      </c>
      <c r="G3" s="30">
        <f>F3+1</f>
        <v>2018</v>
      </c>
      <c r="H3" s="30">
        <f t="shared" ref="H3:K3" si="0">G3+1</f>
        <v>2019</v>
      </c>
      <c r="I3" s="30">
        <f t="shared" si="0"/>
        <v>2020</v>
      </c>
      <c r="J3" s="30">
        <f t="shared" si="0"/>
        <v>2021</v>
      </c>
      <c r="K3" s="30">
        <f t="shared" si="0"/>
        <v>2022</v>
      </c>
    </row>
    <row r="4" spans="1:11" ht="18" x14ac:dyDescent="0.55000000000000004">
      <c r="B4" s="35" t="s">
        <v>33</v>
      </c>
      <c r="E4" s="30"/>
      <c r="F4" s="30"/>
      <c r="G4" s="30"/>
      <c r="H4" s="30"/>
      <c r="I4" s="30"/>
      <c r="J4" s="30"/>
      <c r="K4" s="30"/>
    </row>
    <row r="5" spans="1:11" x14ac:dyDescent="0.45">
      <c r="C5" s="38" t="str">
        <f>'Scenario Manager'!C34</f>
        <v>Airport activity charges</v>
      </c>
      <c r="D5" s="38" t="s">
        <v>31</v>
      </c>
      <c r="E5" s="52"/>
      <c r="F5" s="52"/>
      <c r="G5" s="52">
        <f>'Scenario Manager'!G34</f>
        <v>310099.98689137312</v>
      </c>
      <c r="H5" s="52">
        <f>'Scenario Manager'!H34</f>
        <v>324198.48502135748</v>
      </c>
      <c r="I5" s="52">
        <f>'Scenario Manager'!I34</f>
        <v>336956.58027701493</v>
      </c>
      <c r="J5" s="52">
        <f>'Scenario Manager'!J34</f>
        <v>353317.52538773493</v>
      </c>
      <c r="K5" s="52">
        <f>'Scenario Manager'!K34</f>
        <v>371531.28593805904</v>
      </c>
    </row>
    <row r="6" spans="1:11" x14ac:dyDescent="0.45">
      <c r="C6" s="38" t="str">
        <f>'Scenario Manager'!C35</f>
        <v>Lease, rental and concession income</v>
      </c>
      <c r="D6" s="38" t="s">
        <v>31</v>
      </c>
      <c r="E6" s="52"/>
      <c r="F6" s="52"/>
      <c r="G6" s="52">
        <f>'Scenario Manager'!G35</f>
        <v>24256.507342034583</v>
      </c>
      <c r="H6" s="52">
        <f>'Scenario Manager'!H35</f>
        <v>26338.321655259002</v>
      </c>
      <c r="I6" s="52">
        <f>'Scenario Manager'!I35</f>
        <v>28320.085548604249</v>
      </c>
      <c r="J6" s="52">
        <f>'Scenario Manager'!J35</f>
        <v>29374.642484672295</v>
      </c>
      <c r="K6" s="52">
        <f>'Scenario Manager'!K35</f>
        <v>30254.332336132818</v>
      </c>
    </row>
    <row r="7" spans="1:11" x14ac:dyDescent="0.45">
      <c r="C7" s="38" t="str">
        <f>'Scenario Manager'!C36</f>
        <v>Other revenue</v>
      </c>
      <c r="D7" s="38" t="s">
        <v>31</v>
      </c>
      <c r="E7" s="52"/>
      <c r="F7" s="52"/>
      <c r="G7" s="52">
        <f>'Scenario Manager'!G36</f>
        <v>0</v>
      </c>
      <c r="H7" s="52">
        <f>'Scenario Manager'!H36</f>
        <v>0</v>
      </c>
      <c r="I7" s="52">
        <f>'Scenario Manager'!I36</f>
        <v>0</v>
      </c>
      <c r="J7" s="52">
        <f>'Scenario Manager'!J36</f>
        <v>0</v>
      </c>
      <c r="K7" s="52">
        <f>'Scenario Manager'!K36</f>
        <v>0</v>
      </c>
    </row>
    <row r="8" spans="1:11" x14ac:dyDescent="0.45">
      <c r="C8" s="38" t="s">
        <v>71</v>
      </c>
      <c r="D8" s="38" t="s">
        <v>31</v>
      </c>
      <c r="E8" s="52"/>
      <c r="F8" s="52"/>
      <c r="G8" s="52">
        <f>'Scenario Manager'!G37</f>
        <v>-14014.437992286599</v>
      </c>
      <c r="H8" s="52">
        <f>'Scenario Manager'!H37</f>
        <v>-2069.4069790582498</v>
      </c>
      <c r="I8" s="52">
        <f>'Scenario Manager'!I37</f>
        <v>-1697.1386691851801</v>
      </c>
      <c r="J8" s="52">
        <f>'Scenario Manager'!J37</f>
        <v>-1195.6041481346399</v>
      </c>
      <c r="K8" s="52">
        <f>'Scenario Manager'!K37</f>
        <v>-4136.2782046173097</v>
      </c>
    </row>
    <row r="9" spans="1:11" x14ac:dyDescent="0.45">
      <c r="C9" s="38" t="str">
        <f>'Scenario Manager'!C85</f>
        <v>Runway land charge</v>
      </c>
      <c r="D9" s="38" t="s">
        <v>31</v>
      </c>
      <c r="E9" s="52"/>
      <c r="F9" s="52"/>
      <c r="G9" s="52">
        <f>'Scenario Manager'!G85</f>
        <v>0</v>
      </c>
      <c r="H9" s="52">
        <f>'Scenario Manager'!H85</f>
        <v>0</v>
      </c>
      <c r="I9" s="52">
        <f>'Scenario Manager'!I85</f>
        <v>0</v>
      </c>
      <c r="J9" s="52">
        <f>'Scenario Manager'!J85</f>
        <v>0</v>
      </c>
      <c r="K9" s="52">
        <f>'Scenario Manager'!K85</f>
        <v>0</v>
      </c>
    </row>
    <row r="10" spans="1:11" ht="18" x14ac:dyDescent="0.55000000000000004">
      <c r="B10" s="35" t="s">
        <v>50</v>
      </c>
      <c r="C10" s="38"/>
      <c r="D10" s="38"/>
      <c r="E10" s="52"/>
      <c r="F10" s="58"/>
      <c r="G10" s="58"/>
      <c r="H10" s="58"/>
      <c r="I10" s="58"/>
      <c r="J10" s="58"/>
      <c r="K10" s="58"/>
    </row>
    <row r="11" spans="1:11" ht="14.45" customHeight="1" x14ac:dyDescent="0.55000000000000004">
      <c r="B11" s="35"/>
      <c r="C11" s="38" t="s">
        <v>26</v>
      </c>
      <c r="D11" s="38" t="s">
        <v>31</v>
      </c>
      <c r="E11" s="52"/>
      <c r="F11" s="52"/>
      <c r="G11" s="52">
        <f>'Scenario Manager'!G74</f>
        <v>0</v>
      </c>
      <c r="H11" s="52">
        <f>'Scenario Manager'!H74</f>
        <v>0</v>
      </c>
      <c r="I11" s="52">
        <f>'Scenario Manager'!I74</f>
        <v>0</v>
      </c>
      <c r="J11" s="52">
        <f>'Scenario Manager'!J74</f>
        <v>0</v>
      </c>
      <c r="K11" s="52">
        <f>'Scenario Manager'!K74</f>
        <v>0</v>
      </c>
    </row>
    <row r="12" spans="1:11" ht="14.45" customHeight="1" x14ac:dyDescent="0.55000000000000004">
      <c r="B12" s="35"/>
      <c r="C12" s="38" t="s">
        <v>28</v>
      </c>
      <c r="D12" s="38" t="s">
        <v>31</v>
      </c>
      <c r="E12" s="52"/>
      <c r="F12" s="52"/>
      <c r="G12" s="52">
        <f>'Scenario Manager'!G75</f>
        <v>0</v>
      </c>
      <c r="H12" s="52">
        <f>'Scenario Manager'!H75</f>
        <v>0</v>
      </c>
      <c r="I12" s="52">
        <f>'Scenario Manager'!I75</f>
        <v>0</v>
      </c>
      <c r="J12" s="52">
        <f>'Scenario Manager'!J75</f>
        <v>0</v>
      </c>
      <c r="K12" s="52">
        <f>'Scenario Manager'!K75</f>
        <v>0</v>
      </c>
    </row>
    <row r="13" spans="1:11" ht="14.45" customHeight="1" x14ac:dyDescent="0.55000000000000004">
      <c r="B13" s="35"/>
      <c r="C13" s="38" t="s">
        <v>27</v>
      </c>
      <c r="D13" s="38" t="s">
        <v>31</v>
      </c>
      <c r="E13" s="52"/>
      <c r="F13" s="52"/>
      <c r="G13" s="52">
        <f>'Scenario Manager'!G76</f>
        <v>0</v>
      </c>
      <c r="H13" s="52">
        <f>'Scenario Manager'!H76</f>
        <v>0</v>
      </c>
      <c r="I13" s="52">
        <f>'Scenario Manager'!I76</f>
        <v>0</v>
      </c>
      <c r="J13" s="52">
        <f>'Scenario Manager'!J76</f>
        <v>0</v>
      </c>
      <c r="K13" s="52">
        <f>'Scenario Manager'!K76</f>
        <v>0</v>
      </c>
    </row>
    <row r="14" spans="1:11" ht="14.45" customHeight="1" x14ac:dyDescent="0.55000000000000004">
      <c r="B14" s="35"/>
      <c r="C14" s="38" t="s">
        <v>29</v>
      </c>
      <c r="D14" s="38" t="s">
        <v>31</v>
      </c>
      <c r="E14" s="52"/>
      <c r="F14" s="52"/>
      <c r="G14" s="52">
        <f>'Scenario Manager'!G77</f>
        <v>0</v>
      </c>
      <c r="H14" s="52">
        <f>'Scenario Manager'!H77</f>
        <v>0</v>
      </c>
      <c r="I14" s="52">
        <f>'Scenario Manager'!I77</f>
        <v>0</v>
      </c>
      <c r="J14" s="52">
        <f>'Scenario Manager'!J77</f>
        <v>0</v>
      </c>
      <c r="K14" s="52">
        <f>'Scenario Manager'!K77</f>
        <v>0</v>
      </c>
    </row>
    <row r="15" spans="1:11" ht="14.45" customHeight="1" x14ac:dyDescent="0.55000000000000004">
      <c r="B15" s="35"/>
      <c r="C15" s="38" t="s">
        <v>30</v>
      </c>
      <c r="D15" s="38" t="s">
        <v>31</v>
      </c>
      <c r="E15" s="52"/>
      <c r="F15" s="52"/>
      <c r="G15" s="52">
        <f>'Scenario Manager'!G78</f>
        <v>0</v>
      </c>
      <c r="H15" s="52">
        <f>'Scenario Manager'!H78</f>
        <v>0</v>
      </c>
      <c r="I15" s="52">
        <f>'Scenario Manager'!I78</f>
        <v>0</v>
      </c>
      <c r="J15" s="52">
        <f>'Scenario Manager'!J78</f>
        <v>0</v>
      </c>
      <c r="K15" s="52">
        <f>'Scenario Manager'!K78</f>
        <v>0</v>
      </c>
    </row>
    <row r="16" spans="1:11" ht="14.45" customHeight="1" x14ac:dyDescent="0.55000000000000004">
      <c r="B16" s="35" t="s">
        <v>9</v>
      </c>
      <c r="C16" s="38"/>
      <c r="D16" s="38"/>
      <c r="E16" s="52"/>
      <c r="F16" s="58"/>
      <c r="G16" s="58"/>
      <c r="H16" s="58"/>
      <c r="I16" s="58"/>
      <c r="J16" s="58"/>
      <c r="K16" s="58"/>
    </row>
    <row r="17" spans="1:11" ht="14.45" customHeight="1" x14ac:dyDescent="0.55000000000000004">
      <c r="B17" s="35"/>
      <c r="C17" s="38" t="str">
        <f>'Scenario Manager'!B14</f>
        <v>Tax rate</v>
      </c>
      <c r="D17" s="38" t="s">
        <v>31</v>
      </c>
      <c r="E17" s="53">
        <f>'Scenario Manager'!E14</f>
        <v>0.28000000000000003</v>
      </c>
      <c r="F17" s="58"/>
      <c r="G17" s="58"/>
      <c r="H17" s="58"/>
      <c r="I17" s="58"/>
      <c r="J17" s="58"/>
      <c r="K17" s="58"/>
    </row>
    <row r="18" spans="1:11" ht="14.45" customHeight="1" x14ac:dyDescent="0.55000000000000004">
      <c r="B18" s="35"/>
      <c r="C18" s="38" t="s">
        <v>68</v>
      </c>
      <c r="D18" s="38" t="s">
        <v>31</v>
      </c>
      <c r="E18" s="54">
        <f>'Scenario Manager'!E17</f>
        <v>6.6433320000000004E-2</v>
      </c>
      <c r="F18" s="58"/>
      <c r="G18" s="58"/>
      <c r="H18" s="58"/>
      <c r="I18" s="58"/>
      <c r="J18" s="58"/>
      <c r="K18" s="58"/>
    </row>
    <row r="19" spans="1:11" ht="18" x14ac:dyDescent="0.55000000000000004">
      <c r="A19" s="35"/>
      <c r="B19" s="35" t="s">
        <v>67</v>
      </c>
      <c r="C19" s="38"/>
      <c r="D19" s="38"/>
      <c r="E19" s="52"/>
      <c r="F19" s="58"/>
      <c r="G19" s="58"/>
      <c r="H19" s="58"/>
      <c r="I19" s="58"/>
      <c r="J19" s="58"/>
      <c r="K19" s="58"/>
    </row>
    <row r="20" spans="1:11" x14ac:dyDescent="0.45">
      <c r="C20" s="55" t="s">
        <v>35</v>
      </c>
      <c r="D20" s="38" t="s">
        <v>165</v>
      </c>
      <c r="E20" s="52"/>
      <c r="F20" s="50"/>
      <c r="G20" s="50">
        <f>'Scenario asset base'!G162</f>
        <v>1349154.9323790146</v>
      </c>
      <c r="H20" s="50">
        <f>'Scenario asset base'!H162</f>
        <v>1596785.8522677054</v>
      </c>
      <c r="I20" s="50">
        <f>'Scenario asset base'!I162</f>
        <v>1914277.5044919592</v>
      </c>
      <c r="J20" s="50">
        <f>'Scenario asset base'!J162</f>
        <v>2126094.4536078153</v>
      </c>
      <c r="K20" s="50">
        <f>'Scenario asset base'!K162</f>
        <v>2289446.9587079724</v>
      </c>
    </row>
    <row r="21" spans="1:11" x14ac:dyDescent="0.45">
      <c r="C21" s="62" t="s">
        <v>38</v>
      </c>
      <c r="D21" s="38" t="s">
        <v>165</v>
      </c>
      <c r="E21" s="52"/>
      <c r="F21" s="50"/>
      <c r="G21" s="50">
        <f>'Scenario asset base'!G163</f>
        <v>803.71815283335616</v>
      </c>
      <c r="H21" s="50">
        <f>'Scenario asset base'!H163</f>
        <v>1233.7362030309814</v>
      </c>
      <c r="I21" s="50">
        <f>'Scenario asset base'!I163</f>
        <v>1812.7926657264195</v>
      </c>
      <c r="J21" s="50">
        <f>'Scenario asset base'!J163</f>
        <v>1928.6255716970338</v>
      </c>
      <c r="K21" s="50">
        <f>'Scenario asset base'!K163</f>
        <v>1878.8521597331235</v>
      </c>
    </row>
    <row r="22" spans="1:11" x14ac:dyDescent="0.45">
      <c r="C22" s="62" t="s">
        <v>39</v>
      </c>
      <c r="D22" s="38" t="s">
        <v>165</v>
      </c>
      <c r="E22" s="52"/>
      <c r="F22" s="50"/>
      <c r="G22" s="50">
        <f>'Scenario asset base'!G164</f>
        <v>52312.337159410497</v>
      </c>
      <c r="H22" s="50">
        <f>'Scenario asset base'!H164</f>
        <v>60725.143090090438</v>
      </c>
      <c r="I22" s="50">
        <f>'Scenario asset base'!I164</f>
        <v>79091.565080343964</v>
      </c>
      <c r="J22" s="50">
        <f>'Scenario asset base'!J164</f>
        <v>91505.551616700672</v>
      </c>
      <c r="K22" s="50">
        <f>'Scenario asset base'!K164</f>
        <v>97656.335698238923</v>
      </c>
    </row>
    <row r="23" spans="1:11" x14ac:dyDescent="0.45">
      <c r="C23" s="62" t="s">
        <v>69</v>
      </c>
      <c r="D23" s="38" t="s">
        <v>31</v>
      </c>
      <c r="E23" s="52"/>
      <c r="F23" s="50"/>
      <c r="G23" s="50">
        <f>'Scenario Manager'!G87</f>
        <v>113722.41460501539</v>
      </c>
      <c r="H23" s="50">
        <f>'Scenario Manager'!H87</f>
        <v>122465.18313167134</v>
      </c>
      <c r="I23" s="50">
        <f>'Scenario Manager'!I87</f>
        <v>127281.02918927144</v>
      </c>
      <c r="J23" s="50">
        <f>'Scenario Manager'!J87</f>
        <v>132044.87124116445</v>
      </c>
      <c r="K23" s="50">
        <f>'Scenario Manager'!K87</f>
        <v>137398.28336272476</v>
      </c>
    </row>
    <row r="24" spans="1:11" x14ac:dyDescent="0.45">
      <c r="C24" s="62" t="s">
        <v>70</v>
      </c>
      <c r="D24" s="38" t="s">
        <v>165</v>
      </c>
      <c r="E24" s="52"/>
      <c r="F24" s="50"/>
      <c r="G24" s="50">
        <f>'Scenario asset base'!G165</f>
        <v>53489.664620018928</v>
      </c>
      <c r="H24" s="50">
        <f>'Scenario asset base'!H165</f>
        <v>74268.866481181714</v>
      </c>
      <c r="I24" s="50">
        <f>'Scenario asset base'!I165</f>
        <v>95207.11041570628</v>
      </c>
      <c r="J24" s="50">
        <f>'Scenario asset base'!J165</f>
        <v>104810.81613633731</v>
      </c>
      <c r="K24" s="50">
        <f>'Scenario asset base'!K165</f>
        <v>113576.47296688707</v>
      </c>
    </row>
    <row r="25" spans="1:11" x14ac:dyDescent="0.45">
      <c r="C25" s="62" t="s">
        <v>76</v>
      </c>
      <c r="D25" s="38" t="s">
        <v>165</v>
      </c>
      <c r="E25" s="52"/>
      <c r="F25" s="50"/>
      <c r="G25" s="50">
        <f>'Scenario asset base'!G166</f>
        <v>10428.371419303308</v>
      </c>
      <c r="H25" s="50">
        <f>'Scenario asset base'!H166</f>
        <v>11631.749242910742</v>
      </c>
      <c r="I25" s="50">
        <f>'Scenario asset base'!I166</f>
        <v>14611.370010007266</v>
      </c>
      <c r="J25" s="50">
        <f>'Scenario asset base'!J166</f>
        <v>16806.353251297809</v>
      </c>
      <c r="K25" s="50">
        <f>'Scenario asset base'!K166</f>
        <v>18062.154571773648</v>
      </c>
    </row>
    <row r="26" spans="1:11" x14ac:dyDescent="0.45">
      <c r="C26" s="62" t="s">
        <v>168</v>
      </c>
      <c r="D26" s="38" t="s">
        <v>165</v>
      </c>
      <c r="E26" s="52"/>
      <c r="F26" s="50"/>
      <c r="G26" s="50">
        <f>'Scenario asset base'!G167</f>
        <v>14014.437992286585</v>
      </c>
      <c r="H26" s="50">
        <f>'Scenario asset base'!H167</f>
        <v>2069.4069790582498</v>
      </c>
      <c r="I26" s="50">
        <f>'Scenario asset base'!I167</f>
        <v>1697.1386691851833</v>
      </c>
      <c r="J26" s="50">
        <f>'Scenario asset base'!J167</f>
        <v>1195.6041481346408</v>
      </c>
      <c r="K26" s="50">
        <f>'Scenario asset base'!K167</f>
        <v>4136.2782046173088</v>
      </c>
    </row>
    <row r="28" spans="1:11" ht="23.25" x14ac:dyDescent="0.7">
      <c r="A28" s="27" t="s">
        <v>86</v>
      </c>
      <c r="F28" s="30">
        <v>2017</v>
      </c>
      <c r="G28" s="30">
        <f>F28+1</f>
        <v>2018</v>
      </c>
      <c r="H28" s="30">
        <f t="shared" ref="H28" si="1">G28+1</f>
        <v>2019</v>
      </c>
      <c r="I28" s="30">
        <f t="shared" ref="I28" si="2">H28+1</f>
        <v>2020</v>
      </c>
      <c r="J28" s="30">
        <f t="shared" ref="J28" si="3">I28+1</f>
        <v>2021</v>
      </c>
      <c r="K28" s="30">
        <f t="shared" ref="K28" si="4">J28+1</f>
        <v>2022</v>
      </c>
    </row>
    <row r="29" spans="1:11" x14ac:dyDescent="0.45">
      <c r="C29" s="62" t="s">
        <v>85</v>
      </c>
      <c r="D29" s="38"/>
      <c r="E29" s="38"/>
      <c r="F29" s="38"/>
      <c r="G29" s="45">
        <f>G5+G6</f>
        <v>334356.49423340772</v>
      </c>
      <c r="H29" s="45">
        <f>H5+H6</f>
        <v>350536.80667661648</v>
      </c>
      <c r="I29" s="45">
        <f>I5+I6</f>
        <v>365276.66582561919</v>
      </c>
      <c r="J29" s="45">
        <f>J5+J6</f>
        <v>382692.16787240724</v>
      </c>
      <c r="K29" s="45">
        <f>K5+K6</f>
        <v>401785.61827419186</v>
      </c>
    </row>
    <row r="30" spans="1:11" x14ac:dyDescent="0.45">
      <c r="C30" s="62" t="s">
        <v>43</v>
      </c>
      <c r="D30" s="38"/>
      <c r="E30" s="38"/>
      <c r="F30" s="38"/>
      <c r="G30" s="45">
        <f>G7+G9</f>
        <v>0</v>
      </c>
      <c r="H30" s="45">
        <f>H7+H9</f>
        <v>0</v>
      </c>
      <c r="I30" s="45">
        <f>I7+I9</f>
        <v>0</v>
      </c>
      <c r="J30" s="45">
        <f>J7+J9</f>
        <v>0</v>
      </c>
      <c r="K30" s="45">
        <f>K7+K9</f>
        <v>0</v>
      </c>
    </row>
    <row r="31" spans="1:11" x14ac:dyDescent="0.45">
      <c r="C31" s="62" t="s">
        <v>83</v>
      </c>
      <c r="D31" s="38"/>
      <c r="E31" s="38"/>
      <c r="F31" s="38"/>
      <c r="G31" s="45">
        <f>G8</f>
        <v>-14014.437992286599</v>
      </c>
      <c r="H31" s="45">
        <f>H8</f>
        <v>-2069.4069790582498</v>
      </c>
      <c r="I31" s="45">
        <f>I8</f>
        <v>-1697.1386691851801</v>
      </c>
      <c r="J31" s="45">
        <f>J8</f>
        <v>-1195.6041481346399</v>
      </c>
      <c r="K31" s="45">
        <f>K8</f>
        <v>-4136.2782046173097</v>
      </c>
    </row>
    <row r="32" spans="1:11" x14ac:dyDescent="0.45">
      <c r="C32" s="62" t="s">
        <v>171</v>
      </c>
      <c r="D32" s="38"/>
      <c r="E32" s="38"/>
      <c r="F32" s="38"/>
      <c r="G32" s="45">
        <f>SUM(G29:G31)</f>
        <v>320342.05624112114</v>
      </c>
      <c r="H32" s="45">
        <f t="shared" ref="H32:K32" si="5">SUM(H29:H31)</f>
        <v>348467.39969755826</v>
      </c>
      <c r="I32" s="45">
        <f t="shared" si="5"/>
        <v>363579.52715643402</v>
      </c>
      <c r="J32" s="45">
        <f t="shared" si="5"/>
        <v>381496.56372427259</v>
      </c>
      <c r="K32" s="45">
        <f t="shared" si="5"/>
        <v>397649.34006957454</v>
      </c>
    </row>
    <row r="33" spans="1:11" x14ac:dyDescent="0.45">
      <c r="C33" s="62"/>
      <c r="D33" s="38"/>
      <c r="E33" s="38"/>
      <c r="F33" s="38"/>
      <c r="G33" s="45"/>
      <c r="H33" s="45"/>
      <c r="I33" s="45"/>
      <c r="J33" s="45"/>
      <c r="K33" s="45"/>
    </row>
    <row r="34" spans="1:11" x14ac:dyDescent="0.45">
      <c r="B34" s="56" t="s">
        <v>42</v>
      </c>
      <c r="C34" s="62" t="s">
        <v>87</v>
      </c>
      <c r="D34" s="38"/>
      <c r="E34" s="38"/>
      <c r="F34" s="38"/>
      <c r="G34" s="45">
        <f>-G23</f>
        <v>-113722.41460501539</v>
      </c>
      <c r="H34" s="45">
        <f>-H23</f>
        <v>-122465.18313167134</v>
      </c>
      <c r="I34" s="45">
        <f>-I23</f>
        <v>-127281.02918927144</v>
      </c>
      <c r="J34" s="45">
        <f>-J23</f>
        <v>-132044.87124116445</v>
      </c>
      <c r="K34" s="45">
        <f>-K23</f>
        <v>-137398.28336272476</v>
      </c>
    </row>
    <row r="35" spans="1:11" x14ac:dyDescent="0.45">
      <c r="C35" s="62" t="s">
        <v>88</v>
      </c>
      <c r="D35" s="38"/>
      <c r="E35" s="38"/>
      <c r="F35" s="38"/>
      <c r="G35" s="45">
        <f>SUM(G32:G34)</f>
        <v>206619.64163610575</v>
      </c>
      <c r="H35" s="45">
        <f t="shared" ref="H35:K35" si="6">SUM(H32:H34)</f>
        <v>226002.21656588692</v>
      </c>
      <c r="I35" s="45">
        <f t="shared" si="6"/>
        <v>236298.49796716258</v>
      </c>
      <c r="J35" s="45">
        <f t="shared" si="6"/>
        <v>249451.69248310814</v>
      </c>
      <c r="K35" s="45">
        <f t="shared" si="6"/>
        <v>260251.05670684978</v>
      </c>
    </row>
    <row r="36" spans="1:11" x14ac:dyDescent="0.45">
      <c r="C36" s="62"/>
      <c r="D36" s="38"/>
      <c r="E36" s="38"/>
      <c r="F36" s="38"/>
      <c r="G36" s="45"/>
      <c r="H36" s="45"/>
      <c r="I36" s="45"/>
      <c r="J36" s="45"/>
      <c r="K36" s="45"/>
    </row>
    <row r="37" spans="1:11" x14ac:dyDescent="0.45">
      <c r="B37" s="56" t="s">
        <v>42</v>
      </c>
      <c r="C37" s="62" t="s">
        <v>59</v>
      </c>
      <c r="D37" s="38"/>
      <c r="E37" s="38"/>
      <c r="F37" s="38"/>
      <c r="G37" s="45">
        <f>-G22</f>
        <v>-52312.337159410497</v>
      </c>
      <c r="H37" s="45">
        <f>-H22</f>
        <v>-60725.143090090438</v>
      </c>
      <c r="I37" s="45">
        <f>-I22</f>
        <v>-79091.565080343964</v>
      </c>
      <c r="J37" s="45">
        <f>-J22</f>
        <v>-91505.551616700672</v>
      </c>
      <c r="K37" s="45">
        <f>-K22</f>
        <v>-97656.335698238923</v>
      </c>
    </row>
    <row r="38" spans="1:11" x14ac:dyDescent="0.45">
      <c r="B38" s="56" t="s">
        <v>41</v>
      </c>
      <c r="C38" s="62" t="s">
        <v>84</v>
      </c>
      <c r="D38" s="38"/>
      <c r="E38" s="38"/>
      <c r="F38" s="38"/>
      <c r="G38" s="45">
        <f>G21</f>
        <v>803.71815283335616</v>
      </c>
      <c r="H38" s="45">
        <f>H21</f>
        <v>1233.7362030309814</v>
      </c>
      <c r="I38" s="45">
        <f>I21</f>
        <v>1812.7926657264195</v>
      </c>
      <c r="J38" s="45">
        <f>J21</f>
        <v>1928.6255716970338</v>
      </c>
      <c r="K38" s="45">
        <f>K21</f>
        <v>1878.8521597331235</v>
      </c>
    </row>
    <row r="39" spans="1:11" x14ac:dyDescent="0.45">
      <c r="B39" s="55"/>
      <c r="C39" s="62" t="s">
        <v>78</v>
      </c>
      <c r="D39" s="38"/>
      <c r="E39" s="38"/>
      <c r="F39" s="38"/>
      <c r="G39" s="45">
        <f>SUM(G35:G38)</f>
        <v>155111.0226295286</v>
      </c>
      <c r="H39" s="45">
        <f t="shared" ref="H39:K39" si="7">SUM(H35:H38)</f>
        <v>166510.80967882747</v>
      </c>
      <c r="I39" s="45">
        <f t="shared" si="7"/>
        <v>159019.72555254502</v>
      </c>
      <c r="J39" s="45">
        <f t="shared" si="7"/>
        <v>159874.76643810453</v>
      </c>
      <c r="K39" s="45">
        <f t="shared" si="7"/>
        <v>164473.57316834398</v>
      </c>
    </row>
    <row r="41" spans="1:11" ht="23.25" x14ac:dyDescent="0.7">
      <c r="A41" s="27" t="s">
        <v>111</v>
      </c>
      <c r="F41" s="30">
        <v>2017</v>
      </c>
      <c r="G41" s="30">
        <f>F41+1</f>
        <v>2018</v>
      </c>
      <c r="H41" s="30">
        <f t="shared" ref="H41" si="8">G41+1</f>
        <v>2019</v>
      </c>
      <c r="I41" s="30">
        <f t="shared" ref="I41" si="9">H41+1</f>
        <v>2020</v>
      </c>
      <c r="J41" s="30">
        <f t="shared" ref="J41" si="10">I41+1</f>
        <v>2021</v>
      </c>
      <c r="K41" s="30">
        <f t="shared" ref="K41" si="11">J41+1</f>
        <v>2022</v>
      </c>
    </row>
    <row r="42" spans="1:11" x14ac:dyDescent="0.45">
      <c r="C42" s="62" t="s">
        <v>78</v>
      </c>
      <c r="D42" s="62"/>
      <c r="E42" s="62"/>
      <c r="F42" s="62"/>
      <c r="G42" s="62">
        <f>G39</f>
        <v>155111.0226295286</v>
      </c>
      <c r="H42" s="62">
        <f t="shared" ref="H42:K42" si="12">H39</f>
        <v>166510.80967882747</v>
      </c>
      <c r="I42" s="62">
        <f t="shared" si="12"/>
        <v>159019.72555254502</v>
      </c>
      <c r="J42" s="62">
        <f t="shared" si="12"/>
        <v>159874.76643810453</v>
      </c>
      <c r="K42" s="62">
        <f t="shared" si="12"/>
        <v>164473.57316834398</v>
      </c>
    </row>
    <row r="43" spans="1:11" x14ac:dyDescent="0.45"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45">
      <c r="B44" s="56" t="s">
        <v>41</v>
      </c>
      <c r="C44" s="62" t="s">
        <v>79</v>
      </c>
      <c r="D44" s="62"/>
      <c r="E44" s="62"/>
      <c r="F44" s="62"/>
      <c r="G44" s="62">
        <f>G22</f>
        <v>52312.337159410497</v>
      </c>
      <c r="H44" s="62">
        <f>H22</f>
        <v>60725.143090090438</v>
      </c>
      <c r="I44" s="62">
        <f>I22</f>
        <v>79091.565080343964</v>
      </c>
      <c r="J44" s="62">
        <f>J22</f>
        <v>91505.551616700672</v>
      </c>
      <c r="K44" s="62">
        <f>K22</f>
        <v>97656.335698238923</v>
      </c>
    </row>
    <row r="45" spans="1:11" x14ac:dyDescent="0.45">
      <c r="B45" s="56"/>
      <c r="C45" s="62" t="s">
        <v>26</v>
      </c>
      <c r="D45" s="62"/>
      <c r="E45" s="62"/>
      <c r="F45" s="62"/>
      <c r="G45" s="62">
        <f>G11</f>
        <v>0</v>
      </c>
      <c r="H45" s="62">
        <f>H11</f>
        <v>0</v>
      </c>
      <c r="I45" s="62">
        <f>I11</f>
        <v>0</v>
      </c>
      <c r="J45" s="62">
        <f>J11</f>
        <v>0</v>
      </c>
      <c r="K45" s="62">
        <f>K11</f>
        <v>0</v>
      </c>
    </row>
    <row r="46" spans="1:11" x14ac:dyDescent="0.45">
      <c r="B46" s="56"/>
      <c r="C46" s="62" t="s">
        <v>27</v>
      </c>
      <c r="D46" s="62"/>
      <c r="E46" s="62"/>
      <c r="F46" s="62"/>
      <c r="G46" s="62">
        <f>G13</f>
        <v>0</v>
      </c>
      <c r="H46" s="62">
        <f>H13</f>
        <v>0</v>
      </c>
      <c r="I46" s="62">
        <f>I13</f>
        <v>0</v>
      </c>
      <c r="J46" s="62">
        <f>J13</f>
        <v>0</v>
      </c>
      <c r="K46" s="62">
        <f>K13</f>
        <v>0</v>
      </c>
    </row>
    <row r="47" spans="1:11" x14ac:dyDescent="0.45">
      <c r="B47" s="56"/>
      <c r="C47" s="62" t="s">
        <v>56</v>
      </c>
      <c r="D47" s="62"/>
      <c r="E47" s="62"/>
      <c r="F47" s="62"/>
      <c r="G47" s="62">
        <f>-G8</f>
        <v>14014.437992286599</v>
      </c>
      <c r="H47" s="62">
        <f>-H8</f>
        <v>2069.4069790582498</v>
      </c>
      <c r="I47" s="62">
        <f>-I8</f>
        <v>1697.1386691851801</v>
      </c>
      <c r="J47" s="62">
        <f>-J8</f>
        <v>1195.6041481346399</v>
      </c>
      <c r="K47" s="62">
        <f>-K8</f>
        <v>4136.2782046173097</v>
      </c>
    </row>
    <row r="48" spans="1:11" x14ac:dyDescent="0.45">
      <c r="B48" s="56"/>
      <c r="C48" s="62"/>
      <c r="D48" s="62"/>
      <c r="E48" s="62"/>
      <c r="F48" s="62"/>
      <c r="G48" s="62"/>
      <c r="H48" s="62"/>
      <c r="I48" s="62"/>
      <c r="J48" s="62"/>
      <c r="K48" s="62"/>
    </row>
    <row r="49" spans="1:11" x14ac:dyDescent="0.45">
      <c r="B49" s="56" t="s">
        <v>42</v>
      </c>
      <c r="C49" s="62" t="s">
        <v>80</v>
      </c>
      <c r="D49" s="62"/>
      <c r="E49" s="62"/>
      <c r="F49" s="62"/>
      <c r="G49" s="62">
        <f>-G21</f>
        <v>-803.71815283335616</v>
      </c>
      <c r="H49" s="62">
        <f>-H21</f>
        <v>-1233.7362030309814</v>
      </c>
      <c r="I49" s="62">
        <f>-I21</f>
        <v>-1812.7926657264195</v>
      </c>
      <c r="J49" s="62">
        <f>-J21</f>
        <v>-1928.6255716970338</v>
      </c>
      <c r="K49" s="62">
        <f>-K21</f>
        <v>-1878.8521597331235</v>
      </c>
    </row>
    <row r="50" spans="1:11" x14ac:dyDescent="0.45">
      <c r="C50" s="62" t="s">
        <v>45</v>
      </c>
      <c r="D50" s="62"/>
      <c r="E50" s="62"/>
      <c r="F50" s="62"/>
      <c r="G50" s="62">
        <f t="shared" ref="G50:K51" si="13">-G24</f>
        <v>-53489.664620018928</v>
      </c>
      <c r="H50" s="62">
        <f t="shared" si="13"/>
        <v>-74268.866481181714</v>
      </c>
      <c r="I50" s="62">
        <f t="shared" si="13"/>
        <v>-95207.11041570628</v>
      </c>
      <c r="J50" s="62">
        <f t="shared" si="13"/>
        <v>-104810.81613633731</v>
      </c>
      <c r="K50" s="62">
        <f t="shared" si="13"/>
        <v>-113576.47296688707</v>
      </c>
    </row>
    <row r="51" spans="1:11" x14ac:dyDescent="0.45">
      <c r="C51" s="62" t="s">
        <v>46</v>
      </c>
      <c r="D51" s="62"/>
      <c r="E51" s="62"/>
      <c r="F51" s="62"/>
      <c r="G51" s="62">
        <f t="shared" si="13"/>
        <v>-10428.371419303308</v>
      </c>
      <c r="H51" s="62">
        <f t="shared" si="13"/>
        <v>-11631.749242910742</v>
      </c>
      <c r="I51" s="62">
        <f t="shared" si="13"/>
        <v>-14611.370010007266</v>
      </c>
      <c r="J51" s="62">
        <f t="shared" si="13"/>
        <v>-16806.353251297809</v>
      </c>
      <c r="K51" s="62">
        <f t="shared" si="13"/>
        <v>-18062.154571773648</v>
      </c>
    </row>
    <row r="52" spans="1:11" x14ac:dyDescent="0.45">
      <c r="C52" s="62" t="s">
        <v>28</v>
      </c>
      <c r="D52" s="62"/>
      <c r="E52" s="62"/>
      <c r="F52" s="62"/>
      <c r="G52" s="62">
        <f>-G12</f>
        <v>0</v>
      </c>
      <c r="H52" s="62">
        <f>-H12</f>
        <v>0</v>
      </c>
      <c r="I52" s="62">
        <f>-I12</f>
        <v>0</v>
      </c>
      <c r="J52" s="62">
        <f>-J12</f>
        <v>0</v>
      </c>
      <c r="K52" s="62">
        <f>-K12</f>
        <v>0</v>
      </c>
    </row>
    <row r="53" spans="1:11" x14ac:dyDescent="0.45">
      <c r="C53" s="62" t="s">
        <v>29</v>
      </c>
      <c r="D53" s="62"/>
      <c r="E53" s="62"/>
      <c r="F53" s="62"/>
      <c r="G53" s="62">
        <f>-G14</f>
        <v>0</v>
      </c>
      <c r="H53" s="62">
        <f>-H14</f>
        <v>0</v>
      </c>
      <c r="I53" s="62">
        <f>-I14</f>
        <v>0</v>
      </c>
      <c r="J53" s="62">
        <f>-J14</f>
        <v>0</v>
      </c>
      <c r="K53" s="62">
        <f>-K14</f>
        <v>0</v>
      </c>
    </row>
    <row r="54" spans="1:11" x14ac:dyDescent="0.45">
      <c r="C54" s="62" t="s">
        <v>104</v>
      </c>
      <c r="D54" s="62"/>
      <c r="E54" s="62"/>
      <c r="F54" s="62"/>
      <c r="G54" s="62">
        <f>-G47*('Default asset base'!F147/'Default asset base'!F97)</f>
        <v>-7826.8803890390936</v>
      </c>
      <c r="H54" s="62">
        <f>-H47*('Default asset base'!G147/'Default asset base'!G97)</f>
        <v>-1279.7959200359917</v>
      </c>
      <c r="I54" s="62">
        <f>-I47*('Default asset base'!H147/'Default asset base'!H97)</f>
        <v>-1121.7195279008463</v>
      </c>
      <c r="J54" s="62">
        <f>-J47*('Default asset base'!I147/'Default asset base'!I97)</f>
        <v>-863.39826120032444</v>
      </c>
      <c r="K54" s="62">
        <f>-K47*('Default asset base'!J147/'Default asset base'!J97)</f>
        <v>-3101.6900534096226</v>
      </c>
    </row>
    <row r="55" spans="1:11" x14ac:dyDescent="0.45">
      <c r="C55" s="62"/>
      <c r="D55" s="62"/>
      <c r="E55" s="62"/>
      <c r="F55" s="62"/>
      <c r="G55" s="62"/>
      <c r="H55" s="62"/>
      <c r="I55" s="62"/>
      <c r="J55" s="62"/>
      <c r="K55" s="62"/>
    </row>
    <row r="56" spans="1:11" x14ac:dyDescent="0.45">
      <c r="C56" s="62" t="s">
        <v>81</v>
      </c>
      <c r="D56" s="62"/>
      <c r="E56" s="62"/>
      <c r="F56" s="62"/>
      <c r="G56" s="62">
        <f>SUM(G42:G54)</f>
        <v>148889.16320003106</v>
      </c>
      <c r="H56" s="62">
        <f>SUM(H42:H54)</f>
        <v>140891.21190081671</v>
      </c>
      <c r="I56" s="62">
        <f>SUM(I42:I54)</f>
        <v>127055.43668273334</v>
      </c>
      <c r="J56" s="62">
        <f>SUM(J42:J54)</f>
        <v>128166.72898240735</v>
      </c>
      <c r="K56" s="62">
        <f>SUM(K42:K54)</f>
        <v>129647.01731939676</v>
      </c>
    </row>
    <row r="57" spans="1:11" x14ac:dyDescent="0.45">
      <c r="C57" s="62"/>
      <c r="D57" s="62"/>
      <c r="E57" s="62"/>
      <c r="F57" s="62"/>
      <c r="G57" s="62"/>
      <c r="H57" s="62"/>
      <c r="I57" s="62"/>
      <c r="J57" s="62"/>
      <c r="K57" s="62"/>
    </row>
    <row r="58" spans="1:11" x14ac:dyDescent="0.45">
      <c r="C58" s="62" t="s">
        <v>82</v>
      </c>
      <c r="D58" s="62"/>
      <c r="E58" s="62"/>
      <c r="F58" s="62"/>
      <c r="G58" s="62">
        <f>G56*$E$17</f>
        <v>41688.965696008701</v>
      </c>
      <c r="H58" s="62">
        <f t="shared" ref="H58:K58" si="14">H56*$E$17</f>
        <v>39449.539332228684</v>
      </c>
      <c r="I58" s="62">
        <f t="shared" si="14"/>
        <v>35575.52227116534</v>
      </c>
      <c r="J58" s="62">
        <f t="shared" si="14"/>
        <v>35886.684115074066</v>
      </c>
      <c r="K58" s="62">
        <f t="shared" si="14"/>
        <v>36301.164849431094</v>
      </c>
    </row>
    <row r="60" spans="1:11" x14ac:dyDescent="0.45">
      <c r="C60" s="62" t="s">
        <v>110</v>
      </c>
      <c r="D60" s="62"/>
      <c r="E60" s="62"/>
      <c r="F60" s="62"/>
      <c r="G60" s="62">
        <f>G58-(G51*$E$17)</f>
        <v>44608.909693413625</v>
      </c>
      <c r="H60" s="62">
        <f t="shared" ref="H60:K60" si="15">H58-(H51*$E$17)</f>
        <v>42706.429120243694</v>
      </c>
      <c r="I60" s="62">
        <f t="shared" si="15"/>
        <v>39666.705873967374</v>
      </c>
      <c r="J60" s="62">
        <f t="shared" si="15"/>
        <v>40592.46302543745</v>
      </c>
      <c r="K60" s="62">
        <f t="shared" si="15"/>
        <v>41358.568129527717</v>
      </c>
    </row>
    <row r="62" spans="1:11" ht="23.25" x14ac:dyDescent="0.7">
      <c r="A62" s="27" t="s">
        <v>176</v>
      </c>
      <c r="F62" s="30">
        <v>2017</v>
      </c>
      <c r="G62" s="30">
        <f>F62+1</f>
        <v>2018</v>
      </c>
      <c r="H62" s="30">
        <f t="shared" ref="H62" si="16">G62+1</f>
        <v>2019</v>
      </c>
      <c r="I62" s="30">
        <f t="shared" ref="I62" si="17">H62+1</f>
        <v>2020</v>
      </c>
      <c r="J62" s="30">
        <f t="shared" ref="J62" si="18">I62+1</f>
        <v>2021</v>
      </c>
      <c r="K62" s="30">
        <f t="shared" ref="K62" si="19">J62+1</f>
        <v>2022</v>
      </c>
    </row>
    <row r="63" spans="1:11" x14ac:dyDescent="0.45">
      <c r="C63" s="62" t="s">
        <v>168</v>
      </c>
      <c r="D63" s="62"/>
      <c r="E63" s="62"/>
      <c r="F63" s="62"/>
      <c r="G63" s="62">
        <f>G26</f>
        <v>14014.437992286585</v>
      </c>
      <c r="H63" s="62">
        <f t="shared" ref="H63:K63" si="20">H26</f>
        <v>2069.4069790582498</v>
      </c>
      <c r="I63" s="62">
        <f t="shared" si="20"/>
        <v>1697.1386691851833</v>
      </c>
      <c r="J63" s="62">
        <f t="shared" si="20"/>
        <v>1195.6041481346408</v>
      </c>
      <c r="K63" s="62">
        <f t="shared" si="20"/>
        <v>4136.2782046173088</v>
      </c>
    </row>
    <row r="64" spans="1:11" x14ac:dyDescent="0.45">
      <c r="C64" s="62" t="s">
        <v>169</v>
      </c>
      <c r="D64" s="62"/>
      <c r="E64" s="62"/>
      <c r="F64" s="62"/>
      <c r="G64" s="62">
        <f>G8</f>
        <v>-14014.437992286599</v>
      </c>
      <c r="H64" s="62">
        <f t="shared" ref="H64:K64" si="21">H8</f>
        <v>-2069.4069790582498</v>
      </c>
      <c r="I64" s="62">
        <f t="shared" si="21"/>
        <v>-1697.1386691851801</v>
      </c>
      <c r="J64" s="62">
        <f t="shared" si="21"/>
        <v>-1195.6041481346399</v>
      </c>
      <c r="K64" s="62">
        <f t="shared" si="21"/>
        <v>-4136.2782046173097</v>
      </c>
    </row>
    <row r="65" spans="1:11" x14ac:dyDescent="0.45">
      <c r="C65" s="120" t="s">
        <v>194</v>
      </c>
      <c r="D65" s="62"/>
      <c r="E65" s="62"/>
      <c r="F65" s="62"/>
      <c r="G65" s="62">
        <f>G63+G64</f>
        <v>-1.4551915228366852E-11</v>
      </c>
      <c r="H65" s="62">
        <f t="shared" ref="H65:K65" si="22">H63+H64</f>
        <v>0</v>
      </c>
      <c r="I65" s="62">
        <f t="shared" si="22"/>
        <v>3.1832314562052488E-12</v>
      </c>
      <c r="J65" s="62">
        <f t="shared" si="22"/>
        <v>0</v>
      </c>
      <c r="K65" s="62">
        <f t="shared" si="22"/>
        <v>0</v>
      </c>
    </row>
    <row r="67" spans="1:11" ht="21" x14ac:dyDescent="0.65">
      <c r="A67" s="42" t="s">
        <v>7</v>
      </c>
      <c r="F67" s="30">
        <v>2017</v>
      </c>
      <c r="G67" s="30">
        <f>F67+1</f>
        <v>2018</v>
      </c>
      <c r="H67" s="30">
        <f t="shared" ref="H67:K67" si="23">G67+1</f>
        <v>2019</v>
      </c>
      <c r="I67" s="30">
        <f t="shared" si="23"/>
        <v>2020</v>
      </c>
      <c r="J67" s="30">
        <f t="shared" si="23"/>
        <v>2021</v>
      </c>
      <c r="K67" s="30">
        <f t="shared" si="23"/>
        <v>2022</v>
      </c>
    </row>
    <row r="68" spans="1:11" x14ac:dyDescent="0.45">
      <c r="C68" s="120" t="s">
        <v>194</v>
      </c>
      <c r="D68" s="62"/>
      <c r="E68" s="62"/>
      <c r="F68" s="62"/>
      <c r="G68" s="62">
        <f>G65</f>
        <v>-1.4551915228366852E-11</v>
      </c>
      <c r="H68" s="62">
        <f t="shared" ref="H68:K68" si="24">H65</f>
        <v>0</v>
      </c>
      <c r="I68" s="62">
        <f t="shared" si="24"/>
        <v>3.1832314562052488E-12</v>
      </c>
      <c r="J68" s="62">
        <f t="shared" si="24"/>
        <v>0</v>
      </c>
      <c r="K68" s="62">
        <f t="shared" si="24"/>
        <v>0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Footer>&amp;L&amp;F&amp;C&amp;A&amp;R&amp;P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L103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2" width="4.86328125" style="1" customWidth="1"/>
    <col min="3" max="3" width="57.1328125" style="1" customWidth="1"/>
    <col min="4" max="4" width="17.59765625" style="1" customWidth="1"/>
    <col min="5" max="5" width="9.1328125" style="1" customWidth="1"/>
    <col min="6" max="6" width="10" style="1" bestFit="1" customWidth="1"/>
    <col min="7" max="8" width="10.3984375" style="1" bestFit="1" customWidth="1"/>
    <col min="9" max="11" width="10.59765625" style="1" bestFit="1" customWidth="1"/>
    <col min="12" max="12" width="7.59765625" style="1" customWidth="1"/>
    <col min="13" max="16384" width="8.86328125" style="1"/>
  </cols>
  <sheetData>
    <row r="1" spans="1:11" ht="25.5" x14ac:dyDescent="0.75">
      <c r="A1" s="18" t="s">
        <v>205</v>
      </c>
      <c r="E1" s="28"/>
    </row>
    <row r="2" spans="1:11" x14ac:dyDescent="0.45">
      <c r="A2" s="75" t="s">
        <v>206</v>
      </c>
    </row>
    <row r="3" spans="1:11" ht="28.5" x14ac:dyDescent="0.7">
      <c r="A3" s="27" t="s">
        <v>5</v>
      </c>
      <c r="D3" s="30" t="s">
        <v>53</v>
      </c>
      <c r="E3" s="30" t="s">
        <v>12</v>
      </c>
      <c r="F3" s="30">
        <v>2017</v>
      </c>
      <c r="G3" s="30">
        <f>F3+1</f>
        <v>2018</v>
      </c>
      <c r="H3" s="30">
        <f t="shared" ref="H3:K3" si="0">G3+1</f>
        <v>2019</v>
      </c>
      <c r="I3" s="30">
        <f t="shared" si="0"/>
        <v>2020</v>
      </c>
      <c r="J3" s="30">
        <f t="shared" si="0"/>
        <v>2021</v>
      </c>
      <c r="K3" s="30">
        <f t="shared" si="0"/>
        <v>2022</v>
      </c>
    </row>
    <row r="4" spans="1:11" ht="18" x14ac:dyDescent="0.55000000000000004">
      <c r="B4" s="35" t="s">
        <v>33</v>
      </c>
      <c r="E4" s="30"/>
      <c r="F4" s="30"/>
      <c r="G4" s="30"/>
      <c r="H4" s="30"/>
      <c r="I4" s="30"/>
      <c r="J4" s="30"/>
      <c r="K4" s="30"/>
    </row>
    <row r="5" spans="1:11" x14ac:dyDescent="0.45">
      <c r="C5" s="38" t="s">
        <v>18</v>
      </c>
      <c r="D5" s="38" t="s">
        <v>31</v>
      </c>
      <c r="E5" s="52"/>
      <c r="F5" s="52"/>
      <c r="G5" s="52">
        <f>'Scenario Manager'!G34</f>
        <v>310099.98689137312</v>
      </c>
      <c r="H5" s="52">
        <f>'Scenario Manager'!H34</f>
        <v>324198.48502135748</v>
      </c>
      <c r="I5" s="52">
        <f>'Scenario Manager'!I34</f>
        <v>336956.58027701493</v>
      </c>
      <c r="J5" s="52">
        <f>'Scenario Manager'!J34</f>
        <v>353317.52538773493</v>
      </c>
      <c r="K5" s="52">
        <f>'Scenario Manager'!K34</f>
        <v>371531.28593805904</v>
      </c>
    </row>
    <row r="6" spans="1:11" x14ac:dyDescent="0.45">
      <c r="C6" s="38" t="s">
        <v>19</v>
      </c>
      <c r="D6" s="38" t="s">
        <v>31</v>
      </c>
      <c r="E6" s="52"/>
      <c r="F6" s="52"/>
      <c r="G6" s="52">
        <f>'Scenario Manager'!G35</f>
        <v>24256.507342034583</v>
      </c>
      <c r="H6" s="52">
        <f>'Scenario Manager'!H35</f>
        <v>26338.321655259002</v>
      </c>
      <c r="I6" s="52">
        <f>'Scenario Manager'!I35</f>
        <v>28320.085548604249</v>
      </c>
      <c r="J6" s="52">
        <f>'Scenario Manager'!J35</f>
        <v>29374.642484672295</v>
      </c>
      <c r="K6" s="52">
        <f>'Scenario Manager'!K35</f>
        <v>30254.332336132818</v>
      </c>
    </row>
    <row r="7" spans="1:11" x14ac:dyDescent="0.45">
      <c r="C7" s="38" t="s">
        <v>20</v>
      </c>
      <c r="D7" s="38" t="s">
        <v>31</v>
      </c>
      <c r="E7" s="52"/>
      <c r="F7" s="52"/>
      <c r="G7" s="52">
        <f>'Scenario Manager'!G36</f>
        <v>0</v>
      </c>
      <c r="H7" s="52">
        <f>'Scenario Manager'!H36</f>
        <v>0</v>
      </c>
      <c r="I7" s="52">
        <f>'Scenario Manager'!I36</f>
        <v>0</v>
      </c>
      <c r="J7" s="52">
        <f>'Scenario Manager'!J36</f>
        <v>0</v>
      </c>
      <c r="K7" s="52">
        <f>'Scenario Manager'!K36</f>
        <v>0</v>
      </c>
    </row>
    <row r="8" spans="1:11" x14ac:dyDescent="0.45">
      <c r="C8" s="38" t="s">
        <v>71</v>
      </c>
      <c r="D8" s="38" t="s">
        <v>31</v>
      </c>
      <c r="E8" s="52"/>
      <c r="F8" s="52"/>
      <c r="G8" s="52">
        <f>'Scenario Manager'!G37</f>
        <v>-14014.437992286599</v>
      </c>
      <c r="H8" s="52">
        <f>'Scenario Manager'!H37</f>
        <v>-2069.4069790582498</v>
      </c>
      <c r="I8" s="52">
        <f>'Scenario Manager'!I37</f>
        <v>-1697.1386691851801</v>
      </c>
      <c r="J8" s="52">
        <f>'Scenario Manager'!J37</f>
        <v>-1195.6041481346399</v>
      </c>
      <c r="K8" s="52">
        <f>'Scenario Manager'!K37</f>
        <v>-4136.2782046173097</v>
      </c>
    </row>
    <row r="9" spans="1:11" x14ac:dyDescent="0.45">
      <c r="C9" s="38"/>
      <c r="D9" s="38"/>
      <c r="E9" s="52"/>
      <c r="F9" s="52"/>
      <c r="G9" s="52"/>
      <c r="H9" s="52"/>
      <c r="I9" s="52"/>
      <c r="J9" s="52"/>
      <c r="K9" s="52"/>
    </row>
    <row r="10" spans="1:11" ht="18" x14ac:dyDescent="0.55000000000000004">
      <c r="B10" s="35" t="s">
        <v>50</v>
      </c>
      <c r="C10" s="38"/>
      <c r="D10" s="38"/>
      <c r="E10" s="52"/>
      <c r="F10" s="58"/>
      <c r="G10" s="58"/>
      <c r="H10" s="58"/>
      <c r="I10" s="58"/>
      <c r="J10" s="58"/>
      <c r="K10" s="58"/>
    </row>
    <row r="11" spans="1:11" ht="14.45" customHeight="1" x14ac:dyDescent="0.55000000000000004">
      <c r="B11" s="35"/>
      <c r="C11" s="38" t="s">
        <v>26</v>
      </c>
      <c r="D11" s="38" t="s">
        <v>31</v>
      </c>
      <c r="E11" s="52"/>
      <c r="F11" s="52"/>
      <c r="G11" s="52">
        <f>'Scenario Manager'!G74</f>
        <v>0</v>
      </c>
      <c r="H11" s="52">
        <f>'Scenario Manager'!H74</f>
        <v>0</v>
      </c>
      <c r="I11" s="52">
        <f>'Scenario Manager'!I74</f>
        <v>0</v>
      </c>
      <c r="J11" s="52">
        <f>'Scenario Manager'!J74</f>
        <v>0</v>
      </c>
      <c r="K11" s="52">
        <f>'Scenario Manager'!K74</f>
        <v>0</v>
      </c>
    </row>
    <row r="12" spans="1:11" ht="14.45" customHeight="1" x14ac:dyDescent="0.55000000000000004">
      <c r="B12" s="35"/>
      <c r="C12" s="38" t="s">
        <v>28</v>
      </c>
      <c r="D12" s="38" t="s">
        <v>31</v>
      </c>
      <c r="E12" s="52"/>
      <c r="F12" s="52"/>
      <c r="G12" s="52">
        <f>'Scenario Manager'!G75</f>
        <v>0</v>
      </c>
      <c r="H12" s="52">
        <f>'Scenario Manager'!H75</f>
        <v>0</v>
      </c>
      <c r="I12" s="52">
        <f>'Scenario Manager'!I75</f>
        <v>0</v>
      </c>
      <c r="J12" s="52">
        <f>'Scenario Manager'!J75</f>
        <v>0</v>
      </c>
      <c r="K12" s="52">
        <f>'Scenario Manager'!K75</f>
        <v>0</v>
      </c>
    </row>
    <row r="13" spans="1:11" ht="14.45" customHeight="1" x14ac:dyDescent="0.55000000000000004">
      <c r="B13" s="35"/>
      <c r="C13" s="38" t="s">
        <v>27</v>
      </c>
      <c r="D13" s="38" t="s">
        <v>31</v>
      </c>
      <c r="E13" s="52"/>
      <c r="F13" s="52"/>
      <c r="G13" s="52">
        <f>'Scenario Manager'!G76</f>
        <v>0</v>
      </c>
      <c r="H13" s="52">
        <f>'Scenario Manager'!H76</f>
        <v>0</v>
      </c>
      <c r="I13" s="52">
        <f>'Scenario Manager'!I76</f>
        <v>0</v>
      </c>
      <c r="J13" s="52">
        <f>'Scenario Manager'!J76</f>
        <v>0</v>
      </c>
      <c r="K13" s="52">
        <f>'Scenario Manager'!K76</f>
        <v>0</v>
      </c>
    </row>
    <row r="14" spans="1:11" ht="14.45" customHeight="1" x14ac:dyDescent="0.55000000000000004">
      <c r="B14" s="35"/>
      <c r="C14" s="38" t="s">
        <v>29</v>
      </c>
      <c r="D14" s="38" t="s">
        <v>31</v>
      </c>
      <c r="E14" s="52"/>
      <c r="F14" s="52"/>
      <c r="G14" s="52">
        <f>'Scenario Manager'!G77</f>
        <v>0</v>
      </c>
      <c r="H14" s="52">
        <f>'Scenario Manager'!H77</f>
        <v>0</v>
      </c>
      <c r="I14" s="52">
        <f>'Scenario Manager'!I77</f>
        <v>0</v>
      </c>
      <c r="J14" s="52">
        <f>'Scenario Manager'!J77</f>
        <v>0</v>
      </c>
      <c r="K14" s="52">
        <f>'Scenario Manager'!K77</f>
        <v>0</v>
      </c>
    </row>
    <row r="15" spans="1:11" ht="14.45" customHeight="1" x14ac:dyDescent="0.55000000000000004">
      <c r="B15" s="35"/>
      <c r="C15" s="38" t="s">
        <v>30</v>
      </c>
      <c r="D15" s="38" t="s">
        <v>31</v>
      </c>
      <c r="E15" s="52"/>
      <c r="F15" s="52"/>
      <c r="G15" s="52">
        <f>'Scenario Manager'!G78</f>
        <v>0</v>
      </c>
      <c r="H15" s="52">
        <f>'Scenario Manager'!H78</f>
        <v>0</v>
      </c>
      <c r="I15" s="52">
        <f>'Scenario Manager'!I78</f>
        <v>0</v>
      </c>
      <c r="J15" s="52">
        <f>'Scenario Manager'!J78</f>
        <v>0</v>
      </c>
      <c r="K15" s="52">
        <f>'Scenario Manager'!K78</f>
        <v>0</v>
      </c>
    </row>
    <row r="16" spans="1:11" ht="14.45" customHeight="1" x14ac:dyDescent="0.55000000000000004">
      <c r="B16" s="35" t="s">
        <v>9</v>
      </c>
      <c r="C16" s="38"/>
      <c r="D16" s="38"/>
      <c r="E16" s="52"/>
      <c r="F16" s="58"/>
      <c r="G16" s="58"/>
      <c r="H16" s="58"/>
      <c r="I16" s="58"/>
      <c r="J16" s="58"/>
      <c r="K16" s="58"/>
    </row>
    <row r="17" spans="1:12" ht="14.45" customHeight="1" x14ac:dyDescent="0.55000000000000004">
      <c r="B17" s="35"/>
      <c r="C17" s="38" t="s">
        <v>15</v>
      </c>
      <c r="D17" s="38" t="s">
        <v>31</v>
      </c>
      <c r="E17" s="53">
        <f>'Scenario Manager'!E14</f>
        <v>0.28000000000000003</v>
      </c>
      <c r="F17" s="58"/>
      <c r="G17" s="58"/>
      <c r="H17" s="58"/>
      <c r="I17" s="58"/>
      <c r="J17" s="58"/>
      <c r="K17" s="58"/>
    </row>
    <row r="18" spans="1:12" ht="14.45" customHeight="1" x14ac:dyDescent="0.55000000000000004">
      <c r="B18" s="35"/>
      <c r="C18" s="38" t="s">
        <v>68</v>
      </c>
      <c r="D18" s="38" t="s">
        <v>31</v>
      </c>
      <c r="E18" s="54">
        <f>'Scenario Manager'!E17</f>
        <v>6.6433320000000004E-2</v>
      </c>
      <c r="F18" s="58"/>
      <c r="G18" s="58"/>
      <c r="H18" s="58"/>
      <c r="I18" s="58"/>
      <c r="J18" s="58"/>
      <c r="K18" s="58"/>
    </row>
    <row r="19" spans="1:12" ht="18" x14ac:dyDescent="0.55000000000000004">
      <c r="A19" s="35"/>
      <c r="B19" s="35" t="s">
        <v>67</v>
      </c>
      <c r="C19" s="38"/>
      <c r="D19" s="38"/>
      <c r="E19" s="52"/>
      <c r="F19" s="58"/>
      <c r="G19" s="58"/>
      <c r="H19" s="58"/>
      <c r="I19" s="58"/>
      <c r="J19" s="58"/>
      <c r="K19" s="58"/>
    </row>
    <row r="20" spans="1:12" x14ac:dyDescent="0.45">
      <c r="C20" s="62" t="s">
        <v>131</v>
      </c>
      <c r="D20" s="38" t="s">
        <v>165</v>
      </c>
      <c r="E20" s="52"/>
      <c r="F20" s="50"/>
      <c r="G20" s="50">
        <f>'Scenario asset base'!G162</f>
        <v>1349154.9323790146</v>
      </c>
      <c r="H20" s="50">
        <f>'Scenario asset base'!H162</f>
        <v>1596785.8522677054</v>
      </c>
      <c r="I20" s="50">
        <f>'Scenario asset base'!I162</f>
        <v>1914277.5044919592</v>
      </c>
      <c r="J20" s="50">
        <f>'Scenario asset base'!J162</f>
        <v>2126094.4536078153</v>
      </c>
      <c r="K20" s="50">
        <f>'Scenario asset base'!K162</f>
        <v>2289446.9587079724</v>
      </c>
    </row>
    <row r="21" spans="1:12" x14ac:dyDescent="0.45">
      <c r="C21" s="62" t="s">
        <v>38</v>
      </c>
      <c r="D21" s="38" t="s">
        <v>165</v>
      </c>
      <c r="E21" s="52"/>
      <c r="F21" s="50"/>
      <c r="G21" s="50">
        <f>'Scenario asset base'!G163</f>
        <v>803.71815283335616</v>
      </c>
      <c r="H21" s="50">
        <f>'Scenario asset base'!H163</f>
        <v>1233.7362030309814</v>
      </c>
      <c r="I21" s="50">
        <f>'Scenario asset base'!I163</f>
        <v>1812.7926657264195</v>
      </c>
      <c r="J21" s="50">
        <f>'Scenario asset base'!J163</f>
        <v>1928.6255716970338</v>
      </c>
      <c r="K21" s="50">
        <f>'Scenario asset base'!K163</f>
        <v>1878.8521597331235</v>
      </c>
    </row>
    <row r="22" spans="1:12" x14ac:dyDescent="0.45">
      <c r="C22" s="62" t="s">
        <v>39</v>
      </c>
      <c r="D22" s="38" t="s">
        <v>165</v>
      </c>
      <c r="E22" s="52"/>
      <c r="F22" s="50"/>
      <c r="G22" s="50">
        <f>'Scenario asset base'!G164</f>
        <v>52312.337159410497</v>
      </c>
      <c r="H22" s="50">
        <f>-'Default asset base'!H100</f>
        <v>60725.143090090438</v>
      </c>
      <c r="I22" s="50">
        <f>-'Default asset base'!I100</f>
        <v>79091.565080343964</v>
      </c>
      <c r="J22" s="50">
        <f>-'Default asset base'!J100</f>
        <v>91505.551616700672</v>
      </c>
      <c r="K22" s="50">
        <f>-'Default asset base'!K100</f>
        <v>97656.335698238923</v>
      </c>
    </row>
    <row r="23" spans="1:12" x14ac:dyDescent="0.45">
      <c r="C23" s="62" t="s">
        <v>69</v>
      </c>
      <c r="D23" s="38" t="s">
        <v>31</v>
      </c>
      <c r="E23" s="52"/>
      <c r="F23" s="50"/>
      <c r="G23" s="50">
        <f>'Scenario Manager'!G87</f>
        <v>113722.41460501539</v>
      </c>
      <c r="H23" s="50">
        <f>'Scenario Manager'!H87</f>
        <v>122465.18313167134</v>
      </c>
      <c r="I23" s="50">
        <f>'Scenario Manager'!I87</f>
        <v>127281.02918927144</v>
      </c>
      <c r="J23" s="50">
        <f>'Scenario Manager'!J87</f>
        <v>132044.87124116445</v>
      </c>
      <c r="K23" s="50">
        <f>'Scenario Manager'!K87</f>
        <v>137398.28336272476</v>
      </c>
    </row>
    <row r="24" spans="1:12" x14ac:dyDescent="0.45">
      <c r="C24" s="62" t="s">
        <v>70</v>
      </c>
      <c r="D24" s="38" t="s">
        <v>165</v>
      </c>
      <c r="E24" s="52"/>
      <c r="F24" s="50"/>
      <c r="G24" s="50">
        <f>'Scenario asset base'!G165</f>
        <v>53489.664620018928</v>
      </c>
      <c r="H24" s="50">
        <f>'Scenario asset base'!H165</f>
        <v>74268.866481181714</v>
      </c>
      <c r="I24" s="50">
        <f>'Scenario asset base'!I165</f>
        <v>95207.11041570628</v>
      </c>
      <c r="J24" s="50">
        <f>'Scenario asset base'!J165</f>
        <v>104810.81613633731</v>
      </c>
      <c r="K24" s="50">
        <f>'Scenario asset base'!K165</f>
        <v>113576.47296688707</v>
      </c>
    </row>
    <row r="25" spans="1:12" x14ac:dyDescent="0.45">
      <c r="C25" s="62" t="s">
        <v>76</v>
      </c>
      <c r="D25" s="38" t="s">
        <v>165</v>
      </c>
      <c r="E25" s="52"/>
      <c r="F25" s="50"/>
      <c r="G25" s="50">
        <f>'Scenario asset base'!G166</f>
        <v>10428.371419303308</v>
      </c>
      <c r="H25" s="50">
        <f>'Scenario asset base'!H166</f>
        <v>11631.749242910742</v>
      </c>
      <c r="I25" s="50">
        <f>'Scenario asset base'!I166</f>
        <v>14611.370010007266</v>
      </c>
      <c r="J25" s="50">
        <f>'Scenario asset base'!J166</f>
        <v>16806.353251297809</v>
      </c>
      <c r="K25" s="50">
        <f>'Scenario asset base'!K166</f>
        <v>18062.154571773648</v>
      </c>
    </row>
    <row r="26" spans="1:12" ht="18" x14ac:dyDescent="0.55000000000000004">
      <c r="B26" s="35" t="s">
        <v>130</v>
      </c>
      <c r="C26" s="62"/>
      <c r="D26" s="50"/>
      <c r="E26" s="50"/>
      <c r="F26" s="50"/>
      <c r="G26" s="50"/>
      <c r="H26" s="50"/>
      <c r="I26" s="50"/>
      <c r="J26" s="50"/>
      <c r="K26" s="50"/>
    </row>
    <row r="27" spans="1:12" x14ac:dyDescent="0.45">
      <c r="C27" s="62" t="s">
        <v>128</v>
      </c>
      <c r="D27" s="38" t="s">
        <v>130</v>
      </c>
      <c r="E27" s="95">
        <f>'Timing factors'!C19</f>
        <v>1.0325915994859556</v>
      </c>
      <c r="F27" s="50"/>
      <c r="G27" s="50"/>
      <c r="H27" s="50"/>
      <c r="I27" s="50"/>
      <c r="J27" s="50"/>
      <c r="K27" s="50"/>
    </row>
    <row r="28" spans="1:12" x14ac:dyDescent="0.45">
      <c r="C28" s="62" t="s">
        <v>190</v>
      </c>
      <c r="D28" s="38" t="s">
        <v>130</v>
      </c>
      <c r="E28" s="95">
        <f>'Timing factors'!C20</f>
        <v>1.0264233985588214</v>
      </c>
      <c r="F28" s="50"/>
      <c r="G28" s="50"/>
      <c r="H28" s="50"/>
      <c r="I28" s="50"/>
      <c r="J28" s="50"/>
      <c r="K28" s="50"/>
    </row>
    <row r="29" spans="1:12" x14ac:dyDescent="0.45">
      <c r="C29" s="62"/>
      <c r="D29" s="38"/>
      <c r="E29" s="52"/>
      <c r="F29" s="50"/>
      <c r="G29" s="50"/>
      <c r="H29" s="50"/>
      <c r="I29" s="50"/>
      <c r="J29" s="50"/>
      <c r="K29" s="50"/>
    </row>
    <row r="31" spans="1:12" ht="28.5" x14ac:dyDescent="0.7">
      <c r="A31" s="27" t="s">
        <v>34</v>
      </c>
      <c r="E31" s="30" t="s">
        <v>12</v>
      </c>
      <c r="F31" s="30">
        <v>2017</v>
      </c>
      <c r="G31" s="30">
        <f>F31+1</f>
        <v>2018</v>
      </c>
      <c r="H31" s="30">
        <f t="shared" ref="H31:K31" si="1">G31+1</f>
        <v>2019</v>
      </c>
      <c r="I31" s="30">
        <f t="shared" si="1"/>
        <v>2020</v>
      </c>
      <c r="J31" s="30">
        <f t="shared" si="1"/>
        <v>2021</v>
      </c>
      <c r="K31" s="30">
        <f t="shared" si="1"/>
        <v>2022</v>
      </c>
    </row>
    <row r="32" spans="1:12" s="62" customFormat="1" x14ac:dyDescent="0.45">
      <c r="A32" s="1"/>
      <c r="B32" s="1"/>
      <c r="C32" s="62" t="s">
        <v>92</v>
      </c>
      <c r="G32" s="62">
        <f>G20</f>
        <v>1349154.9323790146</v>
      </c>
      <c r="H32" s="62">
        <f>H20</f>
        <v>1596785.8522677054</v>
      </c>
      <c r="I32" s="62">
        <f>I20</f>
        <v>1914277.5044919592</v>
      </c>
      <c r="J32" s="62">
        <f>J20</f>
        <v>2126094.4536078153</v>
      </c>
      <c r="K32" s="62">
        <f>K20</f>
        <v>2289446.9587079724</v>
      </c>
      <c r="L32" s="1"/>
    </row>
    <row r="33" spans="1:12" s="62" customFormat="1" x14ac:dyDescent="0.45">
      <c r="A33" s="1"/>
      <c r="B33" s="1"/>
      <c r="C33" s="62" t="s">
        <v>175</v>
      </c>
      <c r="G33" s="62">
        <f>IRR!E7</f>
        <v>82510.119692784399</v>
      </c>
      <c r="H33" s="62">
        <f>G33+($K$33-$G$33)/4</f>
        <v>83403.549647689448</v>
      </c>
      <c r="I33" s="62">
        <f>H33+($K$33-$G$33)/4</f>
        <v>84296.979602594511</v>
      </c>
      <c r="J33" s="62">
        <f>I33+($K$33-$G$33)/4</f>
        <v>85190.409557499574</v>
      </c>
      <c r="K33" s="62">
        <f>IRR!P40</f>
        <v>86083.839512404622</v>
      </c>
      <c r="L33" s="1"/>
    </row>
    <row r="34" spans="1:12" s="62" customFormat="1" x14ac:dyDescent="0.45">
      <c r="A34" s="1"/>
      <c r="B34" s="1"/>
      <c r="C34" s="62" t="s">
        <v>137</v>
      </c>
      <c r="G34" s="62">
        <f>G32-G33</f>
        <v>1266644.8126862301</v>
      </c>
      <c r="H34" s="62">
        <f t="shared" ref="H34:K34" si="2">H32-H33</f>
        <v>1513382.302620016</v>
      </c>
      <c r="I34" s="62">
        <f t="shared" si="2"/>
        <v>1829980.5248893648</v>
      </c>
      <c r="J34" s="62">
        <f t="shared" si="2"/>
        <v>2040904.0440503159</v>
      </c>
      <c r="K34" s="62">
        <f t="shared" si="2"/>
        <v>2203363.1191955679</v>
      </c>
      <c r="L34" s="1"/>
    </row>
    <row r="35" spans="1:12" x14ac:dyDescent="0.45">
      <c r="C35" s="62" t="s">
        <v>36</v>
      </c>
      <c r="D35" s="38"/>
      <c r="E35" s="38"/>
      <c r="F35" s="38"/>
      <c r="G35" s="64">
        <f>$E$18</f>
        <v>6.6433320000000004E-2</v>
      </c>
      <c r="H35" s="64">
        <f t="shared" ref="H35:K35" si="3">$E$18</f>
        <v>6.6433320000000004E-2</v>
      </c>
      <c r="I35" s="64">
        <f t="shared" si="3"/>
        <v>6.6433320000000004E-2</v>
      </c>
      <c r="J35" s="64">
        <f t="shared" si="3"/>
        <v>6.6433320000000004E-2</v>
      </c>
      <c r="K35" s="64">
        <f t="shared" si="3"/>
        <v>6.6433320000000004E-2</v>
      </c>
    </row>
    <row r="36" spans="1:12" x14ac:dyDescent="0.45">
      <c r="C36" s="62" t="s">
        <v>37</v>
      </c>
      <c r="D36" s="38"/>
      <c r="E36" s="38"/>
      <c r="F36" s="38"/>
      <c r="G36" s="45">
        <f>G34*G35</f>
        <v>84147.420167524382</v>
      </c>
      <c r="H36" s="45">
        <f t="shared" ref="H36:K36" si="4">H34*H35</f>
        <v>100539.01079229236</v>
      </c>
      <c r="I36" s="45">
        <f t="shared" si="4"/>
        <v>121571.68180374315</v>
      </c>
      <c r="J36" s="45">
        <f t="shared" si="4"/>
        <v>135584.03144768873</v>
      </c>
      <c r="K36" s="45">
        <f t="shared" si="4"/>
        <v>146376.72717371731</v>
      </c>
    </row>
    <row r="37" spans="1:12" x14ac:dyDescent="0.45">
      <c r="B37" s="56" t="s">
        <v>42</v>
      </c>
      <c r="C37" s="62" t="s">
        <v>38</v>
      </c>
      <c r="D37" s="38"/>
      <c r="E37" s="38"/>
      <c r="F37" s="38"/>
      <c r="G37" s="45">
        <f>-G21</f>
        <v>-803.71815283335616</v>
      </c>
      <c r="H37" s="45">
        <f>-H21</f>
        <v>-1233.7362030309814</v>
      </c>
      <c r="I37" s="45">
        <f>-I21</f>
        <v>-1812.7926657264195</v>
      </c>
      <c r="J37" s="45">
        <f>-J21</f>
        <v>-1928.6255716970338</v>
      </c>
      <c r="K37" s="45">
        <f>-K21</f>
        <v>-1878.8521597331235</v>
      </c>
    </row>
    <row r="38" spans="1:12" x14ac:dyDescent="0.45">
      <c r="B38" s="56" t="s">
        <v>41</v>
      </c>
      <c r="C38" s="62" t="s">
        <v>39</v>
      </c>
      <c r="D38" s="38"/>
      <c r="E38" s="38"/>
      <c r="F38" s="38"/>
      <c r="G38" s="45">
        <f>G22</f>
        <v>52312.337159410497</v>
      </c>
      <c r="H38" s="45">
        <f>H22</f>
        <v>60725.143090090438</v>
      </c>
      <c r="I38" s="45">
        <f>I22</f>
        <v>79091.565080343964</v>
      </c>
      <c r="J38" s="45">
        <f>J22</f>
        <v>91505.551616700672</v>
      </c>
      <c r="K38" s="45">
        <f>K22</f>
        <v>97656.335698238923</v>
      </c>
    </row>
    <row r="39" spans="1:12" x14ac:dyDescent="0.45">
      <c r="C39" s="62" t="s">
        <v>24</v>
      </c>
      <c r="D39" s="38"/>
      <c r="E39" s="38"/>
      <c r="F39" s="38"/>
      <c r="G39" s="45">
        <f>SUM(G36:G38)</f>
        <v>135656.03917410152</v>
      </c>
      <c r="H39" s="45">
        <f>SUM(H36:H38)</f>
        <v>160030.41767935181</v>
      </c>
      <c r="I39" s="45">
        <f>SUM(I36:I38)</f>
        <v>198850.45421836071</v>
      </c>
      <c r="J39" s="45">
        <f>SUM(J36:J38)</f>
        <v>225160.95749269234</v>
      </c>
      <c r="K39" s="45">
        <f>SUM(K36:K38)</f>
        <v>242154.21071222311</v>
      </c>
    </row>
    <row r="40" spans="1:12" x14ac:dyDescent="0.45">
      <c r="C40" s="62" t="s">
        <v>40</v>
      </c>
      <c r="D40" s="38"/>
      <c r="E40" s="38"/>
      <c r="F40" s="38"/>
      <c r="G40" s="45">
        <f>G39/(1-$E$17)</f>
        <v>188411.16551958545</v>
      </c>
      <c r="H40" s="45">
        <f t="shared" ref="H40:K40" si="5">H39/(1-$E$17)</f>
        <v>222264.46899909974</v>
      </c>
      <c r="I40" s="45">
        <f t="shared" si="5"/>
        <v>276181.18641438987</v>
      </c>
      <c r="J40" s="45">
        <f t="shared" si="5"/>
        <v>312723.55207318382</v>
      </c>
      <c r="K40" s="45">
        <f t="shared" si="5"/>
        <v>336325.29265586543</v>
      </c>
    </row>
    <row r="42" spans="1:12" x14ac:dyDescent="0.45">
      <c r="B42" s="56" t="s">
        <v>41</v>
      </c>
      <c r="C42" s="62" t="s">
        <v>69</v>
      </c>
      <c r="D42" s="38"/>
      <c r="E42" s="38"/>
      <c r="F42" s="38"/>
      <c r="G42" s="45">
        <f>G23*$E$27</f>
        <v>117428.80999439785</v>
      </c>
      <c r="H42" s="45">
        <f t="shared" ref="H42:K42" si="6">H23*$E$27</f>
        <v>126456.51933127297</v>
      </c>
      <c r="I42" s="45">
        <f t="shared" si="6"/>
        <v>131429.32151476841</v>
      </c>
      <c r="J42" s="45">
        <f t="shared" si="6"/>
        <v>136348.42479883105</v>
      </c>
      <c r="K42" s="45">
        <f t="shared" si="6"/>
        <v>141876.31318414051</v>
      </c>
    </row>
    <row r="43" spans="1:12" x14ac:dyDescent="0.45">
      <c r="B43" s="56" t="s">
        <v>42</v>
      </c>
      <c r="C43" s="62" t="s">
        <v>43</v>
      </c>
      <c r="D43" s="38"/>
      <c r="E43" s="38"/>
      <c r="F43" s="38"/>
      <c r="G43" s="45">
        <f>-G7</f>
        <v>0</v>
      </c>
      <c r="H43" s="45">
        <f>-H7</f>
        <v>0</v>
      </c>
      <c r="I43" s="45">
        <f>-I7</f>
        <v>0</v>
      </c>
      <c r="J43" s="45">
        <f>-J7</f>
        <v>0</v>
      </c>
      <c r="K43" s="45">
        <f>-K7</f>
        <v>0</v>
      </c>
    </row>
    <row r="44" spans="1:12" x14ac:dyDescent="0.45">
      <c r="B44" s="56" t="s">
        <v>42</v>
      </c>
      <c r="C44" s="62" t="s">
        <v>44</v>
      </c>
      <c r="D44" s="38"/>
      <c r="E44" s="38"/>
      <c r="F44" s="38"/>
      <c r="G44" s="45">
        <f>-'Forecast revenue and tax'!G31</f>
        <v>14014.437992286599</v>
      </c>
      <c r="H44" s="45">
        <f>-'Forecast revenue and tax'!H31</f>
        <v>2069.4069790582498</v>
      </c>
      <c r="I44" s="45">
        <f>-'Forecast revenue and tax'!I31</f>
        <v>1697.1386691851801</v>
      </c>
      <c r="J44" s="45">
        <f>-'Forecast revenue and tax'!J31</f>
        <v>1195.6041481346399</v>
      </c>
      <c r="K44" s="45">
        <f>-'Forecast revenue and tax'!K31</f>
        <v>4136.2782046173097</v>
      </c>
    </row>
    <row r="45" spans="1:12" x14ac:dyDescent="0.45">
      <c r="B45" s="56"/>
    </row>
    <row r="46" spans="1:12" x14ac:dyDescent="0.45">
      <c r="B46" s="56" t="s">
        <v>41</v>
      </c>
      <c r="C46" s="62" t="s">
        <v>26</v>
      </c>
      <c r="D46" s="38"/>
      <c r="E46" s="38"/>
      <c r="F46" s="38"/>
      <c r="G46" s="45">
        <f>G11</f>
        <v>0</v>
      </c>
      <c r="H46" s="45">
        <f>H11</f>
        <v>0</v>
      </c>
      <c r="I46" s="45">
        <f>I11</f>
        <v>0</v>
      </c>
      <c r="J46" s="45">
        <f>J11</f>
        <v>0</v>
      </c>
      <c r="K46" s="45">
        <f>K11</f>
        <v>0</v>
      </c>
    </row>
    <row r="47" spans="1:12" x14ac:dyDescent="0.45">
      <c r="B47" s="56" t="s">
        <v>42</v>
      </c>
      <c r="C47" s="62" t="s">
        <v>28</v>
      </c>
      <c r="D47" s="38"/>
      <c r="E47" s="38"/>
      <c r="F47" s="38"/>
      <c r="G47" s="45">
        <f>-G12</f>
        <v>0</v>
      </c>
      <c r="H47" s="45">
        <f>-H12</f>
        <v>0</v>
      </c>
      <c r="I47" s="45">
        <f>-I12</f>
        <v>0</v>
      </c>
      <c r="J47" s="45">
        <f>-J12</f>
        <v>0</v>
      </c>
      <c r="K47" s="45">
        <f>-K12</f>
        <v>0</v>
      </c>
    </row>
    <row r="48" spans="1:12" x14ac:dyDescent="0.45">
      <c r="B48" s="56" t="s">
        <v>41</v>
      </c>
      <c r="C48" s="62" t="s">
        <v>27</v>
      </c>
      <c r="D48" s="38"/>
      <c r="E48" s="38"/>
      <c r="F48" s="38"/>
      <c r="G48" s="45">
        <f>G13</f>
        <v>0</v>
      </c>
      <c r="H48" s="45">
        <f>H13</f>
        <v>0</v>
      </c>
      <c r="I48" s="45">
        <f>I13</f>
        <v>0</v>
      </c>
      <c r="J48" s="45">
        <f>J13</f>
        <v>0</v>
      </c>
      <c r="K48" s="45">
        <f>K13</f>
        <v>0</v>
      </c>
    </row>
    <row r="49" spans="1:11" x14ac:dyDescent="0.45">
      <c r="B49" s="56" t="s">
        <v>42</v>
      </c>
      <c r="C49" s="62" t="s">
        <v>29</v>
      </c>
      <c r="D49" s="38"/>
      <c r="E49" s="38"/>
      <c r="F49" s="38"/>
      <c r="G49" s="45">
        <f>-G14</f>
        <v>0</v>
      </c>
      <c r="H49" s="45">
        <f>-H14</f>
        <v>0</v>
      </c>
      <c r="I49" s="45">
        <f>-I14</f>
        <v>0</v>
      </c>
      <c r="J49" s="45">
        <f>-J14</f>
        <v>0</v>
      </c>
      <c r="K49" s="45">
        <f>-K14</f>
        <v>0</v>
      </c>
    </row>
    <row r="50" spans="1:11" x14ac:dyDescent="0.45">
      <c r="B50" s="56" t="s">
        <v>42</v>
      </c>
      <c r="C50" s="62" t="s">
        <v>45</v>
      </c>
      <c r="D50" s="38"/>
      <c r="E50" s="38"/>
      <c r="F50" s="38"/>
      <c r="G50" s="45">
        <f t="shared" ref="G50:K51" si="7">-G24</f>
        <v>-53489.664620018928</v>
      </c>
      <c r="H50" s="45">
        <f t="shared" si="7"/>
        <v>-74268.866481181714</v>
      </c>
      <c r="I50" s="45">
        <f t="shared" si="7"/>
        <v>-95207.11041570628</v>
      </c>
      <c r="J50" s="45">
        <f t="shared" si="7"/>
        <v>-104810.81613633731</v>
      </c>
      <c r="K50" s="45">
        <f t="shared" si="7"/>
        <v>-113576.47296688707</v>
      </c>
    </row>
    <row r="51" spans="1:11" x14ac:dyDescent="0.45">
      <c r="B51" s="56" t="s">
        <v>42</v>
      </c>
      <c r="C51" s="62" t="s">
        <v>46</v>
      </c>
      <c r="D51" s="38"/>
      <c r="E51" s="38"/>
      <c r="F51" s="38"/>
      <c r="G51" s="45">
        <f t="shared" si="7"/>
        <v>-10428.371419303308</v>
      </c>
      <c r="H51" s="45">
        <f t="shared" si="7"/>
        <v>-11631.749242910742</v>
      </c>
      <c r="I51" s="45">
        <f t="shared" si="7"/>
        <v>-14611.370010007266</v>
      </c>
      <c r="J51" s="45">
        <f t="shared" si="7"/>
        <v>-16806.353251297809</v>
      </c>
      <c r="K51" s="45">
        <f t="shared" si="7"/>
        <v>-18062.154571773648</v>
      </c>
    </row>
    <row r="52" spans="1:11" x14ac:dyDescent="0.45">
      <c r="B52" s="56" t="s">
        <v>42</v>
      </c>
      <c r="C52" s="62" t="s">
        <v>136</v>
      </c>
      <c r="D52" s="38"/>
      <c r="E52" s="38"/>
      <c r="F52" s="38"/>
      <c r="G52" s="45">
        <f>G85+G77</f>
        <v>6187.5576032475055</v>
      </c>
      <c r="H52" s="45">
        <f t="shared" ref="H52:K52" si="8">H85+H77</f>
        <v>789.61105902225813</v>
      </c>
      <c r="I52" s="45">
        <f t="shared" si="8"/>
        <v>575.41914128433382</v>
      </c>
      <c r="J52" s="45">
        <f t="shared" si="8"/>
        <v>332.20588693431546</v>
      </c>
      <c r="K52" s="45">
        <f t="shared" si="8"/>
        <v>1034.5881512076871</v>
      </c>
    </row>
    <row r="53" spans="1:11" x14ac:dyDescent="0.45">
      <c r="B53" s="56" t="s">
        <v>42</v>
      </c>
      <c r="C53" s="62" t="s">
        <v>30</v>
      </c>
      <c r="D53" s="38"/>
      <c r="E53" s="38"/>
      <c r="F53" s="38"/>
      <c r="G53" s="45">
        <f>-G15</f>
        <v>0</v>
      </c>
      <c r="H53" s="45">
        <f>-H15</f>
        <v>0</v>
      </c>
      <c r="I53" s="45">
        <f>-I15</f>
        <v>0</v>
      </c>
      <c r="J53" s="45">
        <f>-J15</f>
        <v>0</v>
      </c>
      <c r="K53" s="45">
        <f>-K15</f>
        <v>0</v>
      </c>
    </row>
    <row r="54" spans="1:11" x14ac:dyDescent="0.45">
      <c r="C54" s="62" t="s">
        <v>24</v>
      </c>
      <c r="D54" s="38"/>
      <c r="E54" s="38"/>
      <c r="F54" s="38"/>
      <c r="G54" s="45">
        <f>SUM(G47:G53)</f>
        <v>-57730.478436074729</v>
      </c>
      <c r="H54" s="45">
        <f>SUM(H47:H53)</f>
        <v>-85111.004665070199</v>
      </c>
      <c r="I54" s="45">
        <f>SUM(I47:I53)</f>
        <v>-109243.0612844292</v>
      </c>
      <c r="J54" s="45">
        <f>SUM(J47:J53)</f>
        <v>-121284.9635007008</v>
      </c>
      <c r="K54" s="45">
        <f>SUM(K47:K53)</f>
        <v>-130604.03938745303</v>
      </c>
    </row>
    <row r="55" spans="1:11" x14ac:dyDescent="0.45">
      <c r="C55" s="62" t="s">
        <v>40</v>
      </c>
      <c r="D55" s="38"/>
      <c r="E55" s="38"/>
      <c r="F55" s="38"/>
      <c r="G55" s="45">
        <f>G54*$E$17/(1-$E$17)</f>
        <v>-22450.741614029066</v>
      </c>
      <c r="H55" s="45">
        <f t="shared" ref="H55:K55" si="9">H54*$E$17/(1-$E$17)</f>
        <v>-33098.724036416192</v>
      </c>
      <c r="I55" s="45">
        <f t="shared" si="9"/>
        <v>-42483.412721722474</v>
      </c>
      <c r="J55" s="45">
        <f t="shared" si="9"/>
        <v>-47166.374694716993</v>
      </c>
      <c r="K55" s="45">
        <f t="shared" si="9"/>
        <v>-50790.459761787293</v>
      </c>
    </row>
    <row r="56" spans="1:11" x14ac:dyDescent="0.45">
      <c r="C56" s="38" t="s">
        <v>47</v>
      </c>
      <c r="D56" s="38"/>
      <c r="E56" s="38"/>
      <c r="F56" s="38"/>
      <c r="G56" s="45">
        <f>SUM(G40:G44)+G55</f>
        <v>297403.67189224082</v>
      </c>
      <c r="H56" s="45">
        <f t="shared" ref="H56:K56" si="10">SUM(H40:H44)+H55</f>
        <v>317691.67127301474</v>
      </c>
      <c r="I56" s="45">
        <f t="shared" si="10"/>
        <v>366824.233876621</v>
      </c>
      <c r="J56" s="45">
        <f t="shared" si="10"/>
        <v>403101.20632543252</v>
      </c>
      <c r="K56" s="45">
        <f t="shared" si="10"/>
        <v>431547.42428283591</v>
      </c>
    </row>
    <row r="58" spans="1:11" ht="23.25" x14ac:dyDescent="0.7">
      <c r="A58" s="27" t="s">
        <v>86</v>
      </c>
      <c r="F58" s="30">
        <v>2017</v>
      </c>
      <c r="G58" s="30">
        <f>F58+1</f>
        <v>2018</v>
      </c>
      <c r="H58" s="30">
        <f t="shared" ref="H58" si="11">G58+1</f>
        <v>2019</v>
      </c>
      <c r="I58" s="30">
        <f t="shared" ref="I58" si="12">H58+1</f>
        <v>2020</v>
      </c>
      <c r="J58" s="30">
        <f t="shared" ref="J58" si="13">I58+1</f>
        <v>2021</v>
      </c>
      <c r="K58" s="30">
        <f t="shared" ref="K58" si="14">J58+1</f>
        <v>2022</v>
      </c>
    </row>
    <row r="59" spans="1:11" x14ac:dyDescent="0.45">
      <c r="C59" s="62" t="s">
        <v>85</v>
      </c>
      <c r="D59" s="38"/>
      <c r="E59" s="38"/>
      <c r="F59" s="38"/>
      <c r="G59" s="45">
        <f>G56</f>
        <v>297403.67189224082</v>
      </c>
      <c r="H59" s="45">
        <f t="shared" ref="H59:K59" si="15">H56</f>
        <v>317691.67127301474</v>
      </c>
      <c r="I59" s="45">
        <f t="shared" si="15"/>
        <v>366824.233876621</v>
      </c>
      <c r="J59" s="45">
        <f t="shared" si="15"/>
        <v>403101.20632543252</v>
      </c>
      <c r="K59" s="45">
        <f t="shared" si="15"/>
        <v>431547.42428283591</v>
      </c>
    </row>
    <row r="60" spans="1:11" x14ac:dyDescent="0.45">
      <c r="C60" s="62" t="s">
        <v>43</v>
      </c>
      <c r="D60" s="38"/>
      <c r="E60" s="38"/>
      <c r="F60" s="38"/>
      <c r="G60" s="45">
        <f>G7+G9</f>
        <v>0</v>
      </c>
      <c r="H60" s="45">
        <f>H7+H9</f>
        <v>0</v>
      </c>
      <c r="I60" s="45">
        <f>I7+I9</f>
        <v>0</v>
      </c>
      <c r="J60" s="45">
        <f>J7+J9</f>
        <v>0</v>
      </c>
      <c r="K60" s="45">
        <f>K7+K9</f>
        <v>0</v>
      </c>
    </row>
    <row r="61" spans="1:11" x14ac:dyDescent="0.45">
      <c r="C61" s="62" t="s">
        <v>83</v>
      </c>
      <c r="D61" s="38"/>
      <c r="E61" s="38"/>
      <c r="F61" s="38"/>
      <c r="G61" s="45">
        <f>-G44</f>
        <v>-14014.437992286599</v>
      </c>
      <c r="H61" s="45">
        <f t="shared" ref="H61:K61" si="16">-H44</f>
        <v>-2069.4069790582498</v>
      </c>
      <c r="I61" s="45">
        <f t="shared" si="16"/>
        <v>-1697.1386691851801</v>
      </c>
      <c r="J61" s="45">
        <f t="shared" si="16"/>
        <v>-1195.6041481346399</v>
      </c>
      <c r="K61" s="45">
        <f t="shared" si="16"/>
        <v>-4136.2782046173097</v>
      </c>
    </row>
    <row r="62" spans="1:11" x14ac:dyDescent="0.45">
      <c r="C62" s="62" t="s">
        <v>171</v>
      </c>
      <c r="D62" s="38"/>
      <c r="E62" s="38"/>
      <c r="F62" s="38"/>
      <c r="G62" s="45">
        <f>SUM(G59:G61)</f>
        <v>283389.23389995424</v>
      </c>
      <c r="H62" s="45">
        <f t="shared" ref="H62:K62" si="17">SUM(H59:H61)</f>
        <v>315622.26429395651</v>
      </c>
      <c r="I62" s="45">
        <f t="shared" si="17"/>
        <v>365127.09520743584</v>
      </c>
      <c r="J62" s="45">
        <f t="shared" si="17"/>
        <v>401905.60217729787</v>
      </c>
      <c r="K62" s="45">
        <f t="shared" si="17"/>
        <v>427411.14607821859</v>
      </c>
    </row>
    <row r="63" spans="1:11" x14ac:dyDescent="0.45">
      <c r="C63" s="62"/>
      <c r="D63" s="38"/>
      <c r="E63" s="38"/>
      <c r="F63" s="38"/>
      <c r="G63" s="45"/>
      <c r="H63" s="45"/>
      <c r="I63" s="45"/>
      <c r="J63" s="45"/>
      <c r="K63" s="45"/>
    </row>
    <row r="64" spans="1:11" x14ac:dyDescent="0.45">
      <c r="B64" s="56" t="s">
        <v>42</v>
      </c>
      <c r="C64" s="62" t="s">
        <v>141</v>
      </c>
      <c r="D64" s="38"/>
      <c r="E64" s="38"/>
      <c r="F64" s="38"/>
      <c r="G64" s="45">
        <f>-G42</f>
        <v>-117428.80999439785</v>
      </c>
      <c r="H64" s="45">
        <f t="shared" ref="H64:K64" si="18">-H42</f>
        <v>-126456.51933127297</v>
      </c>
      <c r="I64" s="45">
        <f t="shared" si="18"/>
        <v>-131429.32151476841</v>
      </c>
      <c r="J64" s="45">
        <f t="shared" si="18"/>
        <v>-136348.42479883105</v>
      </c>
      <c r="K64" s="45">
        <f t="shared" si="18"/>
        <v>-141876.31318414051</v>
      </c>
    </row>
    <row r="65" spans="1:11" x14ac:dyDescent="0.45">
      <c r="C65" s="62" t="s">
        <v>88</v>
      </c>
      <c r="D65" s="38"/>
      <c r="E65" s="38"/>
      <c r="F65" s="38"/>
      <c r="G65" s="45">
        <f>SUM(G62:G64)</f>
        <v>165960.42390555638</v>
      </c>
      <c r="H65" s="45">
        <f t="shared" ref="H65:K65" si="19">SUM(H62:H64)</f>
        <v>189165.74496268353</v>
      </c>
      <c r="I65" s="45">
        <f t="shared" si="19"/>
        <v>233697.77369266743</v>
      </c>
      <c r="J65" s="45">
        <f t="shared" si="19"/>
        <v>265557.17737846682</v>
      </c>
      <c r="K65" s="45">
        <f t="shared" si="19"/>
        <v>285534.83289407811</v>
      </c>
    </row>
    <row r="66" spans="1:11" x14ac:dyDescent="0.45">
      <c r="C66" s="62"/>
      <c r="D66" s="38"/>
      <c r="E66" s="38"/>
      <c r="F66" s="38"/>
      <c r="G66" s="45"/>
      <c r="H66" s="45"/>
      <c r="I66" s="45"/>
      <c r="J66" s="45"/>
      <c r="K66" s="45"/>
    </row>
    <row r="67" spans="1:11" x14ac:dyDescent="0.45">
      <c r="B67" s="56" t="s">
        <v>42</v>
      </c>
      <c r="C67" s="62" t="s">
        <v>59</v>
      </c>
      <c r="D67" s="38"/>
      <c r="E67" s="38"/>
      <c r="F67" s="38"/>
      <c r="G67" s="45">
        <f>-G22</f>
        <v>-52312.337159410497</v>
      </c>
      <c r="H67" s="45">
        <f>-H22</f>
        <v>-60725.143090090438</v>
      </c>
      <c r="I67" s="45">
        <f>-I22</f>
        <v>-79091.565080343964</v>
      </c>
      <c r="J67" s="45">
        <f>-J22</f>
        <v>-91505.551616700672</v>
      </c>
      <c r="K67" s="45">
        <f>-K22</f>
        <v>-97656.335698238923</v>
      </c>
    </row>
    <row r="68" spans="1:11" x14ac:dyDescent="0.45">
      <c r="B68" s="56" t="s">
        <v>41</v>
      </c>
      <c r="C68" s="62" t="s">
        <v>84</v>
      </c>
      <c r="D68" s="38"/>
      <c r="E68" s="38"/>
      <c r="F68" s="38"/>
      <c r="G68" s="45">
        <f>G21</f>
        <v>803.71815283335616</v>
      </c>
      <c r="H68" s="45">
        <f>H21</f>
        <v>1233.7362030309814</v>
      </c>
      <c r="I68" s="45">
        <f>I21</f>
        <v>1812.7926657264195</v>
      </c>
      <c r="J68" s="45">
        <f>J21</f>
        <v>1928.6255716970338</v>
      </c>
      <c r="K68" s="45">
        <f>K21</f>
        <v>1878.8521597331235</v>
      </c>
    </row>
    <row r="69" spans="1:11" x14ac:dyDescent="0.45">
      <c r="B69" s="55"/>
      <c r="C69" s="62" t="s">
        <v>78</v>
      </c>
      <c r="D69" s="38"/>
      <c r="E69" s="38"/>
      <c r="F69" s="38"/>
      <c r="G69" s="45">
        <f>SUM(G65:G68)</f>
        <v>114451.80489897924</v>
      </c>
      <c r="H69" s="45">
        <f t="shared" ref="H69:K69" si="20">SUM(H65:H68)</f>
        <v>129674.33807562408</v>
      </c>
      <c r="I69" s="45">
        <f t="shared" si="20"/>
        <v>156419.00127804987</v>
      </c>
      <c r="J69" s="45">
        <f t="shared" si="20"/>
        <v>175980.25133346321</v>
      </c>
      <c r="K69" s="45">
        <f t="shared" si="20"/>
        <v>189757.34935557231</v>
      </c>
    </row>
    <row r="71" spans="1:11" ht="23.25" x14ac:dyDescent="0.7">
      <c r="A71" s="27" t="s">
        <v>77</v>
      </c>
      <c r="F71" s="30">
        <v>2017</v>
      </c>
      <c r="G71" s="30">
        <f>F71+1</f>
        <v>2018</v>
      </c>
      <c r="H71" s="30">
        <f t="shared" ref="H71" si="21">G71+1</f>
        <v>2019</v>
      </c>
      <c r="I71" s="30">
        <f t="shared" ref="I71" si="22">H71+1</f>
        <v>2020</v>
      </c>
      <c r="J71" s="30">
        <f t="shared" ref="J71" si="23">I71+1</f>
        <v>2021</v>
      </c>
      <c r="K71" s="30">
        <f t="shared" ref="K71" si="24">J71+1</f>
        <v>2022</v>
      </c>
    </row>
    <row r="72" spans="1:11" x14ac:dyDescent="0.45">
      <c r="C72" s="62" t="s">
        <v>78</v>
      </c>
      <c r="D72" s="62"/>
      <c r="E72" s="62"/>
      <c r="F72" s="62"/>
      <c r="G72" s="62">
        <f>G69</f>
        <v>114451.80489897924</v>
      </c>
      <c r="H72" s="62">
        <f t="shared" ref="H72:K72" si="25">H69</f>
        <v>129674.33807562408</v>
      </c>
      <c r="I72" s="62">
        <f t="shared" si="25"/>
        <v>156419.00127804987</v>
      </c>
      <c r="J72" s="62">
        <f t="shared" si="25"/>
        <v>175980.25133346321</v>
      </c>
      <c r="K72" s="62">
        <f t="shared" si="25"/>
        <v>189757.34935557231</v>
      </c>
    </row>
    <row r="73" spans="1:11" x14ac:dyDescent="0.45">
      <c r="C73" s="62"/>
      <c r="D73" s="62"/>
      <c r="E73" s="62"/>
      <c r="F73" s="62"/>
      <c r="G73" s="62"/>
      <c r="H73" s="62"/>
      <c r="I73" s="62"/>
      <c r="J73" s="62"/>
      <c r="K73" s="62"/>
    </row>
    <row r="74" spans="1:11" x14ac:dyDescent="0.45">
      <c r="B74" s="56" t="s">
        <v>41</v>
      </c>
      <c r="C74" s="62" t="s">
        <v>79</v>
      </c>
      <c r="D74" s="62"/>
      <c r="E74" s="62"/>
      <c r="F74" s="62"/>
      <c r="G74" s="62">
        <f>G22</f>
        <v>52312.337159410497</v>
      </c>
      <c r="H74" s="62">
        <f>H22</f>
        <v>60725.143090090438</v>
      </c>
      <c r="I74" s="62">
        <f>I22</f>
        <v>79091.565080343964</v>
      </c>
      <c r="J74" s="62">
        <f>J22</f>
        <v>91505.551616700672</v>
      </c>
      <c r="K74" s="62">
        <f>K22</f>
        <v>97656.335698238923</v>
      </c>
    </row>
    <row r="75" spans="1:11" x14ac:dyDescent="0.45">
      <c r="B75" s="56"/>
      <c r="C75" s="62" t="s">
        <v>26</v>
      </c>
      <c r="D75" s="62"/>
      <c r="E75" s="62"/>
      <c r="F75" s="62"/>
      <c r="G75" s="62">
        <f>G11</f>
        <v>0</v>
      </c>
      <c r="H75" s="62">
        <f>H11</f>
        <v>0</v>
      </c>
      <c r="I75" s="62">
        <f>I11</f>
        <v>0</v>
      </c>
      <c r="J75" s="62">
        <f>J11</f>
        <v>0</v>
      </c>
      <c r="K75" s="62">
        <f>K11</f>
        <v>0</v>
      </c>
    </row>
    <row r="76" spans="1:11" x14ac:dyDescent="0.45">
      <c r="B76" s="56"/>
      <c r="C76" s="62" t="s">
        <v>27</v>
      </c>
      <c r="D76" s="62"/>
      <c r="E76" s="62"/>
      <c r="F76" s="62"/>
      <c r="G76" s="62">
        <f>G13</f>
        <v>0</v>
      </c>
      <c r="H76" s="62">
        <f>H13</f>
        <v>0</v>
      </c>
      <c r="I76" s="62">
        <f>I13</f>
        <v>0</v>
      </c>
      <c r="J76" s="62">
        <f>J13</f>
        <v>0</v>
      </c>
      <c r="K76" s="62">
        <f>K13</f>
        <v>0</v>
      </c>
    </row>
    <row r="77" spans="1:11" x14ac:dyDescent="0.45">
      <c r="B77" s="56"/>
      <c r="C77" s="62" t="s">
        <v>56</v>
      </c>
      <c r="D77" s="62"/>
      <c r="E77" s="62"/>
      <c r="F77" s="62"/>
      <c r="G77" s="62">
        <f>-G8</f>
        <v>14014.437992286599</v>
      </c>
      <c r="H77" s="62">
        <f>-H8</f>
        <v>2069.4069790582498</v>
      </c>
      <c r="I77" s="62">
        <f>-I8</f>
        <v>1697.1386691851801</v>
      </c>
      <c r="J77" s="62">
        <f>-J8</f>
        <v>1195.6041481346399</v>
      </c>
      <c r="K77" s="62">
        <f>-K8</f>
        <v>4136.2782046173097</v>
      </c>
    </row>
    <row r="78" spans="1:11" x14ac:dyDescent="0.45">
      <c r="B78" s="56"/>
      <c r="C78" s="62"/>
      <c r="D78" s="62"/>
      <c r="E78" s="62"/>
      <c r="F78" s="62"/>
      <c r="G78" s="62"/>
      <c r="H78" s="62"/>
      <c r="I78" s="62"/>
      <c r="J78" s="62"/>
      <c r="K78" s="62"/>
    </row>
    <row r="79" spans="1:11" x14ac:dyDescent="0.45">
      <c r="B79" s="56" t="s">
        <v>42</v>
      </c>
      <c r="C79" s="62" t="s">
        <v>80</v>
      </c>
      <c r="D79" s="62"/>
      <c r="E79" s="62"/>
      <c r="F79" s="62"/>
      <c r="G79" s="62">
        <f>-G21</f>
        <v>-803.71815283335616</v>
      </c>
      <c r="H79" s="62">
        <f>-H21</f>
        <v>-1233.7362030309814</v>
      </c>
      <c r="I79" s="62">
        <f>-I21</f>
        <v>-1812.7926657264195</v>
      </c>
      <c r="J79" s="62">
        <f>-J21</f>
        <v>-1928.6255716970338</v>
      </c>
      <c r="K79" s="62">
        <f>-K21</f>
        <v>-1878.8521597331235</v>
      </c>
    </row>
    <row r="80" spans="1:11" x14ac:dyDescent="0.45">
      <c r="C80" s="62" t="s">
        <v>45</v>
      </c>
      <c r="D80" s="62"/>
      <c r="E80" s="62"/>
      <c r="F80" s="62"/>
      <c r="G80" s="62">
        <f t="shared" ref="G80:K81" si="26">-G24</f>
        <v>-53489.664620018928</v>
      </c>
      <c r="H80" s="62">
        <f t="shared" si="26"/>
        <v>-74268.866481181714</v>
      </c>
      <c r="I80" s="62">
        <f t="shared" si="26"/>
        <v>-95207.11041570628</v>
      </c>
      <c r="J80" s="62">
        <f t="shared" si="26"/>
        <v>-104810.81613633731</v>
      </c>
      <c r="K80" s="62">
        <f t="shared" si="26"/>
        <v>-113576.47296688707</v>
      </c>
    </row>
    <row r="81" spans="2:11" x14ac:dyDescent="0.45">
      <c r="C81" s="62" t="s">
        <v>46</v>
      </c>
      <c r="D81" s="62"/>
      <c r="E81" s="62"/>
      <c r="F81" s="62"/>
      <c r="G81" s="62">
        <f t="shared" si="26"/>
        <v>-10428.371419303308</v>
      </c>
      <c r="H81" s="62">
        <f t="shared" si="26"/>
        <v>-11631.749242910742</v>
      </c>
      <c r="I81" s="62">
        <f t="shared" si="26"/>
        <v>-14611.370010007266</v>
      </c>
      <c r="J81" s="62">
        <f t="shared" si="26"/>
        <v>-16806.353251297809</v>
      </c>
      <c r="K81" s="62">
        <f t="shared" si="26"/>
        <v>-18062.154571773648</v>
      </c>
    </row>
    <row r="82" spans="2:11" x14ac:dyDescent="0.45">
      <c r="C82" s="62" t="s">
        <v>28</v>
      </c>
      <c r="D82" s="62"/>
      <c r="E82" s="62"/>
      <c r="F82" s="62"/>
      <c r="G82" s="62">
        <f t="shared" ref="G82:K83" si="27">-G47</f>
        <v>0</v>
      </c>
      <c r="H82" s="62">
        <f t="shared" si="27"/>
        <v>0</v>
      </c>
      <c r="I82" s="62">
        <f t="shared" si="27"/>
        <v>0</v>
      </c>
      <c r="J82" s="62">
        <f t="shared" si="27"/>
        <v>0</v>
      </c>
      <c r="K82" s="62">
        <f t="shared" si="27"/>
        <v>0</v>
      </c>
    </row>
    <row r="83" spans="2:11" x14ac:dyDescent="0.45">
      <c r="C83" s="62" t="s">
        <v>29</v>
      </c>
      <c r="D83" s="62"/>
      <c r="E83" s="62"/>
      <c r="F83" s="62"/>
      <c r="G83" s="62">
        <f t="shared" si="27"/>
        <v>0</v>
      </c>
      <c r="H83" s="62">
        <f t="shared" si="27"/>
        <v>0</v>
      </c>
      <c r="I83" s="62">
        <f t="shared" si="27"/>
        <v>0</v>
      </c>
      <c r="J83" s="62">
        <f t="shared" si="27"/>
        <v>0</v>
      </c>
      <c r="K83" s="62">
        <f t="shared" si="27"/>
        <v>0</v>
      </c>
    </row>
    <row r="84" spans="2:11" x14ac:dyDescent="0.45">
      <c r="C84" s="62"/>
      <c r="D84" s="62"/>
      <c r="E84" s="62"/>
      <c r="F84" s="62"/>
      <c r="G84" s="62"/>
      <c r="H84" s="62"/>
      <c r="I84" s="62"/>
      <c r="J84" s="62"/>
      <c r="K84" s="62"/>
    </row>
    <row r="85" spans="2:11" x14ac:dyDescent="0.45">
      <c r="C85" s="62" t="s">
        <v>104</v>
      </c>
      <c r="D85" s="62"/>
      <c r="E85" s="62"/>
      <c r="F85" s="62"/>
      <c r="G85" s="62">
        <f>-G77*('Default asset base'!F147/'Default asset base'!F97)</f>
        <v>-7826.8803890390936</v>
      </c>
      <c r="H85" s="62">
        <f>-H77*('Default asset base'!G147/'Default asset base'!G97)</f>
        <v>-1279.7959200359917</v>
      </c>
      <c r="I85" s="62">
        <f>-I77*('Default asset base'!H147/'Default asset base'!H97)</f>
        <v>-1121.7195279008463</v>
      </c>
      <c r="J85" s="62">
        <f>-J77*('Default asset base'!I147/'Default asset base'!I97)</f>
        <v>-863.39826120032444</v>
      </c>
      <c r="K85" s="62">
        <f>-K77*('Default asset base'!J147/'Default asset base'!J97)</f>
        <v>-3101.6900534096226</v>
      </c>
    </row>
    <row r="86" spans="2:11" x14ac:dyDescent="0.45">
      <c r="C86" s="62"/>
      <c r="D86" s="62"/>
      <c r="E86" s="62"/>
      <c r="F86" s="62"/>
      <c r="G86" s="62"/>
      <c r="H86" s="62"/>
      <c r="I86" s="62"/>
      <c r="J86" s="62"/>
      <c r="K86" s="62"/>
    </row>
    <row r="87" spans="2:11" x14ac:dyDescent="0.45">
      <c r="C87" s="62" t="s">
        <v>81</v>
      </c>
      <c r="D87" s="62"/>
      <c r="E87" s="62"/>
      <c r="F87" s="62"/>
      <c r="G87" s="62">
        <f>SUM(G72:G85)</f>
        <v>108229.94546948165</v>
      </c>
      <c r="H87" s="62">
        <f>SUM(H72:H85)</f>
        <v>104054.74029761335</v>
      </c>
      <c r="I87" s="62">
        <f>SUM(I72:I85)</f>
        <v>124454.71240823819</v>
      </c>
      <c r="J87" s="62">
        <f>SUM(J72:J85)</f>
        <v>144272.2138777661</v>
      </c>
      <c r="K87" s="62">
        <f>SUM(K72:K85)</f>
        <v>154930.79350662508</v>
      </c>
    </row>
    <row r="88" spans="2:11" x14ac:dyDescent="0.45">
      <c r="C88" s="62"/>
      <c r="D88" s="62"/>
      <c r="E88" s="62"/>
      <c r="F88" s="62"/>
      <c r="G88" s="62"/>
      <c r="H88" s="62"/>
      <c r="I88" s="62"/>
      <c r="J88" s="62"/>
      <c r="K88" s="62"/>
    </row>
    <row r="89" spans="2:11" x14ac:dyDescent="0.45">
      <c r="C89" s="62" t="s">
        <v>82</v>
      </c>
      <c r="D89" s="62"/>
      <c r="E89" s="62"/>
      <c r="F89" s="62"/>
      <c r="G89" s="62">
        <f>G87*$E$17</f>
        <v>30304.384731454866</v>
      </c>
      <c r="H89" s="62">
        <f t="shared" ref="H89:K89" si="28">H87*$E$17</f>
        <v>29135.327283331739</v>
      </c>
      <c r="I89" s="62">
        <f t="shared" si="28"/>
        <v>34847.3194743067</v>
      </c>
      <c r="J89" s="62">
        <f t="shared" si="28"/>
        <v>40396.21988577451</v>
      </c>
      <c r="K89" s="62">
        <f t="shared" si="28"/>
        <v>43380.622181855026</v>
      </c>
    </row>
    <row r="91" spans="2:11" x14ac:dyDescent="0.45">
      <c r="C91" s="62" t="s">
        <v>110</v>
      </c>
      <c r="D91" s="62"/>
      <c r="E91" s="62"/>
      <c r="F91" s="62"/>
      <c r="G91" s="62">
        <f>G89-(G81*$E$17)</f>
        <v>33224.328728859793</v>
      </c>
      <c r="H91" s="62">
        <f t="shared" ref="H91:K91" si="29">H89-(H81*$E$17)</f>
        <v>32392.217071346746</v>
      </c>
      <c r="I91" s="62">
        <f t="shared" si="29"/>
        <v>38938.503077108733</v>
      </c>
      <c r="J91" s="62">
        <f t="shared" si="29"/>
        <v>45101.998796137894</v>
      </c>
      <c r="K91" s="62">
        <f t="shared" si="29"/>
        <v>48438.025461951649</v>
      </c>
    </row>
    <row r="92" spans="2:11" x14ac:dyDescent="0.45">
      <c r="G92" s="44"/>
      <c r="H92" s="44"/>
      <c r="I92" s="44"/>
      <c r="J92" s="44"/>
      <c r="K92" s="44"/>
    </row>
    <row r="93" spans="2:11" x14ac:dyDescent="0.45">
      <c r="B93" s="57" t="s">
        <v>48</v>
      </c>
    </row>
    <row r="94" spans="2:11" x14ac:dyDescent="0.45">
      <c r="C94" s="62" t="s">
        <v>49</v>
      </c>
      <c r="D94" s="38"/>
      <c r="E94" s="38"/>
      <c r="F94" s="38"/>
      <c r="G94" s="45">
        <f>G40-G39</f>
        <v>52755.126345483935</v>
      </c>
      <c r="H94" s="45"/>
      <c r="I94" s="45"/>
      <c r="J94" s="45"/>
      <c r="K94" s="45"/>
    </row>
    <row r="95" spans="2:11" x14ac:dyDescent="0.45">
      <c r="C95" s="62" t="s">
        <v>50</v>
      </c>
      <c r="D95" s="38"/>
      <c r="E95" s="38"/>
      <c r="F95" s="38"/>
      <c r="G95" s="45">
        <f>G55</f>
        <v>-22450.741614029066</v>
      </c>
      <c r="H95" s="45"/>
      <c r="I95" s="45"/>
      <c r="J95" s="45"/>
      <c r="K95" s="45"/>
    </row>
    <row r="96" spans="2:11" x14ac:dyDescent="0.45">
      <c r="C96" s="62" t="s">
        <v>51</v>
      </c>
      <c r="D96" s="38"/>
      <c r="E96" s="38"/>
      <c r="F96" s="38"/>
      <c r="G96" s="45">
        <f>SUM(G94:G95)</f>
        <v>30304.384731454869</v>
      </c>
      <c r="H96" s="45"/>
      <c r="I96" s="45"/>
      <c r="J96" s="45"/>
      <c r="K96" s="45"/>
    </row>
    <row r="97" spans="1:11" x14ac:dyDescent="0.45">
      <c r="C97" s="62" t="s">
        <v>52</v>
      </c>
      <c r="D97" s="38"/>
      <c r="E97" s="38"/>
      <c r="F97" s="38"/>
      <c r="G97" s="45">
        <f>G89</f>
        <v>30304.384731454866</v>
      </c>
      <c r="H97" s="45"/>
      <c r="I97" s="45"/>
      <c r="J97" s="45"/>
      <c r="K97" s="45"/>
    </row>
    <row r="98" spans="1:11" x14ac:dyDescent="0.45">
      <c r="C98" s="65" t="s">
        <v>89</v>
      </c>
    </row>
    <row r="100" spans="1:11" ht="23.25" x14ac:dyDescent="0.7">
      <c r="A100" s="27" t="s">
        <v>133</v>
      </c>
      <c r="F100" s="30">
        <v>2017</v>
      </c>
      <c r="G100" s="30">
        <f>F100+1</f>
        <v>2018</v>
      </c>
      <c r="H100" s="30">
        <f t="shared" ref="H100" si="30">G100+1</f>
        <v>2019</v>
      </c>
      <c r="I100" s="30">
        <f t="shared" ref="I100" si="31">H100+1</f>
        <v>2020</v>
      </c>
      <c r="J100" s="30">
        <f t="shared" ref="J100" si="32">I100+1</f>
        <v>2021</v>
      </c>
      <c r="K100" s="30">
        <f t="shared" ref="K100" si="33">J100+1</f>
        <v>2022</v>
      </c>
    </row>
    <row r="101" spans="1:11" x14ac:dyDescent="0.45">
      <c r="C101" s="62" t="s">
        <v>134</v>
      </c>
      <c r="D101" s="62"/>
      <c r="E101" s="62"/>
      <c r="F101" s="62"/>
      <c r="G101" s="62">
        <f>(G59+G60)/$E$28</f>
        <v>289747.55671959429</v>
      </c>
      <c r="H101" s="62">
        <f t="shared" ref="H101:K101" si="34">(H59+H60)/$E$28</f>
        <v>309513.27855452115</v>
      </c>
      <c r="I101" s="62">
        <f t="shared" si="34"/>
        <v>357381.0129344975</v>
      </c>
      <c r="J101" s="62">
        <f t="shared" si="34"/>
        <v>392724.10088411672</v>
      </c>
      <c r="K101" s="62">
        <f t="shared" si="34"/>
        <v>420438.0228361534</v>
      </c>
    </row>
    <row r="102" spans="1:11" x14ac:dyDescent="0.45">
      <c r="C102" s="62" t="s">
        <v>69</v>
      </c>
      <c r="D102" s="62"/>
      <c r="E102" s="62"/>
      <c r="F102" s="62"/>
      <c r="G102" s="62">
        <f>G42/$E$27</f>
        <v>113722.41460501539</v>
      </c>
      <c r="H102" s="62">
        <f t="shared" ref="H102:K102" si="35">H42/$E$27</f>
        <v>122465.18313167134</v>
      </c>
      <c r="I102" s="62">
        <f t="shared" si="35"/>
        <v>127281.02918927146</v>
      </c>
      <c r="J102" s="62">
        <f t="shared" si="35"/>
        <v>132044.87124116445</v>
      </c>
      <c r="K102" s="62">
        <f t="shared" si="35"/>
        <v>137398.28336272476</v>
      </c>
    </row>
    <row r="103" spans="1:11" x14ac:dyDescent="0.45">
      <c r="C103" s="62" t="s">
        <v>135</v>
      </c>
      <c r="D103" s="62"/>
      <c r="E103" s="62"/>
      <c r="F103" s="62"/>
      <c r="G103" s="62">
        <f>G91/$E$27</f>
        <v>32175.67211025106</v>
      </c>
      <c r="H103" s="62">
        <f t="shared" ref="H103:K103" si="36">H91/$E$27</f>
        <v>31369.824321127762</v>
      </c>
      <c r="I103" s="62">
        <f t="shared" si="36"/>
        <v>37709.490466989162</v>
      </c>
      <c r="J103" s="62">
        <f t="shared" si="36"/>
        <v>43678.448302882338</v>
      </c>
      <c r="K103" s="62">
        <f t="shared" si="36"/>
        <v>46909.180247122917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&amp;L&amp;F&amp;C&amp;A&amp;R&amp;P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P68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1" width="3.86328125" style="1" customWidth="1"/>
    <col min="2" max="2" width="41.86328125" style="1" customWidth="1"/>
    <col min="3" max="3" width="6.59765625" style="1" bestFit="1" customWidth="1"/>
    <col min="4" max="4" width="11.59765625" style="1" customWidth="1"/>
    <col min="5" max="5" width="11" style="1" bestFit="1" customWidth="1"/>
    <col min="6" max="6" width="9.3984375" style="1" bestFit="1" customWidth="1"/>
    <col min="7" max="7" width="8.86328125" style="1" bestFit="1" customWidth="1"/>
    <col min="8" max="8" width="9.3984375" style="1" bestFit="1" customWidth="1"/>
    <col min="9" max="9" width="8.86328125" style="1" bestFit="1" customWidth="1"/>
    <col min="10" max="10" width="9.3984375" style="1" bestFit="1" customWidth="1"/>
    <col min="11" max="11" width="8.86328125" style="1" bestFit="1" customWidth="1"/>
    <col min="12" max="12" width="9.3984375" style="1" bestFit="1" customWidth="1"/>
    <col min="13" max="13" width="8.86328125" style="1" bestFit="1" customWidth="1"/>
    <col min="14" max="14" width="9.3984375" style="1" bestFit="1" customWidth="1"/>
    <col min="15" max="15" width="8.86328125" style="1"/>
    <col min="16" max="16" width="10.3984375" style="1" bestFit="1" customWidth="1"/>
    <col min="17" max="17" width="11.59765625" style="1" customWidth="1"/>
    <col min="18" max="16384" width="8.86328125" style="1"/>
  </cols>
  <sheetData>
    <row r="1" spans="1:16" ht="25.5" x14ac:dyDescent="0.75">
      <c r="A1" s="18" t="s">
        <v>236</v>
      </c>
      <c r="F1" s="28"/>
    </row>
    <row r="2" spans="1:16" x14ac:dyDescent="0.45">
      <c r="A2" s="75" t="s">
        <v>212</v>
      </c>
      <c r="F2" s="28"/>
    </row>
    <row r="3" spans="1:16" ht="23.25" x14ac:dyDescent="0.7">
      <c r="A3" s="27" t="s">
        <v>109</v>
      </c>
    </row>
    <row r="5" spans="1:16" x14ac:dyDescent="0.45">
      <c r="D5" s="69" t="s">
        <v>12</v>
      </c>
      <c r="E5" s="69">
        <f>Inputs!E7</f>
        <v>42916</v>
      </c>
      <c r="F5" s="69">
        <f>EOMONTH($E$5,12)-'Scenario Manager'!$E$13</f>
        <v>43099</v>
      </c>
      <c r="G5" s="69">
        <f>EOMONTH($E$5,12)-'Scenario Manager'!$E$12</f>
        <v>43133</v>
      </c>
      <c r="H5" s="69">
        <f>EOMONTH($E$5,24)-'Scenario Manager'!$E$13</f>
        <v>43464</v>
      </c>
      <c r="I5" s="69">
        <f>EOMONTH($E$5,24)-'Scenario Manager'!$E$12</f>
        <v>43498</v>
      </c>
      <c r="J5" s="69">
        <f>EOMONTH($E$5,36)-'Scenario Manager'!$E$13</f>
        <v>43830</v>
      </c>
      <c r="K5" s="69">
        <f>EOMONTH($E$5,36)-'Scenario Manager'!$E$12</f>
        <v>43864</v>
      </c>
      <c r="L5" s="69">
        <f>EOMONTH($E$5,48)-'Scenario Manager'!$E$13</f>
        <v>44195</v>
      </c>
      <c r="M5" s="69">
        <f>EOMONTH($E$5,48)-'Scenario Manager'!$E$12</f>
        <v>44229</v>
      </c>
      <c r="N5" s="69">
        <f>EOMONTH($E$5,60)-'Scenario Manager'!$E$13</f>
        <v>44560</v>
      </c>
      <c r="O5" s="69">
        <f>EOMONTH($E$5,60)-'Scenario Manager'!$E$12</f>
        <v>44594</v>
      </c>
      <c r="P5" s="69">
        <f>EOMONTH($E$5,60)</f>
        <v>44742</v>
      </c>
    </row>
    <row r="6" spans="1:16" x14ac:dyDescent="0.45">
      <c r="B6" s="1" t="s">
        <v>90</v>
      </c>
      <c r="E6" s="44">
        <f>-'Default asset base'!F103</f>
        <v>-1244584.2486338832</v>
      </c>
    </row>
    <row r="7" spans="1:16" x14ac:dyDescent="0.45">
      <c r="B7" s="1" t="s">
        <v>91</v>
      </c>
      <c r="E7" s="70">
        <f>'Scenario Manager'!E19</f>
        <v>82510.119692784399</v>
      </c>
    </row>
    <row r="8" spans="1:16" x14ac:dyDescent="0.45">
      <c r="B8" s="1" t="s">
        <v>92</v>
      </c>
      <c r="E8" s="70">
        <f>E6+E7</f>
        <v>-1162074.1289410987</v>
      </c>
    </row>
    <row r="10" spans="1:16" x14ac:dyDescent="0.45">
      <c r="B10" s="1" t="s">
        <v>93</v>
      </c>
      <c r="F10" s="45"/>
      <c r="G10" s="45">
        <f>SUM('Forecast revenue and tax'!G29:G30)</f>
        <v>334356.49423340772</v>
      </c>
      <c r="H10" s="45"/>
      <c r="I10" s="45">
        <f>SUM('Forecast revenue and tax'!H29:H30)</f>
        <v>350536.80667661648</v>
      </c>
      <c r="J10" s="45"/>
      <c r="K10" s="45">
        <f>SUM('Forecast revenue and tax'!I29:I30)</f>
        <v>365276.66582561919</v>
      </c>
      <c r="L10" s="45"/>
      <c r="M10" s="45">
        <f>SUM('Forecast revenue and tax'!J29:J30)+'Scenario Manager'!J85</f>
        <v>382692.16787240724</v>
      </c>
      <c r="N10" s="45"/>
      <c r="O10" s="45">
        <f>SUM('Forecast revenue and tax'!K29:K30)+'Scenario Manager'!K85</f>
        <v>401785.61827419186</v>
      </c>
    </row>
    <row r="11" spans="1:16" x14ac:dyDescent="0.45">
      <c r="B11" s="1" t="s">
        <v>141</v>
      </c>
      <c r="F11" s="45">
        <f>'Forecast revenue and tax'!G34</f>
        <v>-113722.41460501539</v>
      </c>
      <c r="G11" s="45"/>
      <c r="H11" s="45">
        <f>'Forecast revenue and tax'!H34</f>
        <v>-122465.18313167134</v>
      </c>
      <c r="I11" s="45"/>
      <c r="J11" s="45">
        <f>'Forecast revenue and tax'!I34</f>
        <v>-127281.02918927144</v>
      </c>
      <c r="K11" s="45"/>
      <c r="L11" s="45">
        <f>'Forecast revenue and tax'!J34</f>
        <v>-132044.87124116445</v>
      </c>
      <c r="M11" s="45"/>
      <c r="N11" s="45">
        <f>'Forecast revenue and tax'!K34</f>
        <v>-137398.28336272476</v>
      </c>
      <c r="O11" s="45"/>
    </row>
    <row r="12" spans="1:16" x14ac:dyDescent="0.45">
      <c r="B12" s="1" t="s">
        <v>94</v>
      </c>
      <c r="F12" s="45">
        <f>-'Scenario asset base'!G150</f>
        <v>-209141.3674902629</v>
      </c>
      <c r="G12" s="45"/>
      <c r="H12" s="45">
        <f>-'Scenario asset base'!H150</f>
        <v>-417166.58628484566</v>
      </c>
      <c r="I12" s="45"/>
      <c r="J12" s="45">
        <f>-'Scenario asset base'!I150</f>
        <v>-340938.34589589719</v>
      </c>
      <c r="K12" s="45"/>
      <c r="L12" s="45">
        <f>-'Scenario asset base'!J150</f>
        <v>-240647.37450341909</v>
      </c>
      <c r="M12" s="45"/>
      <c r="N12" s="45">
        <f>-'Scenario asset base'!K150</f>
        <v>-267602.69608317321</v>
      </c>
      <c r="O12" s="45"/>
    </row>
    <row r="13" spans="1:16" x14ac:dyDescent="0.45">
      <c r="B13" s="1" t="s">
        <v>95</v>
      </c>
      <c r="F13" s="45">
        <f>'Forecast revenue and tax'!G68</f>
        <v>-1.4551915228366852E-11</v>
      </c>
      <c r="G13" s="45"/>
      <c r="H13" s="45">
        <f>'Forecast revenue and tax'!H68</f>
        <v>0</v>
      </c>
      <c r="I13" s="45"/>
      <c r="J13" s="45">
        <f>'Forecast revenue and tax'!I68</f>
        <v>3.1832314562052488E-12</v>
      </c>
      <c r="K13" s="45"/>
      <c r="L13" s="45">
        <f>'Forecast revenue and tax'!J68</f>
        <v>0</v>
      </c>
      <c r="M13" s="45"/>
      <c r="N13" s="45">
        <f>'Forecast revenue and tax'!K68</f>
        <v>0</v>
      </c>
      <c r="O13" s="45"/>
    </row>
    <row r="14" spans="1:16" x14ac:dyDescent="0.45">
      <c r="B14" s="1" t="s">
        <v>103</v>
      </c>
      <c r="F14" s="45">
        <f>-'Forecast revenue and tax'!G60</f>
        <v>-44608.909693413625</v>
      </c>
      <c r="G14" s="45"/>
      <c r="H14" s="45">
        <f>-'Forecast revenue and tax'!H60</f>
        <v>-42706.429120243694</v>
      </c>
      <c r="I14" s="45"/>
      <c r="J14" s="45">
        <f>-'Forecast revenue and tax'!I60</f>
        <v>-39666.705873967374</v>
      </c>
      <c r="K14" s="45"/>
      <c r="L14" s="45">
        <f>-'Forecast revenue and tax'!J60</f>
        <v>-40592.46302543745</v>
      </c>
      <c r="M14" s="45"/>
      <c r="N14" s="45">
        <f>-'Forecast revenue and tax'!K60</f>
        <v>-41358.568129527717</v>
      </c>
      <c r="O14" s="45"/>
    </row>
    <row r="16" spans="1:16" x14ac:dyDescent="0.45">
      <c r="B16" s="1" t="s">
        <v>96</v>
      </c>
      <c r="P16" s="45">
        <f>'Default asset base'!K103</f>
        <v>2323334.5450064368</v>
      </c>
    </row>
    <row r="17" spans="1:16" x14ac:dyDescent="0.45">
      <c r="B17" s="1" t="s">
        <v>97</v>
      </c>
      <c r="P17" s="70">
        <f>Inputs!E17</f>
        <v>86083.839512404622</v>
      </c>
    </row>
    <row r="18" spans="1:16" x14ac:dyDescent="0.45">
      <c r="B18" s="1" t="s">
        <v>98</v>
      </c>
      <c r="P18" s="70">
        <f>P16-P17</f>
        <v>2237250.7054940322</v>
      </c>
    </row>
    <row r="19" spans="1:16" x14ac:dyDescent="0.45">
      <c r="B19" s="1" t="s">
        <v>99</v>
      </c>
      <c r="E19" s="45">
        <f t="shared" ref="E19:P19" si="0">SUM(E8,E10:E14,E18)</f>
        <v>-1162074.1289410987</v>
      </c>
      <c r="F19" s="45">
        <f t="shared" si="0"/>
        <v>-367472.69178869191</v>
      </c>
      <c r="G19" s="45">
        <f t="shared" si="0"/>
        <v>334356.49423340772</v>
      </c>
      <c r="H19" s="45">
        <f t="shared" si="0"/>
        <v>-582338.19853676064</v>
      </c>
      <c r="I19" s="45">
        <f t="shared" si="0"/>
        <v>350536.80667661648</v>
      </c>
      <c r="J19" s="45">
        <f t="shared" si="0"/>
        <v>-507886.08095913602</v>
      </c>
      <c r="K19" s="45">
        <f t="shared" si="0"/>
        <v>365276.66582561919</v>
      </c>
      <c r="L19" s="45">
        <f t="shared" si="0"/>
        <v>-413284.70877002098</v>
      </c>
      <c r="M19" s="45">
        <f t="shared" si="0"/>
        <v>382692.16787240724</v>
      </c>
      <c r="N19" s="45">
        <f t="shared" si="0"/>
        <v>-446359.54757542571</v>
      </c>
      <c r="O19" s="45">
        <f t="shared" si="0"/>
        <v>401785.61827419186</v>
      </c>
      <c r="P19" s="45">
        <f t="shared" si="0"/>
        <v>2237250.7054940322</v>
      </c>
    </row>
    <row r="21" spans="1:16" x14ac:dyDescent="0.45">
      <c r="B21" s="1" t="s">
        <v>102</v>
      </c>
      <c r="D21" s="98">
        <f>XIRR(E19:P19,E5:P5)</f>
        <v>7.06278830766678E-2</v>
      </c>
      <c r="F21" s="73"/>
    </row>
    <row r="25" spans="1:16" ht="23.25" x14ac:dyDescent="0.7">
      <c r="A25" s="27" t="s">
        <v>208</v>
      </c>
      <c r="F25" s="28"/>
    </row>
    <row r="28" spans="1:16" x14ac:dyDescent="0.45">
      <c r="D28" s="69" t="s">
        <v>12</v>
      </c>
      <c r="E28" s="69">
        <f>E5</f>
        <v>42916</v>
      </c>
      <c r="F28" s="69">
        <f t="shared" ref="F28:P28" si="1">F5</f>
        <v>43099</v>
      </c>
      <c r="G28" s="69">
        <f t="shared" si="1"/>
        <v>43133</v>
      </c>
      <c r="H28" s="69">
        <f t="shared" si="1"/>
        <v>43464</v>
      </c>
      <c r="I28" s="69">
        <f t="shared" si="1"/>
        <v>43498</v>
      </c>
      <c r="J28" s="69">
        <f t="shared" si="1"/>
        <v>43830</v>
      </c>
      <c r="K28" s="69">
        <f t="shared" si="1"/>
        <v>43864</v>
      </c>
      <c r="L28" s="69">
        <f t="shared" si="1"/>
        <v>44195</v>
      </c>
      <c r="M28" s="69">
        <f t="shared" si="1"/>
        <v>44229</v>
      </c>
      <c r="N28" s="69">
        <f t="shared" si="1"/>
        <v>44560</v>
      </c>
      <c r="O28" s="69">
        <f t="shared" si="1"/>
        <v>44594</v>
      </c>
      <c r="P28" s="69">
        <f t="shared" si="1"/>
        <v>44742</v>
      </c>
    </row>
    <row r="29" spans="1:16" x14ac:dyDescent="0.45">
      <c r="B29" s="1" t="s">
        <v>90</v>
      </c>
      <c r="E29" s="44">
        <f>E6</f>
        <v>-1244584.2486338832</v>
      </c>
    </row>
    <row r="30" spans="1:16" x14ac:dyDescent="0.45">
      <c r="B30" s="1" t="s">
        <v>91</v>
      </c>
      <c r="E30" s="70">
        <f>E7</f>
        <v>82510.119692784399</v>
      </c>
    </row>
    <row r="31" spans="1:16" x14ac:dyDescent="0.45">
      <c r="B31" s="1" t="s">
        <v>92</v>
      </c>
      <c r="E31" s="70">
        <f>E29+E30</f>
        <v>-1162074.1289410987</v>
      </c>
    </row>
    <row r="33" spans="1:16" x14ac:dyDescent="0.45">
      <c r="B33" s="1" t="s">
        <v>93</v>
      </c>
      <c r="F33" s="45"/>
      <c r="G33" s="45">
        <f>'Required revenue'!G101</f>
        <v>289747.55671959429</v>
      </c>
      <c r="H33" s="45"/>
      <c r="I33" s="45">
        <f>'Required revenue'!H101</f>
        <v>309513.27855452115</v>
      </c>
      <c r="J33" s="45"/>
      <c r="K33" s="45">
        <f>'Required revenue'!I101</f>
        <v>357381.0129344975</v>
      </c>
      <c r="L33" s="45"/>
      <c r="M33" s="45">
        <f>'Required revenue'!J101+'Scenario Manager'!J85</f>
        <v>392724.10088411672</v>
      </c>
      <c r="N33" s="45"/>
      <c r="O33" s="45">
        <f>'Required revenue'!K101+'Scenario Manager'!K85</f>
        <v>420438.0228361534</v>
      </c>
    </row>
    <row r="34" spans="1:16" x14ac:dyDescent="0.45">
      <c r="B34" s="1" t="s">
        <v>141</v>
      </c>
      <c r="F34" s="45">
        <f>-'Required revenue'!G102</f>
        <v>-113722.41460501539</v>
      </c>
      <c r="G34" s="45"/>
      <c r="H34" s="45">
        <f>-'Required revenue'!H102</f>
        <v>-122465.18313167134</v>
      </c>
      <c r="I34" s="45"/>
      <c r="J34" s="45">
        <f>-'Required revenue'!I102</f>
        <v>-127281.02918927146</v>
      </c>
      <c r="K34" s="45"/>
      <c r="L34" s="45">
        <f>-'Required revenue'!J102</f>
        <v>-132044.87124116445</v>
      </c>
      <c r="M34" s="45"/>
      <c r="N34" s="45">
        <f>-'Required revenue'!K102</f>
        <v>-137398.28336272476</v>
      </c>
      <c r="O34" s="45"/>
    </row>
    <row r="35" spans="1:16" x14ac:dyDescent="0.45">
      <c r="B35" s="1" t="s">
        <v>94</v>
      </c>
      <c r="F35" s="45">
        <f>F12</f>
        <v>-209141.3674902629</v>
      </c>
      <c r="G35" s="45"/>
      <c r="H35" s="45">
        <f>H12</f>
        <v>-417166.58628484566</v>
      </c>
      <c r="I35" s="45"/>
      <c r="J35" s="45">
        <f>J12</f>
        <v>-340938.34589589719</v>
      </c>
      <c r="K35" s="45"/>
      <c r="L35" s="45">
        <f>L12</f>
        <v>-240647.37450341909</v>
      </c>
      <c r="M35" s="45"/>
      <c r="N35" s="45">
        <f>N12</f>
        <v>-267602.69608317321</v>
      </c>
      <c r="O35" s="45"/>
    </row>
    <row r="36" spans="1:16" x14ac:dyDescent="0.45">
      <c r="B36" s="1" t="s">
        <v>95</v>
      </c>
      <c r="F36" s="45">
        <f>'Forecast revenue and tax'!G68</f>
        <v>-1.4551915228366852E-11</v>
      </c>
      <c r="G36" s="45"/>
      <c r="H36" s="45">
        <f>'Forecast revenue and tax'!H68</f>
        <v>0</v>
      </c>
      <c r="I36" s="45"/>
      <c r="J36" s="45">
        <f>'Forecast revenue and tax'!I68</f>
        <v>3.1832314562052488E-12</v>
      </c>
      <c r="K36" s="45"/>
      <c r="L36" s="45">
        <f>'Forecast revenue and tax'!J68</f>
        <v>0</v>
      </c>
      <c r="M36" s="45"/>
      <c r="N36" s="45">
        <f>'Forecast revenue and tax'!K68</f>
        <v>0</v>
      </c>
      <c r="O36" s="45"/>
    </row>
    <row r="37" spans="1:16" x14ac:dyDescent="0.45">
      <c r="B37" s="1" t="s">
        <v>110</v>
      </c>
      <c r="F37" s="45">
        <f>-'Required revenue'!G103</f>
        <v>-32175.67211025106</v>
      </c>
      <c r="G37" s="45"/>
      <c r="H37" s="45">
        <f>-'Required revenue'!H103</f>
        <v>-31369.824321127762</v>
      </c>
      <c r="I37" s="45"/>
      <c r="J37" s="45">
        <f>-'Required revenue'!I103</f>
        <v>-37709.490466989162</v>
      </c>
      <c r="K37" s="45"/>
      <c r="L37" s="45">
        <f>-'Required revenue'!J103</f>
        <v>-43678.448302882338</v>
      </c>
      <c r="M37" s="45"/>
      <c r="N37" s="45">
        <f>-'Required revenue'!K103</f>
        <v>-46909.180247122917</v>
      </c>
      <c r="O37" s="45"/>
    </row>
    <row r="39" spans="1:16" x14ac:dyDescent="0.45">
      <c r="B39" s="1" t="s">
        <v>96</v>
      </c>
      <c r="P39" s="45">
        <f>P16</f>
        <v>2323334.5450064368</v>
      </c>
    </row>
    <row r="40" spans="1:16" x14ac:dyDescent="0.45">
      <c r="B40" s="1" t="s">
        <v>97</v>
      </c>
      <c r="P40" s="70">
        <f>P17</f>
        <v>86083.839512404622</v>
      </c>
    </row>
    <row r="41" spans="1:16" x14ac:dyDescent="0.45">
      <c r="B41" s="1" t="s">
        <v>98</v>
      </c>
      <c r="P41" s="70">
        <f>P39-P40</f>
        <v>2237250.7054940322</v>
      </c>
    </row>
    <row r="42" spans="1:16" x14ac:dyDescent="0.45">
      <c r="B42" s="1" t="s">
        <v>99</v>
      </c>
      <c r="E42" s="45">
        <f t="shared" ref="E42:P42" si="2">SUM(E31,E33:E37,E41)</f>
        <v>-1162074.1289410987</v>
      </c>
      <c r="F42" s="45">
        <f t="shared" si="2"/>
        <v>-355039.4542055293</v>
      </c>
      <c r="G42" s="45">
        <f t="shared" si="2"/>
        <v>289747.55671959429</v>
      </c>
      <c r="H42" s="45">
        <f t="shared" si="2"/>
        <v>-571001.59373764473</v>
      </c>
      <c r="I42" s="45">
        <f t="shared" si="2"/>
        <v>309513.27855452115</v>
      </c>
      <c r="J42" s="45">
        <f t="shared" si="2"/>
        <v>-505928.8655521578</v>
      </c>
      <c r="K42" s="45">
        <f t="shared" si="2"/>
        <v>357381.0129344975</v>
      </c>
      <c r="L42" s="45">
        <f t="shared" si="2"/>
        <v>-416370.69404746586</v>
      </c>
      <c r="M42" s="45">
        <f t="shared" si="2"/>
        <v>392724.10088411672</v>
      </c>
      <c r="N42" s="45">
        <f t="shared" si="2"/>
        <v>-451910.15969302086</v>
      </c>
      <c r="O42" s="45">
        <f t="shared" si="2"/>
        <v>420438.0228361534</v>
      </c>
      <c r="P42" s="45">
        <f t="shared" si="2"/>
        <v>2237250.7054940322</v>
      </c>
    </row>
    <row r="44" spans="1:16" x14ac:dyDescent="0.45">
      <c r="B44" s="1" t="s">
        <v>102</v>
      </c>
      <c r="D44" s="98">
        <f>XIRR(E42:P42,E28:P28)</f>
        <v>6.3724967837333682E-2</v>
      </c>
      <c r="F44" s="73"/>
    </row>
    <row r="47" spans="1:16" ht="23.25" x14ac:dyDescent="0.7">
      <c r="A47" s="27" t="s">
        <v>200</v>
      </c>
      <c r="F47" s="28"/>
    </row>
    <row r="49" spans="1:16" x14ac:dyDescent="0.45">
      <c r="D49" s="69" t="s">
        <v>12</v>
      </c>
      <c r="E49" s="69">
        <f>E28</f>
        <v>42916</v>
      </c>
      <c r="F49" s="69">
        <f t="shared" ref="F49:P49" si="3">F28</f>
        <v>43099</v>
      </c>
      <c r="G49" s="69">
        <f t="shared" si="3"/>
        <v>43133</v>
      </c>
      <c r="H49" s="69">
        <f t="shared" si="3"/>
        <v>43464</v>
      </c>
      <c r="I49" s="69">
        <f t="shared" si="3"/>
        <v>43498</v>
      </c>
      <c r="J49" s="69">
        <f t="shared" si="3"/>
        <v>43830</v>
      </c>
      <c r="K49" s="69">
        <f t="shared" si="3"/>
        <v>43864</v>
      </c>
      <c r="L49" s="69">
        <f t="shared" si="3"/>
        <v>44195</v>
      </c>
      <c r="M49" s="69">
        <f t="shared" si="3"/>
        <v>44229</v>
      </c>
      <c r="N49" s="69">
        <f t="shared" si="3"/>
        <v>44560</v>
      </c>
      <c r="O49" s="69">
        <f t="shared" si="3"/>
        <v>44594</v>
      </c>
      <c r="P49" s="69">
        <f t="shared" si="3"/>
        <v>44742</v>
      </c>
    </row>
    <row r="50" spans="1:16" x14ac:dyDescent="0.45">
      <c r="B50" s="38" t="s">
        <v>138</v>
      </c>
      <c r="C50" s="38"/>
      <c r="D50" s="38"/>
      <c r="E50" s="45">
        <v>0</v>
      </c>
      <c r="F50" s="45">
        <v>0</v>
      </c>
      <c r="G50" s="45">
        <f>G10</f>
        <v>334356.49423340772</v>
      </c>
      <c r="H50" s="45">
        <v>0</v>
      </c>
      <c r="I50" s="45">
        <f>I10</f>
        <v>350536.80667661648</v>
      </c>
      <c r="J50" s="45">
        <v>0</v>
      </c>
      <c r="K50" s="45">
        <f>K10</f>
        <v>365276.66582561919</v>
      </c>
      <c r="L50" s="45">
        <v>0</v>
      </c>
      <c r="M50" s="45">
        <f>M10</f>
        <v>382692.16787240724</v>
      </c>
      <c r="N50" s="45">
        <v>0</v>
      </c>
      <c r="O50" s="45">
        <f>O10</f>
        <v>401785.61827419186</v>
      </c>
      <c r="P50" s="45">
        <v>0</v>
      </c>
    </row>
    <row r="51" spans="1:16" x14ac:dyDescent="0.45">
      <c r="B51" s="38" t="s">
        <v>139</v>
      </c>
      <c r="C51" s="38"/>
      <c r="D51" s="38"/>
      <c r="E51" s="45">
        <v>0</v>
      </c>
      <c r="F51" s="45">
        <v>0</v>
      </c>
      <c r="G51" s="45">
        <f>G33</f>
        <v>289747.55671959429</v>
      </c>
      <c r="H51" s="45">
        <v>0</v>
      </c>
      <c r="I51" s="45">
        <f>I33</f>
        <v>309513.27855452115</v>
      </c>
      <c r="J51" s="45">
        <v>0</v>
      </c>
      <c r="K51" s="45">
        <f>K33</f>
        <v>357381.0129344975</v>
      </c>
      <c r="L51" s="45">
        <v>0</v>
      </c>
      <c r="M51" s="45">
        <f>M33</f>
        <v>392724.10088411672</v>
      </c>
      <c r="N51" s="45">
        <v>0</v>
      </c>
      <c r="O51" s="45">
        <f>O33</f>
        <v>420438.0228361534</v>
      </c>
      <c r="P51" s="45">
        <v>0</v>
      </c>
    </row>
    <row r="52" spans="1:16" x14ac:dyDescent="0.45">
      <c r="B52" s="38" t="s">
        <v>140</v>
      </c>
      <c r="C52" s="38"/>
      <c r="D52" s="38"/>
      <c r="E52" s="45">
        <f>E50-E51</f>
        <v>0</v>
      </c>
      <c r="F52" s="45">
        <f t="shared" ref="F52:P52" si="4">F50-F51</f>
        <v>0</v>
      </c>
      <c r="G52" s="45">
        <f t="shared" si="4"/>
        <v>44608.937513813435</v>
      </c>
      <c r="H52" s="45">
        <f t="shared" si="4"/>
        <v>0</v>
      </c>
      <c r="I52" s="45">
        <f t="shared" si="4"/>
        <v>41023.528122095333</v>
      </c>
      <c r="J52" s="45">
        <f t="shared" si="4"/>
        <v>0</v>
      </c>
      <c r="K52" s="45">
        <f t="shared" si="4"/>
        <v>7895.6528911216883</v>
      </c>
      <c r="L52" s="45">
        <f t="shared" si="4"/>
        <v>0</v>
      </c>
      <c r="M52" s="45">
        <f t="shared" si="4"/>
        <v>-10031.93301170948</v>
      </c>
      <c r="N52" s="45">
        <f t="shared" si="4"/>
        <v>0</v>
      </c>
      <c r="O52" s="45">
        <f t="shared" si="4"/>
        <v>-18652.404561961535</v>
      </c>
      <c r="P52" s="45">
        <f t="shared" si="4"/>
        <v>0</v>
      </c>
    </row>
    <row r="54" spans="1:16" x14ac:dyDescent="0.45">
      <c r="B54" s="38" t="s">
        <v>188</v>
      </c>
      <c r="C54" s="38"/>
      <c r="D54" s="45">
        <f>XNPV(Inputs!$E$15,IRR!E50:P50,IRR!$E$49:$P$49)</f>
        <v>1558603.7380161188</v>
      </c>
    </row>
    <row r="55" spans="1:16" x14ac:dyDescent="0.45">
      <c r="B55" s="38" t="s">
        <v>198</v>
      </c>
      <c r="C55" s="38"/>
      <c r="D55" s="45">
        <f>XNPV(Inputs!$E$15,IRR!E51:P51,IRR!$E$49:$P$49)</f>
        <v>1493779.8608522657</v>
      </c>
      <c r="E55" s="119"/>
    </row>
    <row r="56" spans="1:16" x14ac:dyDescent="0.45">
      <c r="B56" s="38" t="s">
        <v>237</v>
      </c>
      <c r="C56" s="38"/>
      <c r="D56" s="45">
        <f>XNPV(Inputs!$E$15,IRR!E52:P52,IRR!$E$49:$P$49)</f>
        <v>64823.877163853344</v>
      </c>
    </row>
    <row r="57" spans="1:16" x14ac:dyDescent="0.45">
      <c r="B57" s="38" t="s">
        <v>238</v>
      </c>
      <c r="C57" s="38"/>
      <c r="D57" s="114">
        <f>D56/SUM('Scenario Manager'!G80:K80)</f>
        <v>0.6108086978346583</v>
      </c>
    </row>
    <row r="59" spans="1:16" ht="23.25" x14ac:dyDescent="0.7">
      <c r="A59" s="27" t="s">
        <v>201</v>
      </c>
      <c r="F59" s="28"/>
    </row>
    <row r="61" spans="1:16" x14ac:dyDescent="0.45">
      <c r="D61" s="69" t="s">
        <v>12</v>
      </c>
      <c r="E61" s="69">
        <f>E49</f>
        <v>42916</v>
      </c>
      <c r="F61" s="69">
        <f t="shared" ref="F61:P61" si="5">F49</f>
        <v>43099</v>
      </c>
      <c r="G61" s="69">
        <f t="shared" si="5"/>
        <v>43133</v>
      </c>
      <c r="H61" s="69">
        <f t="shared" si="5"/>
        <v>43464</v>
      </c>
      <c r="I61" s="69">
        <f t="shared" si="5"/>
        <v>43498</v>
      </c>
      <c r="J61" s="69">
        <f t="shared" si="5"/>
        <v>43830</v>
      </c>
      <c r="K61" s="69">
        <f t="shared" si="5"/>
        <v>43864</v>
      </c>
      <c r="L61" s="69">
        <f t="shared" si="5"/>
        <v>44195</v>
      </c>
      <c r="M61" s="69">
        <f t="shared" si="5"/>
        <v>44229</v>
      </c>
      <c r="N61" s="69">
        <f t="shared" si="5"/>
        <v>44560</v>
      </c>
      <c r="O61" s="69">
        <f t="shared" si="5"/>
        <v>44594</v>
      </c>
      <c r="P61" s="69">
        <f t="shared" si="5"/>
        <v>44742</v>
      </c>
    </row>
    <row r="62" spans="1:16" x14ac:dyDescent="0.45">
      <c r="B62" s="38" t="s">
        <v>187</v>
      </c>
      <c r="C62" s="38"/>
      <c r="D62" s="38"/>
      <c r="E62" s="45">
        <f t="shared" ref="E62:F62" si="6">E19</f>
        <v>-1162074.1289410987</v>
      </c>
      <c r="F62" s="45">
        <f t="shared" si="6"/>
        <v>-367472.69178869191</v>
      </c>
      <c r="G62" s="45">
        <f>G19</f>
        <v>334356.49423340772</v>
      </c>
      <c r="H62" s="45">
        <f t="shared" ref="H62:P62" si="7">H19</f>
        <v>-582338.19853676064</v>
      </c>
      <c r="I62" s="45">
        <f t="shared" si="7"/>
        <v>350536.80667661648</v>
      </c>
      <c r="J62" s="45">
        <f t="shared" si="7"/>
        <v>-507886.08095913602</v>
      </c>
      <c r="K62" s="45">
        <f t="shared" si="7"/>
        <v>365276.66582561919</v>
      </c>
      <c r="L62" s="45">
        <f t="shared" si="7"/>
        <v>-413284.70877002098</v>
      </c>
      <c r="M62" s="45">
        <f t="shared" si="7"/>
        <v>382692.16787240724</v>
      </c>
      <c r="N62" s="45">
        <f t="shared" si="7"/>
        <v>-446359.54757542571</v>
      </c>
      <c r="O62" s="45">
        <f t="shared" si="7"/>
        <v>401785.61827419186</v>
      </c>
      <c r="P62" s="45">
        <f t="shared" si="7"/>
        <v>2237250.7054940322</v>
      </c>
    </row>
    <row r="63" spans="1:16" x14ac:dyDescent="0.45">
      <c r="B63" s="38" t="s">
        <v>199</v>
      </c>
      <c r="C63" s="38"/>
      <c r="D63" s="38"/>
      <c r="E63" s="45">
        <f t="shared" ref="E63:F63" si="8">E42</f>
        <v>-1162074.1289410987</v>
      </c>
      <c r="F63" s="45">
        <f t="shared" si="8"/>
        <v>-355039.4542055293</v>
      </c>
      <c r="G63" s="45">
        <f>G42</f>
        <v>289747.55671959429</v>
      </c>
      <c r="H63" s="45">
        <f t="shared" ref="H63:P63" si="9">H42</f>
        <v>-571001.59373764473</v>
      </c>
      <c r="I63" s="45">
        <f t="shared" si="9"/>
        <v>309513.27855452115</v>
      </c>
      <c r="J63" s="45">
        <f t="shared" si="9"/>
        <v>-505928.8655521578</v>
      </c>
      <c r="K63" s="45">
        <f t="shared" si="9"/>
        <v>357381.0129344975</v>
      </c>
      <c r="L63" s="45">
        <f t="shared" si="9"/>
        <v>-416370.69404746586</v>
      </c>
      <c r="M63" s="45">
        <f t="shared" si="9"/>
        <v>392724.10088411672</v>
      </c>
      <c r="N63" s="45">
        <f t="shared" si="9"/>
        <v>-451910.15969302086</v>
      </c>
      <c r="O63" s="45">
        <f t="shared" si="9"/>
        <v>420438.0228361534</v>
      </c>
      <c r="P63" s="45">
        <f t="shared" si="9"/>
        <v>2237250.7054940322</v>
      </c>
    </row>
    <row r="64" spans="1:16" x14ac:dyDescent="0.45">
      <c r="B64" s="38" t="s">
        <v>140</v>
      </c>
      <c r="C64" s="38"/>
      <c r="D64" s="38"/>
      <c r="E64" s="45">
        <f>E62-E63</f>
        <v>0</v>
      </c>
      <c r="F64" s="45">
        <f t="shared" ref="F64:P64" si="10">F62-F63</f>
        <v>-12433.237583162612</v>
      </c>
      <c r="G64" s="45">
        <f t="shared" si="10"/>
        <v>44608.937513813435</v>
      </c>
      <c r="H64" s="45">
        <f t="shared" si="10"/>
        <v>-11336.604799115914</v>
      </c>
      <c r="I64" s="45">
        <f t="shared" si="10"/>
        <v>41023.528122095333</v>
      </c>
      <c r="J64" s="45">
        <f t="shared" si="10"/>
        <v>-1957.2154069782118</v>
      </c>
      <c r="K64" s="45">
        <f t="shared" si="10"/>
        <v>7895.6528911216883</v>
      </c>
      <c r="L64" s="45">
        <f t="shared" si="10"/>
        <v>3085.9852774448809</v>
      </c>
      <c r="M64" s="45">
        <f t="shared" si="10"/>
        <v>-10031.93301170948</v>
      </c>
      <c r="N64" s="45">
        <f t="shared" si="10"/>
        <v>5550.6121175951557</v>
      </c>
      <c r="O64" s="45">
        <f t="shared" si="10"/>
        <v>-18652.404561961535</v>
      </c>
      <c r="P64" s="45">
        <f t="shared" si="10"/>
        <v>0</v>
      </c>
    </row>
    <row r="66" spans="2:4" x14ac:dyDescent="0.45">
      <c r="B66" s="38" t="s">
        <v>239</v>
      </c>
      <c r="C66" s="38"/>
      <c r="D66" s="45">
        <f>XNPV(Inputs!E15,IRR!E64:P64,IRR!E61:P61)</f>
        <v>47447.796183865008</v>
      </c>
    </row>
    <row r="68" spans="2:4" x14ac:dyDescent="0.45">
      <c r="D68" s="96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&amp;L&amp;F&amp;C&amp;A&amp;R&amp;P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I23"/>
  <sheetViews>
    <sheetView showGridLines="0" view="pageBreakPreview" zoomScaleNormal="100" zoomScaleSheetLayoutView="100" workbookViewId="0"/>
  </sheetViews>
  <sheetFormatPr defaultColWidth="8.86328125" defaultRowHeight="14.25" x14ac:dyDescent="0.45"/>
  <cols>
    <col min="1" max="1" width="96.86328125" style="74" customWidth="1"/>
    <col min="2" max="2" width="10.3984375" style="74" customWidth="1"/>
    <col min="3" max="6" width="10.86328125" style="74" customWidth="1"/>
    <col min="7" max="7" width="10.3984375" style="74" customWidth="1"/>
    <col min="8" max="9" width="12" style="74" customWidth="1"/>
    <col min="10" max="10" width="10.3984375" style="1" customWidth="1"/>
    <col min="11" max="11" width="2.59765625" style="1" customWidth="1"/>
    <col min="12" max="16384" width="8.86328125" style="1"/>
  </cols>
  <sheetData>
    <row r="1" spans="1:9" ht="25.5" x14ac:dyDescent="0.75">
      <c r="A1" s="18" t="s">
        <v>7</v>
      </c>
    </row>
    <row r="2" spans="1:9" x14ac:dyDescent="0.45">
      <c r="A2" s="75" t="s">
        <v>191</v>
      </c>
      <c r="B2" s="1"/>
      <c r="C2" s="1"/>
      <c r="D2" s="1"/>
      <c r="I2" s="1"/>
    </row>
    <row r="3" spans="1:9" x14ac:dyDescent="0.45">
      <c r="A3" s="99"/>
      <c r="B3" s="30"/>
      <c r="C3" s="139" t="s">
        <v>145</v>
      </c>
      <c r="D3" s="139"/>
    </row>
    <row r="4" spans="1:9" x14ac:dyDescent="0.45">
      <c r="A4" s="103" t="s">
        <v>146</v>
      </c>
      <c r="B4" s="38"/>
      <c r="C4" s="140" t="str">
        <f>'Scenario Manager'!E5</f>
        <v>1</v>
      </c>
      <c r="D4" s="140"/>
    </row>
    <row r="5" spans="1:9" ht="85.5" x14ac:dyDescent="0.45">
      <c r="A5" s="103"/>
      <c r="B5" s="38"/>
      <c r="C5" s="110" t="s">
        <v>177</v>
      </c>
      <c r="D5" s="118" t="s">
        <v>178</v>
      </c>
      <c r="E5" s="118" t="s">
        <v>179</v>
      </c>
      <c r="F5" s="118" t="s">
        <v>180</v>
      </c>
      <c r="G5" s="118" t="s">
        <v>181</v>
      </c>
      <c r="H5" s="118" t="s">
        <v>184</v>
      </c>
      <c r="I5" s="118" t="s">
        <v>185</v>
      </c>
    </row>
    <row r="6" spans="1:9" ht="52.9" x14ac:dyDescent="0.45">
      <c r="A6" s="30" t="s">
        <v>105</v>
      </c>
      <c r="B6" s="30" t="s">
        <v>149</v>
      </c>
      <c r="C6" s="30" t="s">
        <v>150</v>
      </c>
      <c r="D6" s="30" t="s">
        <v>151</v>
      </c>
      <c r="E6" s="30" t="s">
        <v>152</v>
      </c>
      <c r="F6" s="30" t="s">
        <v>153</v>
      </c>
      <c r="G6" s="30" t="s">
        <v>154</v>
      </c>
      <c r="H6" s="30" t="s">
        <v>155</v>
      </c>
      <c r="I6" s="30" t="s">
        <v>182</v>
      </c>
    </row>
    <row r="7" spans="1:9" x14ac:dyDescent="0.45">
      <c r="A7" s="104" t="s">
        <v>146</v>
      </c>
      <c r="B7" s="105" t="str">
        <f>C4</f>
        <v>1</v>
      </c>
      <c r="C7" s="105">
        <v>1</v>
      </c>
      <c r="D7" s="105">
        <f>C7+1</f>
        <v>2</v>
      </c>
      <c r="E7" s="105">
        <f t="shared" ref="E7:I7" si="0">D7+1</f>
        <v>3</v>
      </c>
      <c r="F7" s="105">
        <f t="shared" si="0"/>
        <v>4</v>
      </c>
      <c r="G7" s="105">
        <f t="shared" si="0"/>
        <v>5</v>
      </c>
      <c r="H7" s="105">
        <f t="shared" si="0"/>
        <v>6</v>
      </c>
      <c r="I7" s="105">
        <f t="shared" si="0"/>
        <v>7</v>
      </c>
    </row>
    <row r="8" spans="1:9" ht="23.25" x14ac:dyDescent="0.7">
      <c r="A8" s="77" t="s">
        <v>7</v>
      </c>
      <c r="B8" s="106"/>
      <c r="C8" s="107">
        <f t="dataTable" ref="C8:I9" dt2D="0" dtr="1" r1="C4"/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</row>
    <row r="9" spans="1:9" x14ac:dyDescent="0.45">
      <c r="A9" s="108" t="s">
        <v>156</v>
      </c>
      <c r="B9" s="111">
        <f>IRR!D21</f>
        <v>7.06278830766678E-2</v>
      </c>
      <c r="C9" s="111">
        <v>7.06278830766678E-2</v>
      </c>
      <c r="D9" s="111">
        <v>7.7182045578956623E-2</v>
      </c>
      <c r="E9" s="111">
        <v>5.3020581603050232E-2</v>
      </c>
      <c r="F9" s="111">
        <v>8.8740554451942455E-2</v>
      </c>
      <c r="G9" s="111">
        <v>7.4952223896980294E-2</v>
      </c>
      <c r="H9" s="111">
        <v>6.4953950047492992E-2</v>
      </c>
      <c r="I9" s="111">
        <v>7.6343873143196128E-2</v>
      </c>
    </row>
    <row r="10" spans="1:9" x14ac:dyDescent="0.45">
      <c r="A10" s="108" t="s">
        <v>202</v>
      </c>
      <c r="B10" s="109"/>
      <c r="C10" s="109"/>
      <c r="D10" s="111">
        <f t="shared" ref="D10:I10" si="1">D9-$C$9</f>
        <v>6.5541625022888239E-3</v>
      </c>
      <c r="E10" s="111">
        <f t="shared" si="1"/>
        <v>-1.7607301473617568E-2</v>
      </c>
      <c r="F10" s="111">
        <f t="shared" si="1"/>
        <v>1.8112671375274655E-2</v>
      </c>
      <c r="G10" s="111">
        <f t="shared" si="1"/>
        <v>4.3243408203124944E-3</v>
      </c>
      <c r="H10" s="111">
        <f t="shared" si="1"/>
        <v>-5.6739330291748075E-3</v>
      </c>
      <c r="I10" s="111">
        <f t="shared" si="1"/>
        <v>5.7159900665283286E-3</v>
      </c>
    </row>
    <row r="11" spans="1:9" x14ac:dyDescent="0.45">
      <c r="A11" s="108" t="s">
        <v>157</v>
      </c>
      <c r="B11" s="108"/>
      <c r="C11" s="109">
        <f>IRR!D56</f>
        <v>64823.877163853344</v>
      </c>
      <c r="D11" s="116"/>
      <c r="E11" s="116"/>
      <c r="F11" s="116"/>
      <c r="G11" s="116"/>
      <c r="H11" s="116"/>
      <c r="I11" s="1"/>
    </row>
    <row r="12" spans="1:9" x14ac:dyDescent="0.45">
      <c r="A12" s="108" t="s">
        <v>240</v>
      </c>
      <c r="B12" s="108"/>
      <c r="C12" s="109">
        <f>IRR!D66</f>
        <v>47447.796183865008</v>
      </c>
      <c r="D12" s="1"/>
      <c r="E12" s="1"/>
      <c r="F12" s="1"/>
      <c r="G12" s="1"/>
      <c r="H12" s="1"/>
      <c r="I12" s="1"/>
    </row>
    <row r="13" spans="1:9" x14ac:dyDescent="0.45">
      <c r="A13" s="108" t="s">
        <v>192</v>
      </c>
      <c r="B13" s="108"/>
      <c r="C13" s="109">
        <f>IRR!D54</f>
        <v>1558603.7380161188</v>
      </c>
      <c r="D13" s="1"/>
      <c r="E13" s="1"/>
      <c r="F13" s="1"/>
      <c r="G13" s="1"/>
      <c r="H13" s="1"/>
      <c r="I13" s="1"/>
    </row>
    <row r="14" spans="1:9" x14ac:dyDescent="0.45">
      <c r="A14" s="108" t="s">
        <v>193</v>
      </c>
      <c r="B14" s="108"/>
      <c r="C14" s="109">
        <f>IRR!D55</f>
        <v>1493779.8608522657</v>
      </c>
      <c r="D14" s="1"/>
      <c r="E14" s="1"/>
      <c r="F14" s="1"/>
      <c r="G14" s="1"/>
      <c r="H14" s="1"/>
      <c r="I14" s="1"/>
    </row>
    <row r="15" spans="1:9" x14ac:dyDescent="0.45">
      <c r="A15" s="108" t="s">
        <v>174</v>
      </c>
      <c r="B15" s="108"/>
      <c r="C15" s="115">
        <f>IRR!D57</f>
        <v>0.6108086978346583</v>
      </c>
      <c r="D15" s="1"/>
      <c r="E15" s="1"/>
      <c r="F15" s="1"/>
      <c r="G15" s="1"/>
      <c r="H15" s="1"/>
      <c r="I15" s="1"/>
    </row>
    <row r="16" spans="1:9" x14ac:dyDescent="0.4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4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45">
      <c r="A18" s="117"/>
      <c r="B18" s="1"/>
      <c r="C18" s="1"/>
      <c r="D18" s="1"/>
      <c r="E18" s="1"/>
      <c r="F18" s="1"/>
      <c r="G18" s="1"/>
      <c r="H18" s="1"/>
      <c r="I18" s="1"/>
    </row>
    <row r="19" spans="1:9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5">
      <c r="A23" s="1"/>
      <c r="B23" s="1"/>
      <c r="C23" s="1"/>
      <c r="D23" s="1"/>
      <c r="E23" s="1"/>
      <c r="F23" s="1"/>
      <c r="G23" s="1"/>
      <c r="H23" s="1"/>
      <c r="I23" s="1"/>
    </row>
  </sheetData>
  <sheetProtection formatColumns="0" formatRows="0"/>
  <mergeCells count="2"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&amp;L&amp;F&amp;C&amp;A&amp;R&amp;P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CoverSheet</vt:lpstr>
      <vt:lpstr>Description</vt:lpstr>
      <vt:lpstr>Table of Contents</vt:lpstr>
      <vt:lpstr>Inputs</vt:lpstr>
      <vt:lpstr>Scenario Manager</vt:lpstr>
      <vt:lpstr>Timing factors</vt:lpstr>
      <vt:lpstr>Default asset base</vt:lpstr>
      <vt:lpstr>Scenario asset base</vt:lpstr>
      <vt:lpstr>Forecast revenue and tax</vt:lpstr>
      <vt:lpstr>Required revenue</vt:lpstr>
      <vt:lpstr>IRR</vt:lpstr>
      <vt:lpstr>Output</vt:lpstr>
      <vt:lpstr>CoverSheet!Print_Area</vt:lpstr>
      <vt:lpstr>'Default asset base'!Print_Area</vt:lpstr>
      <vt:lpstr>Description!Print_Area</vt:lpstr>
      <vt:lpstr>'Forecast revenue and tax'!Print_Area</vt:lpstr>
      <vt:lpstr>Inputs!Print_Area</vt:lpstr>
      <vt:lpstr>IRR!Print_Area</vt:lpstr>
      <vt:lpstr>Output!Print_Area</vt:lpstr>
      <vt:lpstr>'Required revenue'!Print_Area</vt:lpstr>
      <vt:lpstr>'Scenario asset base'!Print_Area</vt:lpstr>
      <vt:lpstr>'Scenario Manager'!Print_Area</vt:lpstr>
      <vt:lpstr>'Table of Contents'!Print_Area</vt:lpstr>
      <vt:lpstr>'Scenario asset base'!RIVProp</vt:lpstr>
      <vt:lpstr>RIVProp</vt:lpstr>
    </vt:vector>
  </TitlesOfParts>
  <Company>Commerce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Kimberley Foo</cp:lastModifiedBy>
  <cp:lastPrinted>2014-05-07T03:48:25Z</cp:lastPrinted>
  <dcterms:created xsi:type="dcterms:W3CDTF">2012-07-04T01:49:43Z</dcterms:created>
  <dcterms:modified xsi:type="dcterms:W3CDTF">2018-10-31T03:03:21Z</dcterms:modified>
</cp:coreProperties>
</file>